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workbookPr defaultThemeVersion="166925"/>
  <workbookProtection/>
  <bookViews>
    <workbookView xWindow="0" yWindow="0" windowWidth="14370" windowHeight="9585"/>
  </bookViews>
  <sheets>
    <sheet name="Data" sheetId="2" r:id="rId1"/>
    <sheet name="Disclaimer" sheetId="3" r:id="rId2"/>
  </sheets>
  <calcPr calcId="0"/>
</workbook>
</file>

<file path=xl/sharedStrings.xml><?xml version="1.0" encoding="utf-8"?>
<sst xmlns="http://schemas.openxmlformats.org/spreadsheetml/2006/main" count="19003" uniqueCount="19003">
  <si>
    <t>Deal ID</t>
  </si>
  <si>
    <t>Companies</t>
  </si>
  <si>
    <t>Company ID</t>
  </si>
  <si>
    <t>LCD Issuer ID</t>
  </si>
  <si>
    <t>Investors</t>
  </si>
  <si>
    <t># Investors</t>
  </si>
  <si>
    <t>Investors Websites</t>
  </si>
  <si>
    <t>Registration Number</t>
  </si>
  <si>
    <t>Description</t>
  </si>
  <si>
    <t>Financing Status Note</t>
  </si>
  <si>
    <t>Primary Industry Sector</t>
  </si>
  <si>
    <t>Primary Industry Group</t>
  </si>
  <si>
    <t>Primary Industry Code</t>
  </si>
  <si>
    <t>All Industries</t>
  </si>
  <si>
    <t>Verticals</t>
  </si>
  <si>
    <t>Keywords</t>
  </si>
  <si>
    <t>Emerging Spaces</t>
  </si>
  <si>
    <t>Current Financing Status</t>
  </si>
  <si>
    <t>Current Business Status</t>
  </si>
  <si>
    <t>Universe</t>
  </si>
  <si>
    <t>CEO PBId</t>
  </si>
  <si>
    <t>CEO (at time of deal)</t>
  </si>
  <si>
    <t>CEO Phone</t>
  </si>
  <si>
    <t>CEO Email</t>
  </si>
  <si>
    <t>CEO Biography</t>
  </si>
  <si>
    <t>CEO Education</t>
  </si>
  <si>
    <t>Participating vs Non-participating</t>
  </si>
  <si>
    <t>Dividend Rights</t>
  </si>
  <si>
    <t>Anti-Dilution Provisions</t>
  </si>
  <si>
    <t>Board Voting Rights</t>
  </si>
  <si>
    <t>General Voting Rights</t>
  </si>
  <si>
    <t>Cumulative Dividends</t>
  </si>
  <si>
    <t>Liquidation Preferences</t>
  </si>
  <si>
    <t>Deal No.</t>
  </si>
  <si>
    <t>Announced Date</t>
  </si>
  <si>
    <t>Deal Date</t>
  </si>
  <si>
    <t>Deal Size</t>
  </si>
  <si>
    <t>Deal Size Status</t>
  </si>
  <si>
    <t>Pre-money Valuation</t>
  </si>
  <si>
    <t>Post Valuation</t>
  </si>
  <si>
    <t>Post Valuation Status</t>
  </si>
  <si>
    <t>Valuation Step-Up</t>
  </si>
  <si>
    <t>Time Between VC Rounds</t>
  </si>
  <si>
    <t>% Acquired</t>
  </si>
  <si>
    <t>Raised to Date</t>
  </si>
  <si>
    <t>VC Round</t>
  </si>
  <si>
    <t>VC Round Up/Down/Flat</t>
  </si>
  <si>
    <t>Price per Share</t>
  </si>
  <si>
    <t>Series</t>
  </si>
  <si>
    <t>Deal Type</t>
  </si>
  <si>
    <t>Deal Type 2</t>
  </si>
  <si>
    <t>Deal Type 3</t>
  </si>
  <si>
    <t>Includes Amended Debts</t>
  </si>
  <si>
    <t>Deal Class</t>
  </si>
  <si>
    <t>Deal Synopsis</t>
  </si>
  <si>
    <t>Native Currency of Deal</t>
  </si>
  <si>
    <t>Total Invested Equity</t>
  </si>
  <si>
    <t>Add-on</t>
  </si>
  <si>
    <t>Add-on Sponsors</t>
  </si>
  <si>
    <t>Add-on Platform</t>
  </si>
  <si>
    <t>Debt Raised in Round</t>
  </si>
  <si>
    <t>Contingent Payout</t>
  </si>
  <si>
    <t>Deal Status</t>
  </si>
  <si>
    <t>Business Status</t>
  </si>
  <si>
    <t>Financing Status</t>
  </si>
  <si>
    <t>Employees</t>
  </si>
  <si>
    <t>New Investors</t>
  </si>
  <si>
    <t># New Investors</t>
  </si>
  <si>
    <t>Follow-on Investors</t>
  </si>
  <si>
    <t># Follow-on Investors</t>
  </si>
  <si>
    <t>Lead/Sole Investors</t>
  </si>
  <si>
    <t>Sponsor</t>
  </si>
  <si>
    <t>Investor Funds</t>
  </si>
  <si>
    <t>Sellers</t>
  </si>
  <si>
    <t>Exiters with no Proceeds</t>
  </si>
  <si>
    <t>Dividend/Distribution Beneficiaries</t>
  </si>
  <si>
    <t>Service Providers (All)</t>
  </si>
  <si>
    <t>Service Providers (Sell-side)</t>
  </si>
  <si>
    <t>Service Providers (Sell-side Intermediaries)</t>
  </si>
  <si>
    <t>Service Providers (Buy-side)</t>
  </si>
  <si>
    <t>Debt &amp; Lenders</t>
  </si>
  <si>
    <t>Implied EV</t>
  </si>
  <si>
    <t>Revenue</t>
  </si>
  <si>
    <t>Revenue Growth since last debt deal</t>
  </si>
  <si>
    <t>Gross Profit</t>
  </si>
  <si>
    <t>Net Income</t>
  </si>
  <si>
    <t>EBITDA</t>
  </si>
  <si>
    <t>EBIT</t>
  </si>
  <si>
    <t>Total Debt (from financials)</t>
  </si>
  <si>
    <t>Fiscal Year</t>
  </si>
  <si>
    <t>Valuation/EBITDA</t>
  </si>
  <si>
    <t>Valuation/EBIT</t>
  </si>
  <si>
    <t>Valuation/Net Income</t>
  </si>
  <si>
    <t>Valuation/Revenue</t>
  </si>
  <si>
    <t>Valuation/Cash Flow</t>
  </si>
  <si>
    <t>Deal Size/EBITDA</t>
  </si>
  <si>
    <t>Deal Size/EBIT</t>
  </si>
  <si>
    <t>Deal Size/Net Income</t>
  </si>
  <si>
    <t>Deal Size/Revenue</t>
  </si>
  <si>
    <t>Deal Size/Cash Flow</t>
  </si>
  <si>
    <t>Debt/EBITDA</t>
  </si>
  <si>
    <t>Debt/Equity</t>
  </si>
  <si>
    <t>Implied EV/EBITDA</t>
  </si>
  <si>
    <t>Implied EV/EBIT</t>
  </si>
  <si>
    <t>Implied EV/Net Income</t>
  </si>
  <si>
    <t>Implied EV/Revenue</t>
  </si>
  <si>
    <t>Implied EV/Cash Flow</t>
  </si>
  <si>
    <t>EBITDA Margin %</t>
  </si>
  <si>
    <t>Current Employees</t>
  </si>
  <si>
    <t>HQ Location</t>
  </si>
  <si>
    <t>HQ Global Region</t>
  </si>
  <si>
    <t>HQ Global Sub Region</t>
  </si>
  <si>
    <t>Company City</t>
  </si>
  <si>
    <t>Company State/Province</t>
  </si>
  <si>
    <t>Company Post Code</t>
  </si>
  <si>
    <t>Company Country/Territory/Region</t>
  </si>
  <si>
    <t>Company Website</t>
  </si>
  <si>
    <t>Year Founded</t>
  </si>
  <si>
    <t>LCD Super Transaction ID</t>
  </si>
  <si>
    <t>Debts</t>
  </si>
  <si>
    <t>Total New Debt</t>
  </si>
  <si>
    <t>New Institutional Amount</t>
  </si>
  <si>
    <t>Launch Date</t>
  </si>
  <si>
    <t>Lenders</t>
  </si>
  <si>
    <t>Pro Forma Revenue (Reported)</t>
  </si>
  <si>
    <t>Pro Forma EBITDA (Reported)</t>
  </si>
  <si>
    <t>Pro Forma Leverage (Reported)</t>
  </si>
  <si>
    <t>Pro Forma Sr. Leverage (Reported)</t>
  </si>
  <si>
    <t>Equity on LBO (Reported)</t>
  </si>
  <si>
    <t>PPM on LBO (Reported)</t>
  </si>
  <si>
    <t>First Lien OID</t>
  </si>
  <si>
    <t>Second Lien OID</t>
  </si>
  <si>
    <t>First Lien Floor</t>
  </si>
  <si>
    <t>Second Lien Floor</t>
  </si>
  <si>
    <t>First Lien Ytm Primary</t>
  </si>
  <si>
    <t>Second Lien YTM Primary</t>
  </si>
  <si>
    <t>1st Lien Amount</t>
  </si>
  <si>
    <t>2nd Lien Amount</t>
  </si>
  <si>
    <t>Mezzanine Amount</t>
  </si>
  <si>
    <t>HY Bond Amount</t>
  </si>
  <si>
    <t>HG Loan Amount</t>
  </si>
  <si>
    <t>US Amount</t>
  </si>
  <si>
    <t>EUR Amount</t>
  </si>
  <si>
    <t>RC Amount</t>
  </si>
  <si>
    <t>TLA Amount</t>
  </si>
  <si>
    <t>TLB Amount</t>
  </si>
  <si>
    <t>TLC Amount</t>
  </si>
  <si>
    <t>DDTL Amount</t>
  </si>
  <si>
    <t>Priced</t>
  </si>
  <si>
    <t>Club Amount</t>
  </si>
  <si>
    <t>Placed Debt Amount</t>
  </si>
  <si>
    <t>Other Amount</t>
  </si>
  <si>
    <t>Contains Cross Border</t>
  </si>
  <si>
    <t>Contains Cov-Lite</t>
  </si>
  <si>
    <t>Cov-Lite Amount</t>
  </si>
  <si>
    <t>Total Patent Documents</t>
  </si>
  <si>
    <t>Total Patent Families</t>
  </si>
  <si>
    <t>Active Patent Documents</t>
  </si>
  <si>
    <t>Pending Patent Documents</t>
  </si>
  <si>
    <t>Patents Expiring the Next Year</t>
  </si>
  <si>
    <t>Inactive Family Documents</t>
  </si>
  <si>
    <t>Top CPC Codes</t>
  </si>
  <si>
    <t>PitchBook Link</t>
  </si>
  <si>
    <t>176848-84T</t>
  </si>
  <si>
    <t>100.co</t>
  </si>
  <si>
    <t>464306-05</t>
  </si>
  <si>
    <t/>
  </si>
  <si>
    <t>Burch Creative Capital, Grand Slam Partners, Pres10 Ventures</t>
  </si>
  <si>
    <t>Burch Creative Capital (www.burchcreativecapital.com), Grand Slam Partners (www.grandslampartners.com), Pres10 Ventures (www.pres10ventures.com)</t>
  </si>
  <si>
    <t>Developer of an artificial intelligence-based platform designed to provide deep insights into market trends, and consumer preferences. The company's platform uses machine learning, and big data to predict product needs, reduce risk, and inform development attributes, enabling companies to identify emerging market trends, brand sentiment, and consumer product preferences.</t>
  </si>
  <si>
    <t>Grand Slam Partners sold a stake in the company to an undisclosed buyer.</t>
  </si>
  <si>
    <t>Business Products and Services (B2B)</t>
  </si>
  <si>
    <t>Commercial Services</t>
  </si>
  <si>
    <t>Media and Information Services (B2B)</t>
  </si>
  <si>
    <t>Business/Productivity Software, Media and Information Services (B2B)*, Other Financial Services, Private Equity</t>
  </si>
  <si>
    <t>Artificial Intelligence &amp; Machine Learning, Big Data, Marketing Tech</t>
  </si>
  <si>
    <t>ai data analysis, artificial intelligence engine, brand development, machine learning data, market insight, market trends, product development, trends analysis, vertical application</t>
  </si>
  <si>
    <t>Venture Capital-Backed</t>
  </si>
  <si>
    <t>Generating Revenue</t>
  </si>
  <si>
    <t>Venture Capital</t>
  </si>
  <si>
    <t>222987-88P</t>
  </si>
  <si>
    <t>Kim Perell</t>
  </si>
  <si>
    <t>+1 (619) 238-4854</t>
  </si>
  <si>
    <t>kim@100.co</t>
  </si>
  <si>
    <t>Ms. Kim Perell is a Co-Founder and serves as Chief Executive Officer at 100.co. She is also an Angel Investor. She is a Co-Founder and serves as Chairman at Cay Skin. She is a Co-Founder of SmartMedia Technologies. She serves as Advisor at Social Native. She serves as a Venture Partner at Revel Partners.</t>
  </si>
  <si>
    <t>Actual</t>
  </si>
  <si>
    <t>1st Round</t>
  </si>
  <si>
    <t>Early Stage VC</t>
  </si>
  <si>
    <t>The company raised $2.5 million of venture funding from Grand Slam Partners, Pres10 Ventures, and Burch Creative Capital on March 24, 2021.</t>
  </si>
  <si>
    <t>US Dollars (USD)</t>
  </si>
  <si>
    <t>No</t>
  </si>
  <si>
    <t>Completed</t>
  </si>
  <si>
    <t>Miami Beach, FL</t>
  </si>
  <si>
    <t>Americas</t>
  </si>
  <si>
    <t>North America</t>
  </si>
  <si>
    <t>Miami Beach</t>
  </si>
  <si>
    <t>Florida</t>
  </si>
  <si>
    <t>33140</t>
  </si>
  <si>
    <t>United States</t>
  </si>
  <si>
    <t>www.100.co</t>
  </si>
  <si>
    <t>191171-08T</t>
  </si>
  <si>
    <t>2ft.D</t>
  </si>
  <si>
    <t>494307-28</t>
  </si>
  <si>
    <t>Doyenne Group</t>
  </si>
  <si>
    <t>Doyenne Group (www.doyennegroup.org)</t>
  </si>
  <si>
    <t>Developer of an online toolbox intended to guide the user through the steps to fully plan their project. The company's toolbox works similarly to tax preparation software that guides property developers through planning a project with interactive questions and allows them to upload photographs, drawings, and tables that amplify the project's value, enabling community-focused developers to access a professional pitch deck of their project overview, costs, and community impact for sharing with potential investors.</t>
  </si>
  <si>
    <t>The company raised $50,000 of seed funding from Doyenne Group on March 16, 2022.</t>
  </si>
  <si>
    <t>Information Technology</t>
  </si>
  <si>
    <t>Software</t>
  </si>
  <si>
    <t>Business/Productivity Software</t>
  </si>
  <si>
    <t>Business/Productivity Software*, Media and Information Services (B2B), Multimedia and Design Software</t>
  </si>
  <si>
    <t>SaaS</t>
  </si>
  <si>
    <t>architecture work, project management platform, project management system, project planning software, rebuilding service, toolbox platform</t>
  </si>
  <si>
    <t>296363-98P</t>
  </si>
  <si>
    <t>Rebecca Holderness</t>
  </si>
  <si>
    <t>+1 (571) 402-4002</t>
  </si>
  <si>
    <t>Ms. Rebecca Holderness is a Co-Founder and serves as Chief Executive Officer at 2ft.D. She is an Executive Leader, Program Manager and Disruptive Entrepreneur.</t>
  </si>
  <si>
    <t>Seed Round</t>
  </si>
  <si>
    <t>The Doyenne Evergreen Fund(Doyenne Group)</t>
  </si>
  <si>
    <t>Michael Best &amp; Friedrich (Legal Advisor to Company, Nicholas Herdrich)</t>
  </si>
  <si>
    <t>Milwaukee, WI</t>
  </si>
  <si>
    <t>Milwaukee</t>
  </si>
  <si>
    <t>Wisconsin</t>
  </si>
  <si>
    <t>www.2ftdesigndata.com</t>
  </si>
  <si>
    <t>165487-78T</t>
  </si>
  <si>
    <t>2ndNature</t>
  </si>
  <si>
    <t>81741-07</t>
  </si>
  <si>
    <t>Lateral Capital Management, Techstars</t>
  </si>
  <si>
    <t>Lateral Capital Management (lateralcapital.com), Techstars (www.techstars.com)</t>
  </si>
  <si>
    <t>Developer of stormwater management software designed to help municipalities effectively manage their stormwater assets. The company's platform streamlines MS-four NPDES permit compliance by benchmarking program effectiveness and reporting progress towards clean water objectives, enabling municipalities and regulators to effectively manage their stormwater resources and build healthy and sustainable cities.</t>
  </si>
  <si>
    <t>The company raised $5 million of Series A venture funding from Lateral Capital Management and other undisclosed investors on June 28, 2021, putting the company's pre-money valuation at $25.15 million.</t>
  </si>
  <si>
    <t>Other Business Products and Services</t>
  </si>
  <si>
    <t>Government</t>
  </si>
  <si>
    <t>Business/Productivity Software, Government*</t>
  </si>
  <si>
    <t>CleanTech, Climate Tech, SaaS</t>
  </si>
  <si>
    <t>assessment tools, enterprise asset management, enterprise resource planning, erp, municipalities management software, municipalities service, stormwater management, stormwater management product, stormwater management system, stormwater management tool</t>
  </si>
  <si>
    <t>106569-55P</t>
  </si>
  <si>
    <t>Nicole Beck</t>
  </si>
  <si>
    <t>+1 (831) 426-9119</t>
  </si>
  <si>
    <t>nicole@2ndnaturewater.com</t>
  </si>
  <si>
    <t>Dr. Nicole Beck is a Co-Founder and serves as Chief Executive Officer and Board Member at 2ndNature. She is also a Co-Founder of the company. Her scientific and academic research experience in aquatic and terrestrial systems has focused on the complex feedback cycles between the physical, chemical, and biological processes. Now conducting projects for natural resource managers, she draws upon scientific principles from several interdisciplinary fields to apply how physical, chemical and biological function can influence the overall health of the ecosystem in question. Each community has a unique set of critical components and stressors believed to be inhibiting the natural ecosystem or physical function. Dr. Beck strives to guide local resource managers to utilize available data and system understanding that can improve the prioritization and effectiveness of improvements to natural resource management and restoration actions. Nicole is motivated by assisting resource managers to collect and report data that actualizes adaptive management and guides actions that have a direct consideration for the inherent human stressors present in today's ecological world. She is intrigued with the development of data collection and reporting programs that facilitate a simple, but accurate and motivating summary of the environmental or ecological benefits from effective natural management actions.</t>
  </si>
  <si>
    <t>University of California, Berkeley, BS (Bachelor of Science), 1991, University of California, Santa Cruz, MS (Master of Science), 1997, Earth Sciences, University of California, Santa Cruz, Ph.D. (Doctor of Philosophy), 2001, Earth Sciences</t>
  </si>
  <si>
    <t>Non-participating</t>
  </si>
  <si>
    <t>Yes</t>
  </si>
  <si>
    <t>Weighted Average</t>
  </si>
  <si>
    <t>Non-Cumulative</t>
  </si>
  <si>
    <t>Pari Passu</t>
  </si>
  <si>
    <t>Estimated</t>
  </si>
  <si>
    <t>Series A</t>
  </si>
  <si>
    <t>Later Stage VC</t>
  </si>
  <si>
    <t>The company raised an estimated $2.6 million of Series A1 venture funding in a combination of equity and convertible debt from Lateral Capital Management, Techstars, and other undisclosed investors on July 8, 2020, putting the company's pre-money valuation at $8 million.</t>
  </si>
  <si>
    <t>Lateral Capital Management</t>
  </si>
  <si>
    <t>Techstars</t>
  </si>
  <si>
    <t>Lateral Capital V(Lateral Capital Management)</t>
  </si>
  <si>
    <t>John Lilly Strategic Insights (Advisor: General to Lateral Capital Management)</t>
  </si>
  <si>
    <t>Santa Cruz, CA</t>
  </si>
  <si>
    <t>Santa Cruz</t>
  </si>
  <si>
    <t>California</t>
  </si>
  <si>
    <t>95062</t>
  </si>
  <si>
    <t>www.2ndnaturewater.com</t>
  </si>
  <si>
    <t>Bridge Loan - $0.15M (Convertible)</t>
  </si>
  <si>
    <t>Geophysics, Image data processing or generation, in general, Information and communication technology [ict] specially adapted for administrative, commercial, financial, managerial or supervisory purposes, Investigating or analysing materials by determining their chemical or physical properties</t>
  </si>
  <si>
    <t>139365-46T</t>
  </si>
  <si>
    <t>5x5 Technologies</t>
  </si>
  <si>
    <t>231896-08</t>
  </si>
  <si>
    <t>Council Tree, Leslie Ventures, Ocean Azul Partners(Alexander Tellez), Safar Partners(Arunas Chesonis)</t>
  </si>
  <si>
    <t>Council Tree (www.counciltree.com), Ocean Azul Partners (www.oceanazulpartners.com), Safar Partners (safar.partners)</t>
  </si>
  <si>
    <t>Developer of a software-as-a-service asset management platform designed for communications infrastructure in wireless, government, public safety, and aviation sectors. The company's platform reconstructs robotic-collected data with advanced three-dimensional spatial computing and artificial intelligence and machine learning to build fidelity, accurate digital twin models of complex structures, enabling clients to automate workflows, reduce operational costs, and create new revenue opportunities through deeper portfolio-wide analytics.</t>
  </si>
  <si>
    <t>The company raised $20 million of venture funding in the form of convertible debt in a deal led by Safar Partners on September 6, 2022. Hostplus Superannuation Fund and other undisclosed investors also participated in the round. The funds will be used to expand markets and applications for the company's innovative AI-powered analytics for critical infrastructure.</t>
  </si>
  <si>
    <t>Business/Productivity Software*, Media and Information Services (B2B)</t>
  </si>
  <si>
    <t>Artificial Intelligence &amp; Machine Learning, Internet of Things, SaaS</t>
  </si>
  <si>
    <t>application layer, artificial intelligence based, asset management platform, assets inspection services, enterprise asset management, enterprise resource planning, erp, information analysis, infrastructure analysis, iot software, nlp platform</t>
  </si>
  <si>
    <t>Digital Twins</t>
  </si>
  <si>
    <t>M&amp;A, Venture Capital</t>
  </si>
  <si>
    <t>113325-22P</t>
  </si>
  <si>
    <t>Anne Zink</t>
  </si>
  <si>
    <t>+1 (727) 465-4810</t>
  </si>
  <si>
    <t>anne.zink@5x5.ai</t>
  </si>
  <si>
    <t>Ms. Anne Zink is a Co-Founder and serves as Chief Executive Officer &amp; Board Member at 5x5 Technologies. Previously she served as Interim Chief Executive Officer at Pocket Protein. Prior to Pocket Protein, she was founder and CEO of AZtech Strategies, a multi-channel go to market consulting focused on creating strategies to monetize disruptive technologies. Over 25 years her client list included industry leaders such as: ATT, Avaya, HP, Lucent, PwC, Siemens AG and Unisys.</t>
  </si>
  <si>
    <t>BA (Bachelor of Arts), 1985, Political Science and Economics</t>
  </si>
  <si>
    <t>The company raised $6 million of Series B venture funding in a deal led by Safar Partners on September 24, 2020, putting the company's pre-money valuation at $17 million. Leslie Ventures, Ocean Azul Partners, Council Tree and other undisclosed investors also participated in the round.</t>
  </si>
  <si>
    <t>Council Tree, Leslie Ventures, Ocean Azul Partners, Safar Partners</t>
  </si>
  <si>
    <t>Safar Partners(Arunas Chesonis)</t>
  </si>
  <si>
    <t>Ocean Azul Partners II(Ocean Azul Partners), Safar Partners Fund(Safar Partners)</t>
  </si>
  <si>
    <t>Saint Petersburg, FL</t>
  </si>
  <si>
    <t>Saint Petersburg</t>
  </si>
  <si>
    <t>33701</t>
  </si>
  <si>
    <t>www.5x5.ai</t>
  </si>
  <si>
    <t>Systems for controlling or regulating non-electric variables, Transmission</t>
  </si>
  <si>
    <t>218005-84T</t>
  </si>
  <si>
    <t>7 Chord</t>
  </si>
  <si>
    <t>178260-22</t>
  </si>
  <si>
    <t>Barclays (LON: BARC), Jon Zanoff, Techstars</t>
  </si>
  <si>
    <t>Barclays (LON: BARC) (www.home.barclays), Techstars (www.techstars.com)</t>
  </si>
  <si>
    <t>Developer of predictive pricing and trend forecasting platform designed to predict trade bids and ask levels of high grade, high yield, and emerging market bonds. The company's platform applies machine learning to automate trading in corporate bonds and auto-prices and auto-quotes bonds by extracting insights from public, vendor, or client's proprietary data, with speed and precision, enabling traders to reduce their cost of execution and make informed investment decisions.</t>
  </si>
  <si>
    <t>The company raised $5.5 million of seed funding through a combination of debt and equity on June 17, 2022, putting the company's pre-money valuation at $13 million. Of the total amount, $4 million was raised in the form of equity by undisclosed investors. A $1.5 million of convertible debt was provided by undisclosed lenders.</t>
  </si>
  <si>
    <t>Financial Software</t>
  </si>
  <si>
    <t>Business/Productivity Software, Financial Software*, Other Capital Markets/Institutions</t>
  </si>
  <si>
    <t>Artificial Intelligence &amp; Machine Learning, Big Data, FinTech, SaaS, TMT</t>
  </si>
  <si>
    <t>bonds trading platform, capital market, data analytics, enterprise resource planning, financial management system, price prediction, trading technology, trend forecasting technology</t>
  </si>
  <si>
    <t>180840-16P</t>
  </si>
  <si>
    <t>Kristina Fan</t>
  </si>
  <si>
    <t>+1 (917) 930-1974</t>
  </si>
  <si>
    <t>kristina.fan@7-chord.com</t>
  </si>
  <si>
    <t>Ms. Kristina Fan is a Co-Founder and serves as Chief Executive Officer, Interim Chief Technology Officer &amp; Board Member at 7 Chord. Prior to co-founding 7 Chord, she worked at Blackrock, where she advised senior executives on risk trends resulting from market structure changes, in particular central clearing. She represented the firm on the CME CE Risk Committee and various industry forums. At JP Morgan she gained invaluable business management experience as a key member of an award-winning derivatives clearing team that built a brand new fintech business. She spent the first 9 years of her career at Bear, Stearns, and Scotia Capital in credit derivatives trading and structuring. She was initially hired by Bear, Stearns as part of the formal credit training program run by the counterparty credit department. Her very first project was related to the immediate aftermath of the near-collapse of Long-Term Capital Management. BA in Economics from NYU and MS in Finance from LSE.</t>
  </si>
  <si>
    <t>London School of Economics and Political Science, MS (Master of Science), Finance, New York University, BA (Bachelor of Arts), Economics</t>
  </si>
  <si>
    <t>Cumulative</t>
  </si>
  <si>
    <t>The company raised $1.5 million through a combination of Seed-2, Seed-3 and Seed-4 funding from Techstars, Jon Zanoff and Barclays on August 1, 2020, putting the company's pre-money valuation at $6.5 million.</t>
  </si>
  <si>
    <t>Barclays, Jon Zanoff</t>
  </si>
  <si>
    <t>New York, NY</t>
  </si>
  <si>
    <t>New York</t>
  </si>
  <si>
    <t>10010</t>
  </si>
  <si>
    <t>www.7-chord.com</t>
  </si>
  <si>
    <t>Bridge Loan - $1.50M (Convertible)</t>
  </si>
  <si>
    <t>210392-11T</t>
  </si>
  <si>
    <t>8B Education Investments</t>
  </si>
  <si>
    <t>499941-37</t>
  </si>
  <si>
    <t>Armory Square Ventures, Bryan Meehan(Bryan Meehan), Debra Fine(Debra Fine), Impellent Ventures(David Brown), Larry Berger(Larry Berger), New York Ventures, Richard Segal(Richard Segal), True Ventures</t>
  </si>
  <si>
    <t>Armory Square Ventures (www.armorysv.com), Impellent Ventures (www.impellent.vc), True Ventures (www.trueventures.com)</t>
  </si>
  <si>
    <t>Provider of financing services intended to offer affordable college financing to exceptional African students attending leading global universities. The company offers scholarship information, financing gaps in education loans, and mentorship for students going to study at global universities, thereby, facilitating affordable loans through integrating lenders, students, and colleges on their platform, it bridges the gap between the university-age population, enabling colleges to meet revenue and diversity goals.</t>
  </si>
  <si>
    <t>The company raised an undisclosed amount of venture funding from Impellent Ventures, True Ventures and 54 Collective in September 2024. The WES Mariam Assefa Fund also participated in the round. The funds will be used to enable more accessible, inclusive higher education opportunities for African students in global universities.</t>
  </si>
  <si>
    <t>Financial Services</t>
  </si>
  <si>
    <t>Other Financial Services</t>
  </si>
  <si>
    <t>Consumer Finance</t>
  </si>
  <si>
    <t>Consumer Finance*, Financial Software</t>
  </si>
  <si>
    <t>FinTech</t>
  </si>
  <si>
    <t>college financing, comparison tool, education loan provider, financing services, gap funding, income shares agreement</t>
  </si>
  <si>
    <t>306207-19P</t>
  </si>
  <si>
    <t>Lydiah Bosire</t>
  </si>
  <si>
    <t>lydiah@8b.finance</t>
  </si>
  <si>
    <t>Dr. Lydiah Bosire is the Founder and serves as Chief Executive Officer and Board Member at 8B Education Investments. First VC-backed student finance platform facilitating affordable loans for Africa's globally mobile university students. She also serves on the Board of Directors of WorldQuant University, the largest, free Master's program in financial engineering in the world. Prior to leading 8B, her career spanned nearly two decades advising governments and international organizations as a diplomat, including serving at the Executive Office of the UN Secretary-General at the UN Secretariat, the World Bank, and the World Health Organization. An expert in development finance, at the UN, she managed the relationship with the World Bank on the Global Concessionary Financing Facility. Previously, she served as an advisor to the Entrepreneurs-in-Residence program at Schimdt Futures, a mentor of the Oxford Women in Business network, on the founding Board of Directors of Keep a Child Alive, on the Council of the Global Citizen Impact Funds, as a Senior Advisor at MacroAdvisory Partners, and on the UWC Atlantic College Advisory Council. Earlier in her serial problem-solving career, she co-founded Oxford Transitional Justice Research and pioneered the YouthForce HIV/AIDS advocacy platform while still in college. She holds a doctorate in politics from the University of Oxford, and additional degrees from Oxford and Cornell University.</t>
  </si>
  <si>
    <t>Cornell University, Bachelor's, 2001, International Relations and Government, Cornell University, Master's, 2002, Public Administration, University of Oxford, MS (Master of Science), 2008, African Studies, University of Oxford, Ph.D. (Doctor of Philosophy), 2013, Politics, Philosophy</t>
  </si>
  <si>
    <t>The company raised $2.99 million of seed funding in a deal led by Armory Square Ventures on December 12, 2022. New York Ventures, True Ventures, Impellent Ventures, Larry Berger, Bryan Meehan, Debra Fine and Rick Segal also participated in the round. Of the total amount, $500,000 was originally raised in the form of convertible debt and subsequently converted to equity.</t>
  </si>
  <si>
    <t>Armory Square Ventures, Bryan Meehan, Debra Fine, Impellent Ventures, Larry Berger, New York Ventures, Richard Segal, True Ventures</t>
  </si>
  <si>
    <t>Armory Square Ventures</t>
  </si>
  <si>
    <t>Armory Square Ventures II(Armory Square Ventures), Impellent Ventures II(Impellent Ventures), The New York State Innovation Venture Capital Fund(New York Ventures)</t>
  </si>
  <si>
    <t>Dentons (Legal Advisor to Company)</t>
  </si>
  <si>
    <t>Ithaca, NY</t>
  </si>
  <si>
    <t>Ithaca</t>
  </si>
  <si>
    <t>14850</t>
  </si>
  <si>
    <t>www.8b.africa</t>
  </si>
  <si>
    <t>165066-04T</t>
  </si>
  <si>
    <t>AbstractOps</t>
  </si>
  <si>
    <t>433312-93</t>
  </si>
  <si>
    <t>8VC, Accomplice VC, Bossa Invest, Craft Ventures, Deepwater Asset Management, Hustle Fund, Outsiders Fund, South Park Commons, Transmedia Capital, Tribe Capital</t>
  </si>
  <si>
    <t>8VC (www.8vc.com), Accomplice VC (www.accomplice.co), Bossa Invest (www.bossainvest.com), Craft Ventures (www.craftventures.com), Deepwater Asset Management (www.deepwatermgmt.com), Hustle Fund (www.hustlefund.vc), Outsiders Fund (www.outsidersfund.com), South Park Commons (www.southparkcommons.com), Transmedia Capital (www.transmediacapital.com), Tribe Capital (www.tribecap.co)</t>
  </si>
  <si>
    <t>Developer of state compliance software designed to reduce stress, uncertainty, and financial risk. The company's system automates payroll and entity registrations and compliance management, provides actionable task notifications, performs risk assessments, and gives alerts, enabling organizations to streamline and simplify legal back-end tasks.</t>
  </si>
  <si>
    <t>The company raised an undisclosed amount of venture funding from The MBA Fund in approximately October 2023.</t>
  </si>
  <si>
    <t>Automation/Workflow Software, Business/Productivity Software*, Financial Software</t>
  </si>
  <si>
    <t>Legal Tech, TMT</t>
  </si>
  <si>
    <t>back office automation, bill payment, compliance data, compliance management system, contract lifecycle management, legal registration, risk assessment</t>
  </si>
  <si>
    <t>181053-28P</t>
  </si>
  <si>
    <t>Hari Raghavan</t>
  </si>
  <si>
    <t>+1 (650) 648-3347</t>
  </si>
  <si>
    <t>hraghavan@withautograph.com</t>
  </si>
  <si>
    <t>Mr. Hari Raghavan is a Co-Founder &amp; serves as a Chief Executive Officer at AutoGraph. He serves as an Advisor at Plural Capital. He is a Co-Founder and serves as Chairman at AbstractOps. Previously, he served as Chief Executive Officer at AbstractOps.He served as an Advisor at Forge Global (fka Equidate) and was COO before leaving. He ran most business operations functions day-to-day and was responsible for ensuring the success of, and alignment amidst, business strategy, deal operations, compliance, strategic partnerships, corporate initiatives, and operations. Before Equidate, he had a breadth of experience in operations and growth strategy and developed over 20+ projects at the Boston Consulting Group -- in growth initiatives, post-merger integrations, supply chain optimization, and organizational design to build value for Fortune 500 clients across a variety of industry sectors. He holds an MS in Management Science &amp; Engineering from Stanford University in 2010 and a BA in Mathematical Methods from Northwestern University in 2009.</t>
  </si>
  <si>
    <t>Northwestern University, BA (Bachelor of Arts), 2009, Mathematical Methods, Stanford University, MS (Master of Science), 2010, Management Science &amp; Engineering</t>
  </si>
  <si>
    <t>The company raised $887,000 of venture funding 8VC, Accomplice VC, Bossa Nova Investimentos, Craft Ventures, Hustle Fund, Deepwater Asset Management, Outsiders Fund, South Park Commons, Transmedia Capital and Tribe Capital on January 31, 2020.</t>
  </si>
  <si>
    <t>Startup</t>
  </si>
  <si>
    <t>8VC Entrepreneurs Fund II(8VC), Accomplice II(Accomplice VC), Craft Ventures II(Craft Ventures), Hustle Fund II(Hustle Fund), South Park Commons Fund I(South Park Commons), Tribe Capital Fund II(Tribe Capital)</t>
  </si>
  <si>
    <t>Miami, FL</t>
  </si>
  <si>
    <t>Miami</t>
  </si>
  <si>
    <t>33179</t>
  </si>
  <si>
    <t>www.abstractops.com</t>
  </si>
  <si>
    <t>Electric digital data processing, Information and communication technology [ict] specially adapted for administrative, commercial, financial, managerial or supervisory purposes</t>
  </si>
  <si>
    <t>161017-93T</t>
  </si>
  <si>
    <t>Accelerist</t>
  </si>
  <si>
    <t>228211-12</t>
  </si>
  <si>
    <t>Capital Factory, Golden Section(Dougal Cameron), Seed I Pod</t>
  </si>
  <si>
    <t>Capital Factory (www.capitalfactory.com), Golden Section (www.goldensection.com), Seed I Pod (www.seedpodinvestments.com)</t>
  </si>
  <si>
    <t>Developer of a social impact partnership technology designed to connect people, communities, and industries around the globe. The company's platform uses technology, insightful data, and industry expertise to match companies with causes in partnerships that accelerate social change, enabling companies to find the right partners and measure their impact on the company's mission, stakeholders and bottom line.</t>
  </si>
  <si>
    <t>The company raised $999,998 of venture funding in a deal led by Golden Section on December 14, 2020, putting the company's pre-money valuation at $4 million. Capital Factory and Seed I Pod and other undisclosed investors also participated in the round. The funds will be used to catalyze the company's growth plans and build upon the success of the last several years.</t>
  </si>
  <si>
    <t>Marketing Tech, Mobile, SaaS</t>
  </si>
  <si>
    <t>corporate partnership, corporate philanthropy, corporate platform, data analysis, global impact, social impact</t>
  </si>
  <si>
    <t>184587-58P</t>
  </si>
  <si>
    <t>Brittany Hill</t>
  </si>
  <si>
    <t>+1 (512) 881-7421</t>
  </si>
  <si>
    <t>bhill@accelerist.com</t>
  </si>
  <si>
    <t>Ms. Brittany Hill is the Founder &amp; serves as Chief Executive Officer at Accelerist.</t>
  </si>
  <si>
    <t>Participating</t>
  </si>
  <si>
    <t>Golden Section, Seed I Pod</t>
  </si>
  <si>
    <t>Capital Factory</t>
  </si>
  <si>
    <t>Golden Section(Dougal Cameron)</t>
  </si>
  <si>
    <t>GSV Investors I(Golden Section)</t>
  </si>
  <si>
    <t>Austin, TX</t>
  </si>
  <si>
    <t>Austin</t>
  </si>
  <si>
    <t>Texas</t>
  </si>
  <si>
    <t>78701</t>
  </si>
  <si>
    <t>www.accelerist.com</t>
  </si>
  <si>
    <t>82332-55T</t>
  </si>
  <si>
    <t>Accumatic</t>
  </si>
  <si>
    <t>170502-94</t>
  </si>
  <si>
    <t>Pioneer Venture Partners(Ben Goux)</t>
  </si>
  <si>
    <t>Pioneer Venture Partners (www.pvpartners.com)</t>
  </si>
  <si>
    <t>Developer of a business automotive platform designed to automate factory reports. The company's platform offers benefits that include warranty claims, rebates, incentives, monthly statements, retail payments and holdback detail, enabling clients to upload the data into the database management system easily.</t>
  </si>
  <si>
    <t>The company raised $526,442 of venture funding from undisclosed investors on February 15, 2024.</t>
  </si>
  <si>
    <t>Automation/Workflow Software, Business/Productivity Software*</t>
  </si>
  <si>
    <t>SaaS, TMT</t>
  </si>
  <si>
    <t>business automotive platform, business data management, data uploading, database management system, dealer reporting, rebate reporting</t>
  </si>
  <si>
    <t>67397-95P</t>
  </si>
  <si>
    <t>Tobey Bryant</t>
  </si>
  <si>
    <t>tobey@pvpartners.com</t>
  </si>
  <si>
    <t>Ms. Tobey Bryant serves as Investment Partner &amp; Managing Partner at Pioneer Venture Partners. She served as Chief Executive Officer of Prepared Response. She serves as President, Chief Executive Officer, and Board Member at Prepared Response. She served as a Board Member at Venuetize. She also serves as Investment Partner at Pioneer Venture Partners. Tobey has been a Managing Partner with Pioneer Venture Partners since 1998 working with early-stage technology companies in the Seattle area. Tobey has also been actively involved in the education industry as a previous middle school teacher, PTSA president, founder of BCBF (Bellevue Clubs for Bellevue Fields), and was Chair of Bellevue Quality Schools where she was responsible for the passage of a $750 million dollar levy and bond effort for the Bellevue School District. She has recently joined the Bellevue Schools Foundation Board supporting academic initiatives and other programs in the Bellevue School District. Tobey graduated from Whitman College.</t>
  </si>
  <si>
    <t>Whitman College, Bachelor's, 1994, Psychology and Education</t>
  </si>
  <si>
    <t>The company raised $2 million of seed funding from Pioneer Venture Partners on April 19, 2023.</t>
  </si>
  <si>
    <t>Pioneer Venture Partners</t>
  </si>
  <si>
    <t>Kirkland, WA</t>
  </si>
  <si>
    <t>Kirkland</t>
  </si>
  <si>
    <t>Washington</t>
  </si>
  <si>
    <t>98033</t>
  </si>
  <si>
    <t>www.accumatic.com</t>
  </si>
  <si>
    <t>241348-51T</t>
  </si>
  <si>
    <t>Acorn Genetics</t>
  </si>
  <si>
    <t>483827-68</t>
  </si>
  <si>
    <t>10vc, 1517 Fund, Caffeinated Capital, Northwestern University</t>
  </si>
  <si>
    <t>10vc (10vc.com), 1517 Fund (www.1517fund.com), Caffeinated Capital (www.caffeinatedcapital.com), Northwestern University (www.northwestern.edu)</t>
  </si>
  <si>
    <t>Developer of a novel third-generation genetic sequencing method intended to make genetic testing secure, accessible, and affordable to all people. The company's services include delivering at-home genetic testing through a fast and precise genetic sequencer, enabling clients to take action to beat diseases such as cancer, Alzheimer's, and heart disease years before it start to affect their lives.</t>
  </si>
  <si>
    <t>The company raised $1.88 million of seed funding from 10 VC, Caffeinated Capital and 1517 Fund on January 1, 2024. Northwestern University also participated in the round.</t>
  </si>
  <si>
    <t>Computer Hardware</t>
  </si>
  <si>
    <t>Electronic Equipment and Instruments</t>
  </si>
  <si>
    <t>Biotechnology, Drug Discovery, Electronic Equipment and Instruments*</t>
  </si>
  <si>
    <t>Life Sciences, Nanotechnology, Oncology</t>
  </si>
  <si>
    <t>bio technologies, dna testing, genetic sequencing, genetic testing information, genetic testing method, genetic testing technology</t>
  </si>
  <si>
    <t>281610-82P</t>
  </si>
  <si>
    <t>Ana Cornell</t>
  </si>
  <si>
    <t>+1 (847) 790-2290</t>
  </si>
  <si>
    <t>ana@acorngenetics.com</t>
  </si>
  <si>
    <t>Ms. Ana Cornell is the Founder &amp; serves as Chief Executive Officer at Acorn Genetics. Acorn started in a simple way: Ana needed a genetic test, but was astounded by the lack of privacy and transparency in the market. Her desire to understand and control her health lead her to found Acorn Genetics and revolutionize the way we view health, starting from the smallest building block.</t>
  </si>
  <si>
    <t>Caffeinated Capital Fund IV(Caffeinated Capital), Ten VC Fund I(10vc)</t>
  </si>
  <si>
    <t>Chicago, IL</t>
  </si>
  <si>
    <t>Chicago</t>
  </si>
  <si>
    <t>Illinois</t>
  </si>
  <si>
    <t>60642</t>
  </si>
  <si>
    <t>www.acorngenetics.com</t>
  </si>
  <si>
    <t>183362-41T</t>
  </si>
  <si>
    <t>Ad Fontes Media</t>
  </si>
  <si>
    <t>438208-66</t>
  </si>
  <si>
    <t>Gaingels, Glen Nelson Center, James Brown(James Brown), Omar Shehab(Omar Shehab), Oxford Road</t>
  </si>
  <si>
    <t>Gaingels (www.gaingels.com), Glen Nelson Center (www.glennelson.org), Oxford Road (www.oxfordroad.com)</t>
  </si>
  <si>
    <t>Operator of an ethical media ratings platform intended to facilitate meaningful conversation and reunite relationships. The company's platform uses a methodology to analyze and rate media content for reliability and bias, enabling advertisers to rate all the news to positively transform society.</t>
  </si>
  <si>
    <t>The company is in process of raising $4.3 million of Series A venture funding in a deal led by Aion Ventures as of April 19, 2023, putting the company's pre-money valuation at $9.26 million. New Community Transformation Fund, DEMI Fund and William Luttrell also participated in the round. The company is actively tracked by PitchBook.</t>
  </si>
  <si>
    <t>Application Software, Media and Information Services (B2B)*</t>
  </si>
  <si>
    <t>Artificial Intelligence &amp; Machine Learning, Mobile, SaaS</t>
  </si>
  <si>
    <t>content rating, interactive media tool, media analysis service, media bias rating, media platform, research data</t>
  </si>
  <si>
    <t>238428-73P</t>
  </si>
  <si>
    <t>Vanessa Otero</t>
  </si>
  <si>
    <t>+1 (720) 288-0412</t>
  </si>
  <si>
    <t>vanessa@adfontesmedia.com</t>
  </si>
  <si>
    <t>Ms. Vanessa Otero is the Founder of Ad Fontes Media and also serves as its Chief Executive Officer, President and Chairman. She is a licensed patent attorney in the Denver, Colorado area. She has a B.A. in English from UCLA and a J.D. from the University of Denver. She is the original creator of the Media Bias Chart.</t>
  </si>
  <si>
    <t>UCLA (Anderson), BA (Bachelor of Arts), English, University of Denver, JD (Doctor of Law)</t>
  </si>
  <si>
    <t>The company raised $800,000 of pre-seed funding from Oxford Road, Gaingels and Glen Nelson Center on November 13, 2021. Jim Brown and Omar Shehab also participated in the round.</t>
  </si>
  <si>
    <t>Gaingels, Glen Nelson Center, James Brown, Omar Shehab, Oxford Road</t>
  </si>
  <si>
    <t>Lafayette, CO</t>
  </si>
  <si>
    <t>Lafayette</t>
  </si>
  <si>
    <t>Colorado</t>
  </si>
  <si>
    <t>80026</t>
  </si>
  <si>
    <t>www.adfontesmedia.com</t>
  </si>
  <si>
    <t>Electric digital data processing</t>
  </si>
  <si>
    <t>204712-03T</t>
  </si>
  <si>
    <t>Adaptis</t>
  </si>
  <si>
    <t>502741-18</t>
  </si>
  <si>
    <t>2048 Ventures(Alex Iskold), Blue Vision Capital, OneEleven (Private Equity), Powerhouse Ventures (Oakland)</t>
  </si>
  <si>
    <t>2048 Ventures (www.2048.vc), Blue Vision Capital (bluevisioncapital.com), OneEleven (Private Equity) (www.oneeleven.com), Powerhouse Ventures (Oakland) (www.powerhouse.fund)</t>
  </si>
  <si>
    <t>Operator of a carbon accounting and reduction platform intended to improve and optimize existing condition assessments and adaptation planning for buildings. The company's platform analyzes existing building conditions, generates automated material salvage value and deconstruction planning, and optimizes for environmental and economic performance, enabling clients to reduce the carbon footprint and make informed decisions for decarbonizing buildings and lowering the costs of planning.</t>
  </si>
  <si>
    <t>The company raised $5.5 million of seed funding in a deal led by 2048 Ventures on June 17, 2024. Blue Vision Capital, Powerhouse Ventures, and OneEleven (Private Equity) also participated in the round. The funds will be used to expand, automate, and optimize the company's building adaptation platform.</t>
  </si>
  <si>
    <t>Construction and Engineering</t>
  </si>
  <si>
    <t>Business/Productivity Software, Construction and Engineering*, Environmental Services (B2B)</t>
  </si>
  <si>
    <t>CleanTech, Climate Tech, Construction Technology, LOHAS &amp; Wellness</t>
  </si>
  <si>
    <t>carbon accounting, carbon analytics, carbon tech, carbon technology, circular construction system, circular engineering, demolition waste services, design optimization, lifecycle assessment</t>
  </si>
  <si>
    <t>310743-46P</t>
  </si>
  <si>
    <t>Sheida Shahi</t>
  </si>
  <si>
    <t>+1 (647) 867-6260</t>
  </si>
  <si>
    <t>sheida@adaptis.ca</t>
  </si>
  <si>
    <t>Ms. Sheida Shahi is a Co-Founder and serves as Chief Executive Officer, Board Member, and Architect at Adaptis. She is an expert in design optimization methodologies, decarbonization of existing buildings and improving circularity in the built environment. She is a passive-house certified designer and has over nine years of professional experience in architecture, development, and construction firms. She has received the Royal Architecture Institute of Canada Sustainable Design and Research Award and the Energy Council of Canada Fellowship for Sustainable Energy Innovation for her work. She is an Architect and holds a Ph.D. in Circular Engineering from the Department of Civil and Environmental Engineering at the University of Waterloo and holds a Master's in Architecture and a Bachelor's in Architectural Studies from the University of Waterloo.</t>
  </si>
  <si>
    <t>University of Waterloo, Bachelor's, Architectural Studies, University of Waterloo, Master's, Architecture, University of Waterloo, Ph.D. (Doctor of Philosophy)</t>
  </si>
  <si>
    <t>2048 Ventures, Blue Vision Capital, OneEleven (Private Equity), Powerhouse Ventures (Oakland)</t>
  </si>
  <si>
    <t>2048 Ventures(Alex Iskold)</t>
  </si>
  <si>
    <t>Powerhouse Ventures Fund II(Powerhouse Ventures (Oakland))</t>
  </si>
  <si>
    <t>DLA Piper (Legal Advisor to Powerhouse Ventures (Oakland), Kerra Melvin)</t>
  </si>
  <si>
    <t>10013</t>
  </si>
  <si>
    <t>www.adaptis.ai</t>
  </si>
  <si>
    <t>233747-47T</t>
  </si>
  <si>
    <t>AddGlow</t>
  </si>
  <si>
    <t>532754-38</t>
  </si>
  <si>
    <t>Anthemos Georgiades(Anthemos Georgiades), Chris Kaufman(Chris Kaufman), Henry Davis(Henry Davis), Jeff Shotts(Jeff Shotts), Precursor Ventures(Charles Hudson), Stellation Capital(Peter Boyce), StoryHouse Ventures(Miles Bird), Tristan Walker(Tristan Walker)</t>
  </si>
  <si>
    <t>Precursor Ventures (precursorvc.com), Stellation Capital (www.stellation.vc), StoryHouse Ventures (www.storyhousevc.com)</t>
  </si>
  <si>
    <t>Developer of SaaS software intended to help brands build community on their website and capture additional data on prospective and current customers to generate additional revenue. The company's platform allows anyone to view content from the community but requires an account to post or engage, enabling brands to foster community on their website and capture additional data on prospective and current customers to generate additional revenue.</t>
  </si>
  <si>
    <t>The company raised $1.7 million of pre-seed funding in a deal led by Stellation Capital and Precursor Ventures on December 7, 2022. StoryHouse Ventures and other investors also participated in the round. The funds will be used to hire engineers and a designer.</t>
  </si>
  <si>
    <t>Media and Information Services (B2B)*, Personal Products, Social Content, Social/Platform Software</t>
  </si>
  <si>
    <t>Beauty, E-Commerce, SaaS</t>
  </si>
  <si>
    <t>brand building, community platform, conversion rate, customer engagement, ecommerce enablement, saas software</t>
  </si>
  <si>
    <t>357869-62P</t>
  </si>
  <si>
    <t>Ina Herlihy</t>
  </si>
  <si>
    <t>+1 (707) 395-7097</t>
  </si>
  <si>
    <t>Ms. Ina Herlihy is the Founder and serves as Chief Executive Officer &amp; Board Member at AddGlow.</t>
  </si>
  <si>
    <t>The company raised $1.7 million of pre-seed funding in a deal led by Stellation Capital and Precursor Ventures on December 7, 2022. StoryHouse Ventures, Chris Kaufman, Henry Davis, Anthemos Georgiades, Tristan Walker, Jeff Shotts, and other undisclosed investors also participated in the round. The funds will be used to hire engineers and a designer.</t>
  </si>
  <si>
    <t>Anthemos Georgiades, Chris Kaufman, Henry Davis, Jeff Shotts, Precursor Ventures, Stellation Capital, StoryHouse Ventures, Tristan Walker</t>
  </si>
  <si>
    <t>Precursor Ventures(Charles Hudson), Stellation Capital(Peter Boyce)</t>
  </si>
  <si>
    <t>StoryHouse Fund 1(StoryHouse Ventures)</t>
  </si>
  <si>
    <t>10003-1502</t>
  </si>
  <si>
    <t>www.addglow.com</t>
  </si>
  <si>
    <t>195633-37T</t>
  </si>
  <si>
    <t>Adim</t>
  </si>
  <si>
    <t>498016-63</t>
  </si>
  <si>
    <t>Andreessen Horowitz, Christopher Dixon(Christopher Dixon)</t>
  </si>
  <si>
    <t>Andreessen Horowitz (www.a16z.com), Christopher Dixon (cdixon.org)</t>
  </si>
  <si>
    <t>Developer of a web3 platform intended to empower creators and fans to develop and own a new generation of content. The company's platform helps creators to easily connect, collaborate, and create stories, characters, and narrative universes under the mentorship of established writers and in return own a greater share in their creative output, enabling communities of creators, writers, artists, designers, developers, fans and friends to collaborate and work together to establish their own project and reach their true potential.</t>
  </si>
  <si>
    <t>The company raised $5 million of seed funding in a deal led by Andreessen Horowitz and Christopher Dixon on March 2, 2022, putting the company's pre-money valuation at $20 million. Other undisclosed investors also participated in the round. The funds will be used to achieve the company's vision of bringing content development into the future using technology.</t>
  </si>
  <si>
    <t>Media and Information Services (B2B)*, Social/Platform Software</t>
  </si>
  <si>
    <t>Cryptocurrency/Blockchain</t>
  </si>
  <si>
    <t>collaborate media, collaborative storytelling, content creator, content launch, entertainment ecosystem, storyteller connection, storytellers platform, web3 entertainment</t>
  </si>
  <si>
    <t>304132-78P</t>
  </si>
  <si>
    <t>Chase Rosenblatt</t>
  </si>
  <si>
    <t>+1 (213) 293-6537</t>
  </si>
  <si>
    <t>chase@adimverse.com</t>
  </si>
  <si>
    <t>Mr. Chase Rosenblatt is a Co-Founder and serves as Executive of Strategy at Adim.</t>
  </si>
  <si>
    <t>Andreessen Horowitz, Christopher Dixon</t>
  </si>
  <si>
    <t>Goodwin Procter (Legal Advisor to Andreessen Horowitz, Karen Ubell)</t>
  </si>
  <si>
    <t>Santa Monica, CA</t>
  </si>
  <si>
    <t>Santa Monica</t>
  </si>
  <si>
    <t>90404</t>
  </si>
  <si>
    <t>www.adimverse.com</t>
  </si>
  <si>
    <t>Peptides</t>
  </si>
  <si>
    <t>157882-15T</t>
  </si>
  <si>
    <t>Adrich</t>
  </si>
  <si>
    <t>169106-77</t>
  </si>
  <si>
    <t>412 Venture Fund, GS1 US, IDEA Fund Partners(Chris Halligan), Innovation Works, John Jacobs(John Jacobs), Josh McElhattan(Josh McElhattan), M7 Holdings, Melo7 Tech Partners, Plug and Play Tech Center, Sony Innovation Fund, Startbot, Tech Council Ventures</t>
  </si>
  <si>
    <t>412 Venture Fund (www.412venturefund.com), GS1 US (www.gs1us.org), IDEA Fund Partners (www.ideafundpartners.com), Innovation Works (www.innovationworks.org), M7 Holdings (www.m7holdings.com), Plug and Play Tech Center (www.plugandplaytechcenter.com), Sony Innovation Fund (www.sonyinnovationfund.com), Startbot (www.startbot.io), Tech Council Ventures (www.techcouncilventures.com)</t>
  </si>
  <si>
    <t>Developer of a consumer insights platform designed to collect and transmit product usage data autonomously through product labels. The company's smart tracking system can be used to collect and send day, time, geolocation, and volumetric use data in real-time and helps to understand trends, behaviors, and usage patterns, enabling brands and retailers to understand, retain and serve their consumers.</t>
  </si>
  <si>
    <t>The company raised $450,000 of seed funding through a combination of convertible debt and equity from Innovation Works and other undisclosed investors on July 6, 2023.</t>
  </si>
  <si>
    <t>Business/Productivity Software*, Electronic Equipment and Instruments, Media and Information Services (B2B)</t>
  </si>
  <si>
    <t>Marketing Tech, SaaS, TMT</t>
  </si>
  <si>
    <t>analytics &amp; cdps, analytics and cdps, consumer engagement, customer analytics platform, customer data analysis, customer retention platform, post purchasing service, product usage data</t>
  </si>
  <si>
    <t>152777-35P</t>
  </si>
  <si>
    <t>Adhithi Aji</t>
  </si>
  <si>
    <t>+1 (631) 413-0027</t>
  </si>
  <si>
    <t>aaji@adrich.io</t>
  </si>
  <si>
    <t>Ms. Adhithi Aji is the Founder and serves asChief Executive Officer, President &amp; Board Member at AdRich. She has over 6 years of related industry experience, including product management and technical research &amp; development. With a passion for improving access to crucial consumer data, She started work on the idea while obtaining her Management of Science Degree in Innovation Management. She also holds an MBA in Supply Chain Management and a Bachelors in Electrical Engineering</t>
  </si>
  <si>
    <t>BE (Bachelor of Engineering), 2008, Communications, Engineering, Electronics, Carnegie Mellon University, Master's, 2014, Management, Engineering, MBA (Master of Business Administration), 2013, Supply Chain Management</t>
  </si>
  <si>
    <t>The company raised $2.92 million of venture funding from in a deal led by IDEA Fund Partners on March 4, 2021. Tech Council Ventures, M7 Holdings, 412 Venture Fund, Sony Innovation Fund, Innovation Works and Melo7 Tech Partners also participated in the round. The company will use the funding to scale it's IoT and AI technology.</t>
  </si>
  <si>
    <t>412 Venture Fund, GS1 US, IDEA Fund Partners, Innovation Works, John Jacobs, Josh McElhattan, M7 Holdings, Melo7 Tech Partners, Plug and Play Tech Center, Sony Innovation Fund, Startbot, Tech Council Ventures</t>
  </si>
  <si>
    <t>IDEA Fund Partners(Chris Halligan)</t>
  </si>
  <si>
    <t>412 Venture Fund(412 Venture Fund), IFP III(IDEA Fund Partners), Tech Council Ventures II(Tech Council Ventures), VCMF IDEA Investments(IDEA Fund Partners)</t>
  </si>
  <si>
    <t>Pittsburgh, PA</t>
  </si>
  <si>
    <t>Pittsburgh</t>
  </si>
  <si>
    <t>Pennsylvania</t>
  </si>
  <si>
    <t>15212</t>
  </si>
  <si>
    <t>www.adrich.io</t>
  </si>
  <si>
    <t>Information and communication technology [ict] specially adapted for administrative, commercial, financial, managerial or supervisory purposes, Measurement of mechanical vibrations or ultrasonic, sonic or infrasonic waves</t>
  </si>
  <si>
    <t>179359-66T</t>
  </si>
  <si>
    <t>Advocat</t>
  </si>
  <si>
    <t>463295-80</t>
  </si>
  <si>
    <t>San Diego Angel Conference, Spark Growth Ventures(Hem Suri)</t>
  </si>
  <si>
    <t>San Diego Angel Conference (www.thesdangels.com), Spark Growth Ventures (www.sparkgv.com)</t>
  </si>
  <si>
    <t>Developer of a legal software platform designed to create researched legal documents from attorney conversations. The company's platform utilizes artificial intelligence to select the correct internal legal template and asks the user a series of questions, drafts the document, and sends the draft to in-house counsel for approval, it uses generative contract artificial intelligence and analyzes contracts, enabling in-house attorneys to save a significant amount of time and manage cases in a hassle-free manner.</t>
  </si>
  <si>
    <t>Gaingels sold its stake in the company to an undisclosed buyer.</t>
  </si>
  <si>
    <t>Business/Productivity Software*, Legal Services (B2B)</t>
  </si>
  <si>
    <t>Artificial Intelligence &amp; Machine Learning, Legal Tech, SaaS</t>
  </si>
  <si>
    <t>contract analysis, corporate counseling, legal document, legal platform, legal software, legaltech app, saas product, workflow automation tools</t>
  </si>
  <si>
    <t>92232-10P</t>
  </si>
  <si>
    <t>Pradnya Desh</t>
  </si>
  <si>
    <t>+1 (425) 429-3643</t>
  </si>
  <si>
    <t>pradnya@advocat.ai</t>
  </si>
  <si>
    <t>Ms. Pradnya Desh is a Co-Founder and serves as Chief Executive Officer and Chairperson at Advocat Technologies. Ms. Desh served as a Steering and Screening Committee Members at TiE Angels Group Seattle.</t>
  </si>
  <si>
    <t>The company raised $1.3 million of venture funding from Spark Growth Ventures and San Diego Angel Conference on May 1, 2021. The funding will be used to reinforce development and build out the sales and marketing teams to accelerate customer acquisition.</t>
  </si>
  <si>
    <t>Spark Growth Ventures</t>
  </si>
  <si>
    <t>San Diego Angel Conference</t>
  </si>
  <si>
    <t>Spark Venture Capital(Spark Growth Ventures)</t>
  </si>
  <si>
    <t>Bellevue, WA</t>
  </si>
  <si>
    <t>Bellevue</t>
  </si>
  <si>
    <t>98005</t>
  </si>
  <si>
    <t>www.advocat.ai</t>
  </si>
  <si>
    <t>225435-97T</t>
  </si>
  <si>
    <t>Advocate</t>
  </si>
  <si>
    <t>518079-16</t>
  </si>
  <si>
    <t>10X Capital, Ambush Capital, Commonweal Ventures, Evolution VC Partners, Gaingels, Khosla Ventures, Lerer Hippeau(Caitlin Strandberg)</t>
  </si>
  <si>
    <t>10X Capital (www.10xcapital.com), Ambush Capital (www.ambush.capital), Commonweal Ventures (www.commonwealventures.com), Evolution VC Partners (www.evolutionvcp.com), Gaingels (www.gaingels.com), Khosla Ventures (www.khoslaventures.com), Lerer Hippeau (www.lererhippeau.com)</t>
  </si>
  <si>
    <t>Developer of artificial intelligence applications designed to improve government and civilian relations by automating filing and response processes. The company's application streamlines human processing, decision-making and risk assessment for federal government benefits programs to increase efficiency and effectiveness for individuals and the government, enabling disabled individuals to receive financial support with ease.</t>
  </si>
  <si>
    <t>The company raised an undisclosed amount of venture funding from Gaingels on August 30, 2024.</t>
  </si>
  <si>
    <t>Business/Productivity Software*, Media and Information Services (B2B), Other Commercial Services, Other Services (B2C Non-Financial)</t>
  </si>
  <si>
    <t>Artificial Intelligence &amp; Machine Learning</t>
  </si>
  <si>
    <t>disability benefits, financial support, government benefit program, government benefits, risk assessment, service platform</t>
  </si>
  <si>
    <t>246469-24P</t>
  </si>
  <si>
    <t>Emilie Poteat</t>
  </si>
  <si>
    <t>+1 (888) 383-7091</t>
  </si>
  <si>
    <t>emilie@ouradvocates.com</t>
  </si>
  <si>
    <t>Dr. Emilie Poteat is the Founder and serves as Chief Executive Officer at Advocate AI. She serves as a Venture Partner at Gaingels Syndicate. She is an active angel investor and early Gaingels member. She also led a successful turnaround of a healthcare consulting company as its interim CEO on behalf of venture investors. At Gaingels, she leads strategic initiatives to drive our new investment products, our network's growth, and our impact on the LGBT community. She holds a Ph.D. in economic sociology and has led strategy and transformation efforts at Goldman Sachs and Bridgewater Associates.</t>
  </si>
  <si>
    <t>Ph.D. (Doctor of Philosophy), Economic Sociology</t>
  </si>
  <si>
    <t>The company raised $4 million of seed funding in a deal led by Lerer Hippeau on January 31, 2023. Khosla Ventures, Commonweal Ventures, Evolution VC Partners, Gaingels, 10X Capital and Ambush Capital also participated in the round.</t>
  </si>
  <si>
    <t>10X Capital, Ambush Capital, Commonweal Ventures, Evolution VC Partners, Gaingels, Khosla Ventures, Lerer Hippeau</t>
  </si>
  <si>
    <t>Lerer Hippeau(Caitlin Strandberg)</t>
  </si>
  <si>
    <t>11105</t>
  </si>
  <si>
    <t>www.joinadvocate.com</t>
  </si>
  <si>
    <t>179326-54T</t>
  </si>
  <si>
    <t>Advocord</t>
  </si>
  <si>
    <t>472071-16</t>
  </si>
  <si>
    <t>Ben Franklin Technology Partners of Central and Northern Pennsylvania(Joseph Hackett)</t>
  </si>
  <si>
    <t>Ben Franklin Technology Partners of Central and Northern Pennsylvania (www.cnp.benfranklin.org)</t>
  </si>
  <si>
    <t>Operator of a life-management platform intended for guardians, conservators, and agents to manage finances and medical care of the elderly. The company's platform promotes compliance with legal obligations by educating users about how they are accountable and organize information, and compiles the data needed to complete state, and federally-mandated reports, enabling caregivers to have immediate and mobile access to all the information they need to fulfill their legal duties.</t>
  </si>
  <si>
    <t>The company raised $1.79 million of seed funding in the form of convertible debt from Ben Franklin Technology Partners of Central and Northern Pennsylvania and other undisclosed investors on August 26, 2022.</t>
  </si>
  <si>
    <t>Legal Services (B2B)</t>
  </si>
  <si>
    <t>Application Software, Financial Software, Legal Services (B2B)*</t>
  </si>
  <si>
    <t>Legal Tech, Mobile</t>
  </si>
  <si>
    <t>finance management, legal compliance, legal information, legal obligations, legal service, life management</t>
  </si>
  <si>
    <t>273674-35P</t>
  </si>
  <si>
    <t>John Burns</t>
  </si>
  <si>
    <t>Mr. John Burns serves as Chairman at AccountAbility.</t>
  </si>
  <si>
    <t>Fairfield University, BS (Bachelor of Science), 1987, Finance</t>
  </si>
  <si>
    <t>Ben Franklin Technology Partners of Central and Northern Pennsylvania</t>
  </si>
  <si>
    <t>Chambersburg, PA</t>
  </si>
  <si>
    <t>Chambersburg</t>
  </si>
  <si>
    <t>17201</t>
  </si>
  <si>
    <t>www.advocord.com</t>
  </si>
  <si>
    <t>Bridge Loan - $1.79M (Convertible)</t>
  </si>
  <si>
    <t>217251-37T</t>
  </si>
  <si>
    <t>Aegis (Application Software)</t>
  </si>
  <si>
    <t>521118-64</t>
  </si>
  <si>
    <t>LongJump</t>
  </si>
  <si>
    <t>LongJump (www.longjump.vc)</t>
  </si>
  <si>
    <t>Developer of a personal safety mobile application designed to modernize emergency interactions. The company's mobile application utilizes smartphone functionality to covertly notify a local dispatch center of the location, medical history, and details of the reported incident, enabling users to avail emergency responders best equipped to handle the specific crisis.</t>
  </si>
  <si>
    <t>The company raised an undisclosed amount of venture funding from Fifth Star Funds in approximately June 2024. Previously, the company joined Matter on February 6, 2024.</t>
  </si>
  <si>
    <t>Application Software</t>
  </si>
  <si>
    <t>Application Software*, Information Services (B2C), Other Services (B2C Non-Financial)</t>
  </si>
  <si>
    <t>Mobile, SaaS, TMT</t>
  </si>
  <si>
    <t>crisis prevention application, emergency application, emergency response app, personal safety, personal safety app, safety application technology, safety services</t>
  </si>
  <si>
    <t>338432-68P</t>
  </si>
  <si>
    <t>Tamika Vantifflin</t>
  </si>
  <si>
    <t>+1 (312) 612-9228</t>
  </si>
  <si>
    <t>tamika@aegisapp.io</t>
  </si>
  <si>
    <t>Ms. Tamika Vantifflin is a Co-Founder &amp; serves as Chief Executive Officer at Aegis (Application Software).</t>
  </si>
  <si>
    <t>The company raised $100,000 of seed funding from LongJump in 2023.</t>
  </si>
  <si>
    <t>www.aegisapp.io</t>
  </si>
  <si>
    <t>133905-52T</t>
  </si>
  <si>
    <t>Agapé</t>
  </si>
  <si>
    <t>433437-67</t>
  </si>
  <si>
    <t>Acrew Capital, Diverse Angels, Harlem Capital(Jarrid Tingle), Intonation Ventures, Jack Greco, Launch NY, Samsung NEXT Ventures</t>
  </si>
  <si>
    <t>Acrew Capital (www.acrewcapital.com), Diverse Angels (www.diverseangels.org), Harlem Capital (harlem.capital), Intonation Ventures (www.intonationventures.com), Launch NY (www.launchny.org), Samsung NEXT Ventures (www.samsungnext.com)</t>
  </si>
  <si>
    <t>Developer of relationship wellness platform designed to help people feel and show love. The company's platform sends daily questions designed to spark meaningful conversations, enabling couples to get personalized advice and suggestions to improve their relationships.</t>
  </si>
  <si>
    <t>The company raised $1.5 million of seed funding in a deal led by Harlem Capital Partners on July 2, 2021, putting the company's pre-money valuation at $8.5 million. Launch NY and 5 other investors also participated in the round.</t>
  </si>
  <si>
    <t>Social/Platform Software</t>
  </si>
  <si>
    <t>Application Software, Communication Software, Social/Platform Software*</t>
  </si>
  <si>
    <t>Mobile, SaaS</t>
  </si>
  <si>
    <t>application software, online platform, relationship platform, relationship wellness, wellness fitness, wellness platform</t>
  </si>
  <si>
    <t>225728-74P</t>
  </si>
  <si>
    <t>Khadesha Okwudili</t>
  </si>
  <si>
    <t>+1 (585) 376-1750</t>
  </si>
  <si>
    <t>khadesha@theagapeapp.com</t>
  </si>
  <si>
    <t>Ms. Khadesha Okwudili is a Co-Founder and serves as Chief Executive Officer and Board Member at Agapé. Formerly, she has worked as a research assistant at the University of Rochester and Weill Cornell Medicine. After several near-death experiences, she decided to deviate from a career path in medicine. Cultivating her entrepreneurial desires - drawing on her research background and incorporating her desire to better humankind - she came up with the idea for Agape. She loves technology, uses it in all aspects of her life, and wants to use it to positively influence billions of couples around the world.</t>
  </si>
  <si>
    <t>Acrew Capital, Diverse Angels, Harlem Capital, Intonation Ventures, Jack Greco, Launch NY, Samsung NEXT Ventures</t>
  </si>
  <si>
    <t>Harlem Capital(Jarrid Tingle)</t>
  </si>
  <si>
    <t>Acrew Capital Fund(Acrew Capital), LaunchNY Limited Partner Fund(Launch NY)</t>
  </si>
  <si>
    <t>Egan Nelson (Legal Advisor to Company), McCarter &amp; English (Legal Advisor to Harlem Capital, Scott Smedresman JD)</t>
  </si>
  <si>
    <t>Egan Nelson (Legal Advisor to Company)</t>
  </si>
  <si>
    <t>McCarter &amp; English (Legal Advisor to Harlem Capital, Scott Smedresman JD)</t>
  </si>
  <si>
    <t>Rochester, NY</t>
  </si>
  <si>
    <t>Rochester</t>
  </si>
  <si>
    <t>14623</t>
  </si>
  <si>
    <t>www.getdailyagape.com</t>
  </si>
  <si>
    <t>216235-72T</t>
  </si>
  <si>
    <t>Agenda Hero</t>
  </si>
  <si>
    <t>520807-60</t>
  </si>
  <si>
    <t>K9 Ventures(Manu Kumar)</t>
  </si>
  <si>
    <t>K9 Ventures (www.k9ventures.com)</t>
  </si>
  <si>
    <t>Developer of an automation platform designed to convert text or images to calendars. The company's platform updates schedules on a real-time basis, by providing relevant information to pop up on the calendar and allows collaboration of schedules for an entire group, enabling users to create and manage schedules with ease while saving time.</t>
  </si>
  <si>
    <t>The company raised $4.5 million of seed funding from K9 Ventures and other undisclosed investors on February 10, 2022, putting the company's pre-money valuation at $10.5 million.</t>
  </si>
  <si>
    <t>Artificial Intelligence &amp; Machine Learning, SaaS</t>
  </si>
  <si>
    <t>calendar management platform, calendar management software, calendar management system, schedule management, scheduled tasks, scheduling system</t>
  </si>
  <si>
    <t>156652-48P</t>
  </si>
  <si>
    <t>Caren Cioffi</t>
  </si>
  <si>
    <t>Ms. Caren Cioffi is a Co-Founder and serves as Chief Executive Officer at Agenda Hero.</t>
  </si>
  <si>
    <t>Ithaca College, BS (Bachelor of Science), Finance, Stanford University, MBA (Master of Business Administration)</t>
  </si>
  <si>
    <t>K9 Ventures</t>
  </si>
  <si>
    <t>K9 Ventures III(K9 Ventures)</t>
  </si>
  <si>
    <t>San Francisco, CA</t>
  </si>
  <si>
    <t>San Francisco</t>
  </si>
  <si>
    <t>94114</t>
  </si>
  <si>
    <t>www.agendahero.com</t>
  </si>
  <si>
    <t>245745-46T</t>
  </si>
  <si>
    <t>AGI (Business/Productivity Software)</t>
  </si>
  <si>
    <t>540699-58</t>
  </si>
  <si>
    <t>Alkhabeer Capital (SAU: 4348), Amazon.com (NAS: AMZN), DIA, Nvidia (NAS: NVDA), Web3 Analytics, West Labs</t>
  </si>
  <si>
    <t>Alkhabeer Capital (SAU: 4348) (www.alkhabeer.com), Amazon.com (NAS: AMZN) (www.amazon.com), DIA (www.diadata.org), Nvidia (NAS: NVDA) (www.nvidia.com/en-us), Web3 Analytics (www.3gpt.ai), West Labs (westlabs.io)</t>
  </si>
  <si>
    <t>Operator of a coding platform intended to support the federated learning algorithms. The company offers various kinds of services that include computing power in the pool with a federated learning algorithm, supplying stable computing power, with an EVM-compatible extends Ethereum's capabilities and improved performance for the various software, enabling software development companies with an ecological network supporting AI big computing power and intelligent applications.</t>
  </si>
  <si>
    <t>The company raised $10 million of venture funding from Nvidia, Amazon.com, and DIA on November 18, 2023. Web3 Analytics,West Labs, and Alkhabeer Capital also participated in the round. The funds will be used to expedite the realization of key initiatives, including real GPU computing power allocation, the establishment of a global multi-node GPU computing center, the low-code AI training platform, personalized training, and services.</t>
  </si>
  <si>
    <t>Business/Productivity Software*</t>
  </si>
  <si>
    <t>Artificial Intelligence &amp; Machine Learning, Cryptocurrency/Blockchain</t>
  </si>
  <si>
    <t>artificial intelligence, blockchain data, business tools, coding platform, computing power, computing power optimization, devops, full service devops</t>
  </si>
  <si>
    <t>374467-96P</t>
  </si>
  <si>
    <t>Alexandrine A</t>
  </si>
  <si>
    <t>Ms. Alexandrine A serves as Chief Executive Officer at BP-FLAC.</t>
  </si>
  <si>
    <t>Alkhabeer Capital, Amazon.com, DIA, Nvidia, Web3 Analytics, West Labs</t>
  </si>
  <si>
    <t>www.wod.ai</t>
  </si>
  <si>
    <t>213993-73T</t>
  </si>
  <si>
    <t>Agility Bank</t>
  </si>
  <si>
    <t>442781-47</t>
  </si>
  <si>
    <t>Bank of America (NYS: BAC)(Hong Ogle)</t>
  </si>
  <si>
    <t>Bank of America (NYS: BAC) (www.bankofamerica.com)</t>
  </si>
  <si>
    <t>Operator of a financial company aimed to provide equity investment to the business. The company offers various services like digital features related to banking procedures, lending of money through digital technology, providing financial assistance, providing small and medium-sized businesses to grow financially, and helping customers adapt to change and create opportunities at every juncture of the economy, cultural, and civic change.</t>
  </si>
  <si>
    <t>The company raised $41 million of venture funding in a deal led by Bank of America on September 14, 2022. Other undisclosed investors also participated in the round.</t>
  </si>
  <si>
    <t>Specialized Finance</t>
  </si>
  <si>
    <t>Financial Software, Specialized Finance*</t>
  </si>
  <si>
    <t>banking and investment, banking facility, financial assistance, financial community, financial company, financial funding, financial service</t>
  </si>
  <si>
    <t>333247-69P</t>
  </si>
  <si>
    <t>Lauren Sparks</t>
  </si>
  <si>
    <t>Ms. Lauren Sparks co-founded and served as Chief Executive Officer, President, and Board Member at Agility Bank.</t>
  </si>
  <si>
    <t>Bank of America</t>
  </si>
  <si>
    <t>Houston, TX</t>
  </si>
  <si>
    <t>Houston</t>
  </si>
  <si>
    <t>77008</t>
  </si>
  <si>
    <t>www.agility.bank</t>
  </si>
  <si>
    <t>234825-85T</t>
  </si>
  <si>
    <t>Agrela</t>
  </si>
  <si>
    <t>186627-07</t>
  </si>
  <si>
    <t>BioGenerator Ventures, Danforth Technology Company</t>
  </si>
  <si>
    <t>BioGenerator Ventures (www.biogenerator.org), Danforth Technology Company (www.danforthtechnology.com)</t>
  </si>
  <si>
    <t>Developer of a crop-plot environmental sensor and phenotyping station intended for real-time measurements of environmental conditions for the crops. The company's technology and phenotyping station is solar-powered, which makes wireless data transmission and has a flexible, modular configuration, enabling farmers to receive proper data to manage crop timings.</t>
  </si>
  <si>
    <t>The company raised an estimated $185,000 of Seed funding from BioGenerator Ventures, Danforth Technology Company and other undisclosed investors on November 3, 2022, putting the company's pre-money valuation at $215,000. The funds will be used to expand into new markets.</t>
  </si>
  <si>
    <t>Electronic Equipment and Instruments*</t>
  </si>
  <si>
    <t>AgTech, CleanTech</t>
  </si>
  <si>
    <t>environmental data, environmental monitoring, environmental sensors, field iot, monitoring system, precision ag, precision agriculture, solar power, sustainable ecosystem</t>
  </si>
  <si>
    <t>362463-31P</t>
  </si>
  <si>
    <t>Nadia Shakoor</t>
  </si>
  <si>
    <t>+1 (314) 485-9850</t>
  </si>
  <si>
    <t>nshakoor@agrelaeco.com</t>
  </si>
  <si>
    <t>Dr. Nadia Shakoor is a Co-Founder and serves as Chief Executive Officer at Agrela.</t>
  </si>
  <si>
    <t>Ph.D. (Doctor of Philosophy)</t>
  </si>
  <si>
    <t>Saint Louis, MO</t>
  </si>
  <si>
    <t>Saint Louis</t>
  </si>
  <si>
    <t>Missouri</t>
  </si>
  <si>
    <t>63132</t>
  </si>
  <si>
    <t>www.agrelaeco.com</t>
  </si>
  <si>
    <t>241690-78T</t>
  </si>
  <si>
    <t>AGRI-TRAK</t>
  </si>
  <si>
    <t>535938-94</t>
  </si>
  <si>
    <t>JHH vc, Launch NY, The W Fund</t>
  </si>
  <si>
    <t>JHH vc (www.jhh.vc), Launch NY (www.launchny.org), The W Fund (www.thewfund.com)</t>
  </si>
  <si>
    <t>Developer of labor tracking and compliance software designed to streamline farm management for every farmer. The company offers software that provides digital tools to manage employee contracts, payroll, time sheets, production records, and enterprise reports, all in a customizable format, enabling farmers to replace manual record-keeping with efficient digital records, thus enhancing productivity in the agriculture industry.</t>
  </si>
  <si>
    <t>The company joined Morgan Stanley Inclusive Ventures Lab as a part of the Tenth Lab cohort program on September 16, 2024, and received $250,000 in funding. Previously, the company raised $180,000 of Series 1 venture funding from Launch NY, The W Fund, JHH vc and other undisclosed investors on July 15, 2024, putting the company's pre-money valuation at $5 million.</t>
  </si>
  <si>
    <t>Business/Productivity Software*, Other Agriculture, Other Commercial Services</t>
  </si>
  <si>
    <t>AgTech, SaaS</t>
  </si>
  <si>
    <t>agriculture software tools, digital records management, employee contracting, enterprise reporting tool, farm management, farm management software, labor tracking, payroll tools, precision ag, precision agriculture</t>
  </si>
  <si>
    <t>366423-31P</t>
  </si>
  <si>
    <t>Jamie Sonneville</t>
  </si>
  <si>
    <t>+1 (585) 747-9532</t>
  </si>
  <si>
    <t>Ms. Jamie Sonneville is a Co-Founder and serves as Chief Executive Officer at AGRI-TRAK. As a Cornell grad with a background in IT and being a 5th generation apple grower and entrepreneur, her experience is ideally suited for leading Agri-Trak. Prior to founding Agri-Trak, she was the Director of Technology for Williamson Central School District, Newark Central Schools, and Owner/CEO of itClix, a web design and social media training and consulting firm. In addition to driving Agri-Trak's vision and mission, she understands farming. She knows the challenges farmers face and how increasingly difficult it's becoming to turn profits, especially without accurate data to inform decisions. That's why she created Agri-Trak. she is leading the charge in Agri-Trak's commitment to building tools that help farms - every farm - in practical, powerful ways.</t>
  </si>
  <si>
    <t>Cornell University, Degree, IT</t>
  </si>
  <si>
    <t>Series 1</t>
  </si>
  <si>
    <t>The company raised $180,000 of Series 1 venture funding from Launch NY, The W Fund, JHH vc and other undisclosed investors on July 15, 2024, putting the company's pre-money valuation at $5 million.</t>
  </si>
  <si>
    <t>LaunchNY Seed Fund II(Launch NY)</t>
  </si>
  <si>
    <t>14538</t>
  </si>
  <si>
    <t>www.agri-trak.com</t>
  </si>
  <si>
    <t>155888-74T</t>
  </si>
  <si>
    <t>Agtools</t>
  </si>
  <si>
    <t>266088-43</t>
  </si>
  <si>
    <t>Amplifica Capital, Angeles Investors, Portland Seed Fund, TCA Venture Group(Richard Erdman)</t>
  </si>
  <si>
    <t>Amplifica Capital (www.amplifica.capital), Angeles Investors (www.angelesinvestors.com), Portland Seed Fund (portlandseedfund.com), TCA Venture Group (www.tcaventuregroup.com)</t>
  </si>
  <si>
    <t>Developer of a digital agribusiness platform designed for operators to increase profitability. The company's platform provides critical data to reduce food supply chain waste through timely decision-making, enabling farmers to get a value for their crops.</t>
  </si>
  <si>
    <t>The company joined Western Growers Center for Innovation &amp; Technology on an undisclosed date. No equity or funding was exchanged as a result of this program.</t>
  </si>
  <si>
    <t>Business/Productivity Software*, Media and Information Services (B2B), Other Agriculture</t>
  </si>
  <si>
    <t>AgTech, Artificial Intelligence &amp; Machine Learning, Supply Chain Tech</t>
  </si>
  <si>
    <t>agricultural data, agriculture production, commodity market data, enterprise supply chain management, farm management software, financial analysis, food supply chain, precision ag, precision agriculture, supply chain solution, suppy chain management</t>
  </si>
  <si>
    <t>216546-40P</t>
  </si>
  <si>
    <t>Martha Montoya</t>
  </si>
  <si>
    <t>+1 (714) 366-3225</t>
  </si>
  <si>
    <t>martha@ag.tools</t>
  </si>
  <si>
    <t>Ms. Martha Montoya is a Co-Founder and serves as Chief Executive Officer, President &amp; Board Member at Agtools. She has over 25 years of worldwide agricultural and supply chain experience and was appointed and has served as a Board Member of the California Department of Food and Agriculture. She founded AGtools as a solution allowing farmers and food supply chain stakeholders to make better decisions, increase profits, avoid waste and impact climate change. She is member and graduate of the Stanford University Latino Entrepreneurship Initiative.</t>
  </si>
  <si>
    <t>Stanford University, Graduate</t>
  </si>
  <si>
    <t>The company raised $1.6 million of Seed funding from Portland Seed Fund, Tech Coast Angels, Amplifica Capital, and Angeles Investors on October 1, 2020, putting the company's pre-money valuation at $10.4 million.</t>
  </si>
  <si>
    <t>Amplifica Capital, Angeles Investors, Portland Seed Fund, TCA Venture Group</t>
  </si>
  <si>
    <t>Amplifica Fund I(Amplifica Capital), Portland Seed Fund III(Portland Seed Fund)</t>
  </si>
  <si>
    <t>Wilson Sonsini Goodrich &amp; Rosati (Legal Advisor to Company)</t>
  </si>
  <si>
    <t>Orange, CA</t>
  </si>
  <si>
    <t>Orange</t>
  </si>
  <si>
    <t>92869</t>
  </si>
  <si>
    <t>www.agtechtools.com</t>
  </si>
  <si>
    <t>Information and communication technology [ict] specially adapted for administrative, commercial, financial, managerial or supervisory purposes</t>
  </si>
  <si>
    <t>239529-34T</t>
  </si>
  <si>
    <t>Aimerce</t>
  </si>
  <si>
    <t>535033-00</t>
  </si>
  <si>
    <t>1Indicator, Soma Capital</t>
  </si>
  <si>
    <t>1Indicator (www.indicatorfund.com), Soma Capital (somacap.com)</t>
  </si>
  <si>
    <t>Developer of a sales-boosting platform designed to help businesses increase sales and improve customer experiences by providing personalized recommendations and insights. The company's platform offers a suite of artificial intelligence-powered tools for product discovery, recommendation, and customer segmentation, enabling customers to increase conversion rates, average order value, and build loyalty.</t>
  </si>
  <si>
    <t>The company raised $5.17 million of Seed-1 funding from 1Indicator, Soma Capital, and other undisclosed investors on October 27, 2023, putting the company's pre-money valuation at $10 million.</t>
  </si>
  <si>
    <t>Artificial Intelligence &amp; Machine Learning, Marketing Tech</t>
  </si>
  <si>
    <t>branding services, customer relationship management, ecommerce builder, product discovery, sales booster, sales enhancer</t>
  </si>
  <si>
    <t>Product In Beta Test</t>
  </si>
  <si>
    <t>364368-43P</t>
  </si>
  <si>
    <t>Yiqi Wu</t>
  </si>
  <si>
    <t>+1 (650) 644-9060</t>
  </si>
  <si>
    <t>ywu@aimerce.ai</t>
  </si>
  <si>
    <t>Ms. Yiqi Wu is a Co-Founder and serves as Chief Executive Officer and Board Member at Aimerce.</t>
  </si>
  <si>
    <t>94117</t>
  </si>
  <si>
    <t>www.aimerce.ai</t>
  </si>
  <si>
    <t>254580-67T</t>
  </si>
  <si>
    <t>Aimiable</t>
  </si>
  <si>
    <t>553555-09</t>
  </si>
  <si>
    <t>Harvard Alumni Entrepreneurs</t>
  </si>
  <si>
    <t>Harvard Alumni Entrepreneurs (harvardae.org)</t>
  </si>
  <si>
    <t>Developer of a customer support operating system designed to manage all critical workforce management tasks. The company's system provides critical workforce management tools, including forecasting, scheduling, and reporting for customer support teams, enabling clients to get predictive analytics and intelligent routing services.</t>
  </si>
  <si>
    <t>The company raised $3.09 million through a combination of Seed-1 and Seed-2 funding from Bienville Capital, and other undisclosed investors on March 19, 2024, putting the company's pre-money valuation at $12 million. Previously, the company raised an estimated $1 million of Seed-3 funding from Harvard Alumni Entrepreneurs, and other undisclosed investors on an undisclosed date, putting the company's pre-money valuation at $2 million.</t>
  </si>
  <si>
    <t>Artificial Intelligence &amp; Machine Learning, Big Data, SaaS</t>
  </si>
  <si>
    <t>workforce management, workforce management company, workforce management firm, workforce management program, workforce management system, workforce management tool</t>
  </si>
  <si>
    <t>188013-79P</t>
  </si>
  <si>
    <t>Olga Gomonova</t>
  </si>
  <si>
    <t>+1 (917) 816-2930</t>
  </si>
  <si>
    <t>olga@aimiable.io</t>
  </si>
  <si>
    <t>Ms. Olga Gomonova is a Co-Founder and serves as Chief Executive Officer at Aimiable. She served as Chief Operating Officer at ChicCartel.</t>
  </si>
  <si>
    <t>Senior</t>
  </si>
  <si>
    <t>The company raised an estimated $1 million of Seed-3 funding from Harvard Alumni Entrepreneurs, and other undisclosed investors on an undisclosed date, putting the company's pre-money valuation at $2 million.</t>
  </si>
  <si>
    <t>33131</t>
  </si>
  <si>
    <t>www.aimiable.io</t>
  </si>
  <si>
    <t>174694-78T</t>
  </si>
  <si>
    <t>Airpals</t>
  </si>
  <si>
    <t>461860-48</t>
  </si>
  <si>
    <t>BuenTrip Ventures, Capitalize VC, David Chan(David Chan), Fearless Fund, Hispanics In Philanthropy, Impact Assets, Inicio Ventures, Juan Carlos Reyes, LAUNCH Fund, MGV Capital Group, Rohit Gupta</t>
  </si>
  <si>
    <t>BuenTrip Ventures (www.buentrip.vc), Capitalize VC (www.capitalizevc.com), Fearless Fund (www.fearless.fund), Hispanics In Philanthropy (www.powerupfund.org), Impact Assets (www.impactassets.org), Inicio Ventures (www.inicio.ventures), LAUNCH Fund (www.launch.co), MGV Capital Group (www.mgvcapital.com)</t>
  </si>
  <si>
    <t>Provider of same-day b2b courier services intended to offer strategic pickup and drop-off services to businesses and prosumers. The company offers same-day pickup and delivery or sends a package across town or pick up, enabling companies to remove the friction and loss of productivity created by parcel coordination.</t>
  </si>
  <si>
    <t>The company raised an undisclosed amount of venture funding from START EQUITY and 5150 Capital on January 1, 2023.</t>
  </si>
  <si>
    <t>Logistics</t>
  </si>
  <si>
    <t>Business/Productivity Software, Logistics*</t>
  </si>
  <si>
    <t>b2b saas, courier search, courier service, courier service firm, courier system, parcel system</t>
  </si>
  <si>
    <t>254348-74P</t>
  </si>
  <si>
    <t>Joshe Ordonez</t>
  </si>
  <si>
    <t>+1 (929) 515-2453</t>
  </si>
  <si>
    <t>joshe@airpals.co</t>
  </si>
  <si>
    <t>Ms. Joshe Ordonez is the Founder and serves as Chief Executive Officer, Creative Director &amp; Board Member at Airpals. She is an entrepreneur committed to sustainable social and economic development, with a remarkable ability to inspire and be inspired by others. She is a Community Builder, Creative Strategist from Ecuador and is currently based in Brooklyn. She is the CEO of Airpals, a B2B platform that streamlines office logistics and project-based shipping. Ordonez founded Airpals after years of struggling with internal logistics at companies and projects she worked on within the fashion industry and other operational-heavy fields. Prior to founding Airpals, she founded Loop Fairtrade, a digital platform that connects Ecuadorian artisans with global designers to collaborate on the creation of ethical products. One of the products developed through this platform received an endorsement from JBalvin. This innovative tool has empowered low-income artisans to gain an additional source of income while preserving ancestral techniques. In 2017, she had the honor of being a panel speaker at the United Nations, where she discussed sustainable and social development. She has also delivered engaging talks and presentations at prestigious venues such as Google, Pratt Institute, and The New York Public Library. In 2022, she was selected as one of the 50 awardees for the inaugural cohort of the Google Latino Founders Fund. This program provides entrepreneurs with valuable resources, tactical support, and an equity-free cash award of $100,000. In 2023, she was chosen to be part of a delegation that shared her startup and entrepreneurship journey with representatives Schummer, Jeffries, and Clarke in Washington, DC. Among her various projects, she was invited by the Brooklyn Fashion and Design Accelerator to join the Tek-tiles initiative. Here, she collaborated closely with engineers and experts from renowned institutions such as MIT and NYU, pioneering the invention of products that seamlessly integrate technologies like virtual reality and nano pressure sensors into smart garments and functional textiles. She holds a Master's from Pratt Institute and Bachelor's from Universidad del Azuay.</t>
  </si>
  <si>
    <t>Bachelor's, Pratt Institute, Master's</t>
  </si>
  <si>
    <t>The company raised $350,000 of Series 1 venture funding from MGV Capital Group, BuenTrip Ventures and Capitalize VC on October 31, 2021. Fearless Fund, Hispanics In Philanthropy PowerUp Fund, LAUNCH Fund, David Chan, Juan Carlos Reyes, Rohit Gupta, Inicio Ventures and ImpactAssets also participated in the round. The funding was originally raised in the form of SAFE notes and subsequently converted to equity.</t>
  </si>
  <si>
    <t>BuenTrip Ventures, Capitalize VC, David Chan, Fearless Fund, Hispanics In Philanthropy, Impact Assets, Inicio Ventures, Juan Carlos Reyes, LAUNCH Fund, MGV Capital Group, Rohit Gupta</t>
  </si>
  <si>
    <t>Capitalize VC Fund I(Capitalize VC), The Fearless Fund(Fearless Fund)</t>
  </si>
  <si>
    <t>10038</t>
  </si>
  <si>
    <t>www.airpals.co</t>
  </si>
  <si>
    <t>207579-16T</t>
  </si>
  <si>
    <t>Akto</t>
  </si>
  <si>
    <t>512772-22</t>
  </si>
  <si>
    <t>Accel, Accel India(Prayank Swaroop), Akshay Kothari(Akshay Kothari), Alumni Ventures(Laura Rippy), Milin Desai(Milin Desai), Renaud Deraison(Renaud Deraison)</t>
  </si>
  <si>
    <t>Accel (www.accel.com), Alumni Ventures (www.av.vc)</t>
  </si>
  <si>
    <t>Developer of an open source application programming interface security platform designed to see, secure managed, and unmanaged application programming interfaces for potentially malicious activity. The company's platform specializes in protecting application programming Interfaces in real-time and detecting vulnerabilities and misconfigurations before exploited, enabling businesses to find issues and detect runtime threats, find vulnerabilities, and automate application programming interface security testing.</t>
  </si>
  <si>
    <t>The company raised $4.5 million of seed funding in a deal led by Accel India on March 16, 2023, putting the company's pre-money valuation at $15.5 million. Alumni Ventures, Akshay Kothari, Renaud Deraison, and Milin Desai also participated in the round. The funds will be used to integrate with all CI/CD tools, enabling developers to run checks before deploying APIs.</t>
  </si>
  <si>
    <t>Network Management Software</t>
  </si>
  <si>
    <t>Network Management Software*, Software Development Applications</t>
  </si>
  <si>
    <t>CloudTech &amp; DevOps, Cybersecurity</t>
  </si>
  <si>
    <t>api security, application security, cloud api platform, cloud server management, data authentication platform, data security, network security, web application protection</t>
  </si>
  <si>
    <t>322250-14P</t>
  </si>
  <si>
    <t>Ankita Gupta</t>
  </si>
  <si>
    <t>ankita@akto.io</t>
  </si>
  <si>
    <t>Ms. Ankita Gupta is a Co-Founder and serves as Chief Executive Officer at Akto.</t>
  </si>
  <si>
    <t>The company raised $4.5 million of seed funding in a deal led by Accel India on March 16, 2023, putting the company's pre-money valuation at $15.5 million. Alumni Ventures, Akshay Kothari, Renaud Deraison, Accel, and Milin Desai also participated in the round. The funds will be used to integrate with all CI/CD tools, enabling developers to run checks before deploying APIs.</t>
  </si>
  <si>
    <t>Accel, Accel India, Akshay Kothari, Alumni Ventures, Milin Desai, Renaud Deraison</t>
  </si>
  <si>
    <t>Accel India(Prayank Swaroop)</t>
  </si>
  <si>
    <t>Green D Ventures Fund 9(Alumni Ventures)</t>
  </si>
  <si>
    <t>94103</t>
  </si>
  <si>
    <t>www.akto.io</t>
  </si>
  <si>
    <t>204410-98T</t>
  </si>
  <si>
    <t>Alcove Labs</t>
  </si>
  <si>
    <t>507170-71</t>
  </si>
  <si>
    <t>Sequoia Capital, Seven Seven Six, XYZ Venture Capital</t>
  </si>
  <si>
    <t>Sequoia Capital (www.sequoiacap.com), Seven Seven Six (www.sevensevensix.com), XYZ Venture Capital (www.xyz.vc)</t>
  </si>
  <si>
    <t>Developer of a traceable and collaborative platform designed to scale carbon credit inventory. The company's platform replaces siloed, manual processes and operates at a commercial scale, transforms stale baseline assumptions with real-life inventory snapshots, and highlights the project's co-benefits to buyers, enabling businesses to make up-to-date inventory easily.</t>
  </si>
  <si>
    <t>The company raised $2.97 million of seed funding in a deal led by Seven Seven Six on September 8, 2022, putting the company's pre-money valuation at $15 million. XYZ Venture Capital and Sequoia Capital also participated in the round.</t>
  </si>
  <si>
    <t>Business/Productivity Software*, Environmental Services (B2B)</t>
  </si>
  <si>
    <t>CleanTech, Climate Tech</t>
  </si>
  <si>
    <t>carbon credit, carbon credit inventory, carbon credit service, carbon tech, connect crm data, inventory snapshots, voluntary carbon market infrastructure</t>
  </si>
  <si>
    <t>Carbon Offset Trading Platforms</t>
  </si>
  <si>
    <t>266168-44P</t>
  </si>
  <si>
    <t>Mariana Garza</t>
  </si>
  <si>
    <t>+1 (201) 381-1497</t>
  </si>
  <si>
    <t>mariana@alcove.io</t>
  </si>
  <si>
    <t>Ms. Mariana Garza is a Co-Founder &amp; serves as Co-Chief Executive Officer and Board Member at Alcove Labs. She served as an Entrepreneur in Residence at XYZ where she is focusing on starting a company in the climate space. She joined XYZ as an analyst in August of 2020 and was promoted to Associate in September of 2021. She graduated from Harvard College in May of 2020 with an Honors concentration in Economics and a secondary in the History of Art and Architecture. While at school she researched venture capital, innovation and intellectual property and interned at Bessemer Venture Partners on the investment team and on the entrepreneur selection and growth team at Endeavor Global.</t>
  </si>
  <si>
    <t>Harvard University, Degree, 2020, Economics</t>
  </si>
  <si>
    <t>Seven Seven Six</t>
  </si>
  <si>
    <t>776 Fund II(Seven Seven Six)</t>
  </si>
  <si>
    <t>Fenwick &amp; West (Legal Advisor to Company)</t>
  </si>
  <si>
    <t>10016</t>
  </si>
  <si>
    <t>www.alcove.io</t>
  </si>
  <si>
    <t>140931-19T</t>
  </si>
  <si>
    <t>Alectio</t>
  </si>
  <si>
    <t>343362-07</t>
  </si>
  <si>
    <t>Astir Ventures, Kishore Ganji(Kishore Ganji)</t>
  </si>
  <si>
    <t>Astir Ventures (www.astir.vc)</t>
  </si>
  <si>
    <t>Developer of a full-stack machine learning platform designed to help build models with less data. The company's managed active learning service allows continuous machine learning model training and evaluation with minimal dependencies on the engineering resources, enabling clients to build models better, faster, and cheaper by reducing processing time and costs related to data storage.</t>
  </si>
  <si>
    <t>The company raised an undisclosed amount of venture funding from Zero Prime Ventures, Rajeev Krishnan and Benjamin Orthlieb in July 2023. Jed Ng and 3 other investors also participated in the round.</t>
  </si>
  <si>
    <t>Software Development Applications</t>
  </si>
  <si>
    <t>Software Development Applications*</t>
  </si>
  <si>
    <t>Big Data</t>
  </si>
  <si>
    <t>active learning content, analytics platform, computer vision, data augmentation, data management, machine learning solutions, machine learning tech, reinforcement learning algorithms, unstructured data analytics</t>
  </si>
  <si>
    <t>216451-99P</t>
  </si>
  <si>
    <t>Jennifer Prendki</t>
  </si>
  <si>
    <t>+1 (925) 202-9481</t>
  </si>
  <si>
    <t>jprendki@alectio.com</t>
  </si>
  <si>
    <t>Ms. Jennifer Prendki is the Founder &amp; serves as Chief Executive Officer at Alectio. Previously, she was the VP of Machine Learning at Figure Eight-the company that pioneered data labeling-the Chief Data Scientist at Atlassian and a Senior Manager of Data Science in the Search Team at Walmart. She has spent most of her career building and scaling high performing machine learning teams and developing data-driven cultures. She was trained as a scientist with a PhD in Particle Physics from Sorbonne University and approaches problems analytically, whether that's building complex models or leading Alectio.</t>
  </si>
  <si>
    <t>The company raised $1 million of seed funding from Kishore Ganji, Astir Ventures along with other undisclosed investors in October 2020. Out of the total $24,999 was raised in the form of SAFE Notes and subsequently converted to equity.</t>
  </si>
  <si>
    <t>Astir Ventures, Kishore Ganji</t>
  </si>
  <si>
    <t>Santa Clara, CA</t>
  </si>
  <si>
    <t>Santa Clara</t>
  </si>
  <si>
    <t>95051</t>
  </si>
  <si>
    <t>www.alectio.com</t>
  </si>
  <si>
    <t>Computing arrangements based on specific computational models, Information and communication technology [ict] specially adapted for administrative, commercial, financial, managerial or supervisory purposes</t>
  </si>
  <si>
    <t>167569-75T</t>
  </si>
  <si>
    <t>Alinea</t>
  </si>
  <si>
    <t>343267-48</t>
  </si>
  <si>
    <t>B5 Capital, Diaspora Ventures, Dragon Capital (California), Goodwater Capital, Harvard Management Company, Jonathan Cherki(Jonathan Cherki), Kima Ventures, Philippe Suchet(Philippe Suchet), Super Capital, VentureSouq, Y Combinator</t>
  </si>
  <si>
    <t>B5 Capital (www.b5cap.com), Diaspora Ventures (www.diaspora.vc), Dragon Capital (California) (www.dragoncapital.vc), Goodwater Capital (www.goodwatercap.com), Harvard Management Company (www.hmc.harvard.edu), Kima Ventures (www.kimaventures.com), Super Capital (www.supercapital.club), VentureSouq (www.venturesouq.com), Y Combinator (www.ycombinator.com)</t>
  </si>
  <si>
    <t>Developer of an investing application intended to empower the next generation of investors. The company specializes in building a social trading platform to buy and sell stocks, exchange-traded funds, and cryptocurrencies, enabling investors to make simple, personal, and transparent investment decisions.</t>
  </si>
  <si>
    <t>The company raised $3.4 million of seed funding in a deal led by F7 Ventures and GFR Fund on January 24, 2024, putting the company's pre-money valuation at $16.6 million. Work Life Ventures, FoundersX Ventures, Evolution VC , Gaingels, Calm Ventures, Leonis Investissement, Saanvi Ventures, Arash Ferdowsi, Jemison Alexander, and Odenn Impact also participated in the round.</t>
  </si>
  <si>
    <t>Financial Software*, Other Financial Services, Social/Platform Software</t>
  </si>
  <si>
    <t>brokerage, digital advisory, financial platform, investing app, investing application, investing platform, social trading platform, stock information platform, wealthtech</t>
  </si>
  <si>
    <t>254825-56P</t>
  </si>
  <si>
    <t>Anam Lakhani</t>
  </si>
  <si>
    <t>anam@alinea-invest.com</t>
  </si>
  <si>
    <t>Ms. Anam Lakhani is a Co-Founder &amp; serves as Co-Chief Executive Officer at Alinea Invest.</t>
  </si>
  <si>
    <t>Barnard College, Bachelor's, 2019, Economics, Columbia University, BA (Bachelor of Arts), 2019, Economics</t>
  </si>
  <si>
    <t>The company raised $2.1 million of seed funding from Kima Ventures, Goodwater Capital, and Diaspora Ventures on August 2, 2021. Dragon Capital, VentureSouq, Super Capital., Y Combinator, Jonathan Cherki, Philippe Suchet, B5 Capital, and Harvard Management Company also participated in the round. The funds will be used to build a product and expand the team.</t>
  </si>
  <si>
    <t>B5 Capital, Diaspora Ventures, Dragon Capital (California), Goodwater Capital, Harvard Management Company, Jonathan Cherki, Kima Ventures, Philippe Suchet, Super Capital, VentureSouq</t>
  </si>
  <si>
    <t>Y Combinator</t>
  </si>
  <si>
    <t>Goodwater Opportunity Fund 2018(Goodwater Capital)</t>
  </si>
  <si>
    <t>www.alinea-invest.com</t>
  </si>
  <si>
    <t>261258-58T</t>
  </si>
  <si>
    <t>Alinia (Business/Productivity Software)</t>
  </si>
  <si>
    <t>592298-29</t>
  </si>
  <si>
    <t>Clément Delangue(Clément Delangue), Jason Warner(Jason Warner), KFund, Oriol Vinyals(Oriol Vinyals), Precursor Ventures, Speedinvest(Frederik Hagenauer), Thomas Wolf(Thomas Wolf), Tom Preston-Werner(Tom Preston-Werner), Xavier Amatriain(Xavier Amatriain)</t>
  </si>
  <si>
    <t>KFund (www.kfund.vc), Precursor Ventures (precursorvc.com), Speedinvest (www.speedinvest.com)</t>
  </si>
  <si>
    <t>Developer of a generative AI stack platform designed to evaluate, control and optimize Gen AI applications. The company's platform offers subject matter experts to guide LLM output based on the policies and preferences, enabling businesses to bring the transparency and evidence that both Executive and ML teams need to confidently deploy Gen AI applications.</t>
  </si>
  <si>
    <t>The company raised $2.4 million of pre-seed funding in a deal led by Precursor Ventures and Speedinvest on June 5, 2024. KFund and 5 other investors also participated in the round. The funds will be used to hire additional talent to build the Alinia Alignment Platform to create an end-to-end alignment process focused on safety and regulatory requirements - enabling safe and inclusive use of generative AI across LLM modalities and languages.</t>
  </si>
  <si>
    <t>Business/Productivity Software*, Media and Information Services (B2B), Software Development Applications</t>
  </si>
  <si>
    <t>ai, ai platform, generative ai, generative ai model, generative ai tools, stack platform</t>
  </si>
  <si>
    <t>Generative AI</t>
  </si>
  <si>
    <t>399684-16P</t>
  </si>
  <si>
    <t>Ariadna Llitjos</t>
  </si>
  <si>
    <t>ari@alinia.ai</t>
  </si>
  <si>
    <t>Dr. Ariadna Llitjos is a Co-Founder and serves as Chief Executive Officer at Alinia. Ariadna was the former Head of ML Platform at Twitter, where she established responsible AI at the company level. Before that, she was Director of Development at IBM Watson in the early days of enterprise AI., where she led teams of software engineers, designers, and researchers to build the first generation of AI assistants and other AI enterprise solutions. She has a PhD in NLP from Carnegie Mellon University.</t>
  </si>
  <si>
    <t>Carnegie Mellon University, Ph.D. (Doctor of Philosophy), NLP</t>
  </si>
  <si>
    <t>The company raised $2.4 million of pre-seed funding in a deal led by Precursor Ventures, Jason Warner and Speedinvest on June 5, 2024. KFund, Clément Delangue, Thomas Wolf, Tom Preston-Werner, Oriol Vinyals and Xavier Amatriain also participated in the round. The funds will be used to hire additional talent to build the Alinia Alignment Platform to create an end-to-end alignment process focused on safety and regulatory requirements - enabling safe and inclusive use of generative AI across LLM modalities and languages.</t>
  </si>
  <si>
    <t>Clément Delangue, Jason Warner, KFund, Oriol Vinyals, Precursor Ventures, Speedinvest, Thomas Wolf, Tom Preston-Werner, Xavier Amatriain</t>
  </si>
  <si>
    <t>Precursor Ventures, Speedinvest(Frederik Hagenauer)</t>
  </si>
  <si>
    <t>10017</t>
  </si>
  <si>
    <t>www.alinia.ai</t>
  </si>
  <si>
    <t>234295-39T</t>
  </si>
  <si>
    <t>Alix</t>
  </si>
  <si>
    <t>533023-21</t>
  </si>
  <si>
    <t>Alumni Ventures(Laura Rippy), American Family Ventures, Initialized Capital Management, Magnify VC, Scribble Ventures</t>
  </si>
  <si>
    <t>Alumni Ventures (www.av.vc), American Family Ventures (www.amfamventures.com), Initialized Capital Management (www.initialized.com), Magnify VC (www.magnify.vc), Scribble Ventures (www.scribble.vc)</t>
  </si>
  <si>
    <t>Developer of an artificial intelligence-powered settlement platform designed to automatically manage the disbursement of estates and probate procedures. The company's secure digital portal gives users a plan, guides them along each step of the process and does the work for them, enabling clients with clear and simple guidance, making their involvement as straightforward and minimal as possible.</t>
  </si>
  <si>
    <t>The company raised $5.5 million of pre-seed funding in a deal led by Initialized Capital Management on March 10, 2023. American Family Ventures, Scribble Ventures, Alumni Ventures, and Magnify VC also participated in the round.</t>
  </si>
  <si>
    <t>Financial Software*</t>
  </si>
  <si>
    <t>Artificial Intelligence &amp; Machine Learning, FinTech</t>
  </si>
  <si>
    <t>ai-powered system, digital portal, estate settlement, probate work, settlement platform, task management</t>
  </si>
  <si>
    <t>358590-79P</t>
  </si>
  <si>
    <t>Alexandra Mysoor</t>
  </si>
  <si>
    <t>Ms. Alexandra Mysoor is a Co-Founder and serves as Chief Executive Officer at Alix.</t>
  </si>
  <si>
    <t>University of California, Berkeley, BA (Bachelor of Arts), Communications</t>
  </si>
  <si>
    <t>Alumni Ventures, American Family Ventures, Initialized Capital Management, Magnify VC, Scribble Ventures</t>
  </si>
  <si>
    <t>Initialized Capital Management</t>
  </si>
  <si>
    <t>American Family Ventures Fund III(American Family Ventures), Green D Ventures Fund 9(Alumni Ventures), Initialized V(Initialized Capital Management), Magnify Ventures I(Magnify VC)</t>
  </si>
  <si>
    <t>Los Gatos, CA</t>
  </si>
  <si>
    <t>Los Gatos</t>
  </si>
  <si>
    <t>95030</t>
  </si>
  <si>
    <t>www.meetalix.com</t>
  </si>
  <si>
    <t>274498-48T</t>
  </si>
  <si>
    <t>All3D</t>
  </si>
  <si>
    <t>483582-79</t>
  </si>
  <si>
    <t>Mentors Fund, WXR Venture Fund</t>
  </si>
  <si>
    <t>Mentors Fund (www.mentors.fund), WXR Venture Fund (www.wxrfund.com)</t>
  </si>
  <si>
    <t>Developer of AI-based three-dimensional scanning and animation technology designed for arming the 3D revolution. The company's technology creates hyper-realistic, low-cost cost, and reusable product images, virtual spaces, and tours, enabling businesses to create better visualization and stronger brands as well as customers to create and render models of products.</t>
  </si>
  <si>
    <t>The company raised $8.84 million through a combination of Series A venture funding from WXR Venture Fund, Mentors Fund, and other undisclosed investors on October 11, 2024, putting the company's pre-money valuation at $14 million. $3.674892 million was raised in the form of SAFE notes and subsequently got converted to equity.</t>
  </si>
  <si>
    <t>Multimedia and Design Software</t>
  </si>
  <si>
    <t>Multimedia and Design Software*</t>
  </si>
  <si>
    <t>3D Printing, Artificial Intelligence &amp; Machine Learning, E-Commerce, SaaS</t>
  </si>
  <si>
    <t>3d model, 3d technology design, artificial intelligence technology, ecommerce integration, ecommerce tools, online shopping tech, scanning app, shopping guide</t>
  </si>
  <si>
    <t>37100-71P</t>
  </si>
  <si>
    <t>Amra Tareen</t>
  </si>
  <si>
    <t>+1 (408) 663-6469</t>
  </si>
  <si>
    <t>amra@all3d.ai</t>
  </si>
  <si>
    <t>Ms. Amra Tareen serves as Board Member at Lambda OpticalSystems. Ms. Tareen serves as President &amp; Board Member at OPEN Silicon Valley. Ms. Amra Tareen was a Co-Founder of LittleCast and served as its Board Member &amp; Chief Executive Officer. She is a Co-Founder &amp; serves as Chief Executive Officer and Board Member at All3D.She serves as SVP, Strategy of Datran Media. She founded and served as a Chief Executive Officer of Allvoices Inc. Ms. Tareen is a Partner of Sevin Rosen Funds, Sevin Rosen Funds X, L.P., Sevin Rosen Fund VIII, L.P. and Sevin Rosen IX, L.P. She joined Sevin Rosen Funds in 2000. Ms. Tareen is a specialist in telecommunications and networking. She worked with various telecom companies. She served as Chief Executive Officer of Masala Inc. Her previous experience includes management positions at leading communications companies : Lucent Technologies and Ascend Communications, where she played a key role in growing Ascend's DSL business. She serves on the Boards of Clovis, OpenClovis, Inc. and LambdaOptical Systems, Inc. She served as Director of Sereniti, Inc. (formerly Lemur Networks). Ms. Tareen received a Bachelors of Electrical Engineering, a Bachelors of Computer Science degree from University of New South Wales, Australia and an M.B.A. from Harvard University. She serves as the Board Member at Lambda OpticalSystems.</t>
  </si>
  <si>
    <t>Harvard Business School, MBA (Master of Business Administration), 1995, General Management, University of New South Wales, Bachelor's, University of New South Wales, BE (Bachelor of Engineering), 1991, Electrical Engineering</t>
  </si>
  <si>
    <t>94129</t>
  </si>
  <si>
    <t>www.all3d.ai</t>
  </si>
  <si>
    <t>134751-70T</t>
  </si>
  <si>
    <t>Alloy Automation</t>
  </si>
  <si>
    <t>433942-03</t>
  </si>
  <si>
    <t>Abstract Ventures, Bain Capital Ventures(Kevin Zhang), BoxGroup, Brian Long(Brian Long), Browder Capital(Joshua Browder), Bryant Chou(Bryant Chou), Color (Portland), Contrary (San Francisco), Global Founders Capital(Donald Stalter), Hummingbird Ventures, Index Ventures, Interlace Ventures, Kevin Liu(Kevin Liu), Laura Wu(Laura Wu), Operator Partners, Soma Capital, Y Combinator</t>
  </si>
  <si>
    <t>Abstract Ventures (abstract.vc), Bain Capital Ventures (www.baincapitalventures.com), BoxGroup (www.boxgroup.com), Brian Long (brianlong.tv), Browder Capital (www.browdercapital.com), Color (Portland) (color.capital), Contrary (San Francisco) (www.contrary.com), Global Founders Capital (www.globalfounderscapital.com), Hummingbird Ventures (www.hummingbird.vc), Index Ventures (www.indexventures.com), Interlace Ventures (www.interlacevc.com), Operator Partners (www.operatorpartners.com), Soma Capital (somacap.com), Y Combinator (www.ycombinator.com)</t>
  </si>
  <si>
    <t>Developer of a no-code automation platform designed to help businesses reclaim time and focus on growth. The company's platform connects and integrates sales, marketing, customer support, and messaging applications and then creates automated workflows without code to execute complex workflows quickly, enabling companies to save money and time used in manual work and also increase efficiency.</t>
  </si>
  <si>
    <t>The company raised $20.66 million of Series A venture funding in a deal led by Andreessen Horowitz on February 22, 2022, putting the company's pre-money valuation at $80 million. Kin Ventures and 11 other investors also participated in the round. The funds will be used to accelerate the company's vision to become the connection hub for all e-commerce tools and the control panel from which brands can automate work.</t>
  </si>
  <si>
    <t>Artificial Intelligence &amp; Machine Learning, E-Commerce, Marketing Tech, SaaS</t>
  </si>
  <si>
    <t>automation model, automation platform, automation tools, computer software, integration data, integration model, no-code automation, software development</t>
  </si>
  <si>
    <t>293233-60P</t>
  </si>
  <si>
    <t>Sara Du</t>
  </si>
  <si>
    <t>+1 (678) 315-7113</t>
  </si>
  <si>
    <t>sara@runalloy.com</t>
  </si>
  <si>
    <t>Ms. Sara Du is the Founder &amp; serves as Chief Executive Officer at Alloy Automation. She is an Angel Investor.</t>
  </si>
  <si>
    <t>The company raised $5.00 million of seed funding in a deal led by Abstract Ventures and Bain Capital Ventures on February 3, 2021, putting the company's pre-money valuation at $15.00 million. Hummingbird Ventures, Operator Partners, Interlace Ventures, BoxGroup, Color, Contrary, Browder Capital, Soma Capital, Index Ventures, Global Founders Capital, Y Combinator, Kevin Liu, Bryant Chou, Laura Behrens Wu, and Brian Long also participated in the round. The funds will be used to build out its user community, expand its sales and engineering teams, accelerate its product roadmap, and deepen partnerships.</t>
  </si>
  <si>
    <t>Abstract Ventures, Bain Capital Ventures, BoxGroup, Brian Long, Browder Capital, Bryant Chou, Color (Portland), Contrary (San Francisco), Global Founders Capital, Hummingbird Ventures, Index Ventures, Interlace Ventures, Kevin Liu, Laura Wu, Operator Partners, Soma Capital</t>
  </si>
  <si>
    <t>Abstract Ventures, Bain Capital Ventures(Kevin Zhang)</t>
  </si>
  <si>
    <t>Abstract Ventures Fund II(Abstract Ventures), Bain Capital Venture Fund 2014(Bain Capital Ventures), BoxGroup Four(BoxGroup), Contrary Capital Fund I(Contrary (San Francisco)), Hummingbird Ventures III(Hummingbird Ventures), Index Ventures X(Index Ventures), Interlace Ventures(Interlace Ventures), Y Combinator Continuity Affiliates Fund II(Y Combinator)</t>
  </si>
  <si>
    <t>Goodwin Procter (Legal Advisor to Bain Capital Ventures, Ryan Stouffer), Gunderson Dettmer (Legal Advisor to Company)</t>
  </si>
  <si>
    <t>Gunderson Dettmer (Legal Advisor to Company)</t>
  </si>
  <si>
    <t>Goodwin Procter (Legal Advisor to Bain Capital Ventures, Ryan Stouffer)</t>
  </si>
  <si>
    <t>Newark, NJ</t>
  </si>
  <si>
    <t>Newark</t>
  </si>
  <si>
    <t>New Jersey</t>
  </si>
  <si>
    <t>www.runalloy.com</t>
  </si>
  <si>
    <t>184781-80T</t>
  </si>
  <si>
    <t>AllSpice.io</t>
  </si>
  <si>
    <t>442405-90</t>
  </si>
  <si>
    <t>Bowery Capital(Loren Straub), Brightlane Ventures, Flybridge Capital Partners, Root Ventures(Chrissy Meyer), Scott Miller, The MBA Fund, XFactor Ventures</t>
  </si>
  <si>
    <t>Bowery Capital (www.bowerycap.com), Brightlane Ventures (www.brightlane.co), Flybridge Capital Partners (www.flybridge.com), Root Ventures (root.vc/welcome.htm), The MBA Fund (www.thembafund.com), XFactor Ventures (www.xfactor.ventures)</t>
  </si>
  <si>
    <t>Developer of a product design management platform designed to streamline hardware development. The company's platform integrates with native hardware engineering design tools to provide revision control, and a central platform for collaboration and design analytics, enabling hardware engineers to automate their development process and collaborate on designs.</t>
  </si>
  <si>
    <t>The company joined Greentown Labs on an undisclosed date.</t>
  </si>
  <si>
    <t>Business/Productivity Software*, Software Development Applications</t>
  </si>
  <si>
    <t>analytics and insights, api design, design process, hardware development platform, hardware integration, integration model, kms, knowledge management system, workflow analysis, workflow automation</t>
  </si>
  <si>
    <t>242974-09P</t>
  </si>
  <si>
    <t>Valentina Ratner</t>
  </si>
  <si>
    <t>+1 (617) 372-5410</t>
  </si>
  <si>
    <t>valentina@allspice.io</t>
  </si>
  <si>
    <t>Ms. Valentina Ratner is a Co-Founder and serves as Chief Executive Officer and Board Member at AllSpice.io. A former Amazon PM, she managed $50 million a year in physical infrastructure projects behind the company's online shopping experience, launching 10 delivery stations, 2 sort centers, and 8 special logistics projects. While at Amazon, she also oversaw the design, implementation, and adoption of internal productivity software to bring the staff managing these physical back-end projects offline into a collaborative digital platform to support the company's rapid scaling. Valentina holds a BS in Mechanical Engineering from Boston University, as well as an MS in Engineering with a focus on Computer Science from Harvard University and an MBA from Harvard Business School, where she received the inaugural Dupré Nunnelly Innovation Leader Award.</t>
  </si>
  <si>
    <t>Bachelor's, 2013, Industrial Engineering, Boston University, BS (Bachelor of Science), 2016, Mechanical Engineering, Harvard Business School, MBA (Master of Business Administration), Harvard University, MS (Master of Science), Computer Science, Engineering</t>
  </si>
  <si>
    <t>The company raised $3.78 million through a combination of Seed 1 and Seed 2 funding in a deal led by Bowery Capital and Root Ventures on December 8, 2021, putting the company's pre-money valuation at $9 million. XFactor Ventures, Brightlane Ventures, Flybridge (New York), The MBA Fund, Scott Miller and other undisclosed investors also participated in the round.</t>
  </si>
  <si>
    <t>Bowery Capital, Brightlane Ventures, Flybridge Capital Partners, Root Ventures, Scott Miller, The MBA Fund, XFactor Ventures</t>
  </si>
  <si>
    <t>Bowery Capital(Loren Straub), Root Ventures(Chrissy Meyer)</t>
  </si>
  <si>
    <t>Bowery Capital II(Bowery Capital), Flybridge Capital Partners VI(Flybridge Capital Partners), Root Ventures II(Root Ventures), The MBA Fund II(The MBA Fund)</t>
  </si>
  <si>
    <t>Somerville, MA</t>
  </si>
  <si>
    <t>Somerville</t>
  </si>
  <si>
    <t>Massachusetts</t>
  </si>
  <si>
    <t>02143</t>
  </si>
  <si>
    <t>www.allspice.io</t>
  </si>
  <si>
    <t>215258-50T</t>
  </si>
  <si>
    <t>Allspring</t>
  </si>
  <si>
    <t>471221-74</t>
  </si>
  <si>
    <t>Antler, Immoderata</t>
  </si>
  <si>
    <t>Antler (www.antler.co), Immoderata (www.immoderata.com)</t>
  </si>
  <si>
    <t>Developer of a career coaching platform based on learning and practice intended to help employees move faster toward their goals. The company's platform utilizes real-time, bite-sized learning and practice-based coaching methods with accessible mentorship throughout job transition and a reliable way to the calendar every step of the journey turning career coaching into a tangible reality, enabling young professionals to conveniently connect with career coaches, financial advisors and mental health professionals for trusted guidance on their next career move.</t>
  </si>
  <si>
    <t>The company joined ACT House as a part of Cohort 5 of the ACT Accelerator on November 6, 2023 and received $70,000 in funding.</t>
  </si>
  <si>
    <t>Education and Training Services (B2B)</t>
  </si>
  <si>
    <t>Education and Training Services (B2B)*, Educational Software, Media and Information Services (B2B)</t>
  </si>
  <si>
    <t>EdTech</t>
  </si>
  <si>
    <t>bite-sized learning, career coaching, career guide, mental health coaching, professional training, real time coaching</t>
  </si>
  <si>
    <t>229857-04P</t>
  </si>
  <si>
    <t>Erin Rowe</t>
  </si>
  <si>
    <t>erin@tryallspring.com</t>
  </si>
  <si>
    <t>Ms. Erin Rowe is a Co-Founder and serves as Chief Executive Officer at Allspring. She founded and served as Chief Executive Officer at NextStep.</t>
  </si>
  <si>
    <t>Degree, Business</t>
  </si>
  <si>
    <t>The company raised $200,000 of pre-seed funding in a deal led by Antler on August 2, 2022. Immoderata and other undisclosed investors also participated in the round.</t>
  </si>
  <si>
    <t>Antler</t>
  </si>
  <si>
    <t>www.tryallspring.com</t>
  </si>
  <si>
    <t>228172-24T</t>
  </si>
  <si>
    <t>Alluvial (Financial Software)</t>
  </si>
  <si>
    <t>497717-29</t>
  </si>
  <si>
    <t>Coinbase Ventures, Figment Capital, Kiln (Financial Software), Kraken Ventures</t>
  </si>
  <si>
    <t>Figment Capital (www.figmentcapital.io), Kiln (Financial Software) (www.kiln.fi), Kraken Ventures (www.krakenventures.com)</t>
  </si>
  <si>
    <t>Developer of an enterprise-grade liquid staking platform designed to integrate digital assets into institutions' portfolios. The company's platform allows token holders to receive rewards from their staked digital assets while ensuring that their digital assets are freely tradeable and usable in other applications, enabling enterprises to address the need for compliance checks.</t>
  </si>
  <si>
    <t>The company raised $4.3 million of venture funding in a deal led by Variant on November 12, 2024. TrueBridge Capital Partners and 6 other investors also participated in the round.</t>
  </si>
  <si>
    <t>Financial Software*, Other Financial Services</t>
  </si>
  <si>
    <t>Cryptocurrency/Blockchain, FinTech, SaaS</t>
  </si>
  <si>
    <t>blockchain products, cryptic tokens, decentralized finance, financial products, liquid stake, web 3 technology</t>
  </si>
  <si>
    <t>Decentralized Finance</t>
  </si>
  <si>
    <t>319254-31P</t>
  </si>
  <si>
    <t>Mara Schmiedt</t>
  </si>
  <si>
    <t>mara@alluvial.finance</t>
  </si>
  <si>
    <t>Ms. Mara Schmiedt serves as Chief Executive Officer at Alluvial Finance. She also served as Chief Growth Officer at Alluvial Finance.</t>
  </si>
  <si>
    <t>The company raised $6.3 million of seed funding from Coinbase Ventures, Kiln and Kraken Ventures in 2022. Figment Capital also participated in the round.</t>
  </si>
  <si>
    <t>New Castle, DE</t>
  </si>
  <si>
    <t>New Castle</t>
  </si>
  <si>
    <t>Delaware</t>
  </si>
  <si>
    <t>www.alluvial.finance</t>
  </si>
  <si>
    <t>266675-59T</t>
  </si>
  <si>
    <t>ALMA (Business/Productivity Software)</t>
  </si>
  <si>
    <t>552667-15</t>
  </si>
  <si>
    <t>Bling Capital, Conviction Partners, Forerunner Ventures, MVP Ventures, New Enterprise Associates, NFX, Silkroad Innovation Hub, Village Global</t>
  </si>
  <si>
    <t>Bling Capital (www.blingcap.com), Conviction Partners (conviction.com), Forerunner Ventures (www.forerunnerventures.com), MVP Ventures (www.mvp-vc.com), New Enterprise Associates (www.nea.com), NFX (www.nfx.com), Silkroad Innovation Hub (www.silkroadinnovationhub.com), Village Global (www.villageglobal.vc)</t>
  </si>
  <si>
    <t>Developer of a document drafting platform designed for streamlining the immigration process. The company's platform allows users to select case types and upload relevant documents automates the legal document generation process, and offers confidentiality and security, critical thinking, and drafting assistance, enabling businesses to empower their attorneys to perform better in the profession.</t>
  </si>
  <si>
    <t>The company raised $5.1 million of seed funding from Bling Capital, Forerunner Ventures and Village Global on July 2024. NFX, New Enterprise Associates, Conviction Partners, MVP Ventures and Silkroad Innovation Hub also participated in the round.</t>
  </si>
  <si>
    <t>Legal Tech</t>
  </si>
  <si>
    <t>assistance care, attorney fee, critical thinking, document drafting, drafting service, legal document drafting, professional landscaping</t>
  </si>
  <si>
    <t>404611-57P</t>
  </si>
  <si>
    <t>Aizada Marat</t>
  </si>
  <si>
    <t>Ms. Aizada Marat is a Co-Founder &amp; serves as Chief Executive Officer at ALMA.</t>
  </si>
  <si>
    <t>Palo Alto, CA</t>
  </si>
  <si>
    <t>Palo Alto</t>
  </si>
  <si>
    <t>94301</t>
  </si>
  <si>
    <t>www.tryalma.ai</t>
  </si>
  <si>
    <t>260521-75T</t>
  </si>
  <si>
    <t>Alo Index</t>
  </si>
  <si>
    <t>540964-72</t>
  </si>
  <si>
    <t>Impellent Ventures(Philip Beauregard), Techstars(Jordan Fliegel)</t>
  </si>
  <si>
    <t>Impellent Ventures (www.impellent.vc), Techstars (www.techstars.com)</t>
  </si>
  <si>
    <t>Developer of an AI-powered hotel ESG data platform intended to connect ESG-focused travel buyers and sellers. The platform offers travel managers detailed ESG performance breakdowns, comparison tools, and customized procurement, while hotel managers can submit ESG data once and distribute it on demand, and gain insights into their performance in context, enabling buyers to make informed procurement decisions and sellers to showcase their ESG strengths.</t>
  </si>
  <si>
    <t>The company raised $1.9 million of pre-seed funding in the form of convertible debt in a deal led by Impellent Ventures on April 17, 2024. Techstars and other undisclosed investors also participated in the round. The funds will be used to advance the company's platform's reporting and verification features and expedite its hotel onboarding process.</t>
  </si>
  <si>
    <t>Business/Productivity Software, Information Services (B2C), Media and Information Services (B2B)*</t>
  </si>
  <si>
    <t>Climate Tech, LOHAS &amp; Wellness, SaaS</t>
  </si>
  <si>
    <t>business travel, corporate travel, esg data, hotel marketplace, sustainable travel, travel management</t>
  </si>
  <si>
    <t>375199-03P</t>
  </si>
  <si>
    <t>Anna Feinberg</t>
  </si>
  <si>
    <t>anna@aloindex.com</t>
  </si>
  <si>
    <t>Ms. Anna Feinberg is a Co-Founder &amp; serves as Chief Executive Officer at Alo Index. She led the $90M global travel program at BNY Mellon, the enterprise's global travel procurement team, and relationships with more than 500 contracted hotels, airlines, ground transportation, and online travel booking suppliers. Prior to travel, shemanaged end-to-end solutions for supplier contracting and payments systems. She also has a track record leading community sustainability initiatives, and in her decade as Board President of a rural Boys &amp; Girls Club, she led a multi-million dollar push to build a LEED Platinum facility using local suppliers and materials.</t>
  </si>
  <si>
    <t>Impellent Ventures</t>
  </si>
  <si>
    <t>Impellent Ventures(Philip Beauregard)</t>
  </si>
  <si>
    <t>Impellent Ventures II(Impellent Ventures)</t>
  </si>
  <si>
    <t>www.aloindex.com</t>
  </si>
  <si>
    <t>Bridge Loan - $1.90M (Convertible)</t>
  </si>
  <si>
    <t>271724-77T</t>
  </si>
  <si>
    <t>Alosant</t>
  </si>
  <si>
    <t>537636-07</t>
  </si>
  <si>
    <t>Bangtail Partners(Greg Avis)</t>
  </si>
  <si>
    <t>Bangtail Partners (www.bangtailpartners.com)</t>
  </si>
  <si>
    <t>Operator of a community engagement platform intended to foster connections and communication within residential and commercial developments. The company offers a comprehensive mobile application that integrates features such as resident directories, event calendars, service requests, and real-time notifications, enabling property managers and developers to enhance resident satisfaction, streamline operations, and build thriving communities that offer a superior living experience.</t>
  </si>
  <si>
    <t>The company raised an estimated $2.5 million through a Series A and Series A-1 venture funding in a deal led by Bangtail Partners on September 10, 2024, putting the company's pre-money valuation at $7.5 million. Other undisclosed investors also participated in the round. The funds will be used to drive innovation.</t>
  </si>
  <si>
    <t>Marketing Tech, Real Estate Technology, SaaS</t>
  </si>
  <si>
    <t>lifestyle tech, planned community, real estate marketplace, real estate software, residential community, residential platform</t>
  </si>
  <si>
    <t>232527-61P</t>
  </si>
  <si>
    <t>April LaMon</t>
  </si>
  <si>
    <t>+1 (406) 414-6840</t>
  </si>
  <si>
    <t>april@alosant.com</t>
  </si>
  <si>
    <t>Ms. April LaMon is a Co-Founder and serves as Chief Executive Officer at Alosant. She is a Co-Founder of Lead InSite.</t>
  </si>
  <si>
    <t>Bangtail Partners</t>
  </si>
  <si>
    <t>Bozeman, MT</t>
  </si>
  <si>
    <t>Bozeman</t>
  </si>
  <si>
    <t>Montana</t>
  </si>
  <si>
    <t>59718</t>
  </si>
  <si>
    <t>www.alosant.com</t>
  </si>
  <si>
    <t>196142-14T</t>
  </si>
  <si>
    <t>Alphy</t>
  </si>
  <si>
    <t>472168-36</t>
  </si>
  <si>
    <t>Bill Lanfri(Bill Lanfri), Capital Eleven, Emerson Collective, Gregory Green(Gregory Green), Jim Goetz(Jim Goetz), John Fisher, Kevin Scott(Kevin Scott), Mark Pincus(Mark Pincus), Meridee Moore(Meridee Moore), MJ Elmore(MJ Elmore), S-Cubed Capital, Sonja Perkins(Sonja Perkins), Theresia Gouw(Theresia Gouw), True Equity, William Hearst(William Hearst)</t>
  </si>
  <si>
    <t>Capital Eleven (www.capitaleleven.com), Emerson Collective (www.emersoncollective.com), S-Cubed Capital (www.scubedcap.com), True Equity (www.trueequityinvestments.com)</t>
  </si>
  <si>
    <t>Developer of an Artificial intelligence (AI) communications compliance technology intended to reduce the risk of litigation and reputational damage from harmful and unlawful communication. The company's proprietary classifier, reflects AI, detects harmful, illegal and unethical language in digital communication in real-time to detect sensitive language in blackouts and restricted lists, significantly reducing false positives and increasing accuracy detection, enabling employees to reconsider and rephrase language that may land them in trouble.</t>
  </si>
  <si>
    <t>The company raised $7.5 million of seed funding from Capital Eleven, True Equity and Gregory Green on June 14, 2022. MJ Elmore and 11 other investors also participated in the round.</t>
  </si>
  <si>
    <t>Artificial Intelligence &amp; Machine Learning, HR Tech, SaaS</t>
  </si>
  <si>
    <t>artificial intelligence system, communication compliance, embedded software, human communication, litigation services, talent management</t>
  </si>
  <si>
    <t>273660-49P</t>
  </si>
  <si>
    <t>Julian Guthrie</t>
  </si>
  <si>
    <t>+1 (415) 728-3566</t>
  </si>
  <si>
    <t>julian@alphyco.com</t>
  </si>
  <si>
    <t>Ms. Julian Guthrie is the Founder and serves as Chief Executive Officer at Alphy.</t>
  </si>
  <si>
    <t>The company raised $1.5 million of seed funding from Capital Eleven, True Equity and Gregory Green on June 14, 2022, putting the company's pre-money valuation at $6 million. MJ Elmore, John Fisher, Jim Goetz, Theresia Gouw, William Hearst, Bill Lanfri, Meridee Moore, Sonja Perkins, Mark Pincus, Kevin Scott, S-Cubed Capital and Emerson Collective also participated in the round.</t>
  </si>
  <si>
    <t>Bill Lanfri, Capital Eleven, Emerson Collective, Gregory Green, Jim Goetz, John Fisher, Kevin Scott, Mark Pincus, Meridee Moore, MJ Elmore, S-Cubed Capital, Sonja Perkins, Theresia Gouw, True Equity, William Hearst</t>
  </si>
  <si>
    <t>Hayden, ID</t>
  </si>
  <si>
    <t>Hayden</t>
  </si>
  <si>
    <t>Idaho</t>
  </si>
  <si>
    <t>83835</t>
  </si>
  <si>
    <t>www.alphyco.com</t>
  </si>
  <si>
    <t>244512-01T</t>
  </si>
  <si>
    <t>Alt/Finance</t>
  </si>
  <si>
    <t>539289-19</t>
  </si>
  <si>
    <t>DigitalUndivided, Techstars, Visible Hands</t>
  </si>
  <si>
    <t>DigitalUndivided (www.digitalundivided.com), Techstars (www.techstars.com), Visible Hands (www.visiblehands.vc)</t>
  </si>
  <si>
    <t>Developer of a financial data platform designed for alternative real assets. The company's platform delivers financial data feeds, integrations, and software services for real-time views of market performance, enabling clients to track investments in luxury collectibles with unified market data insights.</t>
  </si>
  <si>
    <t>The company joined FinTech Innovation Lab on March 28, 2024.</t>
  </si>
  <si>
    <t>alternative asset, data science tools, financial data, financial data software, market data information, wealth management</t>
  </si>
  <si>
    <t>290782-63P</t>
  </si>
  <si>
    <t>Sharon Obuobi</t>
  </si>
  <si>
    <t>sobuobi@altfndata.com</t>
  </si>
  <si>
    <t>Ms. Sharon Obuobi is the Founder &amp; serves as Chief Executive Officer at Alt/Finance. She co-founded and served as Chief Executive Officer and Company Director at Oarbt.</t>
  </si>
  <si>
    <t>The company raised $500,000 of pre-seed funding from DigitalUndivided, Visible Hands and Techstars on September 25, 2023, putting the company's pre-money valuation at $4.5 million. Other undisclosed investors also participated in this round.</t>
  </si>
  <si>
    <t>10018</t>
  </si>
  <si>
    <t>www.altfndata.com</t>
  </si>
  <si>
    <t>215076-88T</t>
  </si>
  <si>
    <t>Alta Revenue Platform</t>
  </si>
  <si>
    <t>517709-62</t>
  </si>
  <si>
    <t>Entrée Capital(Aviad Eyal), Target Global(Shmuel Chafets), Verissimo Ventures(Alex Oppenheimer)</t>
  </si>
  <si>
    <t>Entrée Capital (www.entreecap.com), Target Global (www.targetglobal.vc), Verissimo Ventures (verissimo.vc)</t>
  </si>
  <si>
    <t>Operator of an AI-powered revenue intelligence platform designed to help companies optimize revenue and growth. The platform assists in identifying bottlenecks and detecting anomalies, enabling actionable insights and root cause analysis.</t>
  </si>
  <si>
    <t>The company raised $7 million of pre-seed funding in a deal led by Entrée Capital and Target Global on April 3, 2023, putting the company's pre-money valuation at $17 million. Verissimo Ventures and other undisclosed investors also participated in the round.</t>
  </si>
  <si>
    <t>ai automation platform, analytics &amp; business intelligence, analytics and business intelligence, analytics platform, analytics platform software, business analysis, customer success, data analysis platform, data analytics solution, data and analysis, revenue cycle management, revenue engine, revenue intelligence, sales optimization</t>
  </si>
  <si>
    <t>330322-96P</t>
  </si>
  <si>
    <t>Stav Levi-Neumark</t>
  </si>
  <si>
    <t>stav@altahq.com</t>
  </si>
  <si>
    <t>Ms. Stav Levi-Neumark is a Co-Founder and serves as Chief Executive Officer at Alta Revenue Platform. She led an internal BI platform, "Big Brain", that is now relied on for all day-to-day operations by the entire company. Previously, a product lead of growth org at monday, generating millions of dollars in revenues.</t>
  </si>
  <si>
    <t>Hebrew University of Jerusalem, BS (Bachelor of Science), Computer Science and Statistics, Hebrew University of Jerusalem, Degree, Statistics</t>
  </si>
  <si>
    <t>Entrée Capital, Target Global, Verissimo Ventures</t>
  </si>
  <si>
    <t>Entrée Capital(Aviad Eyal), Target Global(Shmuel Chafets)</t>
  </si>
  <si>
    <t>ECV Israel Early Stage IV(Entrée Capital), Target Global Early Stage Fund III(Target Global), Verissimo Ventures Fund 2(Verissimo Ventures)</t>
  </si>
  <si>
    <t>10023</t>
  </si>
  <si>
    <t>www.altahq.com</t>
  </si>
  <si>
    <t>191770-75T</t>
  </si>
  <si>
    <t>AltComm</t>
  </si>
  <si>
    <t>490989-79</t>
  </si>
  <si>
    <t>Red Tail Ventures</t>
  </si>
  <si>
    <t>Red Tail Ventures (www.redtailventuresllc.com)</t>
  </si>
  <si>
    <t>Developer of an AI-powered point-of-care communication platform designed to reduce the cost of medical errors. The company's platform provides contextually relevant response options and recognizes emergent symptoms on time with accurate symptom exploration, enabling patients to access nurse call systems and accurately communicate with their doctors.</t>
  </si>
  <si>
    <t>The company raised $1 million of seed funding from Red Tail Ventures and other undisclosed investors, putting the company's pre-money valuation at $6 million.</t>
  </si>
  <si>
    <t>Communication Software</t>
  </si>
  <si>
    <t>Communication Software*, Other Healthcare Services, Other Healthcare Technology Systems</t>
  </si>
  <si>
    <t>Artificial Intelligence &amp; Machine Learning, Digital Health, HealthTech, SaaS, TMT</t>
  </si>
  <si>
    <t>alternative communication, augmentative communication, communication assistance, communication barriers, communication line, communication software, communication tool, patient-provider communication, point-of-care, symptoms analysis, symptoms tracker</t>
  </si>
  <si>
    <t>Clinical Trials - Phase 1</t>
  </si>
  <si>
    <t>289815-40P</t>
  </si>
  <si>
    <t>Antonella Ceano-Vivas</t>
  </si>
  <si>
    <t>antonella@altcomm.co</t>
  </si>
  <si>
    <t>Ms. Antonella Ceano-Vivas co-founded and served as Chief Executive Officer at AltComm.</t>
  </si>
  <si>
    <t>Massachusetts Institute of Technology (MIT), MS (Master of Science), Biomedical Engineering</t>
  </si>
  <si>
    <t>Boston, MA</t>
  </si>
  <si>
    <t>Boston</t>
  </si>
  <si>
    <t>02142</t>
  </si>
  <si>
    <t>www.altcomm.co</t>
  </si>
  <si>
    <t>171842-68T</t>
  </si>
  <si>
    <t>Ambrook</t>
  </si>
  <si>
    <t>465227-29</t>
  </si>
  <si>
    <t>BoxGroup, Designer Fund, Mischief</t>
  </si>
  <si>
    <t>BoxGroup (www.boxgroup.com), Designer Fund (www.designerfund.com), Mischief (www.mischief.xyz)</t>
  </si>
  <si>
    <t>Developer of an online lending platform designed to help farmers discover and apply for any kind of farm assistance. The company's platform provides a management tool for modern farms that can explore grants, loans, and financial assistance for clients' agricultural operations, enabling farmers to explore financial assistance options.</t>
  </si>
  <si>
    <t>The company raised an undisclosed amount of venture funding from Homebrew in approximately May 2022.</t>
  </si>
  <si>
    <t>Business/Productivity Software, Financial Software*, Other Financial Services</t>
  </si>
  <si>
    <t>ap automation, ar automation, cfo stack, expense management, farmers assistance services, financial assistance platform, financial tool, management software, online lending platform, sustainable profitability</t>
  </si>
  <si>
    <t>131303-98P</t>
  </si>
  <si>
    <t>Mackenzie Burnett</t>
  </si>
  <si>
    <t>+1 (303) 554-6845</t>
  </si>
  <si>
    <t>mfburnett@gmail.com</t>
  </si>
  <si>
    <t>Ms. Mackenzie Burnett is a Co-Founder &amp; serves as Chief Executive Officer at Ambrook. She Co-Founded and served as the Chief Executive Officer at Redspread. She also served as an Executive at CoreOS. Previously, she served as an Executive Director at Startup Shell. She holds a Bachelor's Degree in Government and International Relations from the University of Maryland.</t>
  </si>
  <si>
    <t>Stanford University, MA (Master of Arts), 2019, international policy &amp; climate security, University of Maryland, College Park, BA (Bachelor of Arts), 2015, Government and Politics</t>
  </si>
  <si>
    <t>The company raised an estimated $17.9 million through a combination of Series A, Series A-1, Series A-2, Series A-3 and Series A-4 venture funding from Designer Fund, BoxGroup and Mischief on May 1, 2021, putting the company's pre-money valuation at $62.1 million.</t>
  </si>
  <si>
    <t>BoxGroup Four(BoxGroup), Designer Fund II(Designer Fund)</t>
  </si>
  <si>
    <t>www.ambrook.com</t>
  </si>
  <si>
    <t>224019-82T</t>
  </si>
  <si>
    <t>Amini</t>
  </si>
  <si>
    <t>527422-87</t>
  </si>
  <si>
    <t>EMURGO Kepple Ventures, Pale blue dot, Rally Cap VC, Satgana, Superorganism, W3i</t>
  </si>
  <si>
    <t>EMURGO Kepple Ventures (ekv.emurgo.africa), Pale blue dot (www.paleblue.vc), Rally Cap VC (www.rallycap.vc), Satgana (www.satgana.com), Superorganism (superorganism.com), W3i (www.W3i.com)</t>
  </si>
  <si>
    <t>Developer of a climate tech business technology intended to offer artificial intelligence and a satellite system to access Africa's environmental data and promote economic inclusivity for farmers. The company offers data collection and intelligence infrastructure, to manage environmental damages, by empowering the ecosystem through data and fostering opportunities, providing clients with a single source for environmental data platform in Africa.</t>
  </si>
  <si>
    <t>The company raised $4 million of seed funding in a deal led by Salesforce Ventures and Female Founders Fund on November 30, 2023. Pale blue dot, Superorganism, and Satgana also participated in the round. Previously, the company raised $2 million of pre-seed funding in a deal led by Pale blue dot on May 17, 2023. EMURGO Ventures, Superorganism, W3i, RaliCap, and Satgana also participated in the round. Prior to that, the company joined Seraphim Space on May 4, 2023.</t>
  </si>
  <si>
    <t>Database Software</t>
  </si>
  <si>
    <t>Business/Productivity Software, Database Software*, Media and Information Services (B2B)</t>
  </si>
  <si>
    <t>Artificial Intelligence &amp; Machine Learning, Big Data, CleanTech, Climate Tech</t>
  </si>
  <si>
    <t>ai based, climate data, data collection, earthing data, environmental data, industrial data analytics, land use, space technology, supply chain, sustainability practices, vertical application</t>
  </si>
  <si>
    <t>348031-00P</t>
  </si>
  <si>
    <t>Kate Kallot</t>
  </si>
  <si>
    <t>+1 (646) 595-6796</t>
  </si>
  <si>
    <t>kate@amini.ai</t>
  </si>
  <si>
    <t>Ms. Kate Kallot is the Founder &amp; serves as Chief Executive Officer at Amini.</t>
  </si>
  <si>
    <t>The company raised $2 million of pre-seed funding in a deal led by Pale blue dot on May 17, 2023. EMURGO Kepple Ventures, Superorganism, W3i, RaliCap, and Satgana also participated in the round.</t>
  </si>
  <si>
    <t>Pale blue dot</t>
  </si>
  <si>
    <t>RaliCap Fund I(Rally Cap VC), Rally Cap Climate Tech Fund(Rally Cap VC)</t>
  </si>
  <si>
    <t>Cooley (Legal Advisor to Company)</t>
  </si>
  <si>
    <t>19709</t>
  </si>
  <si>
    <t>www.amini.ai</t>
  </si>
  <si>
    <t>198765-01T</t>
  </si>
  <si>
    <t>Amplio (Business/Productivity Software)</t>
  </si>
  <si>
    <t>399046-33</t>
  </si>
  <si>
    <t>Pax Momentum</t>
  </si>
  <si>
    <t>Pax Momentum (www.paxmv.vc)</t>
  </si>
  <si>
    <t>Developer of an analytics platform designed to help employers retain and get the most out of their employees. The company's ecosystem has pioneered technology that incorporates biofeedback and psychometric measures to help employees understand when they are under stress, what is stressing them out, and how to respond to that stressor so that it loses its hold, enabling organizations to reduce employee burnout and help them maintain their mental health.</t>
  </si>
  <si>
    <t>The company was in talks to receive an undisclosed amount of seed funding on September 14, 2022. Subsequently, the deal was cancelled. Previously, the company raised $100,000 of venture funding in the form of SAFE notes from Pax Momentum and other undisclosed investors on August 4, 2022.</t>
  </si>
  <si>
    <t>Artificial Intelligence &amp; Machine Learning, LOHAS &amp; Wellness, SaaS</t>
  </si>
  <si>
    <t>cognitive learning skills, corporate wellness, employee development platform, employee wellness, hr technology, human resources, workforce management app</t>
  </si>
  <si>
    <t>307500-22P</t>
  </si>
  <si>
    <t>Noel Ford</t>
  </si>
  <si>
    <t>+1 (408) 464-0984</t>
  </si>
  <si>
    <t>Ms. Noel Ford is a Co-Founder &amp; serves as Chief Executive Officer and Board Member at Amplio.</t>
  </si>
  <si>
    <t>The company raised $100,000 of venture funding in the form of SAFE notes from Pax Momentum and other undisclosed investors on August 4, 2022.</t>
  </si>
  <si>
    <t>Chantilly, VA</t>
  </si>
  <si>
    <t>Chantilly</t>
  </si>
  <si>
    <t>Virginia</t>
  </si>
  <si>
    <t>20152</t>
  </si>
  <si>
    <t>www.amplio.ai</t>
  </si>
  <si>
    <t>203622-58T</t>
  </si>
  <si>
    <t>Andi (Internet Software)</t>
  </si>
  <si>
    <t>493375-51</t>
  </si>
  <si>
    <t>Acacia Venture Capital Partners, BBQ Capital, Fepo Capital, Gaingels, Goodwater Capital, K20 Fund, Realm Capital Ventures, Y Combinator</t>
  </si>
  <si>
    <t>Acacia Venture Capital Partners (www.acaciainvest.com), BBQ Capital (www.bbq.capital), Gaingels (www.gaingels.com), Goodwater Capital (www.goodwatercap.com), K20 Fund (www.k20fund.com), Realm Capital Ventures (www.realmcapitalventures.com), Y Combinator (www.ycombinator.com)</t>
  </si>
  <si>
    <t>Developer of an online search engine platform designed for advertisement-free results. The company's platform offers a new type of conversational search app that is free and anonymous, fights spam, and provides users only the most relevant results, enabling users to find what they need and read it safely without ads or tracking.</t>
  </si>
  <si>
    <t>The company raised $2.5 million of seed funding from Y Combinator, Gaingels, and Goodwater Capital on April 20, 2022. K20 Fund, and other undisclosed angel investors also participated in the round. Previously, the company joined Y Combinator as part of the Winter Batch 2022 in approximately March 2022 and received $500,000 in funding. The funding was initially raised in the form of SAFE notes which subsequently got converted to equity.</t>
  </si>
  <si>
    <t>Internet Software</t>
  </si>
  <si>
    <t>Information Services (B2C), Internet Software*</t>
  </si>
  <si>
    <t>ai chatbot, ai engine, analytics platform, anonymous search engine, generative ai, machine learning, natural language technology, online search engine, unstructured data analytics</t>
  </si>
  <si>
    <t>294507-28P</t>
  </si>
  <si>
    <t>Angela Hoover</t>
  </si>
  <si>
    <t>angela@andisearch.com</t>
  </si>
  <si>
    <t>Ms. Angela Hoover is a Co-Founder and serves as Chief Executive Officer at Andi. Ms. Hoover previously worked with Microsoft on Azure and founded a travel influencer startup, where she saw the potential for affiliate referral commissions to fund content, especially with Gen-Z. She has cloud computing, e-commerce, and customer engagement expertise.</t>
  </si>
  <si>
    <t>The company raised $2.5 million of seed funding from K20 Fund, Acacia Venture Capital Partners and BBQ Capital on April 20, 2022. Fepo Capital, Realm Capital Ventures, Gaingels, Goodwater Capital, Y Combinator and other undisclosed angel investors also participated in the round.</t>
  </si>
  <si>
    <t>Acacia Venture Capital Partners, BBQ Capital, Fepo Capital, Gaingels, Goodwater Capital, K20 Fund, Realm Capital Ventures</t>
  </si>
  <si>
    <t>www.andi.co</t>
  </si>
  <si>
    <t>200081-44T</t>
  </si>
  <si>
    <t>AngeLink</t>
  </si>
  <si>
    <t>501885-01</t>
  </si>
  <si>
    <t>AIM-HI(Sujuan Ba), Markus Rinderer(Markus Rinderer), Onur Haytac(Onur Haytac), Steve Wishner(Steve Wishner)</t>
  </si>
  <si>
    <t>AIM-HI (www.aim-hiaccelerator.org)</t>
  </si>
  <si>
    <t>Operator of a crowdfunding platform intended to close the gap on gender-based economic disparity. The company's platform drives social impact through life-changing technology, enabling users to fundraise for or donate to people they love and causes they believe in, with a safer, more trusted crowdfunding community.</t>
  </si>
  <si>
    <t>The company raised $5.5 million of seed funding from AIM-HI, Onur Haytac and Markus Rinderer on June 21, 2022. Steve Wishner also participated in the round.</t>
  </si>
  <si>
    <t>campaign support, crowdfunding company, crowdfunding platform, fundraising community, fundraising platform, social crowdfunding</t>
  </si>
  <si>
    <t>309942-46P</t>
  </si>
  <si>
    <t>Gerry Poirier</t>
  </si>
  <si>
    <t>+1 (877) 526-4354</t>
  </si>
  <si>
    <t>gerry.poirier@angelink.com</t>
  </si>
  <si>
    <t>Ms. Gerry Poirier is the Founder and serves as Chief Executive Officer &amp; Board Member at AngeLink.</t>
  </si>
  <si>
    <t>AIM-HI, Markus Rinderer, Onur Haytac, Steve Wishner</t>
  </si>
  <si>
    <t>33130</t>
  </si>
  <si>
    <t>www.angelink.com</t>
  </si>
  <si>
    <t>186787-18T</t>
  </si>
  <si>
    <t>Anonybit</t>
  </si>
  <si>
    <t>277241-41</t>
  </si>
  <si>
    <t>A100x, Andy Walter(Andy Walter), Aperture Venture Capital(William Crowder), Connecticut Innovations, Industry Ventures, NextGen Venture Partners, Preceptor Capital, Switch Ventures(Paul Arnold), Target Global</t>
  </si>
  <si>
    <t>A100x (www.a100x.vc), Aperture Venture Capital (www.aperturevc.com), Connecticut Innovations (www.ctinnovations.com), Industry Ventures (www.industryventures.com), NextGen Venture Partners (www.nextgenvp.com), Preceptor Capital (www.preceptorcapital.com), Switch Ventures (www.switch.vc), Target Global (www.targetglobal.vc)</t>
  </si>
  <si>
    <t>Developer of a patented decentralized biometrics infrastructure designed to protect personal data and digital assets. The company offers a flagship integrated identity management software that connects the entire use lifecycle to protect security and eliminate account takeover fraud, enabling users to protect their personal identity online.</t>
  </si>
  <si>
    <t>The company raised $3 million of seed funding in a deal led by JAM FINTOP on October 17, 2023, putting the company's pre-money valuation at $19 million. Connecticut Innovations and 4S Bay Partners also participated in the round. Other undisclosed investors also participated in the round. The funds will be used for the privacy-by-design identity management solutions to enterprises battling data breaches and account takeover attacks.</t>
  </si>
  <si>
    <t>Business/Productivity Software, Network Management Software*, Software Development Applications</t>
  </si>
  <si>
    <t>Cybersecurity</t>
  </si>
  <si>
    <t>biometric identification, biometric platform, data protection technology, data vaulting, data vaulting storage, decentralized platform, identity &amp; access management, identity administration, identity and access management, identity governance, identity governance &amp; administration, identity governance and administration, identity solutions, privacy software, privacy technology</t>
  </si>
  <si>
    <t>151809-85P</t>
  </si>
  <si>
    <t>Frances Zelazny</t>
  </si>
  <si>
    <t>+1 (201) 477-8697</t>
  </si>
  <si>
    <t>frances@anonybit.io</t>
  </si>
  <si>
    <t>Ms. Frances Zelazny is a Co-Founder &amp; serves as Chief Executive Officer at Anonybit. She served as Chief Marketing Officer at CommerceIQ. She served as Chief Marketing Officer at Signals Analytics. She served as Chief Strategy &amp; Marketing Officer at BioCatch. She is a seasoned marketing strategist and business development professional with nearly 20 years of experience with start-up companies. Prior to BioCatch, she ran an independent consulting firm focused on helping early-stage and midsize companies with their business and marketing strategies. Among her clients were MyCheck, a leading mobile payment technology platform, Morpho, a global biometrics and identification company, Center for Global Development, Interamerican Development Bank, and others. Prior to this, she was Corporate Vice President of Marketing &amp; Strategic Operations, for L-1 Identity Solutions, a premier biometrics and identity solutions company. She has a Bachelor's Degree in Political Science from Hofstra University and a Master's Degree in International Affairs from New York University and is on several corporate and non-profit boards.</t>
  </si>
  <si>
    <t>Hofstra University, Bachelor's, Political Science, New York University, Master's, International Affairs</t>
  </si>
  <si>
    <t>The company raised $3.5 million of Seed-3 funding in a deal led by Switch Ventures on January 18, 2022, putting the company's pre-money valuation at $8.5 million. Target Global, NextGen Venture Partners, Industry Ventures, Preceptor Capital, Aperture Venture Capital, A100x, Connecticut Innovations, Andy Walter and other undisclosed investors also participated in the round. The funds will be used for its decentralized biometrics infrastructure solution and to accelerate its work with embedded partners and enterprises in support of the growing need for greater data protection and enhanced digital security.</t>
  </si>
  <si>
    <t>A100x, Andy Walter, Aperture Venture Capital, Connecticut Innovations, Industry Ventures, NextGen Venture Partners, Preceptor Capital, Switch Ventures, Target Global</t>
  </si>
  <si>
    <t>Switch Ventures(Paul Arnold)</t>
  </si>
  <si>
    <t>AVC 2021 Fund(Aperture Venture Capital), NextGen Ventures Fund II(NextGen Venture Partners), Switch Ventures II(Switch Ventures), Target Global Early Stage Fund I(Target Global)</t>
  </si>
  <si>
    <t>Goodwin Procter (Legal Advisor to Switch Ventures, Jon Novotny JD)</t>
  </si>
  <si>
    <t>10028</t>
  </si>
  <si>
    <t>www.anonybit.io</t>
  </si>
  <si>
    <t>174310-75T</t>
  </si>
  <si>
    <t>Anrok</t>
  </si>
  <si>
    <t>467633-44</t>
  </si>
  <si>
    <t>Index Ventures, Sequoia Capital</t>
  </si>
  <si>
    <t>Index Ventures (www.indexventures.com), Sequoia Capital (www.sequoiacap.com)</t>
  </si>
  <si>
    <t>Developer of a sales tax software designed to easily monitor, calculate, and remit tax across any financial stack. The company's software offers configurations, filing frequency alerts, enhanced visibility, and automated filing and remittance, enabling clients to automate the manual work and reduce unnecessary expenses around sales tax and value-added tax.</t>
  </si>
  <si>
    <t>The company raised $47.56 million through a combination of Series B1 and Series B2 venture funding in a deal led by Sequoia Capital, Index Ventures and Khosla Ventures on April 11, 2024, putting the company's pre-money valuation at $195 million. LDV Partners and 7 other investors also participated in the round. Out of the total funding $20 million was originally raised in the form of convertible debt which subsequently got converted into equity. The funds will be used to continue its investment in research and development, as well as product innovation, to solidify its position as the quintessential global tax compliance platform for contemporary finance teams.</t>
  </si>
  <si>
    <t>Automation/Workflow Software, Business/Productivity Software, Financial Software*, Media and Information Services (B2B)</t>
  </si>
  <si>
    <t>FinTech, SaaS</t>
  </si>
  <si>
    <t>cfo stack, enterprise resource planning, erp, financial management system, financial platform, payment system, sales tax, sales tax filing, sales tax nexus, sales tax return, tax filing</t>
  </si>
  <si>
    <t>265262-59P</t>
  </si>
  <si>
    <t>Michelle Valentine</t>
  </si>
  <si>
    <t>+1 (804) 752-3434</t>
  </si>
  <si>
    <t>michelle@anrok.com</t>
  </si>
  <si>
    <t>Ms. Michelle Valentine is a Co-Founder &amp; serves as Chief Executive Officer at Anrok.</t>
  </si>
  <si>
    <t>The company raised $4.33 million of Seed funding in a deal led by Sequoia Capital and Index Ventures on June 14, 2021, putting the company's pre-money valuation at $30 million. Other undisclosed investors also participated in the round.</t>
  </si>
  <si>
    <t>Gunderson Dettmer (Legal Advisor to Index Ventures), Gunderson Dettmer (Legal Advisor to Sequoia Capital), Orrick (Legal Advisor to Company)</t>
  </si>
  <si>
    <t>Orrick (Legal Advisor to Company)</t>
  </si>
  <si>
    <t>Gunderson Dettmer (Legal Advisor to Index Ventures), Gunderson Dettmer (Legal Advisor to Sequoia Capital)</t>
  </si>
  <si>
    <t>94104</t>
  </si>
  <si>
    <t>www.anrok.com</t>
  </si>
  <si>
    <t>190339-30T</t>
  </si>
  <si>
    <t>Ansa</t>
  </si>
  <si>
    <t>493530-49</t>
  </si>
  <si>
    <t>Bain Capital Ventures(Christina Melas-Kyriazi), BoxGroup(Nimi Katragadda), Cambrian Fintech, Gokul Rajaram(Gokul Rajaram), Reshape Ventures(Mukund Menda), Susa Ventures, The Fintech Fund, Wischoff Ventures(Nichole Wischoff), Zachary Perret(Zachary Perret)</t>
  </si>
  <si>
    <t>Bain Capital Ventures (www.baincapitalventures.com), BoxGroup (www.boxgroup.com), Cambrian Fintech (www.cambrianhq.com), Reshape Ventures (www.reshape.co), Susa Ventures (www.susaventures.com), The Fintech Fund (www.thefintechfund.com), Wischoff Ventures (www.wischoff.com)</t>
  </si>
  <si>
    <t>Developer of a closed-loop payment platform designed to help brands create customer balance, load funds and retain and reward loyal customers. The company's platform helps to drive customer loyalty by funding their balances and providing insights on their spending behavior, enabling clients to lower payment costs, increase transaction value, and drive repeat purchases.</t>
  </si>
  <si>
    <t>The company raised $14 million of Series A venture funding in a deal led by Renegade Partners on April 30, 2024. Bain Capital Ventures and 8 other investors also participated in the round. The funds will be used for product development and engineering.</t>
  </si>
  <si>
    <t>Business/Productivity Software, Financial Software*, Media and Information Services (B2B), Other Financial Services</t>
  </si>
  <si>
    <t>FinTech, TMT</t>
  </si>
  <si>
    <t>crm, customer loyalty data, customer loyalty management, customer loyalty system, customer relationship management, digital commerce, ecommerce payment, payment platform, payment platform provider, payment platform service</t>
  </si>
  <si>
    <t>315211-69P</t>
  </si>
  <si>
    <t>Sophia Goldberg</t>
  </si>
  <si>
    <t>sophia@getansa.com</t>
  </si>
  <si>
    <t>Ms. Sophia Goldberg is a Co-Founder and serves as Chief Executive Officer at Ansa.</t>
  </si>
  <si>
    <t>London School of Economics and Political Science, MS (Master of Science), Tufts University, BA (Bachelor of Arts)</t>
  </si>
  <si>
    <t>The company raised $5.4 million of seed funding in a deal led by Bain Capital Ventures on April 26, 2023. Reshape Ventures, The Fintech Fund, BoxGroup, Wischoff Ventures, Susa Ventures, Zach Perret, Cambrian Fintech and Gokul Rajaram also participated in the round. The funds will be used to expand operations and its business reach.</t>
  </si>
  <si>
    <t>Bain Capital Ventures, BoxGroup, Cambrian Fintech, Gokul Rajaram, Reshape Ventures, Susa Ventures, The Fintech Fund, Wischoff Ventures, Zachary Perret</t>
  </si>
  <si>
    <t>Bain Capital Ventures(Christina Melas-Kyriazi)</t>
  </si>
  <si>
    <t>Cambrian Ventures - Fund I(Cambrian Fintech)</t>
  </si>
  <si>
    <t>94110</t>
  </si>
  <si>
    <t>www.ansa.dev</t>
  </si>
  <si>
    <t>139172-68T</t>
  </si>
  <si>
    <t>Anthill (Business/Productivity Software)</t>
  </si>
  <si>
    <t>226087-93</t>
  </si>
  <si>
    <t>Chicago Early Growth Ventures, Lofty Ventures, Origin Ventures</t>
  </si>
  <si>
    <t>Chicago Early Growth Ventures (www.chicagoearly.com), Lofty Ventures (www.loftyventures.com), Origin Ventures (www.originventures.com)</t>
  </si>
  <si>
    <t>Developer of a talent management software designed to serve both employers and employees. The company's platform allows businesses to seamlessly drive engagement and retention, reskilling and development, and internal mobility and allows employees to share insights and get help for their development, enabling employers to address critical needs while personalizing the employee development experience for the individual.</t>
  </si>
  <si>
    <t>The company raised $3 million of seed funding in a deal led by Rethink Capital Partners on July 9, 2021, putting the company's pre-money valuation at $7 million. Origin Ventures and 8 other investors also participated in the round. Previously, the company raised $1.95 million through a combination of debt and Seed funding in a deal led by Origin Ventures on February 2, 2021, putting the company's pre-money valuation at $2 million. Chicago Early Growth Ventures, Reach Capital and Lofty Ventures also participated in the round. The funds will be used by the company for continued product development and expanded talent recruitment.</t>
  </si>
  <si>
    <t>Business/Productivity Software*, Human Capital Services, Media and Information Services (B2B)</t>
  </si>
  <si>
    <t>Artificial Intelligence &amp; Machine Learning, HR Tech, SaaS, TMT</t>
  </si>
  <si>
    <t>deskless workforce, hr saas, management planning, skills learning, workforce platform, workforce product, workplace management system</t>
  </si>
  <si>
    <t>180248-50P</t>
  </si>
  <si>
    <t>Muriel Closs</t>
  </si>
  <si>
    <t>muriel@anthillai.com</t>
  </si>
  <si>
    <t>Dr. Muriel Closs is a Co-Founder and serves as Chief Executive Officer &amp; Board Member at Anthill. She has studied at the University of Georgia. She has been an AI speaker, researcher, and advisor since 2015 during her AI intensive at NASA Ames with Singularity &amp; Google. She was named to Forbes Future of Work 50.</t>
  </si>
  <si>
    <t>University of Georgia, Athens, Ph.D. (Doctor of Philosophy), Psychology and Philosophy</t>
  </si>
  <si>
    <t>The company raised $1.95 million through a combination of debt and seed funding in a deal led by Origin Ventures on February 2, 2021, putting the company's pre-money valuation at $2 million. Chicago Early Growth Ventures and Lofty Ventures also participated in the round. The funds will be used by the company for continued product development and expanded talent recruitment.</t>
  </si>
  <si>
    <t>Origin Ventures</t>
  </si>
  <si>
    <t>60654</t>
  </si>
  <si>
    <t>www.anthill.co</t>
  </si>
  <si>
    <t>Other - $0.72M</t>
  </si>
  <si>
    <t>183376-27T</t>
  </si>
  <si>
    <t>ApertureData</t>
  </si>
  <si>
    <t>437325-58</t>
  </si>
  <si>
    <t>2048 Ventures, Alumni Ventures(David Cynn), Andrew Schulert(Andrew Schulert), Ashwin Kolhe(Ashwin Kolhe), Balamurali Meduri(Balamurali Meduri), Borja Burgos-Galindo(Borja Burgos-Galindo), Brian Truong(Brian Truong), Charles Ferguson(Charles Ferguson), Graph Ventures(Brian Truong), Heidi Braunstein(Heidi Braunstein), Hustle Fund(Elizabeth Yin), Jui Deshpande(Jui Deshpande), Magic Fund(Thomas Chen), Mike Maccombie(Mike Maccombie), Minda Brusse(Minda Brusse), Palvi Mehta(Palvi Mehta), Plug and Play Tech Center, Rahul Thathoo(Rahul Thathoo), Rohini Pandhi, Root Ventures(Lee Edwards), Small Business Innovation Research and Small Business Technology Transfer Programs, Tom Preston-Werner(Tom Preston-Werner), TQ Ventures, VentureBridge Silicon Valley, Vivek Tripathi(Vivek Tripathi), Work-Bench</t>
  </si>
  <si>
    <t>2048 Ventures (www.2048.vc), Alumni Ventures (www.av.vc), Graph Ventures (www.graphventures.com), Hustle Fund (www.hustlefund.vc), Magic Fund (www.magic.fund), Plug and Play Tech Center (www.plugandplaytechcenter.com), Root Ventures (root.vc/welcome.htm), Small Business Innovation Research and Small Business Technology Transfer Programs (www.sbir.gov), TQ Ventures (www.tqventures.com), Work-Bench (www.work-bench.com)</t>
  </si>
  <si>
    <t>Developer of database management platform designed to handle large data objects without multiple disconnected systems. The company's platform disrupts the traditional ways of storing and accessing large-scale visual data and improves performance and accessibility for AI applications, it unifies multimodal data management, knowledge graphs, and vector search, enabling faster AI application delivery at scale, and enabling clients to access data seamlessly.</t>
  </si>
  <si>
    <t>The company raised $8.25 million of seed funding in a deal led by TQ Ventures on October 10, 2024. WestWave Capital, Interwoven Ventures, and other undisclosed investors also participated in the round. The fund will be used for a purpose-built database for multimodal AI.</t>
  </si>
  <si>
    <t>Business/Productivity Software, Database Software*</t>
  </si>
  <si>
    <t>data infrastructure, data management company, database management system, database software, graph database, metadata management, multimodal, vector database</t>
  </si>
  <si>
    <t>235985-14P</t>
  </si>
  <si>
    <t>Vishakha Gupta</t>
  </si>
  <si>
    <t>vishakha@aperturedata.io</t>
  </si>
  <si>
    <t>Dr. Vishakha Gupta is a Co-Founder and serves as Chief Executive Officer and Board Member at ApertureData. She has over 7 years of experience at Intel Labs in designing and developing various systems technologies optimized for new hardware after a PhD in Computer Science from Georgia Tech and MS in Information Networking from Carnegie Mellon University.</t>
  </si>
  <si>
    <t>Carnegie Mellon University, MS (Master of Science), Information Networking, Georgia Tech University, Ph.D. (Doctor of Philosophy), Computer Sceince</t>
  </si>
  <si>
    <t>The company raised $2.57 million through a combination of venture funding in a deal led by Root Ventures on October 1, 2021, putting the company's pre-money valuation at $10 million. 2048 Ventures, Work-Bench, Graph Ventures and 24 other investors also participated in the round.</t>
  </si>
  <si>
    <t>2048 Ventures, Alumni Ventures, Andrew Schulert, Ashwin Kolhe, Balamurali Meduri, Borja Burgos-Galindo, Brian Truong, Charles Ferguson, Graph Ventures, Heidi Braunstein, Hustle Fund, Jui Deshpande, Magic Fund, Mike Maccombie, Minda Brusse, Palvi Mehta, Plug and Play Tech Center, Rahul Thathoo, Rohini Pandhi, Root Ventures, Small Business Innovation Research and Small Business Technology Transfer Programs, Tom Preston-Werner, TQ Ventures, VentureBridge Silicon Valley, Vivek Tripathi, Work-Bench</t>
  </si>
  <si>
    <t>Root Ventures(Lee Edwards)</t>
  </si>
  <si>
    <t>AVG Anti Bias Fund I(Alumni Ventures), Hustle Fund I(Hustle Fund), Magic Opportunities Fund II(Magic Fund), Root Ventures II(Root Ventures), Triphammer Ventures Fund 2(Alumni Ventures), Work-Bench Ventures II(Work-Bench)</t>
  </si>
  <si>
    <t>95032</t>
  </si>
  <si>
    <t>www.aperturedata.io</t>
  </si>
  <si>
    <t>204793-21T</t>
  </si>
  <si>
    <t>Appex Group</t>
  </si>
  <si>
    <t>484338-16</t>
  </si>
  <si>
    <t>Accomplice VC</t>
  </si>
  <si>
    <t>Accomplice VC (www.accomplice.co)</t>
  </si>
  <si>
    <t>Operator of an investment firm intended to buy and grow mobile apps. The company offers seasoned and dynamic expertise in product management, growth marketing, data engineering, and operations to partnerships to accelerate the journey of sustainable businesses' high growth, enabling businesses to propel and expand further.</t>
  </si>
  <si>
    <t>The company raised $29.70 million through the combination of Seed-1, Seed-2 and Seed-3 funding from Tectonic Ventures, Asymmetric Capital Partners, Phoenix Investment Club and other undisclosed investors on March 12, 2024, putting the company's pre-money valuation at $51.00 million.</t>
  </si>
  <si>
    <t>Business/Productivity Software, Other Commercial Services, Software Development Applications*</t>
  </si>
  <si>
    <t>app aquisition, digital tools, holding company, investment firm operator, mobile application tool, mobile applications, mobile apps, mobile ecosystem</t>
  </si>
  <si>
    <t>Debt Financed, Venture Capital</t>
  </si>
  <si>
    <t>The company raised $17 million of seed funding from Accomplice VC and other undisclosed investors on January 21, 2022.</t>
  </si>
  <si>
    <t>Morse (Legal Advisor to Accomplice VC)</t>
  </si>
  <si>
    <t>Term Loan - $6.00M (TriplePoint Capital), Term Loan - $3.00M (TriplePoint Capital)</t>
  </si>
  <si>
    <t>02110</t>
  </si>
  <si>
    <t>www.joinappex.com</t>
  </si>
  <si>
    <t>Term Loan - $3.00M (Floating), Term Loan - $6.00M (Floating)</t>
  </si>
  <si>
    <t>TriplePoint Capital</t>
  </si>
  <si>
    <t>204810-49T</t>
  </si>
  <si>
    <t>AppMap</t>
  </si>
  <si>
    <t>223380-64</t>
  </si>
  <si>
    <t>Andrew Palmer(Andrew Palmer), Argon Ventures, Dell Technologies Capital, Forgepoint Capital, Koa Labs, Uncorrelated Ventures, Unusual Ventures, Work-Bench(Jonathan Lehr)</t>
  </si>
  <si>
    <t>Argon Ventures (www.argon.vc), Dell Technologies Capital (www.delltechnologiescapital.com), Forgepoint Capital (www.forgepointcap.com), Koa Labs (www.koalabs.com), Uncorrelated Ventures (uncorrelated.com), Unusual Ventures (www.unusual.vc), Work-Bench (www.work-bench.com)</t>
  </si>
  <si>
    <t>Developer of dynamic, runtime code analysis and visualization software designed to avoid performance, security, and stability defects. The company's software works across developer code editors, providing insights with an architecture that runs entirely in the customer's environment, enabling developers to keep their software aligned, clear, and secure through developer-centric observability and runtime code analysis.</t>
  </si>
  <si>
    <t>The company raised $10 million of venture funding from Dell Technologies Capital, Secure Octane, and Venture Guides on November 14, 2023. Unusual Ventures and 4 other investors also participated in the round. Out of the total funding, $4.2 million was raised in the form of convertible debt. The funds will be used to accelerate the development of its platform, grow the team, and expand its go-to-market strategy.</t>
  </si>
  <si>
    <t>Business/Productivity Software, Media and Information Services (B2B), Software Development Applications*</t>
  </si>
  <si>
    <t>artificial intelligence agent, coding analysis, coding assistant, coding editor, observability platform, open source api, reverse engineering, security model</t>
  </si>
  <si>
    <t>57915-64P</t>
  </si>
  <si>
    <t>Elizabeth Lawler</t>
  </si>
  <si>
    <t>+1 (617)6421410</t>
  </si>
  <si>
    <t>elizabeth@appmap.io</t>
  </si>
  <si>
    <t>Dr. Elizabeth Lawler is a Co-Founder and serves as Chief Executive Officer at AppMap. She serves as a Board Advisor at 01 Ventures. She served as an Advisor at BastionZero. She co-founded Conjur and also served as its Chief Executive Officer. She has over 20 years of experience working in highly regulated and sensitive data environments. She also served as a Partner at Refinery Investments. Prior to founding Conjur, she was the Chief Data Officer of Generation Health and held a leadership position in research at the Department of Veterans Affairs. She has been a programmer herself and is constantly working to make software development and IT systems easier to manage for people working in regulated industries. She holds a Doctor of Science degree in Epidemiology and a Master of Public Health degree in Epidemiology and Biostatistics from Boston University. She is also an Angel Investor.</t>
  </si>
  <si>
    <t>Boston University, MPH (Master of Public Health), 1998, Epidemiology and Biostistics, Boston University, Ph.D. (Doctor of Philosophy), 2006, Epidemology</t>
  </si>
  <si>
    <t>The company raised an estimated $3 million through a combination of Seed1 and Seed2 funding from Dell Technologies Capital, Unusual Ventures and Work-Bench on April 6, 2020, putting the company's pre-money valuation at $6 million. Argon Ventures, Koa Labs, Forgepoint Capital, Uncorrelated Ventures and Andy Palmer also participated in the round.</t>
  </si>
  <si>
    <t>Andrew Palmer, Argon Ventures, Dell Technologies Capital, Forgepoint Capital, Koa Labs, Uncorrelated Ventures, Unusual Ventures, Work-Bench</t>
  </si>
  <si>
    <t>Koa Labs Fund 2(Koa Labs)</t>
  </si>
  <si>
    <t>02111</t>
  </si>
  <si>
    <t>www.appmap.io</t>
  </si>
  <si>
    <t>178572-43T</t>
  </si>
  <si>
    <t>Aquifer</t>
  </si>
  <si>
    <t>432657-46</t>
  </si>
  <si>
    <t>Andrew Busey(Andrew Busey), Boost VC, Capital Factory(Andrew Busey), Christopher Palmisano(Christopher Palmisano), First Row Partners, Geekdom Fund(Don Douglas), Joshua Gutman(Joshua Gutman), Justin Siegel(Justin Siegel), LDV Capital(Abigail Hunter-Syed), Nomad Fund Ventures, Spin Master Ventures, Techstars(Amos Schwartzfarb), Wedbush Ventures, WXR Venture Fund</t>
  </si>
  <si>
    <t>Boost VC (www.boost.vc), Capital Factory (www.capitalfactory.com), First Row Partners (www.firstrowpartners.vc), Geekdom Fund (www.geekdomfund.com), LDV Capital (www.ldv.co), Nomad Fund Ventures (www.nomadfund.vc), Spin Master Ventures (www.spinmasterventures.com), Techstars (www.techstars.com), Wedbush Ventures (www.wedbushventures.com), WXR Venture Fund (www.wxrfund.com)</t>
  </si>
  <si>
    <t>Operator of an instant animation technology company intended to make professional animation accessible for all creators. The company's platform provides a database of artist-crafted character and story templates to create shots, facial expressions and character movements and features the ability to export the project to 4k and other video resolutions, enabling clients to develop three-dimensional content simply and collaboratively.</t>
  </si>
  <si>
    <t>The company raised $3.89 million through a combination of Seed, Seed-1 and Seed-2 funding in a deal led by LDV Capital on January 19, 2024, putting the company's pre-money valuation at $7.11 million. Spin Master Ventures, Wedbush Ventures, Geekdom Fund, First Row Partners, Boost VC, Nomad Fund Ventures, Capital Factory, WXR Venture Fund, Techstars, Justin Siegel, Joshua Gutman, Chris Palmisano and Andrew Busey also participated in the round.</t>
  </si>
  <si>
    <t>Media and Information Services (B2B), Multimedia and Design Software*</t>
  </si>
  <si>
    <t>3d content, animated video production, animation app, content collaboration, content creation platform, content creation tools, video creation</t>
  </si>
  <si>
    <t>223637-05P</t>
  </si>
  <si>
    <t>Chen Zhang</t>
  </si>
  <si>
    <t>+1 (737) 471-3501</t>
  </si>
  <si>
    <t>chen@aquifermotion.com</t>
  </si>
  <si>
    <t>Ms. Chen Zhang is the Founder &amp; serves as Chief Executive Officer at Aquifer. She Co-Founded and served as Chief Operating Officer at Part Time Evil.</t>
  </si>
  <si>
    <t>Tulane University, BS (Bachelor of Science), 2008, Economics, Marketing, Management</t>
  </si>
  <si>
    <t>Andrew Busey, Boost VC, Capital Factory, Christopher Palmisano, First Row Partners, Geekdom Fund, Joshua Gutman, Justin Siegel, LDV Capital, Nomad Fund Ventures, Spin Master Ventures, Wedbush Ventures, WXR Venture Fund</t>
  </si>
  <si>
    <t>LDV Capital(Abigail Hunter-Syed)</t>
  </si>
  <si>
    <t>Capital Factory Texas Fund(Capital Factory), Geekdom Fund II(Geekdom Fund), Techstars Austin 2016(Techstars)</t>
  </si>
  <si>
    <t>www.aquifermotion.com</t>
  </si>
  <si>
    <t>245068-03T</t>
  </si>
  <si>
    <t>Arbit (Information Services)</t>
  </si>
  <si>
    <t>528710-68</t>
  </si>
  <si>
    <t>Atento Capital, Lightship Capital (Ohio)</t>
  </si>
  <si>
    <t>Atento Capital (www.atentocapital.com), Lightship Capital (Ohio) (www.lightship.capital)</t>
  </si>
  <si>
    <t>Developer of a pricing algorithm platform designed to empower both buyers and sellers in the sneaker resell market. The company's platform aggregates real-time pricing information from all major resellers, enabling buyers and sellers to get informed purchase decisions and get a possible price for their sneakers.</t>
  </si>
  <si>
    <t>The company raised $1.5 million of venture funding in the form of convertible debt from Lightship Capital, Atento Capital and other undisclosed investors on September 12, 2023, putting the company's pre-money valuation at $6.5 million.</t>
  </si>
  <si>
    <t>Consumer Products and Services (B2C)</t>
  </si>
  <si>
    <t>Media</t>
  </si>
  <si>
    <t>Information Services (B2C)</t>
  </si>
  <si>
    <t>Application Software, Financial Software, Information Services (B2C)*, Media and Information Services (B2B)</t>
  </si>
  <si>
    <t>online shop, price transparency, pricing algorithm, pricing tools, resale market, shopping platform</t>
  </si>
  <si>
    <t>350216-02P</t>
  </si>
  <si>
    <t>Venita Cooper</t>
  </si>
  <si>
    <t>Ms. Venita Cooper is a Co-Founder &amp; serves as Chief Executive Officer at Arbit.</t>
  </si>
  <si>
    <t>University of Missouri, Columbia, BA (Bachelor of Arts), 2006, Communication</t>
  </si>
  <si>
    <t>The company raised $1.5 million of venture funding through a combination of convertible debt and equity from Lightship Capital, Atento Capital and other undisclosed investors on September 12, 2023, putting the company's pre-money valuation at $6.5 million.</t>
  </si>
  <si>
    <t>Tulsa, OK</t>
  </si>
  <si>
    <t>Tulsa</t>
  </si>
  <si>
    <t>Oklahoma</t>
  </si>
  <si>
    <t>74120</t>
  </si>
  <si>
    <t>www.getarbit.com</t>
  </si>
  <si>
    <t>Term Loan - (Convertible)</t>
  </si>
  <si>
    <t>177147-82T</t>
  </si>
  <si>
    <t>Arcade</t>
  </si>
  <si>
    <t>470727-28</t>
  </si>
  <si>
    <t>Upfront Ventures(Aditi Maliwal)</t>
  </si>
  <si>
    <t>Upfront Ventures (www.upfront.com)</t>
  </si>
  <si>
    <t>Developer of an interactive demo platform designed to market brands. The company's platform provides a web development page for its users to build and design websites with personalizations to showcase their products, enabling companies to boost customer engagement and increase their brand value.</t>
  </si>
  <si>
    <t>The company raised $14 million of venture funding from undisclosed investors on November 19, 2024.</t>
  </si>
  <si>
    <t>Multimedia and Design Software*, Software Development Applications</t>
  </si>
  <si>
    <t>Advanced Manufacturing, SaaS</t>
  </si>
  <si>
    <t>computer software development, demo platform, product demonstrations, product design platform, software development company, software development tool</t>
  </si>
  <si>
    <t>270203-77P</t>
  </si>
  <si>
    <t>Caroline Clark</t>
  </si>
  <si>
    <t>+1 (415) 701-1110</t>
  </si>
  <si>
    <t>caroline@arcade.software</t>
  </si>
  <si>
    <t>Ms. Caroline Clark is a Co-Founder and serves as Chief Executive Officer &amp; Board Member at Arcade.</t>
  </si>
  <si>
    <t>Princeton University, Degree, 2011, Stanford University, MBA (Master of Business Administration)</t>
  </si>
  <si>
    <t>The company raised $2.5 million of Seed funding from Upfront Ventures and other undisclosed investors on April 30, 2021, putting the company's pre-money valuation at $6 million.</t>
  </si>
  <si>
    <t>Stealth</t>
  </si>
  <si>
    <t>Upfront Ventures</t>
  </si>
  <si>
    <t>Upfront Growth III(Upfront Ventures)</t>
  </si>
  <si>
    <t>94105</t>
  </si>
  <si>
    <t>www.arcade.software</t>
  </si>
  <si>
    <t>195399-19T</t>
  </si>
  <si>
    <t>Arcascope</t>
  </si>
  <si>
    <t>481581-91</t>
  </si>
  <si>
    <t>AIoT Health, HealthX Ventures, Inception Health, Inflect Capital, Innovation Partnerships, Michigan Biomedical Venture Fund, MINTS (Michigan Investment in New Technology Startups), New Dominion Angels, Supermoon Capital(Grayson Judge)</t>
  </si>
  <si>
    <t>AIoT Health (www.aiothealth.ca), HealthX Ventures (www.healthxventures.com), Inception Health (www.inceptionhealth.io), Inflect Capital (inflect.health), Innovation Partnerships (innovationpartnerships.umich.edu), MINTS (Michigan Investment in New Technology Startups) (www.ns.umich.edu), New Dominion Angels (www.newdominionangels.com), Supermoon Capital (www.supermooncapital.com)</t>
  </si>
  <si>
    <t>Developer of a health and fitness application designed to improve daily life by targeting the body's internal, circadian clock. The company pulls in phone and wearable data to track the circadian clock accurately and dynamically to make fatigue predictions and personalized health recommendations, enabling customers to fix their body clock</t>
  </si>
  <si>
    <t>The company received $4.73 million of grant funding from National Institutes of Health on March 1, 2023. Previously, the company raised $2.85 million of seed funding in a deal led by Supermoon Capital on September 27, 2022, putting the company's pre-money valuation at $7.05 million. Inception Health and 7 other investors also participated in the round. The funds will be used to expand the company's technology to the Android market and help more enterprise customers retain staff, reduce absenteeism and improve the health and well-being of their workers.</t>
  </si>
  <si>
    <t>Healthcare</t>
  </si>
  <si>
    <t>Healthcare Devices and Supplies</t>
  </si>
  <si>
    <t>Therapeutic Devices</t>
  </si>
  <si>
    <t>Application Software, Other Healthcare Technology Systems, Therapeutic Devices*</t>
  </si>
  <si>
    <t>LOHAS &amp; Wellness, Mobile, Wearables &amp; Quantified Self</t>
  </si>
  <si>
    <t>circadian rhythms, fitness application, mathematical modeling, prediction data, wearable data, wearable device</t>
  </si>
  <si>
    <t>276101-47P</t>
  </si>
  <si>
    <t>Olivia Walch</t>
  </si>
  <si>
    <t>+1 (252) 922-0397</t>
  </si>
  <si>
    <t>olivia@arcascope.com</t>
  </si>
  <si>
    <t>Dr. Olivia Walch is a Co-Founder and serves as Chief Executive Officer &amp; Board Member at Arcascope. She received her Ph.D. in Applied Mathematics from the University of Michigan in 2016 and has experience both in running laboratory sleep experiments and modeling these biological systems in ways that can be deployed on mobile devices. Apps developed by her have been downloaded nearly half a million times around the world.</t>
  </si>
  <si>
    <t>University of Michigan, Ann Arbor, Ph.D. (Doctor of Philosophy), 2016, Applied Mathematics</t>
  </si>
  <si>
    <t>The company raised $2.85 million of seed funding in a deal led by Supermoon Capital on September 27, 2022, putting the company's pre-money valuation at $7.05 million. Inception Health, Michigan Biomedical Venture Fund, MINTS, Innovation Partnerships, HealthX Ventures, Inflect Health, AIoT Health and New Dominion Angels also participated in the round. The funds will be used to expand the company's technology to the Android market and help more enterprise customers retain staff, reduce absenteeism and improve the health and well-being of their workers.</t>
  </si>
  <si>
    <t>AIoT Health, HealthX Ventures, Inception Health, Inflect Capital, Innovation Partnerships, Michigan Biomedical Venture Fund, MINTS (Michigan Investment in New Technology Startups), New Dominion Angels, Supermoon Capital</t>
  </si>
  <si>
    <t>Supermoon Capital(Grayson Judge)</t>
  </si>
  <si>
    <t>Accelerate Blue Fund(Innovation Partnerships), HealthX Ventures Fund II(HealthX Ventures), Supermoon Capital Fund(Supermoon Capital)</t>
  </si>
  <si>
    <t>Michael Best &amp; Friedrich (Legal Advisor to HealthX Ventures)</t>
  </si>
  <si>
    <t>Arlington, VA</t>
  </si>
  <si>
    <t>Arlington</t>
  </si>
  <si>
    <t>22203</t>
  </si>
  <si>
    <t>www.arcascope.com</t>
  </si>
  <si>
    <t>Electric digital data processing, Healthcare informatics</t>
  </si>
  <si>
    <t>210484-72T</t>
  </si>
  <si>
    <t>Arketa</t>
  </si>
  <si>
    <t>439508-26</t>
  </si>
  <si>
    <t>Amity Ventures, First Round Capital, Fitt, Velvet Sea Ventures(Katherine Rosa), Y Combinator</t>
  </si>
  <si>
    <t>Amity Ventures (www.amity.vc), First Round Capital (www.firstround.com), Fitt (www.fitt.co), Velvet Sea Ventures (velvetseavc.com), Y Combinator (www.ycombinator.com)</t>
  </si>
  <si>
    <t>Developer of a wellness platform designed to help fitness instructors grow their online businesses. The company's platform allows instructors to host life fitness classes and sell monthly memberships, enabling customers to purchase or subscribe to videos to maintain their physical and mental health.</t>
  </si>
  <si>
    <t>The company raised an undisclosed amount of venture funding from Recall Capital in approximately March 2024.</t>
  </si>
  <si>
    <t>Business/Productivity Software*, Information Services (B2C), Media and Information Services (B2B)</t>
  </si>
  <si>
    <t>LOHAS &amp; Wellness</t>
  </si>
  <si>
    <t>crm, customer relationship management, digital commerce, fitness advice, fitness guidance, fitness instructor, fitness product, fitness therapy, wellness platform</t>
  </si>
  <si>
    <t>241971-58P</t>
  </si>
  <si>
    <t>Rachel Lea Fishman</t>
  </si>
  <si>
    <t>+1 (617) 447-5835</t>
  </si>
  <si>
    <t>rleafishman@arketa.co</t>
  </si>
  <si>
    <t>Ms. Rachel Lea Fishman is a Co-Founder o and serves as Chief Executive Officer at Arketa.</t>
  </si>
  <si>
    <t>The company raised $7.6 million of venture funding through a combination of debt and Series 1 funding on December 13, 2022, putting the company's pre-money valuation at $14.8 million. $5.16 million of equity portion was raised from Velvet Sea Ventures, First Round Capital, Fitt, Y Combinator and Amity Ventures. $2.4 million of debt portion was raised from undisclosed lenders.</t>
  </si>
  <si>
    <t>Amity Ventures, First Round Capital, Fitt, Velvet Sea Ventures</t>
  </si>
  <si>
    <t>Velvet Sea Venture Capital Fund(Velvet Sea Ventures)</t>
  </si>
  <si>
    <t>Los Angeles, CA</t>
  </si>
  <si>
    <t>Los Angeles</t>
  </si>
  <si>
    <t>90049</t>
  </si>
  <si>
    <t>www.arketa.com</t>
  </si>
  <si>
    <t>Other - $2.44M</t>
  </si>
  <si>
    <t>178837-21T</t>
  </si>
  <si>
    <t>Arrange (Application Software)</t>
  </si>
  <si>
    <t>471663-19</t>
  </si>
  <si>
    <t>Flybridge Capital Partners, Unusual Ventures, XFactor Ventures</t>
  </si>
  <si>
    <t>Flybridge Capital Partners (www.flybridge.com), Unusual Ventures (www.unusual.vc), XFactor Ventures (www.xfactor.ventures)</t>
  </si>
  <si>
    <t>Developer of a reminder management platform intended to revolutionize the way people use their calendars. The company's platform converts inspiration into action by offering a catalog of to-dos and reminders that users can browse, subscribe to, and add to their calendars and provides an automated reminder for completing the listed task in the calendar, enabling users to seamlessly manage and schedule their tasks.</t>
  </si>
  <si>
    <t>The company raised $900,000 of pre-seed funding from XFactor Ventures, Unusual Ventures, and Flybridge Capital Partners on August 9, 2021.</t>
  </si>
  <si>
    <t>Application Software*, Business/Productivity Software, Information Services (B2C)</t>
  </si>
  <si>
    <t>Mobile, TMT</t>
  </si>
  <si>
    <t>activity management, activity management platform, ai planner, calendar app, calendar management, calendering software, personal activities platform, reminder management, reminder platform, routine management, to-do list, to-do management</t>
  </si>
  <si>
    <t>106822-90P</t>
  </si>
  <si>
    <t>Bridgette Muir</t>
  </si>
  <si>
    <t>bridgette@joinarrange.com</t>
  </si>
  <si>
    <t>Ms. Bridgette Muir is a Co-Founder and serves as Chief Executive Officer at Arrange. Ms. Bridgette Muir served as a Director, Admissions at Common (Coliving Space). Previously, she served as the Business Development Analyst - Brokerage Services at CBRE. She holds a Bachelor of Arts from the University of California, a Master of Arts in Southeast Asian Studies from the University of Wisconsin and an MBA from Yale School of Management.</t>
  </si>
  <si>
    <t>University of California, Berkeley, BA (Bachelor of Arts) Honors, 2008, University of Wisconsin, MA (Master of Arts), 2010, Yale School of Management, MBA (Master of Business Administration), 2015</t>
  </si>
  <si>
    <t>Flybridge Capital Partners VI(Flybridge Capital Partners)</t>
  </si>
  <si>
    <t>Malibu, CA</t>
  </si>
  <si>
    <t>Malibu</t>
  </si>
  <si>
    <t>90265</t>
  </si>
  <si>
    <t>www.joinarrange.com</t>
  </si>
  <si>
    <t>139952-17T</t>
  </si>
  <si>
    <t>Arrive Recommerce</t>
  </si>
  <si>
    <t>267030-55</t>
  </si>
  <si>
    <t>Alpaca VC, Alumni Ventures(Matthew Scott), Basecamp Fund, Freestyle Capital(Joshua Felser), James Reinhart(James Reinhart), John Voris(John Voris), Narrative Capital, Narrative Fund, Science(Michael Jones)</t>
  </si>
  <si>
    <t>Alpaca VC (www.alpaca.vc), Alumni Ventures (www.av.vc), Basecamp Fund (www.basecampfund.com), Freestyle Capital (www.freestyle.vc), John Voris (johnvoris.com), Narrative Capital (www.narrativelp.com), Narrative Fund (www.narrative.fund), Science (www.science-inc.com)</t>
  </si>
  <si>
    <t>Operator of technology and reverse logistics company intended to power circular commerce for innovative brands and retailers. The company's offering makes it possible for any company to launch a circular channel that improves consumer reach, increases revenue, and promotes a sustainable system, enabling brands and retailers in any industry to integrate circular commerce including rental and resale directly into an existing e-commerce experience.</t>
  </si>
  <si>
    <t>The company raised $16.4 million of Series A venture funding in a deal led by Javelin Venture Partners and Climactic on July 12, 2023. Maersk Growth, Sidekick Partners, Cosmic Venture Partners, Freestyle Capital, Alpaca VC, ANIMO Ventures, Banana Capital, Wedbush Ventures, Gaingels, 10X Capital, Regeneration VC and 444 Capital also participated in the round. The funds will be used to expand the platform to more brands and operators as the company continues to grow in the booming e-commerce industry.</t>
  </si>
  <si>
    <t>circular economy, circular economy model, crm, cross-crm, customer relationship management, ecommerce analytics, ecommerce-as-a-service, recommerce platform, resale goods, resale platform</t>
  </si>
  <si>
    <t>206512-48P</t>
  </si>
  <si>
    <t>Rachelle Snyder</t>
  </si>
  <si>
    <t>+1 (213) 534-8852</t>
  </si>
  <si>
    <t>rachelle@thearriveplatform.com</t>
  </si>
  <si>
    <t>Ms. Rachelle Snyder is a Co-Founder and serves as Co-Chief Executive Officer and Board Member at Arrive. In addition to building an award-winning company that has been featured in publications like Forbes, NYT &amp; WSJ, she was named one of Entrepreneur Magazine's 100 Most Powerful Women of 2020. She has led her company to become the first fully-circular enterprise commerce platform, offering an e-commerce rental and resale model to help companies reach more consumers, increase revenue, and advance sustainability initiatives. Arrive was named the 4th Most Innovative Retail Company in 2022 and Arrive Outdoors, Arrive's direct-to-consumer site won Outdoor Retailer of the Year in 2019. Prior to launching Arrive, she worked to improve education and earned degrees from DePaul University &amp; the University of Pennsylvania. She currently resides in Los Angeles.</t>
  </si>
  <si>
    <t>DePaul University, BA (Bachelor of Arts), Public Relations, Advertising, University of Pennsylvania, Master's, Education Entrepreneurship</t>
  </si>
  <si>
    <t>The company raised $4.75 million of seed funding in a deal led by Freestyle Capital on July 23, 2020, putting the company's pre-money valuation at $6 million. Basecamp Fund and 7 other investors also participated in the round. The company intends to use the fund to grow its team.</t>
  </si>
  <si>
    <t>Alpaca VC, Alumni Ventures, Basecamp Fund, Freestyle Capital, James Reinhart, John Voris, Narrative Capital, Narrative Fund, Science</t>
  </si>
  <si>
    <t>Freestyle Capital(Joshua Felser)</t>
  </si>
  <si>
    <t>AVG 2021 Total Access Funds(Alumni Ventures), AVG Basecamp 2020(Basecamp Fund), AVG Seed Fund 5(Alumni Ventures), Corigin Ventures Fund II(Alpaca VC), Freestyle Capital Fund IV(Freestyle Capital), Narrative Capital Credit Strategies Fund I(Narrative Capital), Science Blockchain Holdings(Science)</t>
  </si>
  <si>
    <t>90401</t>
  </si>
  <si>
    <t>www.thearriveplatform.com</t>
  </si>
  <si>
    <t>241865-20T</t>
  </si>
  <si>
    <t>Artie (Database software)</t>
  </si>
  <si>
    <t>528677-20</t>
  </si>
  <si>
    <t>Arash Ferdowsi(Arash Ferdowsi), Benn Stancil(Benn Stancil), Exponent Founders Capital, General Catalyst, IA Seed Ventures, Lenny Rachitsky(Lenny Rachitsky), Sancus Ventures, Y Combinator</t>
  </si>
  <si>
    <t>Exponent Founders Capital (www.pathlight.vc), General Catalyst (www.generalcatalyst.com), IA Seed Ventures (www.iasv.co), Sancus Ventures (www.sancus.vc), Y Combinator (www.ycombinator.com)</t>
  </si>
  <si>
    <t>Developer of data integration platform designed to eliminate latency and reduce computational overhead. The company's open-source data platform provides real-time data replication from transactional databases to data warehouses, enabling organizations to unlock real-time insights for better decision-making.</t>
  </si>
  <si>
    <t>The company raised $3.3 million of seed funding in a deal led by Exponent Founders Capital on February 14, 2024. IA Seed Ventures, Arash Ferdowsi, Lenny Rachitsky, Benn Stancil, Sancus Ventures, General Catalyst, Y Combinator, and other undisclosed investors also participated in the round.</t>
  </si>
  <si>
    <t>Database Software*, Media and Information Services (B2B)</t>
  </si>
  <si>
    <t>ai automation platform, data engineering software, data pipeline, database firm, database integration platform, database integration services, saas-based platform</t>
  </si>
  <si>
    <t>350252-47P</t>
  </si>
  <si>
    <t>Jacqueline Cheong</t>
  </si>
  <si>
    <t>Ms. Jacqueline Cheong is a Co-Founder &amp; serves as Chief Executive Officer at Artie. She was previously a software investor and was responsible for a ~$300M software book within a larger TMT portfolio. Now she is focused on making real time data streaming easy and accessible.</t>
  </si>
  <si>
    <t>Arash Ferdowsi, Benn Stancil, Exponent Founders Capital, General Catalyst, IA Seed Ventures, Lenny Rachitsky, Sancus Ventures</t>
  </si>
  <si>
    <t>Exponent Founders Capital</t>
  </si>
  <si>
    <t>94107</t>
  </si>
  <si>
    <t>www.artie.so</t>
  </si>
  <si>
    <t>246979-72T</t>
  </si>
  <si>
    <t>Asato</t>
  </si>
  <si>
    <t>541446-76</t>
  </si>
  <si>
    <t>Amarjit Gill(Amarjit Gill), Ashish Bhardwaj(Ashish Bhardwaj), Charles Giancarlo(Charles Giancarlo), Intel Capital(Anthony Lin), Lip-Bu Tan(Lip-Bu Tan), Sanjay Mehrotra(Sanjay Mehrotra), Shah Capital Partners, Walden Catalyst(Lip-Bu Tan)</t>
  </si>
  <si>
    <t>Intel Capital (www.intelcapital.com), Shah Capital Partners (www.shahcap.com), Walden Catalyst (waldencatalyst.com)</t>
  </si>
  <si>
    <t>Developer of an enterprise copilot platform designed to deliver measurable business outcomes. The company's platform is into the tech stack and uses artificial intelligence (AI) and knowledge graphs to automate the searching, linking, contextualizing, and analyzing of IT assets and to orchestrate decisions and track results, providing companies with insights to make informed decisions about resource allocation, identify alternative explanations, and optimize investments.</t>
  </si>
  <si>
    <t>The company raised $7.18 million of seed funding in a deal led by Intel Capital, Walden Catalyst, and Lip-Bu Tan on December 5, 2023, putting the company's pre-money valuation at $25 million. Shah Capital Partners and 4 other investors also participated in the round. The funds will be used to accelerate the development of the company's Copilot platform.</t>
  </si>
  <si>
    <t>ai automation platform, artificial intelligence engine, enterprise asset management, enterprise management tool, enterprise tools, intelligence analysis, observability tools</t>
  </si>
  <si>
    <t>376437-43P</t>
  </si>
  <si>
    <t>Sundari Mitra</t>
  </si>
  <si>
    <t>Ms. Sundari Mitra is a Co-Founder and serves as Chief Executive Officer at Asato.</t>
  </si>
  <si>
    <t>The company raised $7.18 million of seed funding in a deal led by Intel Capital, Walden Catalyst, and Lip-Bu Tan on December 5, 2023, putting the company's pre-money valuation at $25 million. Shah Capital Partners, Amarjit Gill, Ashish Kumar Bhardwaj, Charlie Giancarlo, and Sanjay Mehrotra also participated in the round. The funds will be used to accelerate the development of the company's Copilot platform.</t>
  </si>
  <si>
    <t>Amarjit Gill, Ashish Bhardwaj, Charles Giancarlo, Intel Capital, Lip-Bu Tan, Sanjay Mehrotra, Shah Capital Partners, Walden Catalyst</t>
  </si>
  <si>
    <t>Intel Capital(Anthony Lin), Lip-Bu Tan(Lip-Bu Tan), Walden Catalyst(Lip-Bu Tan)</t>
  </si>
  <si>
    <t>Pillsbury Winthrop Shaw Pittman (Legal Advisor to Company)</t>
  </si>
  <si>
    <t>Saratoga, CA</t>
  </si>
  <si>
    <t>Saratoga</t>
  </si>
  <si>
    <t>95070</t>
  </si>
  <si>
    <t>www.asato.ai</t>
  </si>
  <si>
    <t>173410-75T</t>
  </si>
  <si>
    <t>Asidero</t>
  </si>
  <si>
    <t>467043-49</t>
  </si>
  <si>
    <t>Kernel Labs</t>
  </si>
  <si>
    <t>Kernel Labs (www.kernellabs.io)</t>
  </si>
  <si>
    <t>Developer of a lobbying compliance platform intended to capture lobbying activity. The company's platform offers centralized monitoring of lobbying activities so that all teams are aware of all time off the job across the organization to ensure compliance with regulatory requirements and generate custom activity reports, enabling lobbyists and managers to generate reports to simplify compliance filings.</t>
  </si>
  <si>
    <t>The company raised an estimated $150,000 of seed funding from Kernel Labs and other undisclosed investors on March 4, 2020, putting the company's pre-money valuation at $750,000.</t>
  </si>
  <si>
    <t>Automation/Workflow Software, Business/Productivity Software*, Human Capital Services</t>
  </si>
  <si>
    <t>HR Tech, Legal Tech, SaaS</t>
  </si>
  <si>
    <t>centralized monitoring system, compliance software service, lobbying service, reporting solution, spreadsheets tools, work monitoring</t>
  </si>
  <si>
    <t>186215-86P</t>
  </si>
  <si>
    <t>Hartley Riedner</t>
  </si>
  <si>
    <t>Ms. Hartley Riedner served as Chief Executive Officer at Asidero. She served as Vice President of Operations and Innovation at Kernel Labs (Seattle).</t>
  </si>
  <si>
    <t>MBA (Master of Business Administration)</t>
  </si>
  <si>
    <t>Seattle, WA</t>
  </si>
  <si>
    <t>Seattle</t>
  </si>
  <si>
    <t>98108-2436</t>
  </si>
  <si>
    <t>www.asidero.com</t>
  </si>
  <si>
    <t>168750-01T</t>
  </si>
  <si>
    <t>Asteya</t>
  </si>
  <si>
    <t>463011-40</t>
  </si>
  <si>
    <t>Atrum Coal (ASX: ATU), Cap-Meridian Ventures, Capital Factory, Geeta Sankappanavar(Geeta Sankappanavar), I2BF Global Ventures, Northstar.VC, Plug and Play Tech Center, Whitney Herd(Whitney Herd)</t>
  </si>
  <si>
    <t>Atrum Coal (ASX: ATU) (www.atrumcoal.com), Capital Factory (www.capitalfactory.com), Cap-Meridian Ventures (www.cap-meridian.com), I2BF Global Ventures (www.i2bf.com), Northstar.VC (www.northstar.vc), Plug and Play Tech Center (www.plugandplaytechcenter.com)</t>
  </si>
  <si>
    <t>Provider of income insurance service intended to transform the disability insurance industry by democratizing access to income protection. The company specializes in offering transparent coverage tailored to customer requirements and provides service that supports people's financial, physical, and mental health, so they can focus on enjoying their lives, enabling clients with access to coverage of pre-existing conditions and maintaining a quality lifestyle.</t>
  </si>
  <si>
    <t>The company raised an undisclosed amount of Series B venture funding in a deal led by Northstar.VC on March 10, 2022. Bhansali Equities and other undisclosed investors also participated in the round.</t>
  </si>
  <si>
    <t>Insurance</t>
  </si>
  <si>
    <t>Life and Health Insurance</t>
  </si>
  <si>
    <t>Financial Software, Life and Health Insurance*, Other Financial Services</t>
  </si>
  <si>
    <t>InsurTech</t>
  </si>
  <si>
    <t>disability insurance, income insurance service, insurance platform service, insurance provider firm, insurance system, life insurance, life insurance technology</t>
  </si>
  <si>
    <t>256934-17P</t>
  </si>
  <si>
    <t>Alexandra Williamson</t>
  </si>
  <si>
    <t>+1 (310) 858-3003</t>
  </si>
  <si>
    <t>alexandra@argomedia.co</t>
  </si>
  <si>
    <t>Ms. Alexandra Williamson is a Co-Founder and serves as CBO and President at Argo. She co-founded &amp; served as Chief Executive Officer at Asteya.</t>
  </si>
  <si>
    <t>The company raised $10 million of Series A venture funding from Atrum Coal, Cap-Meridian Ventures and I2BF Global Ventures on March 18, 2021, Northstar.VC, Plug and Play Tech Center, Capital Factory, Geeta Sankappanavar and Whitney Wolfe Herd also participated in the round.</t>
  </si>
  <si>
    <t>Atrum Coal, Capital Factory, Cap-Meridian Ventures, Geeta Sankappanavar, I2BF Global Ventures, Northstar.VC, Plug and Play Tech Center, Whitney Herd</t>
  </si>
  <si>
    <t>Capital Factory VI(Capital Factory), Plug And Play Future Commerce Fund I(Plug and Play Tech Center), Skolkovo Ventures Industrial Fund(I2BF Global Ventures)</t>
  </si>
  <si>
    <t>www.asteya.world</t>
  </si>
  <si>
    <t>200466-82T</t>
  </si>
  <si>
    <t>Astor</t>
  </si>
  <si>
    <t>502833-16</t>
  </si>
  <si>
    <t>NFX, Phoenix Investment Club (San Francisco), Stellation Capital, The MBA Fund, TMV(Trail Mix Ventures)</t>
  </si>
  <si>
    <t>NFX (www.nfx.com), Phoenix Investment Club (San Francisco) (www.phoenixclub.vc), Stellation Capital (www.stellation.vc), The MBA Fund (www.thembafund.com), TMV(Trail Mix Ventures) (tmv.vc)</t>
  </si>
  <si>
    <t>Developer of a financial platform intended to help users consume and share investment ideas with more insight into their portfolios. The company has developed a platform that helps users connect with each other to share investment ideas as well as analyze and explore investors and industries with recommendations based on their investment style, enabling investors to proactively monitor their portfolio, track all of their positions across brokerages and asset classes in one place.</t>
  </si>
  <si>
    <t>The company raised $1.4 million of seed funding in a deal led by NFX and The MBA Fund on July 16, 2024. Phoenix Investment Club (San Francisco), TMV(Trail Mix Ventures) and Stellation Capital also participated in the round.</t>
  </si>
  <si>
    <t>Business/Productivity Software, Financial Software*</t>
  </si>
  <si>
    <t>financial community, financial platform, financial portfolio management, investment ideas, investment platform, investment tool, portfolio management, stock portfolio, wealthtech</t>
  </si>
  <si>
    <t>389418-76P</t>
  </si>
  <si>
    <t>Lindsay Dorf</t>
  </si>
  <si>
    <t>+1 (508) 319-1560</t>
  </si>
  <si>
    <t>lindsay@astor.money</t>
  </si>
  <si>
    <t>Ms. Lindsay Dorf is the Founder &amp; serves as Chief Executive Officer at Astor.</t>
  </si>
  <si>
    <t>Harvard Business School, MBA (Master of Business Administration), Harvard University, MS (Master of Science), University of Michigan (Ross), BS (Bachelor of Science)</t>
  </si>
  <si>
    <t>NFX, The MBA Fund</t>
  </si>
  <si>
    <t>NFX Capital Fund III(NFX)</t>
  </si>
  <si>
    <t>Gunderson Dettmer (Legal Advisor to Company), Orrick (Legal Advisor to TMV(Trail Mix Ventures))</t>
  </si>
  <si>
    <t>Orrick (Legal Advisor to TMV(Trail Mix Ventures))</t>
  </si>
  <si>
    <t>Brooklyn, NY</t>
  </si>
  <si>
    <t>Brooklyn</t>
  </si>
  <si>
    <t>11249</t>
  </si>
  <si>
    <t>www.astor.money</t>
  </si>
  <si>
    <t>164418-58T</t>
  </si>
  <si>
    <t>Atlas (Human Capital Services)</t>
  </si>
  <si>
    <t>458361-01</t>
  </si>
  <si>
    <t>2048 Ventures(Zann Ali), LAUNCH Fund</t>
  </si>
  <si>
    <t>2048 Ventures (www.2048.vc), LAUNCH Fund (www.launch.co)</t>
  </si>
  <si>
    <t>Provider of onboarding and tax compliance services intended to support businesses hiring international contractors. The company offers various services including background checks, health insurance, computer and supply delivery, and accounting services, it focuses on health and wellness, learning, lifestyle, and entertainment, enabling businesses to hire confidently and ensure that all of their employees comply with their local governments and centralize all team's benefits in one place.</t>
  </si>
  <si>
    <t>The company raised $2.75 million of seed funding in a deal led by Hi Ventures on February 16, 2024. Calm Ventures, Daniel Gross, and Oskar Hjertonsson also participated in the round. The funds will be used to to accelerate growth, focusing on U.S.-based companies with international teams.</t>
  </si>
  <si>
    <t>Human Capital Services</t>
  </si>
  <si>
    <t>Accounting, Audit and Tax Services (B2B), Business/Productivity Software, Human Capital Services*</t>
  </si>
  <si>
    <t>HR Tech, SaaS</t>
  </si>
  <si>
    <t>benefits provider, benefits system, cfo stack, contractor management, contractor management platform, employee compliance services, employee onboarding services, global benefits provider, hiring firm, hr benefits platform, hr system, tax accounting</t>
  </si>
  <si>
    <t>249616-54P</t>
  </si>
  <si>
    <t>Karen Serfaty</t>
  </si>
  <si>
    <t>+54 1 628 208 4916</t>
  </si>
  <si>
    <t>karen@heyatlas.com</t>
  </si>
  <si>
    <t>Ms. Karen Serfaty is a Co-Founder and serves as Chief Executive Officer at Atlas.</t>
  </si>
  <si>
    <t>The company raised $100,000 of venture funding from 2048 Ventures and LAUNCH Fund on November 30, 2020, putting the company's pre-money valuation at $1.57 million.</t>
  </si>
  <si>
    <t>2048 Ventures, LAUNCH Fund</t>
  </si>
  <si>
    <t>94123</t>
  </si>
  <si>
    <t>www.heyatlas.com</t>
  </si>
  <si>
    <t>133222-15T</t>
  </si>
  <si>
    <t>Atlas AI</t>
  </si>
  <si>
    <t>432988-48</t>
  </si>
  <si>
    <t>Airbus Ventures(Lewis Pinault), Micron Ventures, Rockefeller Foundation(Zia Khan)</t>
  </si>
  <si>
    <t>Airbus Ventures (www.airbusventures.vc), Rockefeller Foundation (www.rockefellerfoundation.org)</t>
  </si>
  <si>
    <t>Developer of business analytics software designed to monitor drivers of economic development across emerging markets. The company's software generates reliable socioeconomic estimates including land under cultivation, staple crop productivity, household asset wealth and consumption, and access to reliable power and transportation infrastructure, enabling private and public organizations to explore data layers interactively and visual comparisons of export data.</t>
  </si>
  <si>
    <t>The company received GBP 47,780 of grant funding from Innovate UK on November 1, 2022. Previously, the company joined 100+ Accelerator as a part of Cohort 4 in August 2022.</t>
  </si>
  <si>
    <t>AgTech, Artificial Intelligence &amp; Machine Learning, Big Data</t>
  </si>
  <si>
    <t>artificial intelligence, economic development, farm management software, hyperlocal data, industrial data analytics, international development, machine learning, precision ag, precision agriculture, predictive analytics platform, satellite imagery, satellite mapping, sustainable development, vertical application, web platform</t>
  </si>
  <si>
    <t>192733-84P</t>
  </si>
  <si>
    <t>Abraham Tarapani</t>
  </si>
  <si>
    <t>abe@atlasai.co</t>
  </si>
  <si>
    <t>Mr. Abraham Tarapani is a Co-Founder and serves as Chief Executive Officer and Board Member at Atlas AI. He served as Principal at Incandescent. He serves as Advisor at Skreens. He is an entrepreneur and an operator at heart, having helped build businesses in sectors ranging from renewable energy to big data. He began his career with the consulting firm Katzenbach Partners, where he was named one of the Top 30 Consultants Under 30 by Consulting Magazine and spent time as the firm's interim Chief Financial Officer. From there, he helped build a renewable energy business named Astonfield focused on developing utility solar power projects across India, Africa, and the Middle East. At Astonfield, he drove the new market expansion and technology partnerships and worked to advocate for public policy in the region that would catalyze private sector investment in renewables. Most recently, he served as Director of Business Development for Premise Data, a tech startup focused on using smartphone-based data collection and advanced analytical methods to monitor real-time economic and societal trends in emerging markets. He is a First Mover Fellow with the Aspen Institute's Business and Society Program and serves on the Advisory Board of the program. To further his passion for conservation, he serves as a Counselor to Save the Redwoods League, a 100-year-old organization dedicated to protecting and restoring California's unique redwood forest ecosystems. He earned a B.S. in Electrical Engineering from Yale University and was named a Presidential Scholar by the Clinton White House.</t>
  </si>
  <si>
    <t>Yale University, BS (Bachelor of Science), Electrical Engineering</t>
  </si>
  <si>
    <t>The company raised $9.00 million through a combination of Series A &amp; Series A1 venture funding in a deal led by Airbus Ventures on March 4, 2020, putting the company's pre-money valuation at $18 million. Micron Ventures and Rockefeller Foundation also participated in the round. The company intends to use the funds to accelerate its product development and drive additional outreach to private and public sector customers.</t>
  </si>
  <si>
    <t>Airbus Ventures, Micron Ventures, Rockefeller Foundation</t>
  </si>
  <si>
    <t>Airbus Ventures(Lewis Pinault)</t>
  </si>
  <si>
    <t>Airbus Ventures(Airbus Ventures)</t>
  </si>
  <si>
    <t>Cooley (Legal Advisor to Airbus Ventures), Gunderson Dettmer (Legal Advisor to Company)</t>
  </si>
  <si>
    <t>Cooley (Legal Advisor to Airbus Ventures)</t>
  </si>
  <si>
    <t>www.atlasai.co</t>
  </si>
  <si>
    <t>252664-39T</t>
  </si>
  <si>
    <t>AtlasPro AI</t>
  </si>
  <si>
    <t>588825-55</t>
  </si>
  <si>
    <t>Apex Spectrum Capital, Austin Lavin, Carollbryant, Focused Capital, Mark Metcalf, Plug and Play Tech Center, Spero Ventures, Z Fellows</t>
  </si>
  <si>
    <t>Apex Spectrum Capital (www.apexscapital.com), Carollbryant (carollbryant.com), Focused Capital (www.focused-capital.com), Plug and Play Tech Center (www.plugandplaytechcenter.com), Spero Ventures (www.spero.vc), Z Fellows (www.zfellows.com)</t>
  </si>
  <si>
    <t>Developer of an artificial intelligence-native platform intended to provide geospatial analytics for various industries. The company uses satellite imagery and AI to identify patterns and trends in real estate investments, risk monitoring, ESG, infrastructure planning, and international defense, enabling clients to make better decisions about their finances, operations, and strategies.</t>
  </si>
  <si>
    <t>The company raised $3.3 million of seed funding from Focused Capital, Apex Spectrum Capital, and Spero Ventures on an undisclosed date, putting the company's pre-money valuation at $16.7 million. Plug and Play Tech Center and 4 other invsetors also participated in the round. Previously, the company joined Plug and Play Tech Center and Z Fellows on an undisclosed date.</t>
  </si>
  <si>
    <t>Business/Productivity Software*, Other Commercial Services, Other Financial Services</t>
  </si>
  <si>
    <t>Artificial Intelligence &amp; Machine Learning, Real Estate Technology, SaaS</t>
  </si>
  <si>
    <t>defense unit, esg data, geospatial analytics, infrastructure planning, risk monitoring, tasks automation</t>
  </si>
  <si>
    <t>356483-17P</t>
  </si>
  <si>
    <t>Gloria Felicia</t>
  </si>
  <si>
    <t>+1 (650) 262-6621</t>
  </si>
  <si>
    <t>glo@atlaspro.ai</t>
  </si>
  <si>
    <t>Ms. Gloria Felicia is a Co-Founder and serves as Chief Executive Officer and Board Member at AtlasPro AI. She co-founded and served as Chief Executive Officer at Insightcircle.</t>
  </si>
  <si>
    <t>The company raised $3.3 million of seed funding from Focused Capital, Apex Spectrum Capital, and Spero Ventures on an undisclosed date, putting the company's pre-money valuation at $16.7 million. Plug and Play Tech Center, Z Fellows, Austin Lavin, Carollbryant, and Mark Metcalf also participated in the round.</t>
  </si>
  <si>
    <t>Apex Spectrum Capital, Austin Lavin, Carollbryant, Focused Capital, Mark Metcalf, Spero Ventures</t>
  </si>
  <si>
    <t>Plug and Play Tech Center, Z Fellows</t>
  </si>
  <si>
    <t>Carta (Arranger to Company), Venturous Counsel (Legal Advisor to Company)</t>
  </si>
  <si>
    <t>www.atlaspro.ai</t>
  </si>
  <si>
    <t>258478-48T</t>
  </si>
  <si>
    <t>Atomic Vaults</t>
  </si>
  <si>
    <t>596866-33</t>
  </si>
  <si>
    <t>Alameda Research, ARK Investment Management, Founders Fund</t>
  </si>
  <si>
    <t>Alameda Research (www.alameda-research.com), ARK Investment Management (www.ark-invest.com), Founders Fund (www.foundersfund.com)</t>
  </si>
  <si>
    <t>Operator of a broker-dealer company intended for fractional trading. The company offers a streamlined integration process for dollar-based trading, copy trading, flexible asset allocation, inventory risk, and setup, with automated testing, redundancy controls, and real-time monitoring, enabling brokerage and wealth management clients to improve yields, protect portfolios, and optimize tax strategies.</t>
  </si>
  <si>
    <t>The company raised an undisclosed amount of venture funding from ARK Venture Fund in January 2024.</t>
  </si>
  <si>
    <t>Brokerage, Financial Software*</t>
  </si>
  <si>
    <t>asset allocation, automated testing, clearing firm, integration model, inventory risk, load balancing, wealth management</t>
  </si>
  <si>
    <t>395771-41P</t>
  </si>
  <si>
    <t>Ming Zhao</t>
  </si>
  <si>
    <t>+1 (203) 535-2052</t>
  </si>
  <si>
    <t>mzhao@atomicvaults.com</t>
  </si>
  <si>
    <t>Ms. Ming Zhao is a Co-Founder &amp; serves as Co-Chief Executive Officer and Director at Atomic Vaults.</t>
  </si>
  <si>
    <t>The company raised $2.2 million of seed funding from Founders Fund, Alameda Research and ARK Investment Management in July 2021.</t>
  </si>
  <si>
    <t>www.atomicvaults.com</t>
  </si>
  <si>
    <t>234287-02T</t>
  </si>
  <si>
    <t>Atypical (Educational Software)</t>
  </si>
  <si>
    <t>529194-25</t>
  </si>
  <si>
    <t>468 Capital, Accelerator Ventures, Anthony Lee(Anthony Lee), Ascend Venture Capital (Seattle), Bloomberg Beta, Craig Sherman(Craig Sherman), Dan Carroll(Dan Carroll), Daniel Sturman(Daniel Sturman), Erik Blachford(Erik Blachford), Frederic Laluyaux(Frederic Laluyaux), Mindful Venture Capital, Quiet Capital, SNR</t>
  </si>
  <si>
    <t>468 Capital (www.468cap.com), Accelerator Ventures (www.acceleratorventures.com), Ascend Venture Capital (Seattle) (www.ascend.vc), Bloomberg Beta (www.bloombergbeta.com), Mindful Venture Capital (www.mindfulvc.com), Quiet Capital (www.quiet.com), SNR (www.snr.vc)</t>
  </si>
  <si>
    <t>Developer of a generative AI education platform designed to learn science through AI. The company's platform allows personalized tutoring, teaching and measuring student success, enabling users to learn and study courses easily by focusing foremost on creating a safe, equitable, and accessible experience.</t>
  </si>
  <si>
    <t>The company raised $4 million of pre-seed funding from Bloomberg Beta, SNR and Ascend Venture Capital on August 22, 2023. Mindful Venture Capital, Quiet Capital, and 8 other investors also participated in the round. The funds will be used to further advance the development of AI-enabled teaching, tutoring, and assessment solutions.</t>
  </si>
  <si>
    <t>Educational Software</t>
  </si>
  <si>
    <t>Educational and Training Services (B2C), Educational Software*, Media and Information Services (B2B)</t>
  </si>
  <si>
    <t>Artificial Intelligence &amp; Machine Learning, EdTech</t>
  </si>
  <si>
    <t>education platform developer, education platform operator, education platform provider, generative ai, personalized tutoring platform, teaching platform, tutoring platform</t>
  </si>
  <si>
    <t>351769-15P</t>
  </si>
  <si>
    <t>Bethanie Drake-Maples</t>
  </si>
  <si>
    <t>Ms. Bethanie Drake-Maples is the Founder and serves as Chief Executive Officer at Atypical.</t>
  </si>
  <si>
    <t>The company raised $4 million of pre-seed funding from Bloomberg Beta, SNR and Ascend Venture Capital on August 22, 2023. Mindful Venture Capital, 468 Capital, Accelerator Ventures, Frederic Laluyaux, Erik Blachford, Craig Sherman, Anthony Lee, Daniel Sturman, Quiet Capital, Dan Carroll, and other undisclosed investors also participated in the round. The funds will be used to further advance the development of AI-enabled teaching, tutoring, and assessment solutions.</t>
  </si>
  <si>
    <t>468 Capital, Accelerator Ventures, Anthony Lee, Ascend Venture Capital (Seattle), Bloomberg Beta, Craig Sherman, Dan Carroll, Daniel Sturman, Erik Blachford, Frederic Laluyaux, Mindful Venture Capital, Quiet Capital, SNR</t>
  </si>
  <si>
    <t>Mindful Venture Capital I(Mindful Venture Capital)</t>
  </si>
  <si>
    <t>www.atypicalai.com</t>
  </si>
  <si>
    <t>235236-52T</t>
  </si>
  <si>
    <t>Auba</t>
  </si>
  <si>
    <t>534736-45</t>
  </si>
  <si>
    <t>0BS (Mexico), Autotech Ventures, Bridge Latam, Bridge Partners, Foundamental, Nazca, Nido Ventures, Village Global</t>
  </si>
  <si>
    <t>0BS (Mexico) (www.0bs.mx), Autotech Ventures (www.autotechvc.com), Bridge Latam (www.bridgelat.com), Bridge Partners (www.bridge.partners), Foundamental (www.foundamental.com), Nazca (www.nazca.vc), Nido Ventures (www.nido.ventures), Village Global (www.villageglobal.vc)</t>
  </si>
  <si>
    <t>Developer of an artificial intelligence supply chain platform designed to mitigate supply chain disruption and enhance cost savings. The company's platform offers supply chain managers insights from conversations and network mapping, enabling businesses to manage supply chain networks and evolve their operations with AI co-piloting capabilities.</t>
  </si>
  <si>
    <t>The company joined Plug and Play Tech Center's Silicon Valley Summit Batch 14 on April 4, 2024.</t>
  </si>
  <si>
    <t>Business/Productivity Software*, Logistics</t>
  </si>
  <si>
    <t>saas product, supply chain business, supply chain experience, supply chain platform, supply chain saas platform, supply chain tool</t>
  </si>
  <si>
    <t>363555-10P</t>
  </si>
  <si>
    <t>Françoise Stevens</t>
  </si>
  <si>
    <t>+1 (650) 447-6631</t>
  </si>
  <si>
    <t>Ms. Françoise Lavertu Stevens is a Co-Founder and serves as Co-Chief Executive Officer at Auba.</t>
  </si>
  <si>
    <t>The company raised $3.46 million of seed funding in a deal led by Nazca, Foundamental and Village Global on July 31, 2023, putting the company's pre-money valuation at $10 million. Bridge Partners, Autotech Ventures, Bridge Latam, Nido Ventures and 0BS also participated in the round. The funds will be used to further grow the team and accelerate product development.</t>
  </si>
  <si>
    <t>Foundamental, Nazca, Village Global</t>
  </si>
  <si>
    <t>Autotech Fund III(Autotech Ventures), Bridge Latam Fund 2(Bridge Latam), Nido Ventures Fund I(Nido Ventures)</t>
  </si>
  <si>
    <t>Presidio Legal (Legal Advisor to Company)</t>
  </si>
  <si>
    <t>94108</t>
  </si>
  <si>
    <t>auba.ai</t>
  </si>
  <si>
    <t>178907-77T</t>
  </si>
  <si>
    <t>AudioShake</t>
  </si>
  <si>
    <t>471911-32</t>
  </si>
  <si>
    <t>Alumni Ventures(Andrea Funsten), Basecamp Fund, Billy Mann(Billy Mann), Brent Faiyaz(Brent Faiyaz), CIC Angels, Crush Ventures, Gregg Wattenberg, Gwen riley, Hilary Rosen, Jayne Andrews(Jayne Andrews), Precursor Ventures, Rodney Jerkins(Rodney Jerkins), Suzy Ryoo(Suzy Ryoo), Tunde Balogun(Tunde Balogun), Ty Baisden(Ty Baisden), WndrCo</t>
  </si>
  <si>
    <t>Alumni Ventures (www.av.vc), Basecamp Fund (www.basecampfund.com), CIC Angels (www.cicangels.com), Crush Ventures (www.crush.ventures), Precursor Ventures (precursorvc.com), WndrCo (www.wndrco.com)</t>
  </si>
  <si>
    <t>Operator of music stems creation platform intended for artists to make money from their music. The company's platform separates recordings into different parts, opening them to new kinds of monetization and creative uses, it makes audio more interactive, immersive, and accessible by splitting recordings into their stems, and the company's B2B sound separation and lyric transcription technology, enables multiple content workflows-from separating clean speech from noisy environments, through to removing copyrighted content.</t>
  </si>
  <si>
    <t>The company joined AWS Startups as a part of 2024 AWS Generative AI Accelerator program in September 2024. No equity or funding was exchanged as a result of this program.</t>
  </si>
  <si>
    <t>Artificial Intelligence &amp; Machine Learning, AudioTech, SaaS</t>
  </si>
  <si>
    <t>audio decoding, deep learning technology, film and entertainment, generative ai, interactive audio, music creation, music editing, music monetization, sports technology</t>
  </si>
  <si>
    <t>273055-15P</t>
  </si>
  <si>
    <t>Jessica Powell</t>
  </si>
  <si>
    <t>+1 (818) 293-1800</t>
  </si>
  <si>
    <t>jessica@audioshake.ai</t>
  </si>
  <si>
    <t>Ms. Jessica Powell is a Co-Founder and serves as Chief Executive Officer at Audioshake. Ms. Jessica Powell is an Angel Investor. She is a former VP and member of the Google management team, and has worked across marketing, product management, and communications, and served on the company's management team. She is also a published author, and her fiction and essays have been published in TIME, VICE, The New York Times, WIRED, Fast Company, and elsewhere.</t>
  </si>
  <si>
    <t>The company raised $2 million of seed funding in a deal led by Precursor Ventures on August 31, 2021. Crush Ventures, CIC Angels, Basecamp Fund, WndrCo, Alumni Ventures, Hilary Rosen, Suzy Ryoo, Tunde Balogun, Gwen riley, Gregg Wattenberg, Billy Mann, Brent Faiyaz, Rodney Jerkins, Ty Baisden and Jayne Andrews also participated in the round.</t>
  </si>
  <si>
    <t>Alumni Ventures, Basecamp Fund, Billy Mann, Brent Faiyaz, CIC Angels, Crush Ventures, Gregg Wattenberg, Gwen riley, Hilary Rosen, Jayne Andrews, Precursor Ventures, Rodney Jerkins, Suzy Ryoo, Tunde Balogun, Ty Baisden, WndrCo</t>
  </si>
  <si>
    <t>Precursor Ventures</t>
  </si>
  <si>
    <t>AVG 2021 Total Access Funds(Alumni Ventures), AVG Seed Fund 5(Alumni Ventures), Precursor Ventures III(Precursor Ventures)</t>
  </si>
  <si>
    <t>Silicon Legal Strategy (Legal Advisor to Precursor Ventures, Andre Gharakhanian JD)</t>
  </si>
  <si>
    <t>www.audioshake.ai</t>
  </si>
  <si>
    <t>Speech analysis techniques or speech synthesis</t>
  </si>
  <si>
    <t>184405-42T</t>
  </si>
  <si>
    <t>AuditMate</t>
  </si>
  <si>
    <t>483749-65</t>
  </si>
  <si>
    <t>Blue Field Capital, Plug and Play Tech Center, Zain Ventures</t>
  </si>
  <si>
    <t>Blue Field Capital (www.bluefieldcap.com), Plug and Play Tech Center (www.plugandplaytechcenter.com), Zain Ventures (www.zain-ventures.com)</t>
  </si>
  <si>
    <t>Developer of elevator auditing software designed to offer elevator maintenance management services and make elevator contract decisions simple. The company offers auditing, maintenance management, equipment inspection, maintenance contracts, modernization contracts, contract analysis, maintenance completion reporting, callback and repairs management, compliance management, and more, enabling property managers to generate more revenue from their business.</t>
  </si>
  <si>
    <t>The company raised $3.5 million of Seed funding from MassMutual Ventures, Moderne Ventures, Alinea Ventures, and Blue Field Capital on May 1, 2023, putting the company's pre-money valuation at $10 million.</t>
  </si>
  <si>
    <t>Business/Productivity Software*, Other Commercial Services</t>
  </si>
  <si>
    <t>ai automation platform, auditing software, auditing system, elevators contract, escalators strategy, maintenance management, property management, vertical transportation</t>
  </si>
  <si>
    <t>284009-05P</t>
  </si>
  <si>
    <t>Ashleigh Wilson</t>
  </si>
  <si>
    <t>+1 (415) 404-0030</t>
  </si>
  <si>
    <t>ashley.wilson@auditmate.com</t>
  </si>
  <si>
    <t>Ms. Ashleigh Wilson is a Co-Founder and serves as Chief Executive Officer at Audit Mate.</t>
  </si>
  <si>
    <t>The company raised $2.5 million through a combination of Seed-2 and Seed-3 funding from Plug and Play Tech Center, Zain Ventures, Blue Field Capital, and other undisclosed investors on June 1, 2021, putting the company's pre-money valuation at $5 million.</t>
  </si>
  <si>
    <t>94114-0314</t>
  </si>
  <si>
    <t>www.auditmate.com</t>
  </si>
  <si>
    <t>243404-29T</t>
  </si>
  <si>
    <t>Auggie (Information Services (B2C))</t>
  </si>
  <si>
    <t>538143-58</t>
  </si>
  <si>
    <t>Accel, Mother Ventures, NFX, XFactor Ventures</t>
  </si>
  <si>
    <t>Accel (www.accel.com), Mother Ventures (www.mother-ventures.com), NFX (www.nfx.com), XFactor Ventures (www.xfactor.ventures)</t>
  </si>
  <si>
    <t>Developer of a parenting app designed to connect parents and provide a trusted community for sharing advice and recommendations. The company offers a community forum where parents can share recommendations and advice, enabling customers to feel like they are not alone and have a trusted community of parents to turn to.</t>
  </si>
  <si>
    <t>The company raised $1.7 million of seed funding from NFX, Accel and XFactor Ventures on October 10, 2023. Mother Ventures and other undisclosed investors also participated in the round.</t>
  </si>
  <si>
    <t>Application Software, Information Services (B2C)*</t>
  </si>
  <si>
    <t>Mobile</t>
  </si>
  <si>
    <t>parenting app, parenting application, parenting application software, parenting care, parenting guide, parenting site</t>
  </si>
  <si>
    <t>370560-52P</t>
  </si>
  <si>
    <t>Lily Walla</t>
  </si>
  <si>
    <t>+1 (917) 300-9311</t>
  </si>
  <si>
    <t>Ms. Lily Walla is the Founder and serves as Chief Executive Officer and Board Member at Modern Village.</t>
  </si>
  <si>
    <t>11238</t>
  </si>
  <si>
    <t>www.auggie.com</t>
  </si>
  <si>
    <t>224838-55T</t>
  </si>
  <si>
    <t>Aura Finance (Financial Software)</t>
  </si>
  <si>
    <t>523281-88</t>
  </si>
  <si>
    <t>Gurtin Ventures, Techstars</t>
  </si>
  <si>
    <t>Gurtin Ventures (www.gurtinventures.com), Techstars (www.techstars.com)</t>
  </si>
  <si>
    <t>Developer of financial wellness software designed to offer a wide range of asset management, personalized portfolios, trading, and financial well-being. The company leverages behavioral psychology to curate a hyper-personal investment management tool that helps reduce stress and anxiety about money platforms by combining behavioral coaching, financial education, and hands-on financial management to provide mobile coaching programs for employees to handle their stress, health, and productivity insights, enabling customers and investors with access to financial advice and higher returns.</t>
  </si>
  <si>
    <t>The company raised $1.3 million of venture funding on an undisclosed date.</t>
  </si>
  <si>
    <t>Asset Management, Financial Software*, Other Financial Services</t>
  </si>
  <si>
    <t>asset management, asset management platform, finance application, financial services, financial wellness software, fintech firm, investment management, personalized portfolio, trading platform, wealth management</t>
  </si>
  <si>
    <t>Profitable</t>
  </si>
  <si>
    <t>344316-07P</t>
  </si>
  <si>
    <t>Kelsey Jones</t>
  </si>
  <si>
    <t>kelsey@aurafinance.io</t>
  </si>
  <si>
    <t>Ms. Kelsey Jones is a Co-Founder &amp; serves as Chief Executive Officer at Aura Finance. She spent her career working in financial services and wanted to curate a more fun, psychologically backed, and interactive platform that empowers users to learn, invest without fear, and grow together. She is also the Founder and Author of the weekly newsletter "Not Your Boyfriend's Investment Advice." She began her career at Goldman Sachs where she was she was a member of the Prime Brokerage business as a Relationship Manager for the firm's top hedge fund clients. In addition, she was an Ambassador for Launch With GS, Goldman Sachs' billion-dollar investment strategy grounded in the belief that diverse teams drive strong returns. She actively sourced investment opportunities for Launch Lead investors and coordinated West Coast events to grow the ecosystem.</t>
  </si>
  <si>
    <t>The company raised $440,000 of venture funding in a deal led by Techstars on April 1, 2024, putting the company's pre-money valuation at $9.56 million. Gurtin Ventures and other undisclosed investors also participated in the round.</t>
  </si>
  <si>
    <t>Gurtin Ventures</t>
  </si>
  <si>
    <t>94109</t>
  </si>
  <si>
    <t>www.aurafinance.io</t>
  </si>
  <si>
    <t>134820-28T</t>
  </si>
  <si>
    <t>Authenticx</t>
  </si>
  <si>
    <t>433234-63</t>
  </si>
  <si>
    <t>Allos Ventures, Elevate Ventures(Eric Steele), Innovatemap, M25(Victor Gutwein), Miami Angels, Sopris Venture Capital</t>
  </si>
  <si>
    <t>Allos Ventures (www.allosventures.com), Elevate Ventures (www.elevateventures.com), Innovatemap (www.innovatemap.com), M25 (www.m25vc.com), Miami Angels (www.miamiangels.vc), Sopris Venture Capital (sopriscapitalvc.com)</t>
  </si>
  <si>
    <t>Developer of a voice analysis platform designed to blend human and automated analysis of clients' customer interactions. The company's platform leverages its clients' existing customer interaction data to dive deeper into who their customers are, what they care about, and how effectively their needs are being met, enabling healthcare organizations to organize and structure conversational data through a customized dashboard to derive powerful insights that govern business decisions.</t>
  </si>
  <si>
    <t>The company raised $21.51 million of Series B venture funding in a deal led by Blue Heron Capital on January 3, 2023. High Alpha and 7 other investors also participated in the round. The funds will be used to further increase customer-centricity in healthcare by innovating in machine learning and product engineering, fueling sales and marketing efforts, and continuing to expand the business. Recently, the company raised $2 million of venture funding from Blue Heron Capital on January 23, 2024.</t>
  </si>
  <si>
    <t>Business/Productivity Software*, Media and Information Services (B2B), Other Healthcare Technology Systems</t>
  </si>
  <si>
    <t>actionable insights, conversational intelligence, crm, cross-crm, customer data capture, customer experience data, customer insights, customer relationship management, data analysis, data analytics system, market research, patient and member engagement</t>
  </si>
  <si>
    <t>225226-63P</t>
  </si>
  <si>
    <t>Amy Brown</t>
  </si>
  <si>
    <t>+1 (317) 296-6238</t>
  </si>
  <si>
    <t>amy.brown@authenticx.com</t>
  </si>
  <si>
    <t>Ms. Amy Brown is the Founder &amp; serves as Chief Executive Officer, President &amp; Chairwoman at AuthentiCx. She is an entrepreneur, inventor, former executive, leadership coach, and mother of four. She has served as a leader in organizations of all sizes for the past 20 years. She has worked as a lobbyist, public and private sector strategist, and leader of teams throughout her career.</t>
  </si>
  <si>
    <t>The company raised $1.35 million of venture funding in a deal led by M25 on August 20, 2020. Innovatemap, Allos Ventures, Elevate Ventures, Miami Angels and Sopris Capital Associates also participated in the round. The funds will be used to continue to expand operations and its business reach.</t>
  </si>
  <si>
    <t>Allos Ventures, Elevate Ventures, Innovatemap, M25, Miami Angels, Sopris Venture Capital</t>
  </si>
  <si>
    <t>M25(Victor Gutwein)</t>
  </si>
  <si>
    <t>Allos Ventures III(Allos Ventures), Indiana Angel Network Fund II(Elevate Ventures), M25 Fund III(M25)</t>
  </si>
  <si>
    <t>Indianapolis, IN</t>
  </si>
  <si>
    <t>Indianapolis</t>
  </si>
  <si>
    <t>Indiana</t>
  </si>
  <si>
    <t>46240</t>
  </si>
  <si>
    <t>www.authenticx.com</t>
  </si>
  <si>
    <t>181513-72T</t>
  </si>
  <si>
    <t>Authoritive</t>
  </si>
  <si>
    <t>482339-53</t>
  </si>
  <si>
    <t>Mercuri, Owl Ventures(Amit Patel), Seraph</t>
  </si>
  <si>
    <t>Mercuri (www.mercuri.vc), Owl Ventures (www.owlvc.com), Seraph (www.seraphgroup.net)</t>
  </si>
  <si>
    <t>Developer of creator-centric text messaging platform designed to share expertise directly with the audience. The company collaborates with content creators and experts to build repeatable and scalable programs delivered via audio messages and videos, enabling creators to reach new audiences and drive revenue.</t>
  </si>
  <si>
    <t>The company raised $5 million of Series 1 seed funding in a deal led by Seraph Group and Owl Ventures on December 9, 2021. GMG Ventures and other undisclosed investors also participated in the round. The funds will be used to help meet customer demand and drive growth.</t>
  </si>
  <si>
    <t>content services, creator community, creator platform software, creator-centric platform, kms, knowledge management system, learning design platform, messaging content development, messaging platform, microlearning platform, web development</t>
  </si>
  <si>
    <t>278122-24P</t>
  </si>
  <si>
    <t>Christy Fletcher</t>
  </si>
  <si>
    <t>christy@authoritive.co</t>
  </si>
  <si>
    <t>Ms. Christy Fletcher is a Co-Founder &amp; serves as Co-Chief Executive Officer at Authoritive. She Founded and served as Chief Executive Officer at Fletcher &amp; Company. In addition to running the company day-to-day, she works with a wide array of influential and bestselling non-fiction writers including Kate Bowler, Craig Whitlock, Gretchen Rubin, David Leonhardt, Ian Urbina, Chip and Dan Heath, Eric Ries, Edwin Catmull, Melissa Urban, Claire Shipman &amp; Katty Kay. She represents a select group of acclaimed novelists and short story writers including Daniel Mason, Ken Kalfus, Alan Hollinghurst and Maggie O'Farrell, the late Rebecca Godfrey, among others. She also works with institutions like Stanford's D.School and The International Spy Museum helping them develop strategies around intellectual property and media. She grew up all along the eastern seaboard and has a BA in English Literature from the University of Southern California. She founded and has run one of the most successful literary management companies in New York where she focused on supporting writers and thought leaders at all stages of their careers.</t>
  </si>
  <si>
    <t>University of Southern California (USC), BA (Bachelor of Arts), English Literature</t>
  </si>
  <si>
    <t>Mercuri, Owl Ventures, Seraph</t>
  </si>
  <si>
    <t>Owl Ventures(Amit Patel)</t>
  </si>
  <si>
    <t>Mercuri LP(Mercuri), Seraph Hub Fuel Fund(Seraph)</t>
  </si>
  <si>
    <t>Silicon Legal Strategy (Legal Advisor to Company, Ryan Southerland), Wilson Sonsini Goodrich &amp; Rosati (Legal Advisor to Mercuri)</t>
  </si>
  <si>
    <t>Silicon Legal Strategy (Legal Advisor to Company, Ryan Southerland)</t>
  </si>
  <si>
    <t>Wilson Sonsini Goodrich &amp; Rosati (Legal Advisor to Mercuri)</t>
  </si>
  <si>
    <t>10011</t>
  </si>
  <si>
    <t>www.authoritive.com</t>
  </si>
  <si>
    <t>176609-08T</t>
  </si>
  <si>
    <t>Availyst</t>
  </si>
  <si>
    <t>470031-94</t>
  </si>
  <si>
    <t>Juno Capital (United States)</t>
  </si>
  <si>
    <t>Juno Capital (United States) (www.juno.capital)</t>
  </si>
  <si>
    <t>Developer of a delivery management platform designed to offer a personalized search engine for food and beverage carriage. The company's platform provides local distribution options and gives the tools to organize it all that help one compare across local grocery, takeout, and convenience, enabling customers to save time and money on delivery and on-demand services.</t>
  </si>
  <si>
    <t>The company joined StartOut Growth Lab as a part of its cohort 8 on an undisclosed date. No equity or funding was exchanged as a result of this program.</t>
  </si>
  <si>
    <t>Application Software, Information Services (B2C)*, Other Restaurants, Hotels and Leisure</t>
  </si>
  <si>
    <t>FoodTech, Mobile, Restaurant Technology</t>
  </si>
  <si>
    <t>delivery management, food delivery, food discovery software, grocery buy, restaurant &amp; retail tech, restaurant and retail technology, sales &amp; operations tech, sales and operations technology, search engine platform, search engine system</t>
  </si>
  <si>
    <t>269222-32P</t>
  </si>
  <si>
    <t>Mandy Poston</t>
  </si>
  <si>
    <t>+1 (833) 988-3612</t>
  </si>
  <si>
    <t>mposton@home.availyst.com</t>
  </si>
  <si>
    <t>Ms. Mandy Poston is the Founder and serves as Chief Executive Officer, Managing Member &amp; Board Member at Availyst.</t>
  </si>
  <si>
    <t>Boston University, BA (Bachelor of Arts) Honors, Psychology, New York University, MS (Master of Science), Management of Technology</t>
  </si>
  <si>
    <t>The company raised $275,000 of seed funding from Juno Capital and other undisclosed investors in January 2022. Of the total amount, $50,000 was originally raised in the form of SAFE notes and subsequently converted to equity.</t>
  </si>
  <si>
    <t>Philadelphia, PA</t>
  </si>
  <si>
    <t>Philadelphia</t>
  </si>
  <si>
    <t>19103</t>
  </si>
  <si>
    <t>home.availyst.com</t>
  </si>
  <si>
    <t>137149-57T</t>
  </si>
  <si>
    <t>Aviagames</t>
  </si>
  <si>
    <t>435491-83</t>
  </si>
  <si>
    <t>Galaxy Interactive, Makers Fund(Ryann Lai)</t>
  </si>
  <si>
    <t>Galaxy Interactive (interactive.galaxy.com), Makers Fund (www.makersfund.com)</t>
  </si>
  <si>
    <t>Operator of a game development studio intended to offer real money content. The company offers multiple titles related to classic card, board, and casino mobile games and also holds monthly tournaments, enabling gamers to improve their walkthrough experience and earn money.</t>
  </si>
  <si>
    <t>The company raised $60 million of venture funding in a deal led by ACME Capital on August 11, 2021. Block.one and 4 other investors also participated in the round. Of the total amount, $20 million was originally raised in the form of convertible debt and was subsequently converted to equity. The funds will be used to accelerate player acquisition, develop new games on the platform, diversify gaming and expand the team and international presence.</t>
  </si>
  <si>
    <t>Entertainment Software</t>
  </si>
  <si>
    <t>Entertainment Software*</t>
  </si>
  <si>
    <t>Esports, Gaming, Mobile, SaaS, TMT</t>
  </si>
  <si>
    <t>computer games, entertainment play, gaming content, gaming developer, real money gambling, tournaments app</t>
  </si>
  <si>
    <t>231099-40P</t>
  </si>
  <si>
    <t>Vickie Chen</t>
  </si>
  <si>
    <t>+1 (607) 229-7810</t>
  </si>
  <si>
    <t>vickie@aviagames.com</t>
  </si>
  <si>
    <t>Ms. Vickie Chen is a Co-Founder and serves as Chief Executive Officer and Board Member at AviaGames. She is an 18-year gaming industry veteran and serves as the founder and CEO at AviaGames, Inc. With a passion for mobile gaming, her vision was to bring new social competition solutions to a broader demographic. In 2017, Chen built the AviaGames all-in-one platform and subsequent portfolio of Pocket7Games from the ground up with a commitment to providing a fun and fair platform for social and casual gamers to compete with other real people playing their favorite games. Prior to starting AviaGames, Chen founded New Code, focused on providing well-rounded marketing strategy and execution service for top internet and gaming companies globally. In addition, Chen held a range of management positions at SNK Ad Inc., subsidiary of BlueFocus Communication Group and Changyou.com, overseeing global expansion programs and game publishing business. Bringing a wealth of experience in the gaming industry, Chen is committed to supporting the growth of female entrepreneurship across the global marketplace. She holds multiple graduate degrees across Business Administration, Marketing and General Management from Cornell University, the Cornell Johnson Graduate School of Management and Hohai University.</t>
  </si>
  <si>
    <t>Cornell University (Johnson), Degree, Business Administration, Marketing, Degree</t>
  </si>
  <si>
    <t>The company raised $8 million of Series A venture funding from Makers Fund and Galaxy Interactive (United States) on May 26, 2020, putting the company's pre-money valuation at $25 million.</t>
  </si>
  <si>
    <t>Galaxy Interactive, Makers Fund</t>
  </si>
  <si>
    <t>Makers Fund(Makers Fund)</t>
  </si>
  <si>
    <t>Fenwick &amp; West (Legal Advisor to Company), Goodwin Procter (Legal Advisor to Makers Fund, Rahul Magan JD)</t>
  </si>
  <si>
    <t>Goodwin Procter (Legal Advisor to Makers Fund, Rahul Magan JD)</t>
  </si>
  <si>
    <t>San Mateo, CA</t>
  </si>
  <si>
    <t>San Mateo</t>
  </si>
  <si>
    <t>94401</t>
  </si>
  <si>
    <t>www.aviagames.com</t>
  </si>
  <si>
    <t>190941-76T</t>
  </si>
  <si>
    <t>Azalio</t>
  </si>
  <si>
    <t>494012-53</t>
  </si>
  <si>
    <t>Alex Chang(Alex Chang), Amber Illig(Amber Illig), David Hehman(David Hehman), Dawn Dobras(Dawn Dobras), New Stack Ventures, Underdog Labs, Urban Innovation Fund</t>
  </si>
  <si>
    <t>David Hehman (www.davidhehman.com), New Stack Ventures (www.newstack.com), Underdog Labs (www.underdoglabs.io), Urban Innovation Fund (www.urbaninnovationfund.com)</t>
  </si>
  <si>
    <t>Developer of workforce management software designed for the convenience of retailers. The company's software provides workforce operations, employee scheduling, time tracking, employee communication, and employee recognition through monthly subscription-based pricing plans, enabling store owners, managers, and employees to keep track of their time, tasks, schedule, and communication.</t>
  </si>
  <si>
    <t>The company raised $2 million of seed funding from Urban Innovation Fund, New Stack Ventures and Underdog Labs on February 17, 2022. Amber Illig, Dawn Dobras, Alex Chang and David Hehman also participated in the round. . Out of the total funding, an undisclosed amount was raised in the form of convertible debt and subsequently converted to equity.</t>
  </si>
  <si>
    <t>Application Software, Business/Productivity Software*</t>
  </si>
  <si>
    <t>easy-to-use dashboard, employee tracking, employee tracking tools, online employee engagement, workforce management app, workforce management services</t>
  </si>
  <si>
    <t>295967-26P</t>
  </si>
  <si>
    <t>Quratul-Ann Malik</t>
  </si>
  <si>
    <t>qmalik@azal.io</t>
  </si>
  <si>
    <t>Ms. Quratul-Ann Malik is a Co-Founder and serves as Chief Executive Officer at Azalio.</t>
  </si>
  <si>
    <t>Alex Chang, Amber Illig, David Hehman, Dawn Dobras, New Stack Ventures, Underdog Labs, Urban Innovation Fund</t>
  </si>
  <si>
    <t>New Stack II(New Stack Ventures), Urban Innovation Fund II(Urban Innovation Fund)</t>
  </si>
  <si>
    <t>Washington, DC</t>
  </si>
  <si>
    <t>District of Columbia</t>
  </si>
  <si>
    <t>www.azal.io</t>
  </si>
  <si>
    <t>171770-05T</t>
  </si>
  <si>
    <t>Back to Space</t>
  </si>
  <si>
    <t>465927-04</t>
  </si>
  <si>
    <t>4D Capital, DOV Management(Michael Gorton), Kyle Hoedebecke(Kyle Hoedebecke)</t>
  </si>
  <si>
    <t>4D Capital (www.4datx.com), DOV Management (www.dreamonevision.com)</t>
  </si>
  <si>
    <t>Operator of a space edutainment platform intended to educate about space exploration through entertainment. The company's platform offers immersive, entertaining, and dynamic space exploration encounters through media and technology, and interactive resources to connect people with a team of astronauts, enabling customers to gain knowledge about space and motivating them to become a member of the space exploration crew in the future.</t>
  </si>
  <si>
    <t>The company raised $1.6 million of Series A venture funding from DOV Management, 4D Capital and Kyle Hoedebecke on April 5, 2021.</t>
  </si>
  <si>
    <t>Services (Non-Financial)</t>
  </si>
  <si>
    <t>Educational and Training Services (B2C)</t>
  </si>
  <si>
    <t>Educational and Training Services (B2C)*, Educational Software, Entertainment Software</t>
  </si>
  <si>
    <t>EdTech, Space Technology</t>
  </si>
  <si>
    <t>aerospace education program, aerospace study, space education, space education provider, space exploration learning, space mission</t>
  </si>
  <si>
    <t>66530-35P</t>
  </si>
  <si>
    <t>Gabriella Zielke</t>
  </si>
  <si>
    <t>Ms. Gabriella Zielke serves as Co-Chief Executive Officer at Back to Space. She is a Co-Founder and serves as Partner Emeritus at Tech Wildcatters. She Co-Founded and served as Partner at Health Wildcatters. Newest to the Tech Wildcatters family is EMERGE, which is a wearable tech-focused accelerator launching in June 2015, in partnership with the Department of Homeland Security. Prior to TW, she was with HP Growth Partners, an early-stage venture fund in Dallas, where she served on the Board of CelAccess. She co-founded an aircraft scheduling software company in 1998 that ended in a profitable exit. She went on to work for Morgan Stanley in private wealth management. True to her entrepreneurial roots, she left to follow her passion for nutrition by opening a specialty foods retail store and simultaneously spent three years consulting with numerous Dallas-based startups on strategic planning, finance, and fundraising. She received her MBA in Strategy &amp; Entrepreneurship from Southern Methodist University as a Cox Distinguished Merit Scholar, during which she interned for Silver Creek Ventures. She graduated Magna Cum Laude from the University of North Texas with a BBA in Finance.</t>
  </si>
  <si>
    <t>Southern Methodist University, MBA (Master of Business Administration), 2008, Entrepreneurship, Finance and Strategic, University of North Texas, Denton, BBA (Bachelor of Business Administration), 2002, Finance</t>
  </si>
  <si>
    <t>4D Capital, DOV Management, Kyle Hoedebecke</t>
  </si>
  <si>
    <t>DOV Singularity Fund I(DOV Management)</t>
  </si>
  <si>
    <t>Richardson, TX</t>
  </si>
  <si>
    <t>Richardson</t>
  </si>
  <si>
    <t>75082</t>
  </si>
  <si>
    <t>www.backtospace.com</t>
  </si>
  <si>
    <t>169896-43T</t>
  </si>
  <si>
    <t>Balanced</t>
  </si>
  <si>
    <t>464035-15</t>
  </si>
  <si>
    <t>Primary Venture Partners</t>
  </si>
  <si>
    <t>Primary Venture Partners (www.primary.vc)</t>
  </si>
  <si>
    <t>Developer of a digital fitness platform designed for older adults to specialize in aging fitness. The company's platform offers physical therapy assessments, personalized workout schedules and live exercise and mindfulness classes designed for healthy aging delivered via video communication, enabling older adults to maintain a healthy lifestyle.</t>
  </si>
  <si>
    <t>The company raised $6.5 million of seed funding in the form of SAFE notes in a deal led by Primary Venture Partners and Founders Fund on February 10, 2022. Stellation Capital, Lux Capital and other undisclosed investors also participated in the round. The funds will be used towards hiring more trainers and building out the trainer profiles to see what resonates most with members.</t>
  </si>
  <si>
    <t>Application Software, Educational and Training Services (B2C)*, Other Healthcare Services, Other Services (B2C Non-Financial)</t>
  </si>
  <si>
    <t>Digital Health, EdTech, TMT</t>
  </si>
  <si>
    <t>exercise classes, exercise guide, health exercise, healthcare classes, live classes, online training, online workout, wellness fitness</t>
  </si>
  <si>
    <t>274532-95P</t>
  </si>
  <si>
    <t>Katie Reed</t>
  </si>
  <si>
    <t>Ms. Katie Reed co-founded and served as Chief Executive Officer at Balanced.</t>
  </si>
  <si>
    <t>Chapman University, Bachelor's, 2014, Economics, Political Science</t>
  </si>
  <si>
    <t>The company raised $1.32 million of seed funding from Primary Venture Partners and other undisclosed investors on April 2, 2021, putting the company's pre-money valuation at $5 million.</t>
  </si>
  <si>
    <t>PVP Fund II(Primary Venture Partners)</t>
  </si>
  <si>
    <t>Albany, NY</t>
  </si>
  <si>
    <t>Albany</t>
  </si>
  <si>
    <t>12207</t>
  </si>
  <si>
    <t>www.hellobalanced.com</t>
  </si>
  <si>
    <t>178773-67T</t>
  </si>
  <si>
    <t>Barometer</t>
  </si>
  <si>
    <t>471601-72</t>
  </si>
  <si>
    <t>Brickyard, Growth Warrior Capital, Reform Ventures, Reinforced Ventures, Vishal Rao</t>
  </si>
  <si>
    <t>Brickyard (www.justlaybrick.com), Growth Warrior Capital (www.gwc.vc), Reform Ventures (www.reformventures.com), Reinforced Ventures (www.reinforcedventures.com)</t>
  </si>
  <si>
    <t>Developer of an AI measurement platform designed for brand suitability in podcast advertising. The company's platform analyzes content for bias and other key attributes and uses artificial intelligence to provide transparent ratings for podcasts, enabling advertisers to get informative metrics such as degrees of language formality, editorial bias, sensationalism, and more.</t>
  </si>
  <si>
    <t>The company raised an undisclosed amount of seed funding from HearstLab on June 24, 2024.</t>
  </si>
  <si>
    <t>AdTech, Artificial Intelligence &amp; Machine Learning, Big Data</t>
  </si>
  <si>
    <t>analysis software, analysis test, computer software, data driven insights, digital audio, fintech, podcast advertising, vertical application</t>
  </si>
  <si>
    <t>272853-19P</t>
  </si>
  <si>
    <t>Tamara Zubatiy</t>
  </si>
  <si>
    <t>+1 (858) 592-3192</t>
  </si>
  <si>
    <t>tamara@thebarometer.co</t>
  </si>
  <si>
    <t>Ms. Tamara Zubatiy is a Co-Founder and serves as Chief Executive Officer &amp; Board Member at Barometer.</t>
  </si>
  <si>
    <t>University of California, San Diego, Bachelor's, 2018, machine learning, neural computation</t>
  </si>
  <si>
    <t>The company raised an estimated $1.5 million through the combination of Seed-3, Seed-4, Seed-5, Seed-6, and Seed-7 funding from Reform Ventures, Reinforced Ventures and Brickyard (Tennessee) on January 1, 2021, putting the company's pre-money valuation at $3 million. Growth Warrior Capital, Vishal Rao, and other undisclosed investors also participated in the round.</t>
  </si>
  <si>
    <t>Brickyard Fund I(Brickyard), Brickyard Pilot Fund(Brickyard)</t>
  </si>
  <si>
    <t>10019</t>
  </si>
  <si>
    <t>www.thebarometer.co</t>
  </si>
  <si>
    <t>160379-56T</t>
  </si>
  <si>
    <t>Base Operations</t>
  </si>
  <si>
    <t>229611-43</t>
  </si>
  <si>
    <t>First In, First Round Capital, Gaingels, Glasswing Ventures, Good Growth Capital, Inner Loop Capital, Magma Partners, Mindset Ventures, Predictive Venture Partners, Spero Ventures, TRNC Ventures, Vela Partners</t>
  </si>
  <si>
    <t>First In (www.wearefirstin.com), First Round Capital (www.firstround.com), Gaingels (www.gaingels.com), Glasswing Ventures (www.glasswing.vc), Good Growth Capital (www.goodgrowthvc.com), Inner Loop Capital (www.innerloopcap.com), Magma Partners (www.magmapartners.com), Mindset Ventures (www.mindset.ventures), Predictive Venture Partners (www.predictivevc.com), Spero Ventures (www.spero.vc), TRNC Ventures (trnc.ventures), Vela Partners (www.vela.partners)</t>
  </si>
  <si>
    <t>Developer of a threat intelligence platform that aggregates, visualizes and interprets threat data to mitigate risk and help organizations protect people and assets. The company's platform offers a granular threat database with AI-powered predictive analytics to quickly uncover actionable insights, improving response time and accuracy for enterprise security tasks, and includes a dashboard for security personnel, enabling clients to connect to their employees in the field, manage their trips and improve their safety.</t>
  </si>
  <si>
    <t>The company raised $14.1 million of Series A venture funding in a deal led by Spero Ventures and Grotech Ventures on December 21, 2023, putting the company's pre-money valuation at $22 million. Alliance Holdings, Calm Ventures, Good Growth Capital, Vela Partners, Gaingels, Mindset Ventures and Prefix Capital also participated in the round. The funds will be used by the company to augment its forecasting capabilities, elucidate the threat landscape in emerging markets with new data strategies, programmatically generate detailed reports and, analysis, and enhance tailored recommendations.</t>
  </si>
  <si>
    <t>Business/Productivity Software*, Network Management Software</t>
  </si>
  <si>
    <t>Cybersecurity, SaaS</t>
  </si>
  <si>
    <t>ai automation platform, connected service, data visualisation, enterprise resource planning, erp, risk management, safety tool, security team, smart city, threat intelligence, threat intelligence platform, threat intelligence software</t>
  </si>
  <si>
    <t>187287-40P</t>
  </si>
  <si>
    <t>Cory Siskind</t>
  </si>
  <si>
    <t>Ms. Cory Siskind is a Co-Founder and serves as Chief Executive Officer, President and Board Member at Base Operations. She holds MBA from MIT (Sloan) and MPA from Harvard University.</t>
  </si>
  <si>
    <t>Harvard University, MPA (Master of Public Administration), MIT (Sloan), MBA (Master of Business Administration)</t>
  </si>
  <si>
    <t>The company raised $2.2 million of Seed funding in a deal led by Good Growth Capital on February 1, 2021, putting the company's pre-money valuation at $5 million. TRNC Ventures and 10 other investors also participated in the round. The funds will be used to capitalize on its recent launch of a street-level threat mapping platform for use in supporting enterprise security operations.</t>
  </si>
  <si>
    <t>Good Growth Capital</t>
  </si>
  <si>
    <t>First Round Capital VII(First Round Capital), Glasswing Ventures(Glasswing Ventures), Good Growth Capital Fund II(Good Growth Capital), Infinite Corridor Fund(Good Growth Capital), Inner Loop Capital Fund(Inner Loop Capital), Magma Opportunity SPV 2019(Magma Partners), Mindset Ventures Fund II(Mindset Ventures), Predictive Venture Partners III(Predictive Venture Partners)</t>
  </si>
  <si>
    <t>Turunc (Legal Advisor to Vela Partners, Kerem Turunc), WilmerHale (Legal Advisor to Company, Edwin Pease JD)</t>
  </si>
  <si>
    <t>WilmerHale (Legal Advisor to Company, Edwin Pease JD)</t>
  </si>
  <si>
    <t>Turunc (Legal Advisor to Vela Partners, Kerem Turunc)</t>
  </si>
  <si>
    <t>20001</t>
  </si>
  <si>
    <t>www.baseoperations.com</t>
  </si>
  <si>
    <t>Measuring distances, levels or bearings</t>
  </si>
  <si>
    <t>156605-32T</t>
  </si>
  <si>
    <t>Beable</t>
  </si>
  <si>
    <t>439372-27</t>
  </si>
  <si>
    <t>GHO Ventures, RiverPark Ventures</t>
  </si>
  <si>
    <t>GHO Ventures (www.ghoventures.com), RiverPark Ventures (www.riverparkvc.com)</t>
  </si>
  <si>
    <t>Developer of a literacy acceleration platform designed to provide digital learning and educational content. The company's platform accelerates literacy growth by combining it with grade-level content acquisition, and competitive exam preparations as well as provides an individualized path for every student based on their academic and career goals, enabling middle and high school students a tailored, multidimensional differentiated educational content.</t>
  </si>
  <si>
    <t>The company raised $8.8 million through a combination of convertible debt, Series A-1 and Series A-2 venture funding from RiverPark Ventures and other undisclosed investors on September 23, 2020, putting the company's pre-money valuation at $20 million. Out of the total funding $1.15 million was raised in the form of convertible debt and $7.65 million was raised in the form of equity.</t>
  </si>
  <si>
    <t>Educational and Training Services (B2C)*, Educational Software, Information Services (B2C)</t>
  </si>
  <si>
    <t>digital learning, e learning platform, educational platform, educational services, sat preparation, study guide</t>
  </si>
  <si>
    <t>38375-56P</t>
  </si>
  <si>
    <t>Saki Dodelson</t>
  </si>
  <si>
    <t>+1 (833) 866-8066</t>
  </si>
  <si>
    <t>saki.dodelson@beable.com</t>
  </si>
  <si>
    <t>Ms. Saki Dodelson is a Co-Founder and serves as Chief Executive Officer and Board Member at Beable. She also co-founded and served as the President, Chief Executive Officer and a Board Member at Achieve3000. She has also co-founded, Youthline USA newspaper and has been its President and Treasurer since August 1999, Principal Executive Officer, Principal Financial Officer, Principal Accounting Officer of Youthline USA and the President and Treasurer of Youthline USA's subsidiary, S&amp;S Plus, since its inception. From 1987 to May 1999, she served as a Business and Finance Manager with AT&amp;T. Since 1993, Ms. Dodelson has been President of Harton Financial, a currency trading company. She has 20 years experience in business and finance, computer science and marketing. She has been a Director of Youthline USA and S&amp;S since August 1999. She has a BS in computer science and a BA in education. She received her Master's degree in computer science from The Hebrew University of Jerusalem and her MBA from Tel Aviv University. She has 15 years of experience in business and finance, technology, and marketing. In 2004, she was the recipient of Ernst &amp; Young Entrepreneur of the Year Award, the New Jersey Finest Business Award, and the Educator500 Award.</t>
  </si>
  <si>
    <t>BA (Bachelor of Arts), Education, BS (Bachelor of Science), Computer Science, Hebrew University, Master's, Computer Science, Tel Aviv University, MBA (Master of Business Administration)</t>
  </si>
  <si>
    <t>The company raised $8.8 million through a combination of convertible debt, Series A-1 and Series A-2 venture funding from RiverPark Ventures and other undisclosed investors on September 23, 2020, putting the company's pre-money valuation at $20 million. Out of the total funding, $1.15 million was raised in the form of convertible debt, and $7.65 million was raised in the form of equity.</t>
  </si>
  <si>
    <t>Lakewood, NJ</t>
  </si>
  <si>
    <t>Lakewood</t>
  </si>
  <si>
    <t>08701</t>
  </si>
  <si>
    <t>www.beable.com</t>
  </si>
  <si>
    <t>Bridge Loan - $1.15M (Convertible)</t>
  </si>
  <si>
    <t>220254-31T</t>
  </si>
  <si>
    <t>Beagle Learning</t>
  </si>
  <si>
    <t>234712-45</t>
  </si>
  <si>
    <t>ASU ScaleU, David Jiang, LearnLaunch Fund + Accelerator, Social Capital, Techstars</t>
  </si>
  <si>
    <t>ASU ScaleU (www.scaleu.org), LearnLaunch Fund + Accelerator (www.learnlaunch.com), Social Capital (www.socialcapital.com), Techstars (www.techstars.com)</t>
  </si>
  <si>
    <t>Developer of an inquiry-based learning framework software platform intended to facilitate, track, and assess student inquiry. The company's software platform automatically summarizes and analyzes student questions, provides same-day reports highlighting the popular and unique questions from the course, and also assists in solving questions such as critical thinking, problem-solving, and team building, enabling students to connect their learnings allowing them to visualize the connections between their findings and develop higher-order thinking and synthesis skills.</t>
  </si>
  <si>
    <t>The company joined Techstars on February 10, 2020, and received $120,000 in funding. As a part of the transaction, $100,000 was received in the form of convertible debt. Subsequently, the company raised $290,000 of pre-seed funding from LearnLaunch Fund + Accelerator, Social Capital and Techstars on February 1, 2020. ASU ScaleU and David Jiang also participated in the round.</t>
  </si>
  <si>
    <t>Educational Software*</t>
  </si>
  <si>
    <t>digital learning, education application, education platform, learning framework, online education, online learning</t>
  </si>
  <si>
    <t>62891-47P</t>
  </si>
  <si>
    <t>Turner Bohlen</t>
  </si>
  <si>
    <t>+1 (508) 202-2866</t>
  </si>
  <si>
    <t>turner@beaglelearning.com</t>
  </si>
  <si>
    <t>Mr. Turner Bohlen is a Co-Founder &amp; serves as Chief Executive Officer at Beagle. Mr. Turner also served as Application Engineer at Flux Factory. Mr. Bohlen served as a Partner at Rough Draft Ventures.</t>
  </si>
  <si>
    <t>Massachusetts Institute of Technology (MIT), Bachelor's, 2014, Physics</t>
  </si>
  <si>
    <t>The company raised $290,000 of pre-seed funding from LearnLaunch Fund + Accelerator, Social Capital and Techstars on February 1, 2020. ASU ScaleU and David Jiang also participated in the round.</t>
  </si>
  <si>
    <t>ASU ScaleU, David Jiang, Social Capital, Techstars</t>
  </si>
  <si>
    <t>LearnLaunch Fund + Accelerator</t>
  </si>
  <si>
    <t>Paradise Valley, AZ</t>
  </si>
  <si>
    <t>Paradise Valley</t>
  </si>
  <si>
    <t>Arizona</t>
  </si>
  <si>
    <t>85253</t>
  </si>
  <si>
    <t>www.beaglelearning.com</t>
  </si>
  <si>
    <t>192158-47T</t>
  </si>
  <si>
    <t>Beauty 911</t>
  </si>
  <si>
    <t>494787-43</t>
  </si>
  <si>
    <t>305 Ventures</t>
  </si>
  <si>
    <t>305 Ventures (www.305.ventures)</t>
  </si>
  <si>
    <t>Provider of home beauty services intended to offer beauty services like manicures, haircuts, makeup, and more services. The company provides home beauty services from certified professionals to the comfort of customers' homes or offices, enabling people to get salon services at their places.</t>
  </si>
  <si>
    <t>The company joined Grupo Guayacán on July 3, 2023. No equity or funding was exchanged as a result of this program.</t>
  </si>
  <si>
    <t>Other Services (B2C Non-Financial)</t>
  </si>
  <si>
    <t>Application Software, Other Services (B2C Non-Financial)*, Personal Products</t>
  </si>
  <si>
    <t>Beauty</t>
  </si>
  <si>
    <t>beauty clinic, beauty platform, beauty services, haircut books, home beauty services, manicure service</t>
  </si>
  <si>
    <t>298198-27P</t>
  </si>
  <si>
    <t>Carmen Ayuso</t>
  </si>
  <si>
    <t>+1 (939) 489-2029</t>
  </si>
  <si>
    <t>cayuso@beauty911app.com</t>
  </si>
  <si>
    <t>Ms. Carmen Ayuso is a Co-Founder and serves as Principal Chief Executive Officer at Beauty 911.</t>
  </si>
  <si>
    <t>The company raised $200,000 of venture funding from 305 Ventures and other undisclosed investor in approximately 2022.</t>
  </si>
  <si>
    <t>San Juan, PR</t>
  </si>
  <si>
    <t>San Juan</t>
  </si>
  <si>
    <t>Puerto Rico</t>
  </si>
  <si>
    <t>www.beauty911app.com</t>
  </si>
  <si>
    <t>137216-44T</t>
  </si>
  <si>
    <t>Because</t>
  </si>
  <si>
    <t>435595-15</t>
  </si>
  <si>
    <t>186 Ventures, Boston Syndicates, Debra Lally(Debra Lally), Diana Yuan(Diana Yuan), Ethan Bernstein(Ethan Bernstein), Jillian Kando(Jillian Kando), Kyle Daniel(Kyle Daniel), Launchpad Venture Group, Matthew Marra(Matthew Marra), Sonciary Honnoll(Sonciary Honnoll)</t>
  </si>
  <si>
    <t>186 Ventures (186ventures.com), Boston Syndicates (www.bossbacked.com), Launchpad Venture Group (www.launchpadventuregroup.com)</t>
  </si>
  <si>
    <t>Developer of an application intended to provide product page optimization for online sellers. The company's platform allows for site handlers to change the description of the product and manage various functionalities like customer testimonials, shipping info, and promotions without the need to code any of the changes, enabling small businesses to manage site efficiently and increase conversion with site visitors which in turn results in increased sales.</t>
  </si>
  <si>
    <t>The company raised $3 million of venture funding in a deal led by Harlem Capital on May 18, 2022. Studio VC and 5 other investors also participated in the round. The funds will be used to grow product and team; build out integrations with additional c-commerce platforms like Klaviyo, Smile.io, and ShipBob; and leverage artificial intelligence to predict the exact message site users need to purchase and to compare their results against other stores in similar industries and geographies.</t>
  </si>
  <si>
    <t>conversion data, ecommerce data, ecommerce personalization, online seller, shopify application, small business website, web design software</t>
  </si>
  <si>
    <t>231281-74P</t>
  </si>
  <si>
    <t>Ashland Stansbury</t>
  </si>
  <si>
    <t>+1 (781) 801-6276</t>
  </si>
  <si>
    <t>ashland@becauseintelligence.com</t>
  </si>
  <si>
    <t>Ms. Ashland Stansbury is a Co-Founder and serves as Chief Executive Officer &amp; Chief Believer Officer at Because. There's a reason they call her our Chief Believer Officer. She's believed wholeheartedly in our mission since the start and got a whole group of crazy people to follow along. Being raised in New England by a Texan family of multi-time entrepreneurs gave her a love for tacos and starting companies. After winning the Entrepreneur of the Year award in 2015 for running a house painting company, she went on to change the face of cause marketing with Because. Ashland has an intense passion for women's empowerment and is already well on her way to bringing that passion to life through making Because majority female founded, female employed, female branded, female coded, and 40% female funded.</t>
  </si>
  <si>
    <t>The company raised $350,000 of venture funding from 186 Ventures, Boston Syndicates and Marra.vc on January 11, 2020. Launchpad Venture Group, &amp; 6 angel investors also participated in the round.</t>
  </si>
  <si>
    <t>186 Ventures, Boston Syndicates, Debra Lally, Diana Yuan, Ethan Bernstein, Jillian Kando, Kyle Daniel, Launchpad Venture Group, Matthew Marra, Sonciary Honnoll</t>
  </si>
  <si>
    <t>186 Ventures I(186 Ventures), Precision Ventures Fund I(Launchpad Venture Group)</t>
  </si>
  <si>
    <t>02043</t>
  </si>
  <si>
    <t>www.trybecause.com</t>
  </si>
  <si>
    <t>201555-73T</t>
  </si>
  <si>
    <t>Bedrock Energy</t>
  </si>
  <si>
    <t>503083-72</t>
  </si>
  <si>
    <t>Cantos Ventures, Climate Capital, Climate Draft, Divergent Capital (New York), First Star Ventures, Long Journey Ventures, Overture Climate VC, Toba Capital, Wireframe Ventures(Paul Straub)</t>
  </si>
  <si>
    <t>Cantos Ventures (www.cantos.vc), Climate Capital (www.climatecapital.co), Climate Draft (www.climatedraft.org), Divergent Capital (New York) (www.divergenthq.com), First Star Ventures (www.firststar.vc), Long Journey Ventures (www.longjourney.vc), Overture Climate VC (www.overture.vc), Toba Capital (www.tobacapital.com), Wireframe Ventures (www.wireframevc.com)</t>
  </si>
  <si>
    <t>Provider of construction services intended to transform the heating and cooling of buildings. The company builds autonomous drilling technology and advanced subsurface simulation software to allow widespread, affordable, and accessible geothermal installations, enabling the construction industry to reduce costs and maintain a sustainable environment.</t>
  </si>
  <si>
    <t>The company joined Dominion Energy Innovation Center on July 18, 2024. No equity or funding was exchanged as a result of this program.</t>
  </si>
  <si>
    <t>Energy</t>
  </si>
  <si>
    <t>Energy Services</t>
  </si>
  <si>
    <t>Other Energy Services</t>
  </si>
  <si>
    <t>Business/Productivity Software, Construction and Engineering, Other Commercial Services, Other Energy Services*</t>
  </si>
  <si>
    <t>CleanTech, Climate Tech, Construction Technology, Industrials</t>
  </si>
  <si>
    <t>built environment, construction design, construction robotics, cooling system installation, dispatchable energy sources, geothermal, geothermal energy, geothermal energy service, geothermal energy supply, geothermal heat, heating and cooling, heating system installation, industrial autonomy platform, sustainable construction services</t>
  </si>
  <si>
    <t>Construction Robots, Geothermal Power</t>
  </si>
  <si>
    <t>312259-69P</t>
  </si>
  <si>
    <t>Joselyn Lai</t>
  </si>
  <si>
    <t>+1 (626) 679-4063</t>
  </si>
  <si>
    <t>joselyn@bedrockenergy.com</t>
  </si>
  <si>
    <t>Ms. Joselyn Lai is a Co-Founder and serves as Chief Executive Officer, Board Member, and President at Bedrock Energy.</t>
  </si>
  <si>
    <t>The company raised $6 million of seed funding in a deal led by Wireframe Ventures on August 10, 2022, putting the company's pre-money valuation at $9.35 million. Climate Draft, Cantos Ventures, Climate Capital, Toba Capital, Long Journey Ventures, First Star Ventures, Divergent Capital (New York) and Overture VC also participated in the round. Of the total amount, $500,000 was originally raised in the form of SAFE notes and subsequently converted to equity. The funds will be used to expand the company, as well as to broaden and accelerate product development.</t>
  </si>
  <si>
    <t>Cantos Ventures, Climate Capital, Climate Draft, Divergent Capital (New York), First Star Ventures, Long Journey Ventures, Overture Climate VC, Toba Capital, Wireframe Ventures</t>
  </si>
  <si>
    <t>Wireframe Ventures(Paul Straub)</t>
  </si>
  <si>
    <t>First Star Venture Fund II(First Star Ventures), Overture Climate Fund I(Overture Climate VC)</t>
  </si>
  <si>
    <t>78702</t>
  </si>
  <si>
    <t>www.bedrockenergy.com</t>
  </si>
  <si>
    <t>Earth or rock drilling, Geothermal collectors</t>
  </si>
  <si>
    <t>219902-05T</t>
  </si>
  <si>
    <t>BeFake AI</t>
  </si>
  <si>
    <t>507100-24</t>
  </si>
  <si>
    <t>Joseph Lonsdale(Joseph Lonsdale), Khosla Ventures, Maveron(David Wu), Next Coast Ventures(Michael Smerklo), Peter Thiel(Peter Thiel), WS Investments</t>
  </si>
  <si>
    <t>Khosla Ventures (www.khoslaventures.com), Maveron (www.maveron.com), Next Coast Ventures (www.nextcoastventures.com), WS Investments (www.wsinvestments.pl)</t>
  </si>
  <si>
    <t>Developer of an artificial intelligence platform intended to connect with audience. The company's multi-modal generative algorithmic intelligence platform provides with customizable, domain-specific visuals that can be seamlessly integrated into applications with a simple application programming interface call, helping developers with creating customizable visual and conversational bots.</t>
  </si>
  <si>
    <t>The company raised $3 million of seed funding in a deal led by Khosla Ventures on September 1, 2023, putting the company's pre-money valuation at $12 million. WS Investments and 4 other investors also participated in the round. The funds will be used to expand operations and the company's development efforts.</t>
  </si>
  <si>
    <t>Multimedia and Design Software*, Other Software</t>
  </si>
  <si>
    <t>Artificial Intelligence &amp; Machine Learning, Big Data, TMT</t>
  </si>
  <si>
    <t>ai cores, analytics platform, api calling, artificial intelligence platform, conversational bot, generative ai model, social content creation, social network</t>
  </si>
  <si>
    <t>123011-38P</t>
  </si>
  <si>
    <t>Kristen Dumont</t>
  </si>
  <si>
    <t>kristen@alias-app.com</t>
  </si>
  <si>
    <t>Ms. Kristen Dumont is a Co-Founder and serves as Chief Executive Officer at Alias. She serves as Advisor at 8VC. She served as Chief Executive Officer at Machine Zone, which combined the power of machine learning with the art of games creation, resulting in one of the most successful mobile gaming titles ever, grossing in excess of $1B. She became CEO of MZ in June 2018 after serving as the company's Chief Operating Officer since 2015. As COO, she was responsible for MZ's worldwide strategy and operations, overseeing the company's unprecedented growth into a gaming powerhouse with three of the mobile gaming industry's all-time top performers: Game of War: Fire Age, Mobile Strike, and Final Fantasy XV: A New Empire. She led the company's efforts to hire and develop the most talented engineers, developers, and creative talent in the industry, and to cultivate international partnerships and success in foreign markets. Before joining the company, she was a strategic advisor to MZ and its founder for two years, helping the company transition from start-up phase to a maturity as a global company, and building a solid foundation for growth. She served a five-year term as a Board Member of the Sky's The Limit Fund, which provides grants to support at-risk youth to attend wilderness rehab programs. She is a sought-after speaker on a range of technology and business issues, having been a featured speaker and panelist at conferences including Collision and Web Summit. She was born and raised in Northern California and earned her BA at the University of California at Berkeley.</t>
  </si>
  <si>
    <t>Santa Clara University, JD (Doctor of Law), University of California, Berkeley, BA (Bachelor of Arts), Legal Studies</t>
  </si>
  <si>
    <t>The company raised $3 million of seed funding in a deal led by Khosla Ventures on September 1, 2023, putting the company's pre-money valuation at $12 million. WS Investments, Maveron, Next Coast Ventures, Peter Thiel and Joseph Lonsdale also participated in the round. The funds will be used to expand operations and the company's development efforts.</t>
  </si>
  <si>
    <t>Joseph Lonsdale, Khosla Ventures, Maveron, Next Coast Ventures, Peter Thiel, WS Investments</t>
  </si>
  <si>
    <t>Khosla Ventures</t>
  </si>
  <si>
    <t>Next Coast Ventures III(Next Coast Ventures)</t>
  </si>
  <si>
    <t>Goodwin Procter (Legal Advisor to Company, Jennifer Kelefant)</t>
  </si>
  <si>
    <t>Burlingame, CA</t>
  </si>
  <si>
    <t>Burlingame</t>
  </si>
  <si>
    <t>www.befakeai.com</t>
  </si>
  <si>
    <t>182325-61T</t>
  </si>
  <si>
    <t>BellaLift</t>
  </si>
  <si>
    <t>483188-95</t>
  </si>
  <si>
    <t>Avestria Ventures, Careit (Paris)</t>
  </si>
  <si>
    <t>Avestria Ventures (www.avestria.vc), Careit (Paris) (careit.fr/en)</t>
  </si>
  <si>
    <t>Developer of personalized digital wellness application designed for women's health management. The company's platform offers a holistic approach to women's health, addressing both physical and psychological aspects, tailored information and resources, and guiding through the transformative journey of fertility, pregnancy, motherhood, and overall well-being, enabling women with personalized healthcare services.</t>
  </si>
  <si>
    <t>The company raised an undisclosed amount of venture funding from Otsuka, ONCE Ventures and RYSE Asset Management on August 28, 2024. Avestria Ventures and Bridge Point Capital also participated in the round. The funds will be used to support continued commercialization with health plans and insurers in the US, UK and India.</t>
  </si>
  <si>
    <t>Healthcare Technology Systems</t>
  </si>
  <si>
    <t>Other Healthcare Technology Systems</t>
  </si>
  <si>
    <t>Application Software, Other Healthcare Technology Systems*</t>
  </si>
  <si>
    <t>Digital Health, FemTech, HealthTech, Mobile</t>
  </si>
  <si>
    <t>digital health app, digital treatment, maternal care, mental health care, pregnancy guide, psychological care, wellness advice</t>
  </si>
  <si>
    <t>279773-38P</t>
  </si>
  <si>
    <t>Shailja Dixit</t>
  </si>
  <si>
    <t>+1 (800) 762-9854</t>
  </si>
  <si>
    <t>shailja@curiodigitaltx.com</t>
  </si>
  <si>
    <t>Dr. Shailja Dixit is the Founder and serves as Chief Executive Officer &amp; Board Member at Curio Digital Therapeutics. She is a Physician Executive with more than 20 years of experience in the healthcare and life sciences industry. She has been in executive leadership at Sanofi, Allergan, and GE and has been responsible for launching a number of innovative medicines. She was voted innovator of the year at GE in 2008, nominated as a Top 50 Thought Leader in "Big Data" in Life Sciences in 2016, and featured in the Pharma Executive Magazine cover-page article "Real-World Evidence: From Volume to Value" (Oct 13, 2016). She has built and has had successful exits with many projects.</t>
  </si>
  <si>
    <t>The company raised $2.5 million of Seed funding from Avestria Ventures, Careit (Paris), and other undisclosed investors on August 30, 2021, putting the company's pre-money valuation at $12 million.</t>
  </si>
  <si>
    <t>Avestria Ventures I(Avestria Ventures)</t>
  </si>
  <si>
    <t>Princeton, NJ</t>
  </si>
  <si>
    <t>Princeton</t>
  </si>
  <si>
    <t>08540</t>
  </si>
  <si>
    <t>www.bellalift.in</t>
  </si>
  <si>
    <t>Healthcare informatics</t>
  </si>
  <si>
    <t>180683-29T</t>
  </si>
  <si>
    <t>BeMe Health</t>
  </si>
  <si>
    <t>481748-50</t>
  </si>
  <si>
    <t>Flare Capital Partners(William Geary), Polaris Partners(Alexandra Cantley)</t>
  </si>
  <si>
    <t>Flare Capital Partners (www.flarecapital.com), Polaris Partners (www.polarispartners.com)</t>
  </si>
  <si>
    <t>Developer of a mental health application designed for teens to improve emotional well-being. The company's platform brings together another aspect of social, gaming, and streaming engagement along with human coaching and clinical care, enabling users to engage with one another or access resources to be well-equipped and aware to better handle their mental well-being.</t>
  </si>
  <si>
    <t>The company raised an estimated $14 million of seed funding in a deal led by Flare Capital Partners and Polaris Partners on August 22, 2024. Blue Cross and Blue Shield of Kansas, Hesperia Capital, Fiore Ventures, and California Health Care Foundation also participated in the round. The funds will be used to enhance the company's platform, expand its reach, and continue innovating in youth behavioral healthcare.</t>
  </si>
  <si>
    <t>Application Software, Educational Software, Other Healthcare Technology Systems*</t>
  </si>
  <si>
    <t>Digital Health, HealthTech, LOHAS &amp; Wellness, Mobile</t>
  </si>
  <si>
    <t>behavioral healthcare, clinical care, coaching platform, emotional health treatment, general wellness, health coaching, human coaching, mental health care, mental health platform, personalized coaching, streaming platform, wellness program</t>
  </si>
  <si>
    <t>298036-72P</t>
  </si>
  <si>
    <t>Nicoletta Tessler</t>
  </si>
  <si>
    <t>+1 (617) 510-4642</t>
  </si>
  <si>
    <t>nicoletta@bemehealth.com</t>
  </si>
  <si>
    <t>Dr. Nicoletta Tessler is a Co-Founder and serves as Chief Executive Officer and Board Member at BeMe Health. She is a clinical psychologist and accomplished senior executive with a +20-year career of repeated success in building and leading cutting-edge behavioral healthcare with a deep understanding of strategy, domain knowledge, and business operations. Nicki is a high-profile thought leader, combining rapid and strategic growth with managing the operational and financial demands of a large book of behavioral health businesses. She is a proven difference-maker with an unwavering sense of purpose and a fierce passion for reinventing the field.</t>
  </si>
  <si>
    <t>MBA (Master of Business Administration), PsyD (Doctor of Psychology)</t>
  </si>
  <si>
    <t>The company raised $7.24 million of seed funding from Polaris Partners and Flare Capital Partners on September 14, 2021, putting the company's pre-money valuation at $12 million.</t>
  </si>
  <si>
    <t>Flare Capital Partners, Polaris Partners</t>
  </si>
  <si>
    <t>Flare Capital Partners II(Flare Capital Partners)</t>
  </si>
  <si>
    <t>Gunderson Dettmer (Legal Advisor to Flare Capital Partners)</t>
  </si>
  <si>
    <t>Surfside, FL</t>
  </si>
  <si>
    <t>Surfside</t>
  </si>
  <si>
    <t>33154</t>
  </si>
  <si>
    <t>www.beme.com</t>
  </si>
  <si>
    <t>Diagnosis, Healthcare informatics</t>
  </si>
  <si>
    <t>171887-41T</t>
  </si>
  <si>
    <t>BenefitBay</t>
  </si>
  <si>
    <t>106938-19</t>
  </si>
  <si>
    <t>Atypical Ventures, Comeback Capital(Scott Shane), G Ventures (VC), Invest Nebraska, Liquid 2 Ventures, Nebraska Angels, Nelnet (NYS: NNI), Oregon Venture Fund, Skypoint Ventures, Splash Capital, Treetop Ventures</t>
  </si>
  <si>
    <t>Atypical Ventures (www.atypical.com), Comeback Capital (www.comeback.vc), G Ventures (VC) (www.gventures.fund), Invest Nebraska (www.investnebraska.com), Liquid 2 Ventures (www.liquid2.vc), Nebraska Angels (www.nebraskaangels.org), Nelnet (NYS: NNI) (www.nelnet.com), Oregon Venture Fund (oregonventurefund.com), Skypoint Ventures (www.skypointventures.com), Splash Capital (www.splashcapital.com), Treetop Ventures (www.treetopventures.com)</t>
  </si>
  <si>
    <t>Developer of an administration platform designed to offer personalized benefits for the modern workforce. The company's platform leverages an all-new benefit option, which allows employers to reimburse employees for individual health plans while maintaining the tax advantages of a group insurance policy, enabling employees to access the tools and support to select and enroll in the right plan.</t>
  </si>
  <si>
    <t>The company raised $2.99 million of Series 2 seed funding from Allos Ventures on August 9, 2024. The funds will be used to accelerate the development of its platform, incorporating advanced features that enhance user experience and compliance and further streamline administrative processes, reduce costs, and improve the overall satisfaction of its clients.</t>
  </si>
  <si>
    <t>Application Software, Business/Productivity Software*, Managed Care</t>
  </si>
  <si>
    <t>InsurTech, SaaS</t>
  </si>
  <si>
    <t>distribution and intermediation, employee benefit service, employee benefit software, health benefits platform, health benefits software, hr benefits administration, insurance portal software, premium payment platform</t>
  </si>
  <si>
    <t>35855-29P</t>
  </si>
  <si>
    <t>William Fisher</t>
  </si>
  <si>
    <t>+1 (402) 905-9903</t>
  </si>
  <si>
    <t>Mr. William Fisher serves as Director at SecureSky. He also is a Co-Founder and serves as Partner at Treetop Ventures. He serves as Partner at Global Tech Industries Group. He served as Advisor at Radpay. He serves as Board Member at Financial Transmission Network. He is an Angel Investor. He Co-Founded and served as Board Member at BenefitBay. He served as Board Member at D3 Banking. He was founder and CEO of TSAI (NASDAQ: ACIW). He served on the public company boards of Hypercom (NASDAQ: HYC), West, Inc. (NASDAQ: WSTC), TriZetto Group (NASDAQ: TZIX) and Bank of America Merchant Services (NASDAQ: BPI). Fisher was a division president at both CSG (NASDAQ: CSGS) and First Data Corp (NYSE: FDC). He was a co-founder of Sojern, Inc. and is a partner in Loess Hills Harley-Davidson. He was also on the board of Scooters Coffeehouse (sold to private equity group), MeNetwork (sold to Spindle, Inc.), Income Dynamics (sold to Intuit, Inc.), Planet Consulting (sold to CSGS) and Prism Technologies (sold to Internet Payments Corporation). He is on the board of several companies located in Omaha including D3 Banking, Simple Insurance d.b.a. as benefitbay™, Prairie Cloudware, Inc. and FTNI.</t>
  </si>
  <si>
    <t>Indiana University, BS (Bachelor of Science), 1973, Management, University of Nebraska, Lincoln, MBA (Master of Business Administration), 1974, Business</t>
  </si>
  <si>
    <t>The company raised $3 million of seed funding in a deal led by G Ventures (VC) on April 5, 2021, putting the company's pre-money valuation at $10 million. Nelnet, Splash Capital, Skypoint Ventures, Oregon Venture Fund, Treetop Ventures, Invest Nebraska, Atypical Ventures, Liquid 2 Ventures, Comeback Capital and Nebraska Angels also participated in the round.</t>
  </si>
  <si>
    <t>Atypical Ventures, Comeback Capital, G Ventures (VC), Invest Nebraska, Liquid 2 Ventures, Nebraska Angels, Nelnet, Oregon Venture Fund, Skypoint Ventures, Splash Capital, Treetop Ventures</t>
  </si>
  <si>
    <t>G Ventures (VC)</t>
  </si>
  <si>
    <t>Comeback Capital Fund(Comeback Capital), Liquid 2 Ventures Fund III(Liquid 2 Ventures)</t>
  </si>
  <si>
    <t>Thompson Hine (Legal Advisor to Company)</t>
  </si>
  <si>
    <t>Kansas City, MO</t>
  </si>
  <si>
    <t>Kansas City</t>
  </si>
  <si>
    <t>64106</t>
  </si>
  <si>
    <t>www.benefitbay.com</t>
  </si>
  <si>
    <t>135644-41T</t>
  </si>
  <si>
    <t>Benepass</t>
  </si>
  <si>
    <t>432866-80</t>
  </si>
  <si>
    <t>Aaron Levie(Aaron Levie), AltaIR Capital(Igor Ryabenkiy), Amino Capital, Elysium Venture Capital, Global Founders Capital(Donald Stalter), Gradient Ventures(Darian Shirazi), Jake Schwartz(Jake Schwartz), Polymath Capital Partners, Soma Capital, Y Combinator</t>
  </si>
  <si>
    <t>AltaIR Capital (www.altair.vc), Amino Capital (www.aminocapital.com), Elysium Venture Capital (ely.vc), Global Founders Capital (www.globalfounderscapital.com), Gradient Ventures (www.gradient.com), Polymath Capital Partners (www.polymathcp.com), Soma Capital (somacap.com), Y Combinator (www.ycombinator.com)</t>
  </si>
  <si>
    <t>Developer of a benefits card software designed to improve access to benefits, maximize flexibility, and increase ease of use. The company's platform lets employers set their wellness policy by distributing the funds via prepaid debit cards and also automates the onboarding and offboarding of employees through payroll integration, enabling employers to seamlessly connect with payroll and accounting departments for tax compliance and improve employee engagement.</t>
  </si>
  <si>
    <t>The company raised $20 million of Series A3 venture funding in a deal led by Portage and Clocktower Technology Ventures on January 31, 2024, putting the company's pre-money valuation at $69.25 million. Workday Ventures, Gradient Ventures, Sagard Holdings, and Threshold Ventures also participated in the round. The funds will be used to expand the customer base by scaling distribution as well as introduce innovative new features that meet the needs of both administrators and employees.</t>
  </si>
  <si>
    <t>FinTech, HR Tech</t>
  </si>
  <si>
    <t>automated administration, benefits card, bnpl, credit &amp; bnpl, credit and banking, debit card, employee engagement app, employee wellness service, enterprise resource planning, erp, human capital management, payroll automation</t>
  </si>
  <si>
    <t>224266-33P</t>
  </si>
  <si>
    <t>Jaclyn Chen</t>
  </si>
  <si>
    <t>+1 (917) 540-2391</t>
  </si>
  <si>
    <t>jaclyn@getbenepass.com</t>
  </si>
  <si>
    <t>Ms. Jaclyn Chen is a Co-Founder &amp; serves as Chief Executive Officer, President &amp; Board Member at Benepass. Previously, she worked at Goldman Sachs &amp; TPG and holds degrees from UPenn &amp; Stanford GSB.</t>
  </si>
  <si>
    <t>Stanford Graduate School of Business, MBA (Master of Business Administration), 2019, University of Pennsylvania, BS (Bachelor of Science), 2012, Finance</t>
  </si>
  <si>
    <t>The company raised $2.55 million through a combination of Seed-1 and Seed-2 funding in a deal led by Gradient Ventures on June 3, 2020, putting the company's pre-money valuation at $10 million. Soma Capital, Elysium Venture Capital, AltaIR Capital, Global Founders Capital, Amino Capital, Y Combinator, Polymath Capital Partners, Aaron Levie and Jake Schwartz also participated in the round. The funds will be used for hiring, product development, and customer acquisition</t>
  </si>
  <si>
    <t>Aaron Levie, AltaIR Capital, Amino Capital, Elysium Venture Capital, Global Founders Capital, Gradient Ventures, Jake Schwartz, Polymath Capital Partners, Soma Capital</t>
  </si>
  <si>
    <t>Gradient Ventures(Darian Shirazi)</t>
  </si>
  <si>
    <t>AltaIR Growth Venture(AltaIR Capital), Amino Capital II(Amino Capital), Global Founders Capital Fund(Global Founders Capital), Gradient Ventures Fund(Gradient Ventures), Y Combinator Fund III(Y Combinator)</t>
  </si>
  <si>
    <t>Cooley (Legal Advisor to Gradient Ventures), Orrick (Legal Advisor to Company)</t>
  </si>
  <si>
    <t>Cooley (Legal Advisor to Gradient Ventures)</t>
  </si>
  <si>
    <t>www.getbenepass.com</t>
  </si>
  <si>
    <t>210408-22T</t>
  </si>
  <si>
    <t>Beni</t>
  </si>
  <si>
    <t>483321-52</t>
  </si>
  <si>
    <t>Better Ventures, Buoyant Ventures(Amy Francetic), Chingona Ventures, Starting Line, XYZ Venture Capital</t>
  </si>
  <si>
    <t>Better Ventures (www.better.vc), Buoyant Ventures (www.buoyant.vc), Chingona Ventures (chingona.ventures), Starting Line (www.startingline.vc), XYZ Venture Capital (www.xyz.vc)</t>
  </si>
  <si>
    <t>Operator of an AI-powered re-commerce enablement platform intended to accelerate the circular economy by making resale the easy choice for shoppers. The platform includes a free browser extension that highlights resale alternatives from marketplaces, in real-time while shoppers are browsing mainline brand sites, it also includes a mobile extension and mobile app that allows shoppers to see deals on the go, save searches, and set alerts to see when new listings become available, enabling shoppers to easily get secondhand shopping items via mobile phone.</t>
  </si>
  <si>
    <t>The company is reportedly seeking seed funding from undisclosed investors. Previously, the company joined Google for Startups Accelerator in approximately March 2023.</t>
  </si>
  <si>
    <t>advertising technology, ai-powered crm, artificial intelligence marketing software, browser extensions, circular economy, crm, customer relationship management, digital commerce, ecommerce personalization, fashion site, online secondhand market, recommerce platform, secondhand clothing, secondhand items, secondhand shopping, shopping platform</t>
  </si>
  <si>
    <t>122847-58P</t>
  </si>
  <si>
    <t>Sarah Pinner</t>
  </si>
  <si>
    <t>+1 (805) 729-5912</t>
  </si>
  <si>
    <t>sarah@joinbeni.com</t>
  </si>
  <si>
    <t>Ms. Sarah Pinner is a Co-Founder and serves as an Advisor at Beni. She served as a WCI Analyst &amp; Corporate Clients North America at Rabobank. Previously, she served as an International Trade Consultant at Jenpho Enterprises. She holds a Bachelor of Arts degree from the University of California, Berkeley, and an MBA from Northwestern University (Kellogg)</t>
  </si>
  <si>
    <t>Northwestern University (Kellogg), MBA (Master of Business Administration), Design Innovation, University of California, Berkeley, BA (Bachelor of Arts), 2014, Political Economy</t>
  </si>
  <si>
    <t>The company raised $5.05 million of seed funding in a deal led by Buoyant Ventures on December 12, 2022, putting the company's pre-money valuation at $7.46 million. Chingona Ventures, XYZ Venture Capital, Better Ventures and Starting Line also participated in the round. As a part of the transaction, $1.05 million was initially raised in the form of SAFE notes and subsequently converted to equity. The funds will be used to expand the team and enhance technology to accelerate the adoption of resale.</t>
  </si>
  <si>
    <t>Better Ventures, Buoyant Ventures, Chingona Ventures, Starting Line, XYZ Venture Capital</t>
  </si>
  <si>
    <t>Buoyant Ventures(Amy Francetic)</t>
  </si>
  <si>
    <t>Better Ventures Fund IV(Better Ventures), Buoyant Ventures Fund(Buoyant Ventures)</t>
  </si>
  <si>
    <t>Cooley (Legal Advisor to Better Ventures), Cooley (Legal Advisor to Buoyant Ventures)</t>
  </si>
  <si>
    <t>Santa Barbara, CA</t>
  </si>
  <si>
    <t>Santa Barbara</t>
  </si>
  <si>
    <t>93101</t>
  </si>
  <si>
    <t>www.joinbeni.com</t>
  </si>
  <si>
    <t>199105-66T</t>
  </si>
  <si>
    <t>Bestever</t>
  </si>
  <si>
    <t>501275-35</t>
  </si>
  <si>
    <t>F7 Ventures, Pareto Holdings, SuperAngel.Fund, XRM Media</t>
  </si>
  <si>
    <t>F7 Ventures (www.f7ventures.com), Pareto Holdings (www.pareto20.com), SuperAngel.Fund (www.superangel.vc), XRM Media (xrmmedia.com)</t>
  </si>
  <si>
    <t>Operator of a video commerce platform intended to cater to online shoppers and brands. The company's platform offers an application to discover products through captivating video reviews for creative seasonal and timely creatives, enabling shoppers with a new experience to shop online, reviews and brands with data for improved conversion rate and reduced cart abandonment.</t>
  </si>
  <si>
    <t>The company raised an estimated $5 million through the combination of Seed-5, Seed-6, and Seed-1 funding from MKT1, and other undisclosed inestors on April 6, 2023, putting the company's pre-money valuation at $12 million.</t>
  </si>
  <si>
    <t>AdTech, Artificial Intelligence &amp; Machine Learning, Marketing Tech, SaaS</t>
  </si>
  <si>
    <t>advertisement analysis, content creation platform, video ads creator, video commerce platform, video commerce software, video review platform</t>
  </si>
  <si>
    <t>308158-57P</t>
  </si>
  <si>
    <t>Apoorva Govind</t>
  </si>
  <si>
    <t>+1 (415) 702-0653</t>
  </si>
  <si>
    <t>apoorva@bestever.io</t>
  </si>
  <si>
    <t>Ms. Apoorva Govind is the Founder &amp; serves as Chief Executive Officer at Bestever.</t>
  </si>
  <si>
    <t>Carnegie Mellon University, Degree, 2013, Degree, 2011</t>
  </si>
  <si>
    <t>The company raised an estimated $300,000 through the combination of Seed-2, Seed-3 and Seed-4 funding from F7 Ventures, Pareto Holdings and XRM Media on March 8, 2021, putting the company's pre-money valuation at $5.7 million. SuperAngel.Fund, and other undisclosed investors also participated in the round.</t>
  </si>
  <si>
    <t>www.bestever.ai</t>
  </si>
  <si>
    <t>211111-48T</t>
  </si>
  <si>
    <t>Betty's Co.</t>
  </si>
  <si>
    <t>509478-40</t>
  </si>
  <si>
    <t>Capital Factory (www.capitalfactory.com)</t>
  </si>
  <si>
    <t>Developer of a virtual care platform designed to help manage wellness and lifestyle. The company's platform connects women with gynecology issues, mental health, nutrition, weight management and overall health, enabling women to get gynecology treatment, mental healthcare and wellness healthcare.</t>
  </si>
  <si>
    <t>The company raised $500,000 of venture funding from Catalyst by Wellstar in February 2024.</t>
  </si>
  <si>
    <t>Healthcare Services</t>
  </si>
  <si>
    <t>Clinics/Outpatient Services</t>
  </si>
  <si>
    <t>Application Software, Clinics/Outpatient Services*, Other Healthcare Services</t>
  </si>
  <si>
    <t>Digital Health, E-Commerce, FemTech, Mobile</t>
  </si>
  <si>
    <t>community platform, community platform developer, community platform operator, gynecology service, mental healthcare, weight management</t>
  </si>
  <si>
    <t>317724-58P</t>
  </si>
  <si>
    <t>Jennifer Newell</t>
  </si>
  <si>
    <t>+1 (210) 572-4931</t>
  </si>
  <si>
    <t>jnewell@awkwardshop.square.site</t>
  </si>
  <si>
    <t>Ms. Jennifer Newell is the Founder &amp; serves as Chief Executive Officer at Betty's Co..</t>
  </si>
  <si>
    <t>Belmont University, BBA (Bachelor of Business Administration), 2007, Degree, 2006, French</t>
  </si>
  <si>
    <t>The company raised $25,000 of seed funding in the form of convertible debt financing from Capital Factory and other undisclosed investors on December 20, 2022.</t>
  </si>
  <si>
    <t>San Antonio, TX</t>
  </si>
  <si>
    <t>San Antonio</t>
  </si>
  <si>
    <t>78205</t>
  </si>
  <si>
    <t>www.bettysco.com</t>
  </si>
  <si>
    <t>Bridge Loan - $0.03M (Convertible)</t>
  </si>
  <si>
    <t>265626-19T</t>
  </si>
  <si>
    <t>Between</t>
  </si>
  <si>
    <t>528262-30</t>
  </si>
  <si>
    <t>Atento Capital</t>
  </si>
  <si>
    <t>Atento Capital (www.atentocapital.com)</t>
  </si>
  <si>
    <t>Provider of telehealth services intended to offer gynecology care. The company works with local clinicians to bring gynecology care through the booking of appointments via their website for online consultations or showing up in person, enabling individuals seeking gynecology care to enhance the overall healthcare experience.</t>
  </si>
  <si>
    <t>The company raised $350,000 of venture funding from Atento Capital on April 16, 2024.</t>
  </si>
  <si>
    <t>Application Software, Clinics/Outpatient Services*</t>
  </si>
  <si>
    <t>Digital Health, FemTech, HealthTech, LOHAS &amp; Wellness, TMT</t>
  </si>
  <si>
    <t>appointment booking, gynecology care, health consultation, online consultation, telehealth services, women's health</t>
  </si>
  <si>
    <t>348859-54P</t>
  </si>
  <si>
    <t>Sheereen Brown</t>
  </si>
  <si>
    <t>+1 (470) 815-8543</t>
  </si>
  <si>
    <t>sheereen@between.health</t>
  </si>
  <si>
    <t>Ms. Sheereen Brown is a Co-Founder &amp; serves as Chief Executive Officer at Between.</t>
  </si>
  <si>
    <t>Emory University, MBA (Master of Business Administration), Georgia Institute of Technology, BS (Bachelor of Science), Georgia Institute of Technology, MS (Master of Science), Industrial Engineering, University of Valencia, Degree, International Relations and Affairs</t>
  </si>
  <si>
    <t>Atlanta, GA</t>
  </si>
  <si>
    <t>Atlanta</t>
  </si>
  <si>
    <t>Georgia</t>
  </si>
  <si>
    <t>www.hellobetween.com</t>
  </si>
  <si>
    <t>184760-65T</t>
  </si>
  <si>
    <t>BigSpring</t>
  </si>
  <si>
    <t>461801-44</t>
  </si>
  <si>
    <t>Adam Grant(Adam Grant), Alto Partners (Singapore), Claire Johnson(Claire Hughes Johnson), JC2 Ventures(John Chambers), John Chambers(John Chambers), M Venture Partners, Mark Templeton(Mark Templeton), Shailesh Rao(Shailesh Rao), Stewart Butterfield(Stewart Butterfield)</t>
  </si>
  <si>
    <t>Adam Grant (adamgrant.net), Alto Partners (Singapore) (www.alto-partners.com), JC2 Ventures (www.jc2ventures.com), M Venture Partners (www.m-venturepartners.com)</t>
  </si>
  <si>
    <t>Developer of an artificial intelligence-powered revenue acceleration platform designed to keep sellers up to speed with the latest innovations to accelerate productivity and revenue growth. The company offers an AI (artificial intelligence) engine that deploys personalized campaigns with continuous practice and scoring, enabling global companies to equip the ecosystem of teams and partners with the latest product innovations to accelerate business growth.</t>
  </si>
  <si>
    <t>M Venture Partners sold a stake in the company to an undisclosed buyer. Previously, the company raised $6.5 million of venture funding from M Venture Partners, JC2 Ventures and Shailesh Rao on May 1, 2022. John Chambers, Stewart Butterfield, Adam Grant, Mark Templeton, Claire Johnson, Martin Nesbitt and Alto Partners (Singapore) also participated in the round.</t>
  </si>
  <si>
    <t>Automation/Workflow Software, Business/Productivity Software*, Database Software, Educational Software, Media and Information Services (B2B), Software Development Applications</t>
  </si>
  <si>
    <t>ai products, ai work assistant, business efficiency, channel sales improvement, channel sales platform, crm, employee learning, enterprise search, generative ai, horizontal application, learning tool, learning tracker, online learning app, online learning portal, online skills learning, revenue acceleration platform, revenue acceleration software, revenue improvement, revenue intelligence platform, sales acceleration platform, sales acceleration software, sales analytics software, sales enablement, sales execution platform, work assistant</t>
  </si>
  <si>
    <t>254201-77P</t>
  </si>
  <si>
    <t>Bhakti Vithalani</t>
  </si>
  <si>
    <t>bhakti.vithalani@bigspring.ai</t>
  </si>
  <si>
    <t>Ms. Bhakti Vithalani is a Co-Founder and serves as Chief Executive Officer at BigSpring. It is an AI-powered revenue acceleration platform. Google, Pfizer, Cisco, HSBC, Tata Steel, Liberty Global all use BigSpring to equip their ecosystem of teams and partners with the latest product innovations to accelerate business growth. BigSpring has been selected by the World Economic Forum (WEF) as a Technology Pioneer in 2020, joining a select group of companies that are poised to have a significant impact on business and society. She also serves on the Board of Governors for JA Worldwide. Previously, she worked as an Engagement Manager with McKinsey &amp; Company leading client engagements for the High Tech and Corporate Finance practices. She started her career as a software engineer with Siebel Systems in Silicon Valley. She is a Computer Engineer with University Honors from Carnegie Mellon University, where she was among the first women from India to attend. She earned an MBA from The Wharton School, where she was a Joseph Wharton Fellow.</t>
  </si>
  <si>
    <t>Carnegie Mellon University, Degree, Computer Engineer, University of Pennsylvania (Wharton), MBA (Master of Business Administration)</t>
  </si>
  <si>
    <t>The company raised $6.5 million of venture funding from M Venture Partners, JC2 Ventures and Shailesh Rao on May 1, 2022. John Chambers, Stewart Butterfield, Adam Grant, Mark Templeton, Claire Johnson, Martin Nesbitt and Alto Partners (Singapore) also participated in the round.</t>
  </si>
  <si>
    <t>Adam Grant, Alto Partners (Singapore), Claire Johnson, JC2 Ventures, John Chambers, M Venture Partners, Mark Templeton, Shailesh Rao, Stewart Butterfield</t>
  </si>
  <si>
    <t>www.bigspring.ai</t>
  </si>
  <si>
    <t>188456-59T</t>
  </si>
  <si>
    <t>Bilin Academy</t>
  </si>
  <si>
    <t>483546-97</t>
  </si>
  <si>
    <t>Developer of an e-learning platform designed for children to have access to multilingual learning. The company's platform offers online extracurricular, cultural, or academic classes in children's second language to reinforce second language acquisition, enabling children to understand and become respectful of cultural differences.</t>
  </si>
  <si>
    <t>The company joined gBETA as part of its Spring Education Cohort on April 17, 2024.</t>
  </si>
  <si>
    <t>Educational and Training Services (B2C), Educational Software*</t>
  </si>
  <si>
    <t>EdTech, SaaS</t>
  </si>
  <si>
    <t>children learning, children learning app, e-learning portal, e-learning services, e-learning tools, multilingual content</t>
  </si>
  <si>
    <t>280800-73P</t>
  </si>
  <si>
    <t>Huayi He</t>
  </si>
  <si>
    <t>+1 (312) 536-3177</t>
  </si>
  <si>
    <t>Ms. Huayi He is a Co-Founder and serves as Chief Executive Officer at Bilin Academy.</t>
  </si>
  <si>
    <t>Dominican University, Master's, Master's, Shanghai University, Bachelor's</t>
  </si>
  <si>
    <t>The company raised $60,000 of venture funding in the form of options from LongJump and other undisclosed investors in approximately September 2022.</t>
  </si>
  <si>
    <t>www.bilin.academy</t>
  </si>
  <si>
    <t>228271-78T</t>
  </si>
  <si>
    <t>Binkey</t>
  </si>
  <si>
    <t>529198-57</t>
  </si>
  <si>
    <t>SpringTide Ventures (US)(Austin Walters)</t>
  </si>
  <si>
    <t>SpringTide Ventures (US) (www.springtide.com)</t>
  </si>
  <si>
    <t>Developer of an API-enabled payment service platform intended to help merchants accept pre-tax, and health benefits. The company offers an application programming interface payment service for merchants to take flexible spending accounts and health savings accounts, as a form of payment at checkout, enabling customers to discover eligible health products and purchase them.</t>
  </si>
  <si>
    <t>The company raised $4 million of Series 1 seed funding from 3CC | Third Culture Capital, SpringTide Ventures and Plug and Play Tech Center, Wellington Access Ventures on December 14, 2023, putting the company's pre-money valuation at $13 million. Wellington Management also participated in the round.</t>
  </si>
  <si>
    <t>Financial Software, Other Financial Services*</t>
  </si>
  <si>
    <t>api platform, digital wallet, financial services, health benefits service, online wallets, payment platform</t>
  </si>
  <si>
    <t>355132-90P</t>
  </si>
  <si>
    <t>Obiaku Ohiaeri</t>
  </si>
  <si>
    <t>Ms. Obiaku Ohiaeri is the Founder &amp; serves as Chief Executive Officer at Binkey.</t>
  </si>
  <si>
    <t>The company raised an estimated $569,998 through a combination of Seed 2 and Seed 3 funding in a deal led by SpringTide Ventures (US) on October 12, 2022, putting the company's pre-money valuation at $5.48 million.</t>
  </si>
  <si>
    <t>SpringTide Ventures (US)</t>
  </si>
  <si>
    <t>SpringTide Ventures Fund II(SpringTide Ventures (US))</t>
  </si>
  <si>
    <t>www.binkey.com</t>
  </si>
  <si>
    <t>178327-63T</t>
  </si>
  <si>
    <t>Bitewell</t>
  </si>
  <si>
    <t>471509-29</t>
  </si>
  <si>
    <t>Access Capital (Dallas), Antler, Harvest Ridge Capital(Fabrice Braunrot), LEAD (Venture Capital)(Thomas Rudy), MGV Capital Group</t>
  </si>
  <si>
    <t>Access Capital (Dallas) (www.access.capital), Antler (www.antler.co), Harvest Ridge Capital (www.harvestridgecapital.com), LEAD (Venture Capital) (www.lead.vc), MGV Capital Group (www.mgvcapital.com)</t>
  </si>
  <si>
    <t>Developer of a transformative food-as-medicine platform designed to simplify and democratize healthy eating. The company's platform provides advice on food and nutrition, through a combination of benefits, rewards and a proprietary health navigation metric, food health score, enabling businesses and individuals to reduce healthcare costs by aligning food choices with long-term health outcomes.</t>
  </si>
  <si>
    <t>The company raised $1.68 million of venture funding in the form of convertible debt from PeakBridge and undisclosed investors on March 4, 2024.</t>
  </si>
  <si>
    <t>Other Commercial Services</t>
  </si>
  <si>
    <t>Business/Productivity Software, Other Commercial Services*, Other Restaurants, Hotels and Leisure, Other Services (B2C Non-Financial)</t>
  </si>
  <si>
    <t>Artificial Intelligence &amp; Machine Learning, Big Data, FoodTech, LOHAS &amp; Wellness, SaaS</t>
  </si>
  <si>
    <t>diet meals, discovery &amp; review, discovery and review, employer benefits planning, foodtech platform, healthcare data analytics, healthy eating guidance, last mile delivery, nutrition app, nutrition information, personalized nutrition, vertical application, wellness engagement platform</t>
  </si>
  <si>
    <t>111350-26P</t>
  </si>
  <si>
    <t>Chris Fanucchi</t>
  </si>
  <si>
    <t>+1 (404) 312-1566</t>
  </si>
  <si>
    <t>chris@bitewell.com</t>
  </si>
  <si>
    <t>Mr. Chris Fanucchi is a Co-Founder and serves as Chief Growth Officer and Board Member at bitewell. His interminable experience with entrepreneurship began in 2012 when he placed second in the DePaul Innovation Awards. Prior to founding bitewell, he co-founded Koia, a plant-based protein beverage, and LIMITLESS, a Caffeinated Sparkling beverage company sold to Keurig Dr. Pepper in 2020. He also has experience with innovation and intrapreneurship with CPG businesses such as General Mills and Bolthouse Farms. As a CPG founder, he discovered that the food supply chain was built on cost and convenience efficiencies instead of what's best for human health. This fostered his passion for connecting people to healthy food and his mission to solve that problem from the root. He earned a B.Com. in Sports Management and Finance from DePaul University. He currently serves as a trusted member of several advisory boards and is passionate about continuing to aid in developing and launching innovative products in the US and internationally.</t>
  </si>
  <si>
    <t>DePaul University, B.Comm (Bachelor of Commerce), 2013, Business Administration and Management</t>
  </si>
  <si>
    <t>The company raised $209,999 of Seed-4 funding from Access Capital (Dallas), MGV Capital Group and Antler on November 1, 2021, putting the company's pre-money valuation at $6.29 million. Harvest Ridge Capital and leAD Sports Accelerator also participated in the round. The funds will be used to build out the company's technology and team, with the goal of doubling its about 20-person headcount by the end of this year.</t>
  </si>
  <si>
    <t>Access Capital (Dallas), Antler, Harvest Ridge Capital, LEAD (Venture Capital), MGV Capital Group</t>
  </si>
  <si>
    <t>Access Opportunity Fund(Access Capital (Dallas)), Lake Nona Fund(LEAD (Venture Capital))</t>
  </si>
  <si>
    <t>Denver, CO</t>
  </si>
  <si>
    <t>Denver</t>
  </si>
  <si>
    <t>80205</t>
  </si>
  <si>
    <t>www.bitewell.com</t>
  </si>
  <si>
    <t>181130-14T</t>
  </si>
  <si>
    <t>Bitmama</t>
  </si>
  <si>
    <t>471494-17</t>
  </si>
  <si>
    <t>Emergence (Financial Services), Fedha Capital, Flori Ventures(Maria Alegre)</t>
  </si>
  <si>
    <t>Emergence (Financial Services) (www.emcap.com), Fedha Capital (www.fedhacapital.com), Flori Ventures (www.floriventures.com)</t>
  </si>
  <si>
    <t>Developer of a crypto-trading software designed to trade and manage cryptocurrencies and digital assets conveniently. The company's software is a crypto-fiat exchange that allows traders to buy and sell Bitcoin, Ethereum, Celo, and other digital assets, enabling users to buy and sell cryptocurrencies through an encrypted network.</t>
  </si>
  <si>
    <t>The company raised $1.65 million of pre-seed funding in a deal led by Unicorn Growth Capital and Launch Africa Ventures on September 11, 2022. Enrich and 12 other investors also participated in the round. The funds will be used to help increase the use cases for cryptocurrencies across the African continent.</t>
  </si>
  <si>
    <t>Application Software, Financial Software*, Other Financial Services</t>
  </si>
  <si>
    <t>blockchain technology, crypto card, cryptocurrencies trading, digital asset, digital currency exchange, financial services, virtual card</t>
  </si>
  <si>
    <t>277341-67P</t>
  </si>
  <si>
    <t>Ruth Iselema</t>
  </si>
  <si>
    <t>ruth@bitmama.io</t>
  </si>
  <si>
    <t>Ms. Ruth Iselema is the Founder of Bitmama and also serves as its Chief Executive Officer.</t>
  </si>
  <si>
    <t>The company raised $350,000 of pre-seed funding in a deal led by Flori Ventures on October 4, 2021. Emergence and Fedha Capital also participated in the round.</t>
  </si>
  <si>
    <t>Emergence (Financial Services), Fedha Capital, Flori Ventures</t>
  </si>
  <si>
    <t>Flori Ventures(Maria Alegre)</t>
  </si>
  <si>
    <t>Emergence Capital Partners V(Emergence (Financial Services)), Flori Ventures I(Flori Ventures)</t>
  </si>
  <si>
    <t>Claymont, DE</t>
  </si>
  <si>
    <t>Claymont</t>
  </si>
  <si>
    <t>19703</t>
  </si>
  <si>
    <t>www.bitmama.io</t>
  </si>
  <si>
    <t>194762-26T</t>
  </si>
  <si>
    <t>Blaze</t>
  </si>
  <si>
    <t>493367-68</t>
  </si>
  <si>
    <t>Bling Capital, Collab+Currency, DCG Expeditions, Gaingels, Inception Capital (British Virgin Islands), Kraken Ventures, MaC Venture Capital, Soma Capital, Trac (San Francisco)</t>
  </si>
  <si>
    <t>Bling Capital (www.blingcap.com), Collab+Currency (www.collabcurrency.com), DCG Expeditions (expeditions.dcg.co), Gaingels (www.gaingels.com), Inception Capital (British Virgin Islands) (www.inception.capital), Kraken Ventures (www.krakenventures.com), MaC Venture Capital (macventurecapital.com), Soma Capital (somacap.com), Trac (San Francisco) (www.trac.vc)</t>
  </si>
  <si>
    <t>Developer of a social customer relationship management and analytics tool intended to grow and engage users. The company's platform automatically tags and categorizes customer support issues so teams can more easily identify bugs and prioritize features provides a centralized dashboard that joins together support, sales, and user data and offers intuitive templates to make independent data exploration easy for non-technical teams, enabling companies to uncover trends and flag anomalies to ensure no urgent issue is missed and ensure product teams make better decisions.</t>
  </si>
  <si>
    <t>The company raised an undisclosed amount of venture funding from Collab+Currency on April 5, 2023. Faction Ventures also participated in this round.</t>
  </si>
  <si>
    <t>Business/Productivity Software*, Database Software</t>
  </si>
  <si>
    <t>community management, data exploration software, data software developer, marketing analytics, online activity, online signal</t>
  </si>
  <si>
    <t>278866-09P</t>
  </si>
  <si>
    <t>Lauren Rothwell</t>
  </si>
  <si>
    <t>+1 (646) 659-1713</t>
  </si>
  <si>
    <t>lauren@withblaze.app</t>
  </si>
  <si>
    <t>Ms. Lauren Rothwell is a Co-Founder and serves as Chief Executive Officer at Retrera. She is a Co-Founder and serves as Chief Executive Officer at Blaze. Before Blaze, she was an interest rate trader at Goldman Sachs and worked on products at several start-ups. She has an MBA from Stanford Graduate School of Business and a degree in Economics and Statistics from Trinity College Dublin.</t>
  </si>
  <si>
    <t>Stanford Graduate School of Business, MBA (Master of Business Administration), Trinity College Dublin, Degree, Economics and Statistics</t>
  </si>
  <si>
    <t>The company raised $1.4 million of seed funding from Kraken Ventures, MaC Venture Capital, DCG Expeditions and Inception Capital on April 15, 2022. Gaingels, Collab+Currency, Trac, Bling Capital and Soma Capital also participated in the round. The amount was initially raised in the form of SAFE notes and subsequently converted to equity.</t>
  </si>
  <si>
    <t>MaC Venture Capital 2019(MaC Venture Capital)</t>
  </si>
  <si>
    <t>Walnut, CA</t>
  </si>
  <si>
    <t>Walnut</t>
  </si>
  <si>
    <t>91789</t>
  </si>
  <si>
    <t>www.withblaze.app</t>
  </si>
  <si>
    <t>188580-16T</t>
  </si>
  <si>
    <t>Blaze Technology</t>
  </si>
  <si>
    <t>491536-54</t>
  </si>
  <si>
    <t>ACTAI Ventures, Black Opal Ventures(Eileen Tanghal), Flybridge Capital Partners, Friedom Partners, K8 Capital(Andre Koo), MaC Venture Capital, Mada Seghete(Mada Seghete), Root and Shoot Ventures, Sangha Capital, The K Funds, Vlad Magdalin(Vlad Magdalin), William Tai(William Tai)</t>
  </si>
  <si>
    <t>ACTAI Ventures (www.actaiventures.com), Black Opal Ventures (www.blackopalventures.com), Flybridge Capital Partners (www.flybridge.com), Friedom Partners (www.friedompartners.com), K8 Capital (www.k8cap.com), MaC Venture Capital (macventurecapital.com), Root and Shoot Ventures (www.rs.ventures), Sangha Capital (www.sanghacapital.co), The K Funds (www.thekfund.com)</t>
  </si>
  <si>
    <t>Developer of no-code tool platform designed to assist teams in building internal tools to automate business operations. The company specializes in the application development tool with sales lookup tools, and automated reports, and creates interactive digital and complex workflows, enabling clients to develop applications without coding.</t>
  </si>
  <si>
    <t>The company was in talks to receive venture funding in the form of SAFE notes on an undisclosed date. Subsequently, the deal was canceled. Previously, the company raised $5 million of seed funding in a deal led by MaC Venture Capital and Flybridge Capital Partners on October 17, 2023, putting the company's pre-money valuation at $30 million. The K Funds, Sangha Capital, Root and Shoot Ventures, Black Opal Ventures, K8 Capital, ACTAI Ventures, Vlad Magdalin, Mada Seghete, Friedom Partners, and William Tai also participated in the round. The funds will be used to support the strong demand from the healthcare sector using the platform to build HIPAA-compliant, mission-critical software that enhances patient care and drives operational efficiencies.</t>
  </si>
  <si>
    <t>automated reporting tool, business assistant tools, business operations, complex workflow management, internal tools, internal tools developer, no-code automation, no-coding platform</t>
  </si>
  <si>
    <t>42448-69P</t>
  </si>
  <si>
    <t>Nanxi Liu</t>
  </si>
  <si>
    <t>+1 (855) 536-7584</t>
  </si>
  <si>
    <t>nliu@blaze.tech</t>
  </si>
  <si>
    <t>Ms. Nanxi Liu is a Co-Founder &amp; serves as Co-Chief Executive Officer at Blaze Technology. She is a Co-Founder and served as the Chief Executive Officer at Enplug. She also serves as an Investment Partner at XFactor Ventures. She co-founded and served as the Chief Financial Officer and Board Member at Nanoly Bioscience. She served on the Board of Advisors at Covington Capital Management. She serves as a Board Member of the Los Angeles Venture Association and served as Advisor at Infobitt. She received a Bachelor of Science and Bachelor of Arts in Business and Political Economy at UC Berkeley where she received UC Berkeley's Leadership Award and the Haas School of Business's Undergraduate Leadership Award.</t>
  </si>
  <si>
    <t>University of California, Berkeley, BA (Bachelor of Arts), 2012, Political Economy, University of California, Berkeley, BS (Bachelor of Science), 2012, Business</t>
  </si>
  <si>
    <t>The company raised $5 million of seed funding in a deal led by MaC Venture Capital and Flybridge Capital Partners on October 17, 2023, putting the company's pre-money valuation at $30 million. The K Funds, Sangha Capital, Root and Shoot Ventures, Black Opal Ventures, K8 Capital, ACTAI Ventures, Vlad Magdalin, Mada Seghete, Friedom Partners, and William Tai also participated in the round. The funds will be used to support the strong demand from the healthcare sector using the platform to build HIPAA-compliant, mission-critical software that enhances patient care and drives operational efficiencies.</t>
  </si>
  <si>
    <t>ACTAI Ventures, Black Opal Ventures, Flybridge Capital Partners, Friedom Partners, K8 Capital, MaC Venture Capital, Mada Seghete, Root and Shoot Ventures, Sangha Capital, The K Funds, Vlad Magdalin, William Tai</t>
  </si>
  <si>
    <t>Flybridge Capital Partners, MaC Venture Capital</t>
  </si>
  <si>
    <t>Black Opal Ventures Fund I(Black Opal Ventures)</t>
  </si>
  <si>
    <t>90045</t>
  </si>
  <si>
    <t>www.blaze.tech</t>
  </si>
  <si>
    <t>257908-87T</t>
  </si>
  <si>
    <t>BLNG</t>
  </si>
  <si>
    <t>556953-04</t>
  </si>
  <si>
    <t>Strange Ventures</t>
  </si>
  <si>
    <t>Strange Ventures (www.strangevc.com)</t>
  </si>
  <si>
    <t>Operator of AI design software intended for the jewelry industry. The company offers AI-powered tools to creators for personalized jewelry design and provides a transformative experience that allows everyone to explore creativity and create meaningful connections with jewelry, enabling businesses to unlock the potential of AI-driven design and shape the future of personalized jewelry.</t>
  </si>
  <si>
    <t>The company is in the process of raising an undisclosed amount of seed funding on an undisclosed date. Previously, the company joined La Maison des startups on May 23, 2024 and received $2 million in funding, putting post-money valuation at $15 million.</t>
  </si>
  <si>
    <t>Business/Productivity Software, Multimedia and Design Software*</t>
  </si>
  <si>
    <t>ai design, ai tools, design software, design tool, jewelry design, personalized jewelry</t>
  </si>
  <si>
    <t>394848-19P</t>
  </si>
  <si>
    <t>Valerie Leblond</t>
  </si>
  <si>
    <t>valerie.leblond@blng.ai</t>
  </si>
  <si>
    <t>Ms. Valerie Leblond is a Co-Founder &amp; serves as Chief Executive Officer at BLNG.</t>
  </si>
  <si>
    <t>Degree, 1999, Mechanical Engineering, École Nationale Supérieure des Sciences Appliquées de de Technologie, Bachelor's, 2003, Manufacturing &amp; Automation Engineering</t>
  </si>
  <si>
    <t>The company raised $100,000 of venture funding from Strange Ventures on January 8, 2024.</t>
  </si>
  <si>
    <t>Strange Ventures Fund I(Strange Ventures)</t>
  </si>
  <si>
    <t>90046</t>
  </si>
  <si>
    <t>www.blng.ai</t>
  </si>
  <si>
    <t>133376-68T</t>
  </si>
  <si>
    <t>BlockSpaces</t>
  </si>
  <si>
    <t>231859-90</t>
  </si>
  <si>
    <t>Brighter Capital, Greg Pierce, James Olson(James Olson), John Rasmussen, Leadout Capital(Alison Rosenthal), Ryan Dorrell(Ryan Dorrell), Tony DiBenedetto(Tony DiBenedetto)</t>
  </si>
  <si>
    <t>Brighter Capital (www.brightercapital.com), Leadout Capital (www.leadoutcapital.com)</t>
  </si>
  <si>
    <t>Developer of blockchain integration software intended to connect applications and data. The company's software includes blockchain technology education, training, and services within a supportive live and virtual collaborative community, enabling small businesses to become par with rapidly emerging blockchain technology industries.</t>
  </si>
  <si>
    <t>The company was in talks to receive an undisclosed amount of Series A venture funding from Locus Ventures on January 3, 2022. Subsequently, the deal was cancelled. Previously, the company raised $5.75 million of seed funding in a deal led by Leadout Capital on March 18, 2022, putting the company's pre-money valuation at $60.00 million. Brighter Capital and 8 other investors also participated in the round. The funds will be used to expand operational capacity, hire top talent, increase infrastructure support, and expand the availability of new blockchains.</t>
  </si>
  <si>
    <t>Business/Productivity Software*, Education and Training Services (B2B)</t>
  </si>
  <si>
    <t>Cryptocurrency/Blockchain, EdTech, FinTech</t>
  </si>
  <si>
    <t>blockchain business strategy, blockchain data, blockchain integration, crypto corporation management and finance, digital asset, enterprise blockchain, enterprise blockchain development, web3 tools</t>
  </si>
  <si>
    <t>191328-22P</t>
  </si>
  <si>
    <t>Rosa Shores</t>
  </si>
  <si>
    <t>+1 (813) 500-8585</t>
  </si>
  <si>
    <t>rosa@blockspaces.io</t>
  </si>
  <si>
    <t>Ms. Rosa Shores is a Co-Founder &amp; serves as Chief Executive Officer &amp; Board Member at BlockSpaces.</t>
  </si>
  <si>
    <t>The company raised $1.435 million pre-seed funding in a deal led by Leadout Capital on March 24, 2021, putting the company's pre-money valuation at $3.9 million. Brighter Capital and 5 other investors also participated in the round. The company intends to use the funding to scale operations, make key hires, and speed the development of the company's core software that connects business applications and data to multiple blockchain networks.</t>
  </si>
  <si>
    <t>Brighter Capital, Greg Pierce, James Olson, John Rasmussen, Leadout Capital, Ryan Dorrell, Tony DiBenedetto</t>
  </si>
  <si>
    <t>Leadout Capital(Alison Rosenthal)</t>
  </si>
  <si>
    <t>Tampa, FL</t>
  </si>
  <si>
    <t>Tampa</t>
  </si>
  <si>
    <t>33602</t>
  </si>
  <si>
    <t>www.blockspaces.com</t>
  </si>
  <si>
    <t>228550-78T</t>
  </si>
  <si>
    <t>Blockus</t>
  </si>
  <si>
    <t>521575-21</t>
  </si>
  <si>
    <t>2Moon Capital, Altos Ventures, ArkStream Capital, Bryan Pelligrino(Bryan Pelligrino), Comfy Capital, Eterna Capital, GFR Fund, Maple VC(Andre Charoo), MH Ventures, Michael Ma(Michael Ma), Newtribe Capital, Orange DAO, Press Start Capital, WAGMI Ventures (New York), Zephyrus Capital, Zhuoxun Yin(Zhuoxun Yin)</t>
  </si>
  <si>
    <t>2Moon Capital (www.tomooncapital.com), Altos Ventures (www.altos.vc), ArkStream Capital (arkstream.capital), Comfy Capital (www.comfy.capital), Eterna Capital (www.eternacapital.com), GFR Fund (www.gfrfund.com), Maple VC (www.maplevc.com), MH Ventures (www.mhventures.io), Newtribe Capital (www.newtribe.capital), Orange DAO (orangedao.xyz), Press Start Capital (www.pressstart.capital), WAGMI Ventures (New York) (www.wagmiventures.io), Zephyrus Capital (www.zephyruscapital.com)</t>
  </si>
  <si>
    <t>Developer of a web economy platform designed to enable game studios to build fast, reduce costs and laser focus on gameplay. The company specializes in providing integrated fiat, staking, account, crypto payments, NFT storefronts and wallet management, enabling users to build web games fast and securely including all purchase methods with a wallet or a credit card.</t>
  </si>
  <si>
    <t>The company raised $4 million of seed funding in a deal led by Maple VC and Altos Ventures on March 11, 2024. MH Ventures and 13 other investors also participated in the round. The funds will be used to accelerate growth, expand the team, strengthen sales operations, and invest in product development. Earlier, the company joined Andreessen Horowitz on February 15, 2023 and received $500,000 in funding, putting the company's pre-money valuation at $6.64 million.</t>
  </si>
  <si>
    <t>Business/Productivity Software, Financial Software, Other Financial Services*</t>
  </si>
  <si>
    <t>Cryptocurrency/Blockchain, FinTech, Gaming, SaaS</t>
  </si>
  <si>
    <t>gameplay design, gaming platform company, wallets management, wallets payment, web games, web3 gaming network, web3 gaming platform, web3 gaming software</t>
  </si>
  <si>
    <t>NFTs</t>
  </si>
  <si>
    <t>388702-45P</t>
  </si>
  <si>
    <t>Jess Zhang</t>
  </si>
  <si>
    <t>+1 (018) 662-6402</t>
  </si>
  <si>
    <t>jzhang@blockus.gg</t>
  </si>
  <si>
    <t>Ms. Jess Zhang is a Co-Founder and serves as Chief Executive Officer at Blockus.</t>
  </si>
  <si>
    <t>The company raised $4 million of seed funding in a deal led by Maple VC and Altos Ventures on March 11, 2024. MH Ventures, Zephyrus Capital, WAGMI Ventures (New York), Newtribe Capital, 2Moon Capital, Press Start Capital, Eterna Capital, ArkStream Capital, GFR Fund, Orange DAO, Comfy Capital, Zhuoxun Yin, Michael Ma and Bryan Pelligrino also participated in the round. The funds will be used to accelerate growth, expand the team, strengthen sales operations, and invest in product development.</t>
  </si>
  <si>
    <t>2Moon Capital, Altos Ventures, ArkStream Capital, Bryan Pelligrino, Comfy Capital, Eterna Capital, GFR Fund, Maple VC, MH Ventures, Michael Ma, Newtribe Capital, Orange DAO, Press Start Capital, WAGMI Ventures (New York), Zephyrus Capital, Zhuoxun Yin</t>
  </si>
  <si>
    <t>Altos Ventures, Maple VC(Andre Charoo)</t>
  </si>
  <si>
    <t>33127</t>
  </si>
  <si>
    <t>www.blockus.gg</t>
  </si>
  <si>
    <t>164751-67T</t>
  </si>
  <si>
    <t>Blu.</t>
  </si>
  <si>
    <t>234603-82</t>
  </si>
  <si>
    <t>C. Richard Kramlich(C. Richard Kramlich), Endurance Search Partners, Gelman Brothers(Alex Gelman)</t>
  </si>
  <si>
    <t>Endurance Search Partners (www.endurancesearchpartners.com), Gelman Brothers (www.gelmanbrothers.com)</t>
  </si>
  <si>
    <t>Developer of a media platform designed to handle all operational media aspects including ingestion and delivery of content, image, and metadata files. The company's platform provides content aggregation, content licensing and distribution, content testing and certification, user experience and user interface testing, and hardware and software certification, enabling brands to improve content visibility by providing cost-effective, revenue-generating distribution for video content.</t>
  </si>
  <si>
    <t>The company raised $6 million of Series A venture funding in a deal led by C. Richard Kramlich on April 20, 2021. Gelman Brothers, Endurance Search Partners, and other undisclosed investors also participated in the round. The funds will be used to add key members to the company's executive team, accelerate software development growth, and continue entertainment industry expansion.</t>
  </si>
  <si>
    <t>Business/Productivity Software, Entertainment Software, Media and Information Services (B2B)*</t>
  </si>
  <si>
    <t>CloudTech &amp; DevOps, Marketing Tech, TMT, Virtual Reality</t>
  </si>
  <si>
    <t>content delivery, content services, digital content platform, digital marketing platform, kms, knowledge management system, media content platform, media content sharing, media technology company</t>
  </si>
  <si>
    <t>205635-07P</t>
  </si>
  <si>
    <t>Paulette Pantoja</t>
  </si>
  <si>
    <t>+1 (818) 527-2763</t>
  </si>
  <si>
    <t>paulette@blu-team.com</t>
  </si>
  <si>
    <t>Ms. Paulette Pantoja is the Founder and serves as Chief Executive Officer at Blu Digital Group.</t>
  </si>
  <si>
    <t>C. Richard Kramlich, Endurance Search Partners, Gelman Brothers</t>
  </si>
  <si>
    <t>C. Richard Kramlich(C. Richard Kramlich)</t>
  </si>
  <si>
    <t>Young America Capital (Advisor: General to Company)</t>
  </si>
  <si>
    <t>Burbank, CA</t>
  </si>
  <si>
    <t>Burbank</t>
  </si>
  <si>
    <t>91504</t>
  </si>
  <si>
    <t>www.bludigitalgroup.com</t>
  </si>
  <si>
    <t>171710-65T</t>
  </si>
  <si>
    <t>Blue Ocean Gear</t>
  </si>
  <si>
    <t>338547-07</t>
  </si>
  <si>
    <t>Azul Ocean Ventures, Boost VC, Brighter Capital, Builders Vision, Conservation International Ventures, E8 (Seattle), Good Growth Capital, SeaAhead, Seabird Ventures, Signia Venture Partners</t>
  </si>
  <si>
    <t>Azul Ocean Ventures (www.azulvc.com), Boost VC (www.boost.vc), Brighter Capital (www.brightercapital.com), Builders Vision (www.buildersvision.com), Conservation International Ventures (www.conservation.org), E8 (Seattle) (www.e8angels.com), Good Growth Capital (www.goodgrowthvc.com), SeaAhead (www.sea-ahead.com), Seabird Ventures (www.seabirdventures.fund), Signia Venture Partners (www.signiaventurepartners.com)</t>
  </si>
  <si>
    <t>Developer of smart buoys designed to address marine plastic pollution and enhance ocean data collection. The company's products are compact, durable buoys that enable fishers, regulators, and ocean industries to track and monitor data from deployed equipment anytime and anywhere, enabling clients to have effective management and sustainability of ocean resources.</t>
  </si>
  <si>
    <t>The company raised an undisclosed amount of venture funding in the form of SAFE notes from Impact Assets on September 10, 2024.</t>
  </si>
  <si>
    <t>Business/Productivity Software, Electronic Equipment and Instruments*, Other Commercial Products</t>
  </si>
  <si>
    <t>Advanced Manufacturing, Artificial Intelligence &amp; Machine Learning, CleanTech, Internet of Things</t>
  </si>
  <si>
    <t>abi custom application, analytics platform, aquaculture tools, fishing monitoring system, fishing technology, industrial iot, iot tools, ocean data, sustainable fishing</t>
  </si>
  <si>
    <t>Ocean Data Collection</t>
  </si>
  <si>
    <t>213576-49P</t>
  </si>
  <si>
    <t>Kortney Opshaug</t>
  </si>
  <si>
    <t>+1 (415) 729-9231</t>
  </si>
  <si>
    <t>kortney.opshaug@blueoceangear.com</t>
  </si>
  <si>
    <t>Dr. Kortney Opshaug is a Co-Founder and serves as Chief Executive Officer &amp; Board Member at Blue Ocean Gear. She has over 20 years of engineering and management experience in the fields of both marine and aerospace technology at companies including Deep Ocean Engineering, Lockheed Martin, and Space Systems/Loral. Before founding Blue Ocean Gear, she worked at USRA directing the Mission Operations team for NASA's SOFIA program. She has developed the patented and patent-pending technology behind Blue Ocean Gear's devices. She holds a Ph.D. from Stanford University, MS, and a BS in Aerospace Engineering from Massachusetts Institute of Technology (MIT).</t>
  </si>
  <si>
    <t>Massachusetts Institute of Technology (MIT), BS (Bachelor of Science), Aeronautics &amp; Astronautics, Massachusetts Institute of Technology (MIT), MS (Master of Science), Aeronautics &amp; Astronautics, Stanford University, Ph.D. (Doctor of Philosophy), Aerospace</t>
  </si>
  <si>
    <t>The company raised $2.2 million of seed funding in a deal led by Good Growth Capital on March 29, 2021, putting the company's pre-money valuation at $5.5 million. Signia Venture Partners, Boost VC, Brighter Capital, Azul Ocean Ventures, SeaAhead, E8, Conservation International Ventures, Builders Vision and Seabird Ventures also participated in the round. The funds will be used to support the company's growth.</t>
  </si>
  <si>
    <t>Azul Ocean Ventures, Brighter Capital, Builders Vision, Conservation International Ventures, E8 (Seattle), Good Growth Capital, SeaAhead, Seabird Ventures, Signia Venture Partners</t>
  </si>
  <si>
    <t>Boost VC</t>
  </si>
  <si>
    <t>Good Growth Capital Fund II(Good Growth Capital), Infinite Corridor Fund(Good Growth Capital), Signia Venture Partners III(Signia Venture Partners)</t>
  </si>
  <si>
    <t>Sausalito, CA</t>
  </si>
  <si>
    <t>Sausalito</t>
  </si>
  <si>
    <t>94965</t>
  </si>
  <si>
    <t>www.blueoceangear.com</t>
  </si>
  <si>
    <t>Animal husbandry, Launching, hauling-out, or dry-docking of vessels, Ships or other waterborne vessels</t>
  </si>
  <si>
    <t>138439-00T</t>
  </si>
  <si>
    <t>Blue Studios</t>
  </si>
  <si>
    <t>268293-97</t>
  </si>
  <si>
    <t>500 Global, 640 Oxford Ventures, Avesta Fund, Brendan Weitz(Brendan Weitz), Global Millennial Capital(Andreea Danila), Gross Labs, K50 Ventures, Speedwagon Capital Partners</t>
  </si>
  <si>
    <t>500 Global (500.co), 640 Oxford Ventures (www.640oxfordventures.com), Avesta Fund (www.avesta.fund), Global Millennial Capital (www.globalmillennialcapital.com), Gross Labs (www.grosslabs.com), K50 Ventures (www.k50ventures.com), Speedwagon Capital Partners (www.speedwagoncapital.com)</t>
  </si>
  <si>
    <t>Developer of a Web3 family crypto wallet designed to create opportunities for families to come together to plan, invest, learn, and play. The company's platform provides families with tools and software to reimagine what families can do together with money and assets, enabling families to get empowered to be the custodians of their data and wealth.</t>
  </si>
  <si>
    <t>The company raised an undisclosed amount of venture funding from Restive Ventures on March 23, 2023.</t>
  </si>
  <si>
    <t>Financial Software*, Information Services (B2C), Other Financial Services</t>
  </si>
  <si>
    <t>crypto wallets, edutainment platform, family finances, finance managing platform, metaverse platform, web3 platform</t>
  </si>
  <si>
    <t>206586-55P</t>
  </si>
  <si>
    <t>Kelley Cambry</t>
  </si>
  <si>
    <t>+1 (415) 966-2546</t>
  </si>
  <si>
    <t>kelley@bluestudios.io</t>
  </si>
  <si>
    <t>Ms. Kelley Cambry is a Co-Founder and serves as Chief Executive Officer at Blue Studios. She is also a co-founder and CEO of the Paige &amp; Paxton STEM (science, technology, engineering, and math) system. She taught herself to code at the age of 16 and as a result, was instrumental in leading nationally recognized STEM pipelining programs. She led teams designed to expose middle and high school students to opportunities in computer science across the country. After working with pipelining organizations, she realized the need to start STEM awareness and proficiency earlier in the funnel. She resigned from her Assistant Vice President position at JP Morgan Chase to focus on Paige &amp; Paxton, as the brand began to build traction by signing on major school systems, such as Chicago Public Schools. In addition to her role at JP Morgan Chase, She has years of experience in financial services and digital marketing at Fortune 500 companies such as Walgreen Co., Discover Financial Services, and American Express. She is also an avid storyteller and has presented for TEDx, ComEd, The Girl Scouts, General Assembly, New York University, Social Media Week, Internet Week, and at the Chicago Moth. She has been named "Crain's Chicago Business 20 in their 20s," received the "Power 30 Under 30™ award presented by Porsche in the Business category, received the "Chicago Scholars 35 under 35 Young Leaders Making an Impact" award, named a "Hero in Education" by the Soar Women's Empowerment Summit, and was a recipient of the YWCA YWomen Leadership Award. She served as a board member of the Evanston Community Foundation, which distributes over $1.3 million dollars in grants each year. She is a graduate of Howard University School of Business.</t>
  </si>
  <si>
    <t>Howard University, BBA (Bachelor of Business Administration), Marketing</t>
  </si>
  <si>
    <t>The company raised $1.5 million of Seed funding from 500 Global, Global Millennial Capital, and K50 Ventures on October 22, 2020, putting the company's pre-money valuation at $9 million. 640 Oxford Ventures, Avesta Fund, Gross Labs, Brendan Weitz, and Speedwagon Capital Partners also participated in the round.</t>
  </si>
  <si>
    <t>640 Oxford Ventures, Avesta Fund, Brendan Weitz, Global Millennial Capital, Gross Labs, K50 Ventures, Speedwagon Capital Partners</t>
  </si>
  <si>
    <t>500 Global</t>
  </si>
  <si>
    <t>Global Millennial Capital Fund I(Global Millennial Capital)</t>
  </si>
  <si>
    <t>11217</t>
  </si>
  <si>
    <t>www.bluestudios.io</t>
  </si>
  <si>
    <t>191155-60T</t>
  </si>
  <si>
    <t>Bods</t>
  </si>
  <si>
    <t>494248-60</t>
  </si>
  <si>
    <t>Alsara Investment Group, Cyan Banister(Cyan Banister), Fourth Realm, Gaingels, Jennifer Fleiss(Jennifer Fleiss), Karlie Kloss(Karlie Kloss), Long Journey Ventures, Stellation Capital(Peter Boyce), Third Kind Venture Capital, WXR Venture Fund</t>
  </si>
  <si>
    <t>Alsara Investment Group (www.alsara.com), Fourth Realm (fourthrealm.vc), Gaingels (www.gaingels.com), Karlie Kloss (karliekloss.com), Long Journey Ventures (www.longjourney.vc), Stellation Capital (www.stellation.vc), Third Kind Venture Capital (www.3kvc.com), WXR Venture Fund (www.wxrfund.com)</t>
  </si>
  <si>
    <t>Developer of an online shopping software intended to reduce the amount of clothes disposed of due to improper fit. The company's software utilizes artificial intelligence (AI) to create a three-dimensional representation of the customer to see how clothes of various sizes fit on their body, enabling customers to style complete looks in an engaging digital experience that is personalized, inclusive, and fun.</t>
  </si>
  <si>
    <t>The company joined Google for Startups as a part of its Women Founders program on March 7, 2024. No equity or funding was exchanged as a result of this program.</t>
  </si>
  <si>
    <t>3d digital image, ai images software, customer relationship management, designing company, ecommerce search, online shopping software</t>
  </si>
  <si>
    <t>206112-43P</t>
  </si>
  <si>
    <t>Christine Marzano</t>
  </si>
  <si>
    <t>christine@bods.me</t>
  </si>
  <si>
    <t>Ms. Christine Marzano is a Co-Founder and serves as Chief Executive Officer at Bods. Ms. Christine Marzano co-founded DNABlock. She also works as an Actor. She started as an award-winning dancer and told stories through body movement as a professional Irish Dancer. For the past ten years, she continued her storytelling as an actor; demonstrating depth, grit, and versatility by portraying a wide range of characters in award-winning movies and TV shows around the world. She excelled in doing voiceover and motion capture for top-selling video games, commercials, and other applications. Prior to acting, she worked as an international model, walking the runways of the globe for luxury labels and posing for renowned fashion publications. She currently moderates the Princeton in Hollywood Speaker Series, capturing stories through interviews and panel discussions with Hollywood power players. She also spends time teaching acting and storytelling skills to LA foster children, through the Cherished Hands volunteer program. She holds an A.B. in Psychology from Princeton University and a Certificate in Graphic Design from UCLA.</t>
  </si>
  <si>
    <t>Princeton University, BA (Bachelor of Arts), 2007, Psychology, University of California, Los Angeles (UCLA), Certificate, Graphic Design</t>
  </si>
  <si>
    <t>The company raised $5.6 million of seed funding in a deal led by Stellation Capital on January 27, 2022. Third Kind Venture Capital, Long Journey Ventures, Alsara Investment Group, Fourth Realm, WXR Venture Fund, Gaingels, Karlie Kloss, Cyan Banister and Jenny Fleiss also participated in the round. The funds will be used to expand the company's team and fulfill technology patents.</t>
  </si>
  <si>
    <t>Alsara Investment Group, Cyan Banister, Fourth Realm, Gaingels, Jennifer Fleiss, Karlie Kloss, Long Journey Ventures, Stellation Capital, Third Kind Venture Capital, WXR Venture Fund</t>
  </si>
  <si>
    <t>Stellation Capital(Peter Boyce)</t>
  </si>
  <si>
    <t>Goodwin Procter (Legal Advisor to Company, Daniel Lindsey)</t>
  </si>
  <si>
    <t>90292</t>
  </si>
  <si>
    <t>www.bods.me</t>
  </si>
  <si>
    <t>153803-26T</t>
  </si>
  <si>
    <t>Bold (Educational and Training Services)</t>
  </si>
  <si>
    <t>438354-19</t>
  </si>
  <si>
    <t>Maveron</t>
  </si>
  <si>
    <t>Maveron (www.maveron.com)</t>
  </si>
  <si>
    <t>Operator of a personalized digital fitness platform intended to improve and promote wellness and health. The company's platform focuses on disease prevention and healthy aging and includes energizing fitness classes featuring expert trainers and personalized programs to improve strength, balance, vibrancy, and mobility, enabling adults and other individuals to get stronger and healthier so that they can chase the life they want at any age.</t>
  </si>
  <si>
    <t>The company raised $17 million of Series A venture funding in a deal led by Rethink Impact on July 28, 2023, putting the company's pre-money valuation at $63 million. Primetime Partners, Andreessen Horowitz, Khosla Ventures, Samsung NEXT Ventures, HDS Capital, and GingerBread Capital also participated in the round. The funds will be used to Further Accelerate Growth with Medicare Plans and Providers and Support the Healthy Aging Goals of Older Adults Everywhere.</t>
  </si>
  <si>
    <t>Educational and Training Services (B2C)*, Educational Software</t>
  </si>
  <si>
    <t>Digital Health, HealthTech, LOHAS &amp; Wellness</t>
  </si>
  <si>
    <t>custom fitness program, custom fitness training, custom training, custom training program, custom workout, disease prevention program, fitness assessment and training, strength training</t>
  </si>
  <si>
    <t>238877-65P</t>
  </si>
  <si>
    <t>Amanda Rees</t>
  </si>
  <si>
    <t>+1 (833) 701-1545</t>
  </si>
  <si>
    <t>amanda@agebold.com</t>
  </si>
  <si>
    <t>Ms. Amanda Rees is a Co-Founder and serves as Chief Executive Officer at Age Bold.</t>
  </si>
  <si>
    <t>Princeton University, BS (Bachelor of Science), 2012, Biological Engineering</t>
  </si>
  <si>
    <t>The company raised an estimated $1.85 million of Seed funding from Maveron on January 1, 2020, putting the company's pre-money valuation at $4 million.</t>
  </si>
  <si>
    <t>Maveron 15-1(Maveron)</t>
  </si>
  <si>
    <t>Beverly Hills, CA</t>
  </si>
  <si>
    <t>Beverly Hills</t>
  </si>
  <si>
    <t>90211</t>
  </si>
  <si>
    <t>www.agebold.com</t>
  </si>
  <si>
    <t>172175-95T</t>
  </si>
  <si>
    <t>BoldVoice</t>
  </si>
  <si>
    <t>466166-26</t>
  </si>
  <si>
    <t>Flybridge Capital Partners, Liquid 2 Ventures, Phoenix Investment Club (San Francisco), Richmond View Ventures, The MBA Fund, Xfund, Y Combinator</t>
  </si>
  <si>
    <t>Flybridge Capital Partners (www.flybridge.com), Liquid 2 Ventures (www.liquid2.vc), Phoenix Investment Club (San Francisco) (www.phoenixclub.vc), Richmond View Ventures (www.rvv.tv), The MBA Fund (www.thembafund.com), Xfund (www.xfund.com), Y Combinator (www.ycombinator.com)</t>
  </si>
  <si>
    <t>Developer of a training software designed for non-native English speakers. The company's software helps improve English language pronunciation and confidence, via personalized content from Hollywood's accent coaches and real-time precise feedback from speech AI, enabling foreign-born professionals and students in the US to improve their English accents via hyper-personalized content.</t>
  </si>
  <si>
    <t>The company raised $2.5 million of venture funding in the form of SAFE Notes from Corazon Capital, The Graduate Syndicate and Leonis Investissement on August 18, 2023. Other undisclosed investors also participated in the round.</t>
  </si>
  <si>
    <t>EdTech, Mobile</t>
  </si>
  <si>
    <t>accent training, e-learning app, english vocal, pronunciation courses, pronunciation learning, speak english, video lessons</t>
  </si>
  <si>
    <t>155579-32P</t>
  </si>
  <si>
    <t>Anada Lakra</t>
  </si>
  <si>
    <t>+1 (212) 810-0924</t>
  </si>
  <si>
    <t>anada@wellocution.com</t>
  </si>
  <si>
    <t>Ms. Anada Lakra is a Co-Founder and serves as Chief Executive Officer and Board Member at BoldVoice. She also serves as Advisor at day100. Previously, she co-founded day100.</t>
  </si>
  <si>
    <t>The company raised $2.63 million of seed funding in the form of SAFE notes from The MBA Fund, Flybridge, and Phoenix Investment Club on September 8, 2021. Richmond View Ventures, Liquid 2 Ventures, Xfund and Y Combinator also participated in the round. Subsequently, it got converted to equity.</t>
  </si>
  <si>
    <t>Flybridge Capital Partners, Liquid 2 Ventures, Phoenix Investment Club (San Francisco), Richmond View Ventures, The MBA Fund, Xfund</t>
  </si>
  <si>
    <t>The MBA Fund(The MBA Fund)</t>
  </si>
  <si>
    <t>www.boldvoice.com</t>
  </si>
  <si>
    <t>155991-61T</t>
  </si>
  <si>
    <t>Bolster</t>
  </si>
  <si>
    <t>439025-23</t>
  </si>
  <si>
    <t>Costanoa Ventures, High Alpha(Scott Dorsey), SVB Financial Group(Melody Dippold), Union Square Ventures, Upstage Ventures</t>
  </si>
  <si>
    <t>Costanoa Ventures (costanoa.vc), High Alpha (www.highalpha.com), Union Square Ventures (www.usv.com), Upstage Ventures (www.upstageventures.com)</t>
  </si>
  <si>
    <t>Developer of a talent marketplace designed to connect companies with executives, mentors and board members. The company helps accelerate companies' growth by connecting them with experienced, highly vetted executives for interim, fractional, advisory, project-based, or board roles as well as provides on-demand executives to help them manage their careers as independent consultants, enabling clients to build inclusive, scalable and people first businesses.</t>
  </si>
  <si>
    <t>The company raised $8.15 million of Series AA venture funding from Upstage Ventures and Alumni Ventures on July 30, 2024, putting the company's pre-money valuation at $13.5 million.</t>
  </si>
  <si>
    <t>Business/Productivity Software, Human Capital Services*, Media and Information Services (B2B)</t>
  </si>
  <si>
    <t>HR Tech</t>
  </si>
  <si>
    <t>board member staffing, board members search, employment platform, enterprise resource planning, erp, human capital management, human resource advisory, talent marketplace, talent sourcing platform, workforce data</t>
  </si>
  <si>
    <t>38498-50P</t>
  </si>
  <si>
    <t>Matthew Blumberg</t>
  </si>
  <si>
    <t>+1 (317) 777-6762</t>
  </si>
  <si>
    <t>Mr. Matthew Blumberg is a Co-Founder and serves as Executive Chairman at Bolster Ventures. He also serves as the Board Member at Bolster. He is also a Co-Founder and serves as Chief Executive Officer and Chairman at Return Path. Mr. Blumberg founded Return Path in 1999 because he believed the world needed email to work better. Matt is passionate about enhancing the online relationship between email subscribers and marketers so that both sides of the equation benefit. It is with great pride that he has watched this initial creation grow to a company of more than 400 employees with the market-leading brand, innovative products, and the email industry's most renowned experts. Before Return Path, Matt ran marketing, product management, and the internet group for MovieFone (later acquired by AOL). Prior to that he served as an associate with private equity firm General Atlantic Partners and was a consultant with Mercer Management Consulting. He holds a B.A. from Princeton University. You can learn much more about Matt by reading his email marketing and entrepreneurship blog Only Once - one of the first CEO blogs on the Internet. He has also written a book, Startup CEO: A Field Guide to Scaling Up Your Business. He served as Director at Moz.</t>
  </si>
  <si>
    <t>Princeton University, BA (Bachelor of Arts) Honors, 1992, Urban Planning</t>
  </si>
  <si>
    <t>The company raised $6 million through a combination Series A venture funding from SVB Financial Group, Union Square Ventures and Costanoa Ventures on August 17, 2020, putting the company's pre-money valuation at $13 million. Upstage Ventures and High Alpha also participated in the round.</t>
  </si>
  <si>
    <t>Costanoa Ventures, High Alpha, SVB Financial Group, Union Square Ventures, Upstage Ventures</t>
  </si>
  <si>
    <t>Costanoa Ventures IV(Costanoa Ventures), High Alpha Capital Fund II(High Alpha), Qualified Investors Fund VI(SVB Financial Group), USV Bundled 2021(Union Square Ventures)</t>
  </si>
  <si>
    <t>www.bolster.com</t>
  </si>
  <si>
    <t>167142-70T</t>
  </si>
  <si>
    <t>Bookclubs</t>
  </si>
  <si>
    <t>399267-73</t>
  </si>
  <si>
    <t>David Risher(David Risher)</t>
  </si>
  <si>
    <t>Devloper of an online book management tool designed to invite members, poll for book selections, and schedule meetings. The company builds a community for reading, discussing, and connecting, enabling users to manage memberships, track books, and get reading recommendations.</t>
  </si>
  <si>
    <t>The company raised $2 million of seed funding from Sincere Corp and other undisclosed investors on February 6, 2023. The funds will be used to add a paid subscription model to the company's platform, which is used for creating and managing book clubs.</t>
  </si>
  <si>
    <t>Social Content, Social/Platform Software*</t>
  </si>
  <si>
    <t>books, books house, books reading platform, club management software, online books club, reading site, social club management</t>
  </si>
  <si>
    <t>219892-33P</t>
  </si>
  <si>
    <t>Anna Ford</t>
  </si>
  <si>
    <t>anna@jetsetoffset.com</t>
  </si>
  <si>
    <t>Ms. Anna Ford is a Co-Founder and serves as Chief Executive Officer at Jet-Set Offset. She is a Co-Founder and serves as Chief Executive Officer, President, and Board Member at Bookclubs.</t>
  </si>
  <si>
    <t>Georgetown University, Degree, Harvard Law School, MPA (Master of Public Administration)</t>
  </si>
  <si>
    <t>The company raised $124,994 of Seed-1 funding from David Risher and other undisclosed investors on May 12, 2020, putting the company's pre-money valuation at $5.00 million.</t>
  </si>
  <si>
    <t>Angel-Backed</t>
  </si>
  <si>
    <t>David Risher</t>
  </si>
  <si>
    <t>Camden, ME</t>
  </si>
  <si>
    <t>Camden</t>
  </si>
  <si>
    <t>Maine</t>
  </si>
  <si>
    <t>04843</t>
  </si>
  <si>
    <t>www.bookclubs.com</t>
  </si>
  <si>
    <t>165254-77T</t>
  </si>
  <si>
    <t>Bookelicious</t>
  </si>
  <si>
    <t>459136-54</t>
  </si>
  <si>
    <t>37 Angels, 757 Angels, Blue Leaf Ventures, Trolley Venture Partners</t>
  </si>
  <si>
    <t>37 Angels (www.37angels.com), 757 Angels (757angelsgroup.com), Blue Leaf Ventures (www.blueleafventures.net), Trolley Venture Partners (www.trolleyventures.com)</t>
  </si>
  <si>
    <t>Operator of an online reading platform intended to help kids choose books by age, interest, and reading level. The company's platform utilizes artificial intelligence and blends research on reading motivation and expert curation by teachers and librarians to match readers with books they want to read, enabling children to find a curated collection of topic-specific, high-quality, and age-appropriate books at the right level of difficulty.</t>
  </si>
  <si>
    <t>The company raised an undisclosed amount of venture funding from Gulf South Angels on May 14, 2024.</t>
  </si>
  <si>
    <t>Educational Software*, Entertainment Software, Information Services (B2C)</t>
  </si>
  <si>
    <t>Artificial Intelligence &amp; Machine Learning, EdTech, Mobile</t>
  </si>
  <si>
    <t>books library, online reading, online reading platform, personalized books, reading skills, social-emotional learning, story books</t>
  </si>
  <si>
    <t>251030-62P</t>
  </si>
  <si>
    <t>Lea Borders</t>
  </si>
  <si>
    <t>+1 (650) 419-5515</t>
  </si>
  <si>
    <t>leaanneb@bookelicious.com</t>
  </si>
  <si>
    <t>Ms. Lea Anne Borders is a Co-Founder of Bookelicious and also serves as its Chief Executive Officer and Board Member. Formerly a partner at Cooley, LLP, and general counsel for MyWire, Inc., an online media retail startup, her experience as a parent, and as a board member with literacy organizations, has provided insights into the challenges of helping children become enthusiastic readers. She holds an MS in Management from the Stanford Graduate School of Business, a JD from the University of California Hastings College of the Law, and a BA in Political Science from the University of California, Los Angeles.</t>
  </si>
  <si>
    <t>LLM (Master of Laws), Stanford Graduate School of Business, MS (Master of Science), Management, University of California, Hastings College of the Law, JD (Doctor of Law), University of California, Los Angeles (UCLA), BA (Bachelor of Arts), Political Science</t>
  </si>
  <si>
    <t>The company raised $1.75 million of seed funding from Trolley Venture Partners, 757 Angels powered by VentureSouth, 37 Angels and undisclosed investors on September 23, 2021. Blue Leaf Ventures also participated in this round. The funding was initially raised in the form of SAFE notes, which were subsequently converted into equity.</t>
  </si>
  <si>
    <t>Trolley Venture Fund I(Trolley Venture Partners)</t>
  </si>
  <si>
    <t>www.bookelicious.com</t>
  </si>
  <si>
    <t>192569-68T</t>
  </si>
  <si>
    <t>Boss Beauties</t>
  </si>
  <si>
    <t>495516-43</t>
  </si>
  <si>
    <t>Brittany Morin(Brittany Morin), Female Founders Fund, Offline Ventures, Randi Zuckerberg(Randi Zuckerberg), Serena Ventures, Wieden + Kennedy</t>
  </si>
  <si>
    <t>Female Founders Fund (www.femalefoundersfund.com), Offline Ventures (www.offline.vc), Serena Ventures (www.serenaventures.com), Wieden + Kennedy (www.wk.com)</t>
  </si>
  <si>
    <t>Provider of media and entertainment services intended to inspire and elevate the next generation of women and girls. The company's platform is focuses on women's empowerment through impact programs, content, and consumer products, enabling females to shape their careers through the NFT collection.</t>
  </si>
  <si>
    <t>The company raised $4.40 million through the combination of Seed and Seed-1 funding in a deal led by Offline Ventures and Brit Morin on April 18, 2022, putting the company's pre-money valuation at $25.6 million. Wieden + Kennedy, Female Founders Fund, Serena Ventures, Randi Zuckerberg, and other undisclosed investors also participated in the round. The funds will be used to convert the collection into media intellectual property.</t>
  </si>
  <si>
    <t>Social Content</t>
  </si>
  <si>
    <t>Social Content*, Social/Platform Software</t>
  </si>
  <si>
    <t>blockchain community, nft platform and collectibles, nfts launches, non-fungible tokens, non-fungible tokens platform, web4, women empowerment platform, women empowerment program</t>
  </si>
  <si>
    <t>298885-69P</t>
  </si>
  <si>
    <t>Lisa Mayer</t>
  </si>
  <si>
    <t>+1 (917) 924-0300</t>
  </si>
  <si>
    <t>lisa@bossbeauties.com</t>
  </si>
  <si>
    <t>Ms. Lisa Mayer is a Co-Founder &amp; serves as Chief Executive Officer and Board Member at Boss Beauties.</t>
  </si>
  <si>
    <t>The company raised $4.40 million through the combination of Seed and Seed-1 funding in a deal led by Offline Ventures and Brit Morin on April 18, 2022, putting the company's pre-money valuation at $25.6 million. Wieden + Kennedy, Female Founders Fund, Serena Ventures, Randi Zuckerberg and other undisclosed investors also participated in the round. The funds will be used to convert the collection into media intellectual property.</t>
  </si>
  <si>
    <t>Brittany Morin, Female Founders Fund, Offline Ventures, Randi Zuckerberg, Serena Ventures, Wieden + Kennedy</t>
  </si>
  <si>
    <t>Brittany Morin(Brittany Morin), Offline Ventures</t>
  </si>
  <si>
    <t>Female Founders Fund II(Female Founders Fund), Offline Ventures Fund(Offline Ventures), Serena Ventures Fund I(Serena Ventures)</t>
  </si>
  <si>
    <t>Cooley (Legal Advisor to Female Founders Fund), Cooley (Legal Advisor to Offline Ventures)</t>
  </si>
  <si>
    <t>Fairfield, CT</t>
  </si>
  <si>
    <t>Fairfield</t>
  </si>
  <si>
    <t>Connecticut</t>
  </si>
  <si>
    <t>06825</t>
  </si>
  <si>
    <t>www.bossbeauties.com</t>
  </si>
  <si>
    <t>193851-19T</t>
  </si>
  <si>
    <t>BossTax</t>
  </si>
  <si>
    <t>496064-98</t>
  </si>
  <si>
    <t>Bloomberg Beta, Boyd Street Ventures</t>
  </si>
  <si>
    <t>Bloomberg Beta (www.bloombergbeta.com), Boyd Street Ventures (www.boydstreetventures.com)</t>
  </si>
  <si>
    <t>Developer of a financial software intended to organize receipts categorize expenses and automatically prepare a summary of all business expenses. The company's software offers the categorization of receipts, calculation of deductions without added expenses and business records organized and ready to file, enabling entrepreneurs and independent contractors to organize income tax filings.</t>
  </si>
  <si>
    <t>The company raised $1.5 million of seed funding in the form of SAFE notes from Boyd Street Ventures and Bloomberg Beta on May 3, 2022.</t>
  </si>
  <si>
    <t>Artificial Intelligence &amp; Machine Learning, FinTech, Mobile, SaaS</t>
  </si>
  <si>
    <t>business banking, expense management platform, expense tracking, financial software, income tax filing, personal financial management, tax payment software, wealthtech</t>
  </si>
  <si>
    <t>276603-85P</t>
  </si>
  <si>
    <t>Hannah Granade</t>
  </si>
  <si>
    <t>+1 (954) 414-1644</t>
  </si>
  <si>
    <t>hgranade@bosstaxapp.com</t>
  </si>
  <si>
    <t>Ms. Hannah Granade is a Co-Founder &amp; serves as Chief Executive Officer at BossTax. Ms. Granade served as Strategic Advisor at Boyd Street Ventures. She is the Founder and serves as CEO at mLogg. Previously, she led the SPQR team at Senator Investment Group, which used big data analytics and fundamental research to make investments in public equities. Before being Senator, she was the CEO of a private equity-backed clean-tech company that was recognized as a World Economic Forum Pioneer and a Bloomberg Tech Pioneer. She began her career with ten years at McKinsey &amp; Company where she was a partner, consulting for energy companies on issues of market structure, regulation, and strategy. She was the lead author of the publication Unlocking Energy Efficiency in the U.S. Economy, sponsored by the Department of Energy, the EPA, and investor-owned utilities. Fast Company named her one of the 100 Most Creative People in business and The Boss column profiled her in the Sunday New York Times. She received a BA in Philosophy from Harvard in 2001.</t>
  </si>
  <si>
    <t>Harvard University, BA (Bachelor of Arts), 2001, Philosophy</t>
  </si>
  <si>
    <t>Boyd Street Ventures Fund(Boyd Street Ventures)</t>
  </si>
  <si>
    <t>Stamford, CT</t>
  </si>
  <si>
    <t>Stamford</t>
  </si>
  <si>
    <t>06901</t>
  </si>
  <si>
    <t>bosstaxapp.com</t>
  </si>
  <si>
    <t>166876-84T</t>
  </si>
  <si>
    <t>Botco.ai</t>
  </si>
  <si>
    <t>435845-71</t>
  </si>
  <si>
    <t>Arizona Tech Investors, DCA Asset Management, Desert Angels, InvestU, PHX Ventures(Gregg Scoresby), State48 Ventures, Sterling Road, Stout Street Capital(John Francis), The Giant Ventures, VamosVentures(Marcos Gonzalez)</t>
  </si>
  <si>
    <t>Arizona Tech Investors (arizonatechinvestors.com), DCA Asset Management (www.dcaassetmanagementinc.com), Desert Angels (desertangels.org), InvestU (www.investu.org), PHX Ventures (www.phxventures.com), State48 Ventures (www.state48vc.com), Sterling Road (www.sterlingroad.com), Stout Street Capital (www.stoutstreetcapital.com), The Giant Ventures (www.giantventures.us), VamosVentures (www.vamosventures.com)</t>
  </si>
  <si>
    <t>Operator of an artificial intelligence-based chat cloud intended to have natural language conversations and handle real-time chats with customers using natural language processing. The company's platform facilitates automatic on-demand chat access and intelligent chat nurturing which guides customers through the marketing process quickly and efficiently without the need for human intervention, enabling businesses to eliminate the need to hire a team of data scientists and programmers to train and implement automated chat and increasing customer engagement and conversion.</t>
  </si>
  <si>
    <t>The company graduated gener8tor as part of its Bronze Valley Investment Accelerator Spring 2024 on April 26, 2024, and received $100,000 in funding. Previously, the company raised an undisclosed amount of venture funding from NM Vintage Fund, Bronze Valley, and OSEA Angel Investors in approximately January 2024.</t>
  </si>
  <si>
    <t>Automation/Workflow Software, Business/Productivity Software, Media and Information Services (B2B)*</t>
  </si>
  <si>
    <t>Artificial Intelligence &amp; Machine Learning, Big Data, Marketing Tech, Mobile</t>
  </si>
  <si>
    <t>analytics platform, conversational marketing platform, conversational platform, customer interaction management, customer interaction platform, customer interaction service, generative ai, marketing platform, natural language technology, real time software, unstructured data analytics</t>
  </si>
  <si>
    <t>231869-89P</t>
  </si>
  <si>
    <t>Rebecca Clyde</t>
  </si>
  <si>
    <t>+1 (650) 544-6122</t>
  </si>
  <si>
    <t>rebecca@botco.ai</t>
  </si>
  <si>
    <t>Ms. Rebecca Clyde is a Co-Founder and also serves as the Chief Executive Officer at Botco.ai.</t>
  </si>
  <si>
    <t>Arizona State University, MBA (Master of Business Administration), 2002, Business Management</t>
  </si>
  <si>
    <t>The company raised $3.6 million of seed funding in a deal led by Stout Street Capital and VamosVentures on June 3, 2022, putting the company's pre-money valuation at $10 million. PHX Ventures, Sterling Road, Giant Ventures, Desert Angels, InvestU, Arizona Tech Investors, State48 Ventures, and DCA Asset Management also participated in the round. The funds will be used for product development, including integrations with electronic health record systems and marketing automation platforms.</t>
  </si>
  <si>
    <t>Arizona Tech Investors, DCA Asset Management, Desert Angels, InvestU, PHX Ventures, State48 Ventures, Sterling Road, Stout Street Capital, The Giant Ventures, VamosVentures</t>
  </si>
  <si>
    <t>Stout Street Capital(John Francis), VamosVentures(Marcos Gonzalez)</t>
  </si>
  <si>
    <t>Sterling Road 2(Sterling Road), Stout Street Capital Fund II(Stout Street Capital), VamosVentures Fund I(VamosVentures)</t>
  </si>
  <si>
    <t>Scottsdale, AZ</t>
  </si>
  <si>
    <t>Scottsdale</t>
  </si>
  <si>
    <t>85251</t>
  </si>
  <si>
    <t>www.botco.ai</t>
  </si>
  <si>
    <t>177809-05T</t>
  </si>
  <si>
    <t>Boulo Solutions</t>
  </si>
  <si>
    <t>454882-69</t>
  </si>
  <si>
    <t>Bill Acker(Bill Acker), Cameron Hogan(Cameron Hogan), Carol Patterson(Carol Patterson), Dave Gray(Dave Gray), Jemison Investment Company, John Acker(John Acker), John Minor(John Minor), Kirk Forrester(Kirk Forrester), Lee Edwards(Lee Edwards), Matt Lyons(Matt Lyons), Pronce Acker(Pronce Acker), Randall Platt(Randall Platt), Tate Forrester(Tate Forrester), Tom Patterson(Tom Patterson)</t>
  </si>
  <si>
    <t>Developer of a digital staffing platform intended to connect people with flexible full-time and part-time job opportunities. The company specializes in job seeking, career pathing, recruitment, talent management, and career development, enabling professional women to find flexible work opportunities based on skills, experience, and availability.</t>
  </si>
  <si>
    <t>The company raised $2.11 million of seed funding from undisclosed investors on June 9, 2023. Previously, the company raised $1.5 million of venture funding in the form of convertible debt in a deal led by Naples Technology Ventures on May 26, 2023. Other undisclosed investors also participated in the round. The funds will be used to accelerate the company's product evolution to better serve both employers and working mothers. Subsequently, it was converted into equity.</t>
  </si>
  <si>
    <t>Application Software, Human Capital Services*</t>
  </si>
  <si>
    <t>HR Tech, Mobile</t>
  </si>
  <si>
    <t>digital staffing, online job portal, online jobs, recruiting app, recruiting experts, recruiting process, recruitment firm, staffing company, staffing needs</t>
  </si>
  <si>
    <t>248026-69P</t>
  </si>
  <si>
    <t>Delphine Carter</t>
  </si>
  <si>
    <t>+1 (205) 566-6441</t>
  </si>
  <si>
    <t>delphine@boulosolutions.com</t>
  </si>
  <si>
    <t>Ms. Delphine Carter is a Co-Founder and serves as Chief Executive Officer and Board Member at Boulo. She is a 12-year veteran in SaaS product management and noticed that a broader talent pool was needed for businesses to be successful. As a mom, she realized that having a career and being a mother was more exhausting than it should be. And it wasn't just her feeling this way. There were hundreds of mothers in her community with valuable skills wanting to work but only able to if it looked a little bit different. In 2019, she founded Boulo Solutions creating a team of national recruiting experts that help forward-thinking companies hire and retain working mothers for shared success through flexible work. Boulo, now generating over $1M in revenue, helps both working mothers and employers achieve their potential. In addition to building Boulo, she is a board member for Innovate Birmingham, Vestavia Hills Lacrosse Organization, and a Women's Foundation Fellow.</t>
  </si>
  <si>
    <t>The company raised $500,000 of seed funding from Jemison Investment Company, Tom Patterson, and Matt Lyons on January 25, 2021. Lee Edwards, Dave Gray, Bill Acker, John Acker, Prince Acker, Carol Patterson, Kirk Forrester, Tate Forrester, John Minor, Cameron Hogan, and Randall Platt also participated in the round. The funds will be used for the expansion into five new markets in 2021.</t>
  </si>
  <si>
    <t>Bill Acker, Cameron Hogan, Carol Patterson, Dave Gray, Jemison Investment Company, John Acker, John Minor, Kirk Forrester, Lee Edwards, Matt Lyons, Pronce Acker, Randall Platt, Tate Forrester, Tom Patterson</t>
  </si>
  <si>
    <t>Birmingham, AL</t>
  </si>
  <si>
    <t>Birmingham</t>
  </si>
  <si>
    <t>Alabama</t>
  </si>
  <si>
    <t>35216</t>
  </si>
  <si>
    <t>www.boulosolutions.com</t>
  </si>
  <si>
    <t>219921-85T</t>
  </si>
  <si>
    <t>Bounceback</t>
  </si>
  <si>
    <t>522757-18</t>
  </si>
  <si>
    <t>3LS Ventures</t>
  </si>
  <si>
    <t>3LS Ventures (www.3lsventures.com)</t>
  </si>
  <si>
    <t>Provider of stress management and professional development services intended for educators, administrators, and support employees. The company provides affordable, convenient, and job-embedded resources, helping customers to reduce stress and improve health and well-being which benefits students.</t>
  </si>
  <si>
    <t>The company was acquired by 3LS Ventures through an LBO on November 20, 2023 for an undisclosed amount.</t>
  </si>
  <si>
    <t>Educational and Training Services (B2C)*, Educational Software, Other Healthcare Services</t>
  </si>
  <si>
    <t>health monitoring, professional development, stress anxiety, stress manage, stress management, stress management platform</t>
  </si>
  <si>
    <t>342469-99P</t>
  </si>
  <si>
    <t>Dorothy Morelli</t>
  </si>
  <si>
    <t>+1 (615) 306-0017</t>
  </si>
  <si>
    <t>dmorelli@mybounceback.com</t>
  </si>
  <si>
    <t>Ms. Dorothy Morelli is the Founder &amp; serves as Chief Executive Officer &amp; Board Member at Bounceback. She is a career educator with more than 30 years of experience in elementary and secondary education. She leads a network of curriculum and professional-development experts focused on the academic, social, and emotional needs of educators and their students. She co-founded CREATE, a nonprofit organization devoted to evidence-based wellness programs and practices for educators. Earlier in her career, Dorothy worked as an educational coordinator at Vanderbilt University and as a teacher and coach in school systems in South Carolina and Tennessee.</t>
  </si>
  <si>
    <t>Middle Tennessee State University, Master's, Curriculum and Instruction, Western Carolina University, Bachelor's, Early Childhood Education</t>
  </si>
  <si>
    <t>The company raised $50,000 of seed funding in the form of convertible debt from 3LS Ventures on April 4, 2023. Subsequently, the deal was converted to equity.</t>
  </si>
  <si>
    <t>Nashville, TN</t>
  </si>
  <si>
    <t>Nashville</t>
  </si>
  <si>
    <t>Tennessee</t>
  </si>
  <si>
    <t>37211</t>
  </si>
  <si>
    <t>www.mybounceback.com</t>
  </si>
  <si>
    <t>228789-46T</t>
  </si>
  <si>
    <t>Braintrust Tutors</t>
  </si>
  <si>
    <t>467150-86</t>
  </si>
  <si>
    <t>5150 Capital, John Chambers(John Chambers), LAUNCH Fund(Michael Savino), Scott Sandell(Scott Sandell)</t>
  </si>
  <si>
    <t>5150 Capital (www.5150capital.com), LAUNCH Fund (www.launch.co)</t>
  </si>
  <si>
    <t>Developer of a high-impact, curriculum-aligned academic intervention platform designed to build foundational literacy and math skills among the most vulnerable student populations. The company offers services to K12 students of all backgrounds and abilities, including those who are severely behind in grade level, and Its ESSA-certified programs are the gold standard for accelerating learning outcomes with the hardest-to-reach low-performing students, enabling them to achieve documented triple-digit literacy and math gains across many of the largest districts in the country.</t>
  </si>
  <si>
    <t>The company raised $2.5 million of seed funding in a deal led by Scott Sandell, John Chambers, and LAUNCH Fund on July 19, 2023. 5150 Capital and other undisclosed investors also participated in the round. The funds will be used for rapid growth, enabling it to enhance its state-of-the-art platform, expand its nationwide network of certified teachers and learning specialists, and reach more students.</t>
  </si>
  <si>
    <t>edtech platform, educational platform, educational platform software, intervention services, learning differences, learning disabilities, private tutoring marketplace, special education, tutoring</t>
  </si>
  <si>
    <t>264888-82P</t>
  </si>
  <si>
    <t>Jen Mendelsohn</t>
  </si>
  <si>
    <t>+1 (917) 207-7673</t>
  </si>
  <si>
    <t>jen@braintrusttutors.com</t>
  </si>
  <si>
    <t>Ms. Jen Mendelsohn is a Co-Founder and serves as Chief Business Officer and Board Member at Braintrust Tutors. She has 15+ years of experience in technology sales and business consulting roles, with a passion for executing complex sales transactions, including origination, plotting of effective strategies, and successful completion. She thereafter joined Hudson (f/k/a Monster.com), when data was still in its infancy. As technology grew with business communications, so did her cadre of contacts and enterprises. She has been a fundamental part of sales teams that have successfully moved technology up-market, repeatedly achieving 1st and 2nd sales executive positions, and amassing an estimated $550 million in sales. After struggling with her child's dyslexia diagnosis (and a years-long journey down the education rabbit hole to get her the help she needed), she Co-Founded Braintrust to address and repair material deficiencies in the specialized learning marketplace. She graduated from McGill University with a bachelor's degree in political science and government.</t>
  </si>
  <si>
    <t>McGill University, Bachelor's, Political Science and Government</t>
  </si>
  <si>
    <t>5150 Capital, LAUNCH Fund</t>
  </si>
  <si>
    <t>John Chambers, Scott Sandell</t>
  </si>
  <si>
    <t>John Chambers(John Chambers), LAUNCH Fund(Michael Savino), Scott Sandell(Scott Sandell)</t>
  </si>
  <si>
    <t>10012</t>
  </si>
  <si>
    <t>www.braintrusttutors.com</t>
  </si>
  <si>
    <t>50860-72T</t>
  </si>
  <si>
    <t>Brandwood Global</t>
  </si>
  <si>
    <t>113774-41</t>
  </si>
  <si>
    <t>Menlo Technologies, Waterview Management</t>
  </si>
  <si>
    <t>Menlo Technologies (www.menlo-technologies.com)</t>
  </si>
  <si>
    <t>Developer of an entertainment tech company intended for seamless deal-making and opportunities for ideal brand placement. The company specializes in integrating into the company's application to deliver direct access to audiences and fans. Its technology will silently bring advertisements to the user's phone without any interruption to their content, helping independent content producers find brands looking for targeted content.</t>
  </si>
  <si>
    <t>The company raised $655,000 of seed funding in the combination of equity and convertible debt in a deal led by Menlo Technologies on December 1, 2015, putting the company's pre-money valuation at $9.37 million. Waterview Management also participated in the round.</t>
  </si>
  <si>
    <t>Business/Productivity Software, Media and Information Services (B2B)*</t>
  </si>
  <si>
    <t>Artificial Intelligence &amp; Machine Learning, Cryptocurrency/Blockchain, SaaS, TMT</t>
  </si>
  <si>
    <t>blockchain model, brand management firm, branding integration, cloud-based platform, consumer products, product placement</t>
  </si>
  <si>
    <t>101701-09P</t>
  </si>
  <si>
    <t>Stephanie Weier</t>
  </si>
  <si>
    <t>+1 (310) 428-1448</t>
  </si>
  <si>
    <t>sweier@brandwoodglobal.com</t>
  </si>
  <si>
    <t>Ms. Stephanie Weier is a Co-Founder and serves as Chief Executive Officer, President and Board Member at Brandwood Global. She is an entrepreneur, filmmaker, and author. In 2001, she founded The Domain Group Inc., an entertainment industry research, branding, and placement company, that has executed more than 5,000 product placement and branding deals. She has worked on major feature films including Terminator 2, Crazy Stupid Love, That Awkward Moment, and The Social Network. Ms. Weier holds a degree in Intellectual Property and Cyberlaw from Concord Law University and a Master's in education.</t>
  </si>
  <si>
    <t>JD (Doctor of Law), 2011, Intellectual Property Law, Master's, Education, University of Tennessee, Knoxville, BA (Bachelor of Arts), 1990, Film Studies</t>
  </si>
  <si>
    <t>The company raised $655,000 of seed funding in the combination of equity and convertible debt in a deal led by Menlo Technologies on December 21, 2022, putting the company's pre-money valuation at $9.37 million. Waterview Management also participated in the round.</t>
  </si>
  <si>
    <t>Menlo Technologies</t>
  </si>
  <si>
    <t>The OCMX (www.theocmx.com) (Advisor: Financial Due Diligence to Company)</t>
  </si>
  <si>
    <t>Torrance, CA</t>
  </si>
  <si>
    <t>Torrance</t>
  </si>
  <si>
    <t>90503</t>
  </si>
  <si>
    <t>www.brandwoodglobal.com</t>
  </si>
  <si>
    <t>Bridge Loan - (Convertible)</t>
  </si>
  <si>
    <t>168138-28T</t>
  </si>
  <si>
    <t>Breaker Nation</t>
  </si>
  <si>
    <t>462537-91</t>
  </si>
  <si>
    <t>Black Star Fund</t>
  </si>
  <si>
    <t>Black Star Fund (www.blackstar.fund)</t>
  </si>
  <si>
    <t>Operator of a social networking application intended to provide access to the music industry. The company's platform helps users discover future musicians, get connected with their favorite music artists, and share musical content, enabling users to share their opinions about different music artists and earn rewards by becoming verified music influencers.</t>
  </si>
  <si>
    <t>The company raised $100,000 of seed funding from Black Star Fund and other undisclosed investors on March 9, 2021.</t>
  </si>
  <si>
    <t>Application Software, Media and Information Services (B2B), Movies, Music and Entertainment, Social Content, Social/Platform Software*</t>
  </si>
  <si>
    <t>music career, music promotion, music sharing application, musicians community, musicians search, social networking application, social networking service</t>
  </si>
  <si>
    <t>255891-34P</t>
  </si>
  <si>
    <t>Felisha Booker</t>
  </si>
  <si>
    <t>+1 (404) 951-1360</t>
  </si>
  <si>
    <t>Ms. Felisha Booker is the Founder and serves as Chief Executive Officer &amp; Board Member at Breaker Nation.</t>
  </si>
  <si>
    <t>Black Star Fund I(Black Star Fund)</t>
  </si>
  <si>
    <t>Hutchison (Legal Advisor to Company, Scott Bryant JD)</t>
  </si>
  <si>
    <t>30341</t>
  </si>
  <si>
    <t>www.breakernation.com</t>
  </si>
  <si>
    <t>221409-01T</t>
  </si>
  <si>
    <t>Breeze (Financial Software)</t>
  </si>
  <si>
    <t>507436-57</t>
  </si>
  <si>
    <t>Caladan, Mantis VC, Multicoin Capital, Sequoia Capital, The Chainsmokers, The Generalist</t>
  </si>
  <si>
    <t>Caladan (www.caladan.xyz), Mantis VC (www.mantisvc.com), Multicoin Capital (www.multicoin.capital), Sequoia Capital (www.sequoiacap.com), The Chainsmokers (thechainsmokers.com), The Generalist (www.generalist.com)</t>
  </si>
  <si>
    <t>Developer of a payment platform intended to generate custom checkout pages at the click of a button. The company provides a one-step checkout platform that can be integrated with any credit card, cryptocurrency, wallet, and exchange, enabling customers to save time spent on payments.</t>
  </si>
  <si>
    <t>The company raised an estimated $2.8 million of seed funding from Mantis VC, Caladan and Multicoin Capital on August 22, 2022, putting the company's pre-money valuation at $9.7 million. The Generalist, Sequoia Capital and The Chainsmokers also participated in the round.</t>
  </si>
  <si>
    <t>Cryptocurrency/Blockchain, FinTech</t>
  </si>
  <si>
    <t>credit card payment platform, crypto payment, crypto payment platform, finance technology, payment software, web3 platform</t>
  </si>
  <si>
    <t>345435-94P</t>
  </si>
  <si>
    <t>Millie Yang</t>
  </si>
  <si>
    <t>Ms. Millie Yang is a Co-Founder and serves as Chief Executive Officer at Beamo.</t>
  </si>
  <si>
    <t>www.breeze.cash</t>
  </si>
  <si>
    <t>186699-88T</t>
  </si>
  <si>
    <t>Breshna</t>
  </si>
  <si>
    <t>464065-48</t>
  </si>
  <si>
    <t>11 Tribes Ventures(Mark Phillips), 11:11 Media, Alpha Sigma Capital, Argoquest, Ben Alexander(Ben Alexander), Blockchain Founders Fund(Aly Madhavji), Formless Capital, Jacob Schaufeld(Jacob Schaufeld), Mask Network, Realist Ventures, START EQUITY VENTURES, Tech Meets Trader, Vessel., William Ackman</t>
  </si>
  <si>
    <t>11 Tribes Ventures (www.11tribes.vc), 11:11 Media (www.parishilton.com), Alpha Sigma Capital (www.alphasigma.fund), Blockchain Founders Fund (blockchainff.com), Formless Capital (www.formless.capital), Mask Network (www.mask.io), Realist Ventures (realistlab.org), START EQUITY VENTURES (www.startequity.io), Tech Meets Trader (techmeetstrader.com), Vessel. (www.buildvessel.com)</t>
  </si>
  <si>
    <t>Developer of a platform designed to empower users to create, share and monetize their own purposeful bite-sized, video games, with no code. The company's platform operates at the intersection of no code, hyper-casual games, web3, and social impact, thereby empowering users to not only create and share their own games but also own and monetize them on their carnival stands.</t>
  </si>
  <si>
    <t>The company was in talks to receive Series A venture funding on an undisclosed date. Subsequently, the deal was cancelled. Previously, the company raised $60,300 of equity crowdfunding via Republic on February 16, 2024. START EQUITY VENTURES and Entrepreneur Ventures (Fund) also participated in this round.</t>
  </si>
  <si>
    <t>Educational Software, Entertainment Software*</t>
  </si>
  <si>
    <t>Gaming, Mobile, SaaS, TMT</t>
  </si>
  <si>
    <t>educational game app, educative games, game engine, game publisher, gaming development, gaming studio, gaming tech, mobile games, no code analytics, web3 dapps, web3 gaming content platform</t>
  </si>
  <si>
    <t>Generating Revenue/Not Profitable</t>
  </si>
  <si>
    <t>258919-03P</t>
  </si>
  <si>
    <t>Mariam Nusrat</t>
  </si>
  <si>
    <t>+1 (202) 830-5691</t>
  </si>
  <si>
    <t>mariam.nusrat@gamingfordev.com</t>
  </si>
  <si>
    <t>Ms. Mariam Nusrat is the Founder and serves as Chief Executive Officer, President &amp; Board Member at GRID.</t>
  </si>
  <si>
    <t>The company raised $2.3 million of seed funding in a deal led by 11 Tribes Ventures and Blockchain Founders Fund on June 6, 2022, putting the company's pre-money valuation at $37.7 million. Mask Network, 11:11 Media, Alpha Sigma Capital, Argoquest, Zell Capital, Realist Ventures, Formless Capital, William Ackman, START EQUITY VENTURES, Tech Meets Trader, Ben Alexander and Jacob Schaufeld also participated in the round. The funds will be used to enhance the product experience, grow the team, and accelerate Breshna's growth among its target users.</t>
  </si>
  <si>
    <t>11 Tribes Ventures, 11:11 Media, Alpha Sigma Capital, Argoquest, Ben Alexander, Blockchain Founders Fund, Formless Capital, Jacob Schaufeld, Mask Network, Realist Ventures, START EQUITY VENTURES, Tech Meets Trader, Vessel., William Ackman</t>
  </si>
  <si>
    <t>11 Tribes Ventures(Mark Phillips), Blockchain Founders Fund(Aly Madhavji)</t>
  </si>
  <si>
    <t>11 Tribes Fund I(11 Tribes Ventures), Blockchain Founders Fund II(Blockchain Founders Fund), Realist Fund(Realist Ventures)</t>
  </si>
  <si>
    <t>Vienna, VA</t>
  </si>
  <si>
    <t>Vienna</t>
  </si>
  <si>
    <t>22180</t>
  </si>
  <si>
    <t>www.breshna.io</t>
  </si>
  <si>
    <t>Card, board, or roulette games</t>
  </si>
  <si>
    <t>260468-56T</t>
  </si>
  <si>
    <t>Brico</t>
  </si>
  <si>
    <t>600127-03</t>
  </si>
  <si>
    <t>Cambrian Ventures, Flourish Ventures, Pear (California), Restive Ventures</t>
  </si>
  <si>
    <t>Cambrian Ventures (www.cambrianventures.com), Flourish Ventures (www.flourishventures.com), Pear (California) (www.pear.vc), Restive Ventures (www.restive.com)</t>
  </si>
  <si>
    <t>Operator of a stop licensing platform intended to help companies acquire new financial licenses and maintain their ongoing licensing requirements. The company aims to streamline the often complex and costly process of obtaining financial licenses by utilizing automation and potentially artificial intelligence, enabling customers to obtain financial licenses, which could foster innovation and competition within the financial sector.</t>
  </si>
  <si>
    <t>The company raised $8.1 million of seed funding in a deal led by Pear (California) on September 11, 2024. Restive Ventures, Flourish Ventures and Cambrian Ventures also participated in the round.</t>
  </si>
  <si>
    <t>Artificial Intelligence &amp; Machine Learning, FinTech, SaaS</t>
  </si>
  <si>
    <t>ai-powered, financial license, financial technology, license renewal, licensing platform, money transmitter licenses</t>
  </si>
  <si>
    <t>398590-12P</t>
  </si>
  <si>
    <t>Snigdha Kumar</t>
  </si>
  <si>
    <t>snigdha@brico.ai</t>
  </si>
  <si>
    <t>Ms. Snigdha Kumar is a Co-Founder &amp; serves as Chief Executive Officer at Brico.ai.</t>
  </si>
  <si>
    <t>Pear (California)</t>
  </si>
  <si>
    <t>Gunderson Dettmer (Legal Advisor to Company, Nicholas Guttilla JD)</t>
  </si>
  <si>
    <t>www.brico.ai</t>
  </si>
  <si>
    <t>140733-91T</t>
  </si>
  <si>
    <t>Bridge to College</t>
  </si>
  <si>
    <t>437753-98</t>
  </si>
  <si>
    <t>Liberty Friedman, SoftBank Group (TKS: 9984)(Benjamin Lizana)</t>
  </si>
  <si>
    <t>Liberty Friedman (www.libertyfriedman.com), SoftBank Group (TKS: 9984) (www.group.softbank)</t>
  </si>
  <si>
    <t>Developer of a search platform designed to find the right college institution for academic needs. The company's platform offers a free survey based on academic, financial, and social factors that guide in finding the right school or college, enabling users to shortlist their choice of institution based on their preferences.</t>
  </si>
  <si>
    <t>The company raised $1 million of seed funding in a deal led by SoftBank Group on January 10, 2022. Inspiration Ventures, Emerge and other undisclosed investors also participated in the round.</t>
  </si>
  <si>
    <t>Application Software, Education and Training Services (B2B)*, Educational and Training Services (B2C)</t>
  </si>
  <si>
    <t>academic portal, college guidance, college matching system, counselor assistance, enterprise saas platform, institution search portal, search platform</t>
  </si>
  <si>
    <t>237085-39P</t>
  </si>
  <si>
    <t>Sandie Stringfellow</t>
  </si>
  <si>
    <t>+1 (202) 550-0640</t>
  </si>
  <si>
    <t>Dr. Sandie Stringfellow served as Interim-Chief Operating Officer at Bridge to College.</t>
  </si>
  <si>
    <t>Individual</t>
  </si>
  <si>
    <t>The company raised $230,000 of pre-seed funding from SoftBank Group and Liberty Friedman Fund on June 1, 2020.</t>
  </si>
  <si>
    <t>Liberty Friedman, SoftBank Group</t>
  </si>
  <si>
    <t>SoftBank Latin America Fund(SoftBank Group)</t>
  </si>
  <si>
    <t>08542</t>
  </si>
  <si>
    <t>www.bridgeto.college</t>
  </si>
  <si>
    <t>191456-74T</t>
  </si>
  <si>
    <t>BrightPay</t>
  </si>
  <si>
    <t>494215-21</t>
  </si>
  <si>
    <t>Antler(Tyler Norwood), Callapina Capital, StartUp Health, TEN13</t>
  </si>
  <si>
    <t>Antler (www.antler.co), Callapina Capital (www.callapina.com), StartUp Health (www.startuphealth.com), TEN13 (www.ten13.vc)</t>
  </si>
  <si>
    <t>Developer of payment platform intended for the health sector billings and payments. The company's platform offers easy accessibility for patients to pay and generate hospital bills, and do insurance verification and online payments through mobile applications, enabling healthcare providers to give an efficient way to offer transparent pricing while making it convenient for patients to view and pay.</t>
  </si>
  <si>
    <t>The company joined gener8tor as a part of the Prosper HealthTech Accelerator program of Fall 2023 on an undisclosed date and received $60,000 in funding, putting the company's pre-money valuation at $940,000.</t>
  </si>
  <si>
    <t>Financial Software*, Other Healthcare Technology Systems</t>
  </si>
  <si>
    <t>FinTech, HealthTech, Mobile</t>
  </si>
  <si>
    <t>billing support, enterprise payment, health sector, hospital bill, hospital billing services, online payments processing, payment platform, pos, transparent pricing</t>
  </si>
  <si>
    <t>296876-44P</t>
  </si>
  <si>
    <t>Shielvonda Haith</t>
  </si>
  <si>
    <t>+1 (919) 667-8584</t>
  </si>
  <si>
    <t>shaith@brightpay.org</t>
  </si>
  <si>
    <t>Ms. Shielvonda Haith is a Co-Founder &amp; serves as Chief Executive Officer at BrightPay Health. She has over 14 years of experience in the healthcare industry. She has built a diverse background in healthcare, producing incredible results driven by innovative ideas and relentless follow-through. Her background includes extensive experience with cross-functional management, start-ups, public and privately managed clinics, as well as positions in dental plans, healthcare technology, and research. She has worked with 4 start-ups and is thrilled about now launching her own new venture. Shielvonda has a Bachelor's degree from Duke University, a graduate degree from Winston Salem State University, and is currently pursuing her MBA at Emory's Goizueta Business School.</t>
  </si>
  <si>
    <t>Duke University, Bachelor's, Emory University, MBA (Master of Business Administration), Graduate</t>
  </si>
  <si>
    <t>The company raised $100,000 of seed funding from StartUp Health, TEN13, Callapina Capital and Antler on November 24, 2021, putting the company's pre-money valuation at $2.9 million.</t>
  </si>
  <si>
    <t>Antler, Callapina Capital, StartUp Health, TEN13</t>
  </si>
  <si>
    <t>Callapina Capital Fund I(Callapina Capital)</t>
  </si>
  <si>
    <t>Alpharetta, GA</t>
  </si>
  <si>
    <t>Alpharetta</t>
  </si>
  <si>
    <t>30023</t>
  </si>
  <si>
    <t>www.brightpay.org</t>
  </si>
  <si>
    <t>164988-10T</t>
  </si>
  <si>
    <t>Brij</t>
  </si>
  <si>
    <t>458746-30</t>
  </si>
  <si>
    <t>Lakehouse Ventures, Rationalwave Capital Partners</t>
  </si>
  <si>
    <t>Lakehouse Ventures (lakehouse.vc), Rationalwave Capital Partners (www.rationalwave.com)</t>
  </si>
  <si>
    <t>Developer of a one-touch registration platform designed for enhanced digital experiences. The company powers re-order with the simple scan of a quick response code or near-field communication tag as well as improves the way brands engage with their consumers, enabling businesses to turn anonymous omnichannel shoppers into loyal customers.</t>
  </si>
  <si>
    <t>The company raised $1.35 million of venture funding from MJR Ventures and undisclosed investors on December 22, 2023.</t>
  </si>
  <si>
    <t>Artificial Intelligence &amp; Machine Learning, Internet of Things, Marketing Tech, SaaS, Supply Chain Tech</t>
  </si>
  <si>
    <t>customer relationship, customer relationship platform, customer relationship tool, customer satisfaction analysis, customer satisfaction tools, ecommerce-as-a-service, omni channel marketing, qr code management, registration platform</t>
  </si>
  <si>
    <t>250549-84P</t>
  </si>
  <si>
    <t>Kaitlin Stephens</t>
  </si>
  <si>
    <t>+1 (609) 668-1886</t>
  </si>
  <si>
    <t>kait@brij.it</t>
  </si>
  <si>
    <t>Ms. Kait Stephens is a Co-Founder and serves as President, Chief Executive Officer &amp; Board Member at Brij. She comes from a background in retail private equity and tech, at companies like Blackstone, PIMCO, and Airbnb. She also founded a successful non-profit for youth in underserved communities. She holds an MBA from Harvard Business School and a BA from Georgetown University.</t>
  </si>
  <si>
    <t>Georgetown University, BA (Bachelor of Arts), Harvard Business School, MBA (Master of Business Administration)</t>
  </si>
  <si>
    <t>The company raised $1.25 million of venture funding from Rationalwave Capital Partners and Lakehouse Ventures on March 2, 2021.</t>
  </si>
  <si>
    <t>Lakehouse Venture Partners II(Lakehouse Ventures)</t>
  </si>
  <si>
    <t>10003</t>
  </si>
  <si>
    <t>www.brij.it</t>
  </si>
  <si>
    <t>156681-55T</t>
  </si>
  <si>
    <t>Brij (Services)</t>
  </si>
  <si>
    <t>439515-01</t>
  </si>
  <si>
    <t>Black Ambition, Concord Music, Target Incubator, Techstars(Bob Moczydlowsky), Warner Music Group (NAS: WMG)</t>
  </si>
  <si>
    <t>Black Ambition (www.blackambitionprize.com), Concord Music (www.concord.com), Target Incubator (incubator.target.com), Techstars (www.techstars.com), Warner Music Group (NAS: WMG) (www.wmg.com)</t>
  </si>
  <si>
    <t>Operator of an online networking platform designed to offer professional, creative, and mentorship opportunities for underrepresented artists in the media industry. The company's mentorship matching application uses swipe right and left technology, helping customers directly connect to mentors in the media industry.</t>
  </si>
  <si>
    <t>The company raised $205,000 of venture funding in a deal led by Concord Music, Warner Music Group, and Techstars on March 31, 2022. Target Incubator and Black Ambition also participated in the round. Previously, the company joined Techstars as a part of its Music Accelerator on February 4, 2022, and received $60,000 in funding.</t>
  </si>
  <si>
    <t>Application Software, Other Services (B2C Non-Financial)*</t>
  </si>
  <si>
    <t>creative platform, creative professional network, creative professionals, entertainment platform, media industry, networking platform, online media</t>
  </si>
  <si>
    <t>241794-37P</t>
  </si>
  <si>
    <t>Naomi Lilly</t>
  </si>
  <si>
    <t>+1 (443) 813-0103</t>
  </si>
  <si>
    <t>naomil@nal-media.com</t>
  </si>
  <si>
    <t>Ms. Naomi Lilly is a Co-Founder and serves as the Chief Executive Officer at NAL Media.</t>
  </si>
  <si>
    <t>Duke University, Degree, African American Studies</t>
  </si>
  <si>
    <t>The company raised $205,000 of venture funding in a deal led by Concord Music, Warner Music Group, and Techstars on March 31, 2022. Target Incubator and Black Ambition also participated in the round.</t>
  </si>
  <si>
    <t>Black Ambition, Concord Music, Target Incubator, Warner Music Group</t>
  </si>
  <si>
    <t>Concord Music, Techstars(Bob Moczydlowsky), Warner Music Group (NAS: WMG)</t>
  </si>
  <si>
    <t>Shulman Rogers (Legal Advisor to Company)</t>
  </si>
  <si>
    <t>11223</t>
  </si>
  <si>
    <t>www.nal-media.com</t>
  </si>
  <si>
    <t>132922-18T</t>
  </si>
  <si>
    <t>Buddy.ai</t>
  </si>
  <si>
    <t>432832-87</t>
  </si>
  <si>
    <t>Crosesell, Evolution VC Partners, Joint Journey Intelligent Investments, Konstantin Senchenko(Konstantin Senchenko), Leta Capital(Alexander Chachava), Sand Hill Angels, VentureSouq, Yellow Rocks!, YellowRockets.vc</t>
  </si>
  <si>
    <t>Crosesell (www.crosesell.com), Evolution VC Partners (www.evolutionvcp.com), Joint Journey Intelligent Investments (jj.capital), Leta Capital (www.leta.vc), Sand Hill Angels (www.sandhillangels.com), VentureSouq (www.venturesouq.com), Yellow Rocks! (www.yellowrocks.vc), YellowRockets.vc (www.yellowrockets.vc)</t>
  </si>
  <si>
    <t>Developer of a voice-based virtual English teaching platform intended to address learning challenges. The company's platform provides a virtual tutor-powered cartoon character on mobile with speech technology and adaptive learning, enabling users to give kids unlimited speaking practice for mastering the subject.</t>
  </si>
  <si>
    <t>The company raised $11 million of venture funding in a deal led by BITKRAFT Ventures and EduCapital on October 31, 2024. One Way Ventures and other undisclosed investors also participated in the round. The funds will be used to lead the AI revolution in early learning by advancing the company's proprietary AI technology further, continuing to mature the gaming and world-building elements on the app, and expanding partnerships with schools and educational institutions.</t>
  </si>
  <si>
    <t>education technology, e-learning content, english learning, english teaching platform, natural language technology, online tutor, virtual tutoring, voice based tool</t>
  </si>
  <si>
    <t>224167-06P</t>
  </si>
  <si>
    <t>Ivan Crewkov</t>
  </si>
  <si>
    <t>+1 (434) 436-2469</t>
  </si>
  <si>
    <t>ivan@mybuddy.ai</t>
  </si>
  <si>
    <t>Mr. Ivan Crewkov is a Co-Founder &amp; serves as Chief Executive Officer &amp; Board Member at Buddy.ai.</t>
  </si>
  <si>
    <t>Master's, Computer Science</t>
  </si>
  <si>
    <t>The company raised $1.7 million of seed funding in a deal led by Leta Capital on February 21, 2020, putting the company's pre-money valuation at $5 million. Evolution VC Partners, VentureSouq, YellowRockets.vc, Joint Journey Intelligent Investments, Crosesell, Yellow Rocks Capital, Konstantin Senchenko and Sand Hill Angels also participated in the round. The company intends to use the fund to expand into new markets and develop new features including mini-classes about health.</t>
  </si>
  <si>
    <t>Crosesell, Evolution VC Partners, Joint Journey Intelligent Investments, Konstantin Senchenko, Leta Capital, Sand Hill Angels, VentureSouq, Yellow Rocks!, YellowRockets.vc</t>
  </si>
  <si>
    <t>Leta Capital(Alexander Chachava)</t>
  </si>
  <si>
    <t>Leta Capital Fund II(Leta Capital), YellowRockets(YellowRockets.vc)</t>
  </si>
  <si>
    <t>Mountain view, CA</t>
  </si>
  <si>
    <t>Mountain view</t>
  </si>
  <si>
    <t>94040</t>
  </si>
  <si>
    <t>www.buddy.ai</t>
  </si>
  <si>
    <t>180823-96T</t>
  </si>
  <si>
    <t>Builders Patch</t>
  </si>
  <si>
    <t>459733-51</t>
  </si>
  <si>
    <t>Govtech Fund, Lucas Venture Group, TenOneTen Ventures, The Artemis Fund, Urban Innovation Fund</t>
  </si>
  <si>
    <t>Govtech Fund (www.govtechfund.com), Lucas Venture Group (www.lucasvg.com), TenOneTen Ventures (www.tenoneten.com), The Artemis Fund (www.theartemisfund.com), Urban Innovation Fund (www.urbaninnovationfund.com)</t>
  </si>
  <si>
    <t>Developer of a data analytics and due diligence workflow tool designed for construction management. The company's tool streamlines construction lending for affordable housing by underwriting memos, document collection, task management, asset management and portfolio analytics, enabling clients to automate repetitive tasks and manage their deals.</t>
  </si>
  <si>
    <t>The company raised an estimated $3.5 million through a combination of Seed-1 and Seed-3 funding in a deal led by The Artemis Fund on January 22, 2024, putting the company's pre-money valuation at $10 million. Third Sphere, Urban Innovation Fund, TenOneTen Ventures, Govtech Fund, and other undisclosed investors also participated in the round.</t>
  </si>
  <si>
    <t>Business/Productivity Software*, Financial Software, Media and Information Services (B2B)</t>
  </si>
  <si>
    <t>Construction Technology, Real Estate Technology, SaaS</t>
  </si>
  <si>
    <t>builder management system, construction management app, construction management platform, construction management tool, deals management, real estate technology, task management platform</t>
  </si>
  <si>
    <t>252593-92P</t>
  </si>
  <si>
    <t>Kanan Ajmera</t>
  </si>
  <si>
    <t>+1 (425) 829-3778</t>
  </si>
  <si>
    <t>kanan@builderspatch.com</t>
  </si>
  <si>
    <t>Ms. Kanan Ajmera is a Co-Founder and serves as the Chief Executive Officer at Builders Patch. She is passionate about bringing big ideas to the housing industry. She founded Builders Patch to bring efficiency, and accessible technology to housing developers, and to revolutionize affordable housing finance. She is an experienced real estate professional who has worked with top-tier banks and firms such as Citibank, PNC, and The Richman Group to structure and finance affordable housing projects. She is a trained architect and urban designer with several years of experience in designing multi-family housing developments. She worked at POKO Partners, a socially responsible development firm that created high-quality energy-efficient affordable housing communities. As part of this organization, she worked to rehabilitate and adapt defunct buildings to new uses. There is nothing more fulfilling to her than breathing new life into an old landmark and community!. She holds a Master's Degree in Architecture from the University of Illinois at Urbana Champaign and has a B.Arch. from the University of Mumbai. She is a LEED Accredited Professional, Chair of the ULI Sustainability Taskforce in Westchester-Fairfield. She lives in the village of Chappaqua, New York, with her husband, 6-year-old twin boys, and an inordinate number of books, magnetic tiles, building sticks, and blocks.</t>
  </si>
  <si>
    <t>University of Illinois, Urbana-Champaign, Master's, Architecture, University of Mumbai, Bachelor's, Architecture</t>
  </si>
  <si>
    <t>The company raised $2.3 million through a combination of Seed-2, Seed-4, and Seed-5 funding in a deal led by Urban Innovation Fund on September 28, 2021, putting the company's pre-money valuation at $6 million. Lucas Venture Group, TenOneTen Ventures, Govtech Fund, The Artemis Fund, and other undisclosed investors also participated in the round.</t>
  </si>
  <si>
    <t>Urban Innovation Fund</t>
  </si>
  <si>
    <t>Lucas Venture Fund I(Lucas Venture Group), TenOneTen Ventures III(TenOneTen Ventures), Urban Innovation Fund II(Urban Innovation Fund)</t>
  </si>
  <si>
    <t>www.builderspatch.com</t>
  </si>
  <si>
    <t>207474-40T</t>
  </si>
  <si>
    <t>BuildWithin</t>
  </si>
  <si>
    <t>490317-40</t>
  </si>
  <si>
    <t>Atento Capital, Black Capital (VC), Dundee Venture Capital</t>
  </si>
  <si>
    <t>Atento Capital (www.atentocapital.com), Black Capital (VC) (blackcap.vc), Dundee Venture Capital (www.dundeeventurecapital.com)</t>
  </si>
  <si>
    <t>Developer of talent acquisition and training platform designed to identify, train, and manage technical apprentices. The company's platform offers employer matching, learn-while jobs, certifications, technical training, and much more, enabling organizations and employers to overcome workforce challenges.</t>
  </si>
  <si>
    <t>The company raised an undisclosed amount of venture funding from StageNext Fund in approximately November 2023.</t>
  </si>
  <si>
    <t>Education and Training Services (B2B)*, Educational Software, Human Capital Services, Media and Information Services (B2B)</t>
  </si>
  <si>
    <t>Artificial Intelligence &amp; Machine Learning, EdTech, HR Tech, SaaS</t>
  </si>
  <si>
    <t>employer matching, hr technology, online hiring, online training, talent acquisition, technical jobs, technical training, training platform, workforce management</t>
  </si>
  <si>
    <t>53897-23P</t>
  </si>
  <si>
    <t>Ximena Hartsock</t>
  </si>
  <si>
    <t>+1 (888) 598-8508</t>
  </si>
  <si>
    <t>Dr. Ximena Hartsock is a Co-Founder &amp; serves as Chief Executive Officer at BuildWithin. She founded and served as President and Board Member at Phone2Action.</t>
  </si>
  <si>
    <t>BA (Bachelor of Arts), George Washington University, Doctorate, 2004, Administration</t>
  </si>
  <si>
    <t>The company raised $2.4 million of pre-seed funding in a deal led by Dundee Venture Capital on November 2, 2022, putting the company's pre-money valuation at $13.8 million. Black Capital, Atento Capital, and other undisclosed investors also participated in the round. The amount was originally raised in the form of SAFE notes and subsequently converted to equity. The funds will be used to expand the employee base as well as fund further product enhancements.</t>
  </si>
  <si>
    <t>Dundee Venture Capital</t>
  </si>
  <si>
    <t>20009</t>
  </si>
  <si>
    <t>www.buildwithin.com</t>
  </si>
  <si>
    <t>252448-03T</t>
  </si>
  <si>
    <t>Bumblebee Networks</t>
  </si>
  <si>
    <t>588704-05</t>
  </si>
  <si>
    <t>Monta Vista Capital</t>
  </si>
  <si>
    <t>Monta Vista Capital (www.montavc.com)</t>
  </si>
  <si>
    <t>Operator of SaaS platform and marketplace intended to securely connect to private applications. The company provides virtual private network (VPN) replacement that offers secure B2B networking service, B2B SaaS, branch connectivity, and IOT access without the hassle of border gateway protocol (BGP), IPsec (Internet Protocol Security), and network address translation (NAT), enabling users to build secure connectivity to private applications.</t>
  </si>
  <si>
    <t>The company raised a estimated $3.43 million of Seed funding from Monta Vista Capital and other undisclosed investors on December 18, 2023, putting the company's pre-money valuation at $10 million.</t>
  </si>
  <si>
    <t>Communications and Networking</t>
  </si>
  <si>
    <t>Other Communications and Networking</t>
  </si>
  <si>
    <t>Business/Productivity Software, Other Communications and Networking*</t>
  </si>
  <si>
    <t>Internet of Things, SaaS</t>
  </si>
  <si>
    <t>b2b networking, gateway server, network administration, saas toolkit, secure connectivity, vpn system</t>
  </si>
  <si>
    <t>97472-26P</t>
  </si>
  <si>
    <t>Xiaobo Wei</t>
  </si>
  <si>
    <t>+1 (650) 473-9888</t>
  </si>
  <si>
    <t>Dr. Xiaobo Wei is a Co-Founder and serves as Chief Executive Officer at Bumblebee Networks. He founded and served as Board Member &amp; Advisor at Aviatrix. She serves as Advisor at BeCause. She quit her job at Huawei in 2013 and bootstrapped Aviatrix. The idea behind the technology was to extend the enterprise data center to AWS without touching the underlying network infrastructure. Aviatrix was able to acquire a couple of enterprise customers using its hybrid cloud solution before receiving funding. Prior to Huawei, she worked at Cisco for 13 years. She led and developed a few Cisco first-generation products, among them the first Intel-based Cisco Integrated System Router (ISR) and the first Cisco T1/E1 Voice and WAN Interface Module. She joined Cisco as part of the acquisition of Ardent Communications where she was the first employee and wrote a significant amount of code. Prior to Ardent, she was an early employee at Centillion Networks which was acquired by Bay Networks (Nortel). She holds a Ph.D. from Purdue University in EECS.</t>
  </si>
  <si>
    <t>Purdue University, West Lafayette, Ph.D. (Doctor of Philosophy), Electrical Engineering</t>
  </si>
  <si>
    <t>Mountain View, CA</t>
  </si>
  <si>
    <t>Mountain View</t>
  </si>
  <si>
    <t>www.bumblebeenet.com</t>
  </si>
  <si>
    <t>180013-69T</t>
  </si>
  <si>
    <t>Bundle (Business/Productivity Software)</t>
  </si>
  <si>
    <t>481207-96</t>
  </si>
  <si>
    <t>NFX</t>
  </si>
  <si>
    <t>NFX (www.nfx.com)</t>
  </si>
  <si>
    <t>Developer of a construction procurement platform designed to connect builders and suppliers. The company's platform connects builders and suppliers on one platform and eases procurement with technology to save stakeholders both time and money, enabling clients both in the traditional bidding process and the complex distribution networks that exist in construction procurement today.</t>
  </si>
  <si>
    <t>The company raised $4 million of Seed 2 funding in a deal led by Urban Innovation Fund on February 28, 2023, putting the company's pre-money valuation at $9.5 million. Contour Venture Partners and 14 other also participated in the round.</t>
  </si>
  <si>
    <t>Business/Productivity Software*, Construction and Engineering, Media and Information Services (B2B)</t>
  </si>
  <si>
    <t>Construction Technology, Industrials, SaaS</t>
  </si>
  <si>
    <t>building materials, construction material, construction platform, construction space, material procurement, sales performance, tracking unit</t>
  </si>
  <si>
    <t>275037-13P</t>
  </si>
  <si>
    <t>Janna Colucci</t>
  </si>
  <si>
    <t>janna@bundle.build</t>
  </si>
  <si>
    <t>Ms. Janna Colucci is a Co-Founder and serves as Chief Executive Officer at Bundle.</t>
  </si>
  <si>
    <t>The company raised an estimated $700,000 of Series 1 funding in the form of SAFE notes from NFX and other undisclosed investors on December 3, 2021, putting the company's pre-money valuation at $6.3 million. Subsequently, it got converted into equity.</t>
  </si>
  <si>
    <t>NFX Capital Fund II(NFX)</t>
  </si>
  <si>
    <t>Oakland, CA</t>
  </si>
  <si>
    <t>Oakland</t>
  </si>
  <si>
    <t>94609</t>
  </si>
  <si>
    <t>www.bundle.build</t>
  </si>
  <si>
    <t>174093-85T</t>
  </si>
  <si>
    <t>Bunny Studio</t>
  </si>
  <si>
    <t>467587-00</t>
  </si>
  <si>
    <t>Endeavor Global, Socialatom Group</t>
  </si>
  <si>
    <t>Endeavor Global (www.endeavor.org), Socialatom Group (www.socialatomgroup.com)</t>
  </si>
  <si>
    <t>Developer of a SaaS-based creative services platform designed for project fulfilment. The company's platform offers voice-overs, voice acting, dubbing, scriptwriting, content creation, and trans-creation to several languages with AI, enabling businesses to access creative technology efficiently and reliably.</t>
  </si>
  <si>
    <t>The company raised $750,000 of venture funding from Endeavor Global and Socialatom Group in June 2021.</t>
  </si>
  <si>
    <t>Business/Productivity Software, Media and Information Services (B2B), Multimedia and Design Software*</t>
  </si>
  <si>
    <t>audio post production, audio production, creative services, flyers design, project managemenet, scaling system, video editing, video production tool</t>
  </si>
  <si>
    <t>265372-93P</t>
  </si>
  <si>
    <t>Santiago Jaramillo</t>
  </si>
  <si>
    <t>Mr. Santiago Jaramillo co-founded and served as Chief Executive Officer at Bunny Studio.</t>
  </si>
  <si>
    <t>Universidad de Los Andes, Bachelor's, 2011, Economy</t>
  </si>
  <si>
    <t>Wilmington, DE</t>
  </si>
  <si>
    <t>Wilmington</t>
  </si>
  <si>
    <t>19807</t>
  </si>
  <si>
    <t>www.bunnystudio.com</t>
  </si>
  <si>
    <t>135107-38T</t>
  </si>
  <si>
    <t>Buzz Solutions</t>
  </si>
  <si>
    <t>184684-69</t>
  </si>
  <si>
    <t>Advisors.Fund, Blackhorn Ventures(Mark Loch), Blue Leaf Ventures, NCT Ventures, Stanford Angels and Entrepreneurs, Ulu Ventures, Vodia Capital</t>
  </si>
  <si>
    <t>Advisors.Fund (www.advisors.fund), Blackhorn Ventures (www.blackhornvc.com), Blue Leaf Ventures (www.blueleafventures.net), NCT Ventures (www.nctventures.com), Stanford Angels and Entrepreneurs (www.stanfordaande.com), Ulu Ventures (www.uluventures.com), Vodia Capital (www.vodiacapital.com)</t>
  </si>
  <si>
    <t>Developer of an artificial intelligence-based analytics platform designed to detect faults and anomalies on power line assets. The company's platform automates the process of inspection of power lines by analyzing visual data points captured by helicopters, drones, and linemen in the fieldwork, enabling utility companies to improve efficiency, reduce costs, enhance safety, and ensure regulatory compliance in managing critical infrastructure.</t>
  </si>
  <si>
    <t>The company joined Joules Accelerator on an undisclosed date.</t>
  </si>
  <si>
    <t>Advanced Manufacturing, Artificial Intelligence &amp; Machine Learning, Industrials, Infrastructure, Internet of Things</t>
  </si>
  <si>
    <t>computer vision, drone inspection system, energy insights, enterprise asset management, enterprise resource planning, fault detection, grid infrastructure, industrial iot, power asset management, predictive analytics system</t>
  </si>
  <si>
    <t>168828-94P</t>
  </si>
  <si>
    <t>Kaitlyn Albertoli</t>
  </si>
  <si>
    <t>+1 (650) 931-5918</t>
  </si>
  <si>
    <t>kaitlyn@buzzsolutions.co</t>
  </si>
  <si>
    <t>Ms. Kaitlyn Albertoli is a Co-Founder and serves as Chief Executive Officer &amp; Board Member at Buzz Solutions.</t>
  </si>
  <si>
    <t>Stanford University, BS (Bachelor of Science)</t>
  </si>
  <si>
    <t>The company raised $1.2 million of Seed-2 funding in a deal led by Blackhorn Ventures on June 26, 2020, putting the company's pre-money valuation at $3 million. NCT Ventures, Ulu Ventures, Advisors.Fund, Blue Leaf Ventures, Stanford Angels and Entrepreneurs, Vodia Capital, and other undisclosed investors also participated in the round. The amount was raised in the form of convertible notes which subsequently got converted to equity.</t>
  </si>
  <si>
    <t>Advisors.Fund, Blackhorn Ventures, Blue Leaf Ventures, NCT Ventures, Stanford Angels and Entrepreneurs, Ulu Ventures, Vodia Capital</t>
  </si>
  <si>
    <t>Blackhorn Ventures(Mark Loch)</t>
  </si>
  <si>
    <t>Blackhorn Ventures Fund(Blackhorn Ventures), NCT Ventures Fund II(NCT Ventures), NCT Ventures Opportunity Fund(NCT Ventures), Ulu Ventures Fund III(Ulu Ventures)</t>
  </si>
  <si>
    <t>www.buzzsolutions.co</t>
  </si>
  <si>
    <t>197149-69T</t>
  </si>
  <si>
    <t>Byrdhouse</t>
  </si>
  <si>
    <t>500747-32</t>
  </si>
  <si>
    <t>Singularity Capital</t>
  </si>
  <si>
    <t>Singularity Capital (singularitycapital.us)</t>
  </si>
  <si>
    <t>Developer of a video chat application designed to cater to users to understand any language. The company's application provides artificial intelligence-powered real-time translation in voice and captions for multiple languages for meetings, calls, live streams, podcasts, and chats, enabling users to communicate and enjoy the experience.</t>
  </si>
  <si>
    <t>The company joined Lair East Labs in January 2023. Previously, the company raised an undisclosed amount of venture funding from VEST, Team Ignite Ventures, and Goodwater Capital on December 1, 2022.</t>
  </si>
  <si>
    <t>Communication Software*</t>
  </si>
  <si>
    <t>ai-powered, communication product, natural language technology, video chat application, video chat shopping, video chatting, video communication, video live stream</t>
  </si>
  <si>
    <t>309725-20P</t>
  </si>
  <si>
    <t>Snow Huo</t>
  </si>
  <si>
    <t>snow.huo@byrdhouseapp.com</t>
  </si>
  <si>
    <t>Ms. Snow Huo is a Co-Founder &amp; serves as Chief Executive Officer at Byrdhouse. She's been building software products for more than 5 years. Previously, she was the head of consumer product at Chowbus where she hired and led a squad of 15 people to build products and user community, which contributed to Chowbus' 700% YoY growth, and 2 rounds of funding. Before Chowbus, she founded the merchant communication product at Groupon. She started her career at the Walt Disney Company, and was a part of the opening team for Shanghai Disney Resort.</t>
  </si>
  <si>
    <t>The company raised $1 million of Series A venture funding from Singularity Capital and other undisclosed investors on May 12, 2022, putting the company's pre-money valuation at $7 million.</t>
  </si>
  <si>
    <t>V-Tech I(Singularity Capital)</t>
  </si>
  <si>
    <t>www.byrdhouseapp.com</t>
  </si>
  <si>
    <t>181283-59T</t>
  </si>
  <si>
    <t>Byteboard</t>
  </si>
  <si>
    <t>482167-63</t>
  </si>
  <si>
    <t>Authentic Ventures, BBG Ventures (North America), Cowboy Ventures, Evening Fund, GV, Operator Partners, PeopleTech Partners, Scribble Ventures</t>
  </si>
  <si>
    <t>Authentic Ventures (www.authentic-ventures.com), BBG Ventures (North America) (www.bbgventures.com), Cowboy Ventures (www.cowboy.vc), Evening Fund (www.evening.fund), GV (www.gv.com), Operator Partners (www.operatorpartners.com), PeopleTech Partners (peopletechpartners.com), Scribble Ventures (www.scribble.vc)</t>
  </si>
  <si>
    <t>Developer of a hiring software intended to assist companies in the technical interview process. The company's software utilizes a project-based interview system that is identity-blind and assesses for engineering skills that are used on the job while helping companies to reduce the time they spend in conducting interviews by increasing onsite-to-offer rates, enabling businesses to conduct technical interviews which are more effective, efficient, and equitable for all candidates.</t>
  </si>
  <si>
    <t>The company raised an undisclosed amount of venture funding from Five Two Five in approximately June 2024.</t>
  </si>
  <si>
    <t>Business/Productivity Software*, Human Capital Services</t>
  </si>
  <si>
    <t>data engineering services, enterprise resource planning, erp, fair evaluation system, frontend engineering, human capital management, interview system, javascript testing, recruiting assistance, software coding analysis, technical interviewing system</t>
  </si>
  <si>
    <t>277626-43P</t>
  </si>
  <si>
    <t>Sargun Kaur</t>
  </si>
  <si>
    <t>sargun@byteboard.dev</t>
  </si>
  <si>
    <t>Ms. Sargun Kaur is a Co-Founder and serves as Chief Executive Officer, General Manager and Board Member at Byteboard. She is an Angel Investor. She holds a BS in Computer Science from University of California, Berkeley.</t>
  </si>
  <si>
    <t>University of California, Berkeley, BS (Bachelor of Science), Computer Science</t>
  </si>
  <si>
    <t>The company raised $5 million of Seed funding in a deal led by Cowboy Ventures and Authentic Ventures on January 26, 2022, putting the company's pre-money valuation at $15 million. Evening Fund, BBG Ventures, PeopleTech Partners, Operator Partners, GV and Scribble Ventures also participated in the round.</t>
  </si>
  <si>
    <t>Authentic Ventures, Cowboy Ventures</t>
  </si>
  <si>
    <t>Authentic Ventures I(Authentic Ventures), BBG Ventures III(BBG Ventures (North America)), Cowboy Capital Fund III(Cowboy Ventures), Evening Fund I(Evening Fund)</t>
  </si>
  <si>
    <t>Silicon Legal Strategy (Legal Advisor to Cowboy Ventures, Coleman Cannon JD)</t>
  </si>
  <si>
    <t>Fremont, CA</t>
  </si>
  <si>
    <t>Fremont</t>
  </si>
  <si>
    <t>94536</t>
  </si>
  <si>
    <t>www.byteboard.dev</t>
  </si>
  <si>
    <t>223211-17T</t>
  </si>
  <si>
    <t>Byterat</t>
  </si>
  <si>
    <t>516172-24</t>
  </si>
  <si>
    <t>Alysia Silberg (Street Global), Climate Capital, Giant Ventures, Ripple Impact Investments, Urban Innovation Fund</t>
  </si>
  <si>
    <t>Alysia Silberg (Street Global) (www.alysiasilberg.com), Climate Capital (www.climatecapital.co), Giant Ventures (www.giant.vc), Ripple Impact Investments (www.rippleimpactinvestments.com), Urban Innovation Fund (www.urbaninnovationfund.com)</t>
  </si>
  <si>
    <t>Developer of an artificial intelligence (AI) based data platform intended to unlock the full potential of battery testing data. The company's platform offers a cloud-based machine learning platform that forecasts battery performance from electrochemical data acquired during production or early testing, enabling users to get real-time performance forecasting of energy assets.</t>
  </si>
  <si>
    <t>The company raised $4 million of seed funding from Urban Innovation Fund, Climate Capital, and Street Global Venture Capital on October 27, 2023. Ripple Impact Investments and Giant Ventures also participated in the round. The funds will be used to collect and analyze data for battery labs.</t>
  </si>
  <si>
    <t>battery data, battery failure testing, cloud platform software, data platform, industrial data analytics, intelligent data platform, machine learning platform, performance forecasting, vertical application</t>
  </si>
  <si>
    <t>328045-51P</t>
  </si>
  <si>
    <t>Penelope Jones</t>
  </si>
  <si>
    <t>penelope.jones@byterat.io</t>
  </si>
  <si>
    <t>Ms. Penelope Jones is a Co-Founder &amp; serves as Chief Executive Officer at Byterat.</t>
  </si>
  <si>
    <t>www.byterat.io</t>
  </si>
  <si>
    <t>177826-15T</t>
  </si>
  <si>
    <t>Cabinet</t>
  </si>
  <si>
    <t>279606-70</t>
  </si>
  <si>
    <t>Everywhere Ventures, Good Friends, Harlem Capital(Henri Pierre-Jacques), Heroic Ventures, Parade Ventures, Service Provider Capital</t>
  </si>
  <si>
    <t>Everywhere Ventures (everywhere.vc), Good Friends (www.goodfriends.com), Harlem Capital (harlem.capital), Heroic Ventures (www.heroicvc.com), Parade Ventures (www.parade.vc), Service Provider Capital (www.serviceprovidercapital.com)</t>
  </si>
  <si>
    <t>Developer of software as a service-based calendar management platform designed to help executive assistants work and communicate better. The company's platform connects assistants around the world to exchange best practices, tips, advice, recommendations and smart scheduling, enabling clients to access, share and discover insider information they can't find anywhere else.</t>
  </si>
  <si>
    <t>The company raised $499,995 of venture funding from Knockout Capital and other undisclosed investors on December 1, 2022, putting the company's pre-money valuation at $8.63 million.</t>
  </si>
  <si>
    <t>administrative assistants communication, assistant platform, executive assistants platform, social networking application, social networking platform, workflow platform</t>
  </si>
  <si>
    <t>73561-15P</t>
  </si>
  <si>
    <t>Julia Leibowitz</t>
  </si>
  <si>
    <t>+1 (720) 449-1057</t>
  </si>
  <si>
    <t>julia@joincabinet.com</t>
  </si>
  <si>
    <t>Ms. Julia Leibowitz is a Co-Founder and serves as Chief Executive Officer at Cabinet. Previously, she served as Analyst at Intersouth Partners. Prior to joining, she worked as an associate at 8 Rivers Capital. In 2012, she graduated from Duke University with a B.A. in Public Policy. Originally from Minnesota, she has been living in the triangle for 6 years.</t>
  </si>
  <si>
    <t>Duke University, BS (Bachelor of Science), 2012, Public Policy, MBA (Master of Business Administration)</t>
  </si>
  <si>
    <t>The company raised $2.63 million through a combination of Seed-1, Seed-2 and Seed-3 funding in a deal led by Harlem Capital Partners on September 22, 2021, putting the company's pre-money valuation at $6 million. Everywhere Ventures, Parade Ventures, Good Friends, Heroic Ventures, and Service Provider Capital also participated in the round.</t>
  </si>
  <si>
    <t>Everywhere Ventures, Good Friends, Harlem Capital, Heroic Ventures, Parade Ventures, Service Provider Capital</t>
  </si>
  <si>
    <t>Harlem Capital(Henri Pierre-Jacques)</t>
  </si>
  <si>
    <t>Everywhere Ventures I-B(Everywhere Ventures), Heroic Ventures Formation Fund I(Heroic Ventures), Service Provider Capital Rocky Mountain Fund II(Service Provider Capital)</t>
  </si>
  <si>
    <t>Lakewood, CO</t>
  </si>
  <si>
    <t>80214</t>
  </si>
  <si>
    <t>www.joincabinet.com</t>
  </si>
  <si>
    <t>188823-43T</t>
  </si>
  <si>
    <t>Cable</t>
  </si>
  <si>
    <t>471929-59</t>
  </si>
  <si>
    <t>Anthemis, Charles Delingpole(Charles Delingpole), CRV(Kristin Baker Spohn), Laura Spiekerman(Laura Spiekerman), Phoenix Court</t>
  </si>
  <si>
    <t>Anthemis (www.anthemis.com), CRV (www.crv.com), Phoenix Court (www.phoenixcourt.vc)</t>
  </si>
  <si>
    <t>Developer of a financial risk control platform designed to reduce the amount of financial crime in the world. The company's platform provides automated, independent effectiveness testing and assurance for control and also offers real-time alerts, enabling clients to manage, track and demonstrate complete oversight of the controls.</t>
  </si>
  <si>
    <t>The company raised $11 million of Series A venture funding in a deal led by Jump Capital and Stage 2 Capital, Saga Ventures on April 14, 2023. CRV and Alloy Labs Institute also participated in the round.</t>
  </si>
  <si>
    <t>aml compliance, analytics tool, financial crime analysis, financial risk analytics, fraud prevention, identity &amp; access management, identity and access management, risk control</t>
  </si>
  <si>
    <t>273283-21P</t>
  </si>
  <si>
    <t>Natasha Vernier</t>
  </si>
  <si>
    <t>natasha@cable.tech</t>
  </si>
  <si>
    <t>Ms. Natasha Vernier is a Co-Founder and serves as Chief Executive Officer &amp; Board Member at Cable.</t>
  </si>
  <si>
    <t>The company raised $5.3 million of seed funding in a deal co-led by CRV and Phoenix Court on August 24, 2021. Anthemis, Laura Spiekerman and Charlie Delingpole also participated in the round. The funds will be used to help in the mission of reducing financial crime in the world.</t>
  </si>
  <si>
    <t>Anthemis, Charles Delingpole, CRV, Laura Spiekerman, Phoenix Court</t>
  </si>
  <si>
    <t>CRV(Kristin Baker Spohn), Phoenix Court</t>
  </si>
  <si>
    <t>Charles River Partnership XVIII(CRV), Latitude Fund(Phoenix Court)</t>
  </si>
  <si>
    <t>Foley Hoag (Legal Advisor to CRV, Mark Haddad JD)</t>
  </si>
  <si>
    <t>www.cable.tech</t>
  </si>
  <si>
    <t>201423-07T</t>
  </si>
  <si>
    <t>Cadence OneFive</t>
  </si>
  <si>
    <t>503323-66</t>
  </si>
  <si>
    <t>Great Wave Ventures, JLL Foundation, New York Ventures</t>
  </si>
  <si>
    <t>Great Wave Ventures (www.greatwave.vc), JLL Foundation (foundation.jll.com)</t>
  </si>
  <si>
    <t>Developer of a building decarbonization planning platform designed to accelerate the retrofit and adaptation of existing multifamily buildings. The company's platform untangles the complications that delay projects, making it easier to make the right decisions about energy efficiency, renewable energy and resilience, enabling the multifamily housing market to decarbonize quickly and affordably to mitigate climate change and improve the health and safety of residents.</t>
  </si>
  <si>
    <t>The company joined Urban Future Lab in February 2024. No equity or funding was exchanged as a result of this program.</t>
  </si>
  <si>
    <t>climate change, cloud software, construction administration, decarbonization platform, decarbonization system, decarbonization tools</t>
  </si>
  <si>
    <t>311933-17P</t>
  </si>
  <si>
    <t>Bomee Jung</t>
  </si>
  <si>
    <t>bjung@c15.io</t>
  </si>
  <si>
    <t>Ms. Bomee Jung is a Co-Founder and serves as Co-Chief Executive Officer at Cadence OneFive.</t>
  </si>
  <si>
    <t>The company raised an estimated $1 million of venture funding from Agya Ventures, New York Ventures and other undisclosed investors on February 10, 2022, putting the company's pre-money valuation at $4 million. JLL Foundation also participated in this round.</t>
  </si>
  <si>
    <t>NY Ventures Pre Seed and Seed Matching Fund Program(New York Ventures)</t>
  </si>
  <si>
    <t>hello.c15.io</t>
  </si>
  <si>
    <t>155647-18T</t>
  </si>
  <si>
    <t>CAHill (Business/Productivity Software)</t>
  </si>
  <si>
    <t>438839-56</t>
  </si>
  <si>
    <t>Launch NY, Techstars</t>
  </si>
  <si>
    <t>Launch NY (www.launchny.org), Techstars (www.techstars.com)</t>
  </si>
  <si>
    <t>Developer of a training and compliance tool designed to offer company-wide safety and training for the construction industry. The company's platform offers workforce readiness, tracking of strengths and progress, risk reduction, and general engagement, enabling organizations to avail optimal safety standards.</t>
  </si>
  <si>
    <t>The company raised seed funding from New York Ventures on an undisclosed date.</t>
  </si>
  <si>
    <t>Business/Productivity Software*, Consulting Services (B2B), Education and Training Services (B2B)</t>
  </si>
  <si>
    <t>Construction Technology</t>
  </si>
  <si>
    <t>construction education, construction workers software, construction workflow management, e-learning system, management consultation, workforce platform</t>
  </si>
  <si>
    <t>240092-20P</t>
  </si>
  <si>
    <t>Carley Hill</t>
  </si>
  <si>
    <t>+1 (716) 364-3022</t>
  </si>
  <si>
    <t>chill@cahillresources.com</t>
  </si>
  <si>
    <t>Ms. Carley Hill is a Co-Founder and serves as Chief Executive Officer at CaHill Tech.</t>
  </si>
  <si>
    <t>The company raised $75,000 of seed funding from Launch NY on February 6, 2020. The amount was initially raised in the form of convertible debt which subsequently got converted to equity</t>
  </si>
  <si>
    <t>LaunchNY Limited Partner Fund(Launch NY)</t>
  </si>
  <si>
    <t>Clarence, NY</t>
  </si>
  <si>
    <t>Clarence</t>
  </si>
  <si>
    <t>14031</t>
  </si>
  <si>
    <t>www.cahilltech.com</t>
  </si>
  <si>
    <t>184103-74T</t>
  </si>
  <si>
    <t>Calibrate</t>
  </si>
  <si>
    <t>436439-53</t>
  </si>
  <si>
    <t>Forerunner Ventures(Kirsten Green)</t>
  </si>
  <si>
    <t>Forerunner Ventures (www.forerunnerventures.com)</t>
  </si>
  <si>
    <t>Developer of a weight management platform designed to improve metabolic health to drive long-term and sustainable weight loss. The company's platform offers telemedicine metabolic medications with purpose-built behavior change to catalyze the physiological changes for vital sustained metabolic health care medication outcomes-based model in obesity treatment and offers value-based pricing to control GLP-1(glucagon-like peptide-1), one-on-one video doctor visits, and personal coaching, enabling patients to lose their body weight and stay fit and healthy.</t>
  </si>
  <si>
    <t>The company joined SheScales on an undisclosed date. Previously, the company was acquired by Madryn Asset Management, Plus Capital, Mana Ventures, Forerunner Ventures, Threshold Ventures, Founders Fund, Big Loud Capital and What If Ventures through an LBO on October 24, 2023 for an undisclosed amount.</t>
  </si>
  <si>
    <t>Clinics/Outpatient Services, Other Healthcare Technology Systems*, Vertical Market Software</t>
  </si>
  <si>
    <t>Digital Health, HealthTech, SaaS</t>
  </si>
  <si>
    <t>diabetes management, digital healthcare, health coaching, mental healthcare, metabolic health, nutrition, obesity care, sustainable weight loss, tele health services, telemedicine company, weight loss, wellness program</t>
  </si>
  <si>
    <t>Private Equity-Backed</t>
  </si>
  <si>
    <t>Debt Financed, Private Equity, Venture Capital</t>
  </si>
  <si>
    <t>212996-08P</t>
  </si>
  <si>
    <t>Isabelle Kenyon</t>
  </si>
  <si>
    <t>Ms. Isabelle Kenyon is the Founder and served as Chief Executive Officer at Calibrate. Prior to Calibrate, she led the business operations, growth, and strategic partnerships &amp; communications teams at Capsule. In its first two years, Calibrate raised more than $125 million from leading investors, including Founders Fund, Tiger Global, Optum Ventures, Forerunner Ventures, Threshold Ventures, and Redesign Health. Calibrate has subsequently published clinically reviewed results from its Metabolic Reset that exceed clinical trial outcomes. Calibrate was designated as a World Economic Forum Technology Pioneer in 2021. Prior to Calibrate, she led business operations, growth, and strategic partnerships &amp; communications at Capsule, a technology business rebuilding the pharmacy from the inside out. Before Capsule, she worked at beloved consumer brands in London and New York. She began her career as an investment banker in Hong Kong and graduated from the University of Pennsylvania. She was selected for the Forbes 30 Under 30 list in 2015 and named to Goldman Sachs' Builders &amp; Innovators in 2022. She additionally serves as the Advocacy Chair for Success Academy Charter School's Young Professionals Committee</t>
  </si>
  <si>
    <t>University of Pennsylvania, Degree</t>
  </si>
  <si>
    <t>The company raised $5.1 million of seed funding in a deal led by Forerunner Ventures on June 24, 2020. Stephanie Korey and Declaration Partners also participated in the round.</t>
  </si>
  <si>
    <t>Forerunner Ventures</t>
  </si>
  <si>
    <t>Forerunner Partners V(Forerunner Ventures)</t>
  </si>
  <si>
    <t>10024</t>
  </si>
  <si>
    <t>www.joincalibrate.com</t>
  </si>
  <si>
    <t>168175-18T</t>
  </si>
  <si>
    <t>CampfireSocial</t>
  </si>
  <si>
    <t>462560-86</t>
  </si>
  <si>
    <t>Kleinmuntz Associates</t>
  </si>
  <si>
    <t>Kleinmuntz Associates (www.kleinmuntzassociates.com)</t>
  </si>
  <si>
    <t>Developer of a social network and e-commerce software designed to create a meaningful community and marketplace. The company's software creates a modern member, attendee, and vendor partner experience that is monetizable to expand return on investment, enabling businesses to encourage social interactivity through deep relationship-building and generate revenue.</t>
  </si>
  <si>
    <t>The company raised $600,000 of seed funding from Kleinmuntz Associates in March 2021.</t>
  </si>
  <si>
    <t>E-Commerce, FinTech, SaaS</t>
  </si>
  <si>
    <t>association commerce, customized application system, digital marketplace software, e-commerce-based intelligent marketing, events attendees, learning management system, learning management system platform, marketing solutions, social network</t>
  </si>
  <si>
    <t>255943-99P</t>
  </si>
  <si>
    <t>Erica Bishaf</t>
  </si>
  <si>
    <t>+1 (202) 949-2208</t>
  </si>
  <si>
    <t>erica.bishaf@campfiresocial.io</t>
  </si>
  <si>
    <t>Ms. Erica Bishaf is the Founder and serves as Chief Executive Officer at CampfireSocial. Erica is a 20+ year award winning strategy &amp; insights veteran who has worked for consumer packaged goods companies such as Kraft, Nestle, Kimberly-Clark, &amp; MillerCoors. In 2015, she started her own consultancy where she worked with Dude Wipes, Weber Grill, Pharmavite and she worked on strategy projects for associations &amp; event organizers including Freeman, GES, the American Library Association, the Audiovisual and Integrated Experience Association (AVIXA), the Radiological Society of North America (RSNA), the National Retail Federation (NRF), and more.</t>
  </si>
  <si>
    <t>MA (Master of Arts), 2006, Mathematics, University of Illinois, Urbana-Champaign, BS (Bachelor of Science), Psychology</t>
  </si>
  <si>
    <t>www.campfiresocial.io</t>
  </si>
  <si>
    <t>186382-09T</t>
  </si>
  <si>
    <t>Canary (Financial Services)</t>
  </si>
  <si>
    <t>460338-67</t>
  </si>
  <si>
    <t>Capital One Ventures(Jaidev Shergill), Debra Fine(Debra Fine), Financial Health Network, Jens Molbak(Jens Molbak), Marguerite Casey Foundations, Marla Blow(Marla Blow), Propel Capital Network, Restive Ventures(Ryan Falvey), Sorenson Impact Foundation, Susan Ehrlich(Susan Ehrlich)</t>
  </si>
  <si>
    <t>Capital One Ventures (growthventures.capitalone.com), Financial Health Network (finhealthnetwork.org), Propel Capital Network (www.propelcapital.org), Restive Ventures (www.restive.com), Sorenson Impact Foundation (www.sorensonimpactfoundation.org)</t>
  </si>
  <si>
    <t>Operator of an emergency relief fund platform designed to expand the availability of emergency funds in the workplace and beyond. The company's platform offers a social safety net to ensure that in times of financial need, individuals can access emergency funding, enabling organizations to improve the impact and efficiency of established emergency relief funds.</t>
  </si>
  <si>
    <t>The company raised $1.25 million of seed funding in a deal led by Capital One Ventures on January 12, 2023. Other undisclosed investors also participated in the round. Previously, the company joined InsurTech NY as part of its third growth-stage InsurTech accelerator cohort on October 13, 2022.</t>
  </si>
  <si>
    <t>LOHAS &amp; Wellness, TMT</t>
  </si>
  <si>
    <t>emergency fund management, emergency fund provider, emergency fundraiser, financial safety nets, impact funding, safety nets, social security</t>
  </si>
  <si>
    <t>128874-43P</t>
  </si>
  <si>
    <t>Rachel Schneider</t>
  </si>
  <si>
    <t>+1 (917) 596-9653</t>
  </si>
  <si>
    <t>rachel@workwithcanary.com</t>
  </si>
  <si>
    <t>Ms. Rachel Schneider is a Co-Founder and serves as Chief Executive Officer and Board Member at Canary (Financial Software). She served as Senior Advisor at Financial Health Network. She is an expert on financial health and how an innovative financial services marketplace can improve the lives of Americans. Under her leadership, CFSI has produced data-driven research about consumers and providers, including the Compass Principles, which are aspirational standards to inspire providers, policymakers, and others in the industry to create services that build financial health. She is also a co-Principal Investigator on the U.S. Financial Diaries research study, a ground-breaking project that collected highly detailed data about how 235 households save, spend, borrow and plan. Though she began her career as an investment banker at Merrill Lynch &amp; Co., she credits her commitment to the potential for innovative finance to solve major social problems from her days as a VISTA Volunteer (now AmeriCorps). She holds a J.D./M.B.A. from the University of Chicago, and a B.A. from UC Berkeley.</t>
  </si>
  <si>
    <t>University of California, Berkeley, BA (Bachelor of Arts), 1992, History, University of Chicago, JD/MBA (Joint JD/MBA), 1997</t>
  </si>
  <si>
    <t>The company raised $1.5 million of pre-seed funding in a deal led by Capital One Ventures and Restive Ventures on January 11, 2022. Propel Capital Network, Marguerite Casey Foundations, Financial Health Network, Debra Fine, Jens Molbak, Marla Blow, Susan Ehrlich and Sorenson Impact Foundation also participated in the round. The funds will be used to hire new team members to support the product's rapid growth, especially in building out the technical team.</t>
  </si>
  <si>
    <t>Capital One Ventures, Debra Fine, Financial Health Network, Jens Molbak, Marguerite Casey Foundations, Marla Blow, Propel Capital Network, Restive Ventures, Sorenson Impact Foundation, Susan Ehrlich</t>
  </si>
  <si>
    <t>Capital One Ventures(Jaidev Shergill), Restive Ventures(Ryan Falvey)</t>
  </si>
  <si>
    <t>10010-5806</t>
  </si>
  <si>
    <t>www.workwithcanary.com</t>
  </si>
  <si>
    <t>131278-87T</t>
  </si>
  <si>
    <t>Candoo</t>
  </si>
  <si>
    <t>431284-33</t>
  </si>
  <si>
    <t>Vodia Capital(Avi Deutsch)</t>
  </si>
  <si>
    <t>Vodia Capital (www.vodiacapital.com)</t>
  </si>
  <si>
    <t>Provider of remote technical training services designed to help older adults. The company's services provide tech support and training for devices and software applications from phones, iPods and tablets, Alexa, and computers, enabling older adults to stay safe, secure, and engaged.</t>
  </si>
  <si>
    <t>The company joined Healthworx Accelerator as a part of its 1501 Health on May 10, 2023 and received $25,000 in funding in the form of SAFE notes.</t>
  </si>
  <si>
    <t>EdTech, Mobile, SaaS</t>
  </si>
  <si>
    <t>education services, living community, remote tech support, social services, tech support, tech training services</t>
  </si>
  <si>
    <t>221856-40P</t>
  </si>
  <si>
    <t>Elizabeth Hamburg</t>
  </si>
  <si>
    <t>+1 (646) 758-6606</t>
  </si>
  <si>
    <t>liz@candootech.com</t>
  </si>
  <si>
    <t>Ms. Elizabeth Hamburg is the Founder and serves as Chief Executive Officer, President and Board Member at Candoo Tech. She is the Founder Upstart Ventures. She is a high energy, entrepreneurial executive who is passionate about making an impact in the world. She has over 20 years of experience starting up and growing innovative organizations both in the U.S. and international markets</t>
  </si>
  <si>
    <t>Brown University, BA (Bachelor of Arts), Northwestern University (Kellogg), MBA (Master of Business Administration)</t>
  </si>
  <si>
    <t>The company raised $260,001 of seed funding in a deal led by Vodia Capital on February 4, 2020, putting the company's pre-money valuation at $3 million. Other undisclosed investors also participated in the round.</t>
  </si>
  <si>
    <t>Vodia Capital</t>
  </si>
  <si>
    <t>Vodia Ventures Fund II(Vodia Capital)</t>
  </si>
  <si>
    <t>www.candootech.com</t>
  </si>
  <si>
    <t>178506-19T</t>
  </si>
  <si>
    <t>Candor</t>
  </si>
  <si>
    <t>432914-05</t>
  </si>
  <si>
    <t>Arthur Ventures(Patrick Meenan)</t>
  </si>
  <si>
    <t>Arthur Ventures (www.arthurventures.com)</t>
  </si>
  <si>
    <t>Operator of an autonomous mortgage underwriting platform intended to automate mortgage and secondary market underwriting procedures. The company's artificial intelligence-powered platform automates the critical expert thinking and problem-solving required to underwrite a mortgage loan without human assistance or review improves loan quality and reduces repurchase risk, enabling users to scale and match seasonal or market cycle demand with no change in staff.</t>
  </si>
  <si>
    <t>The company raised an estimated $8 million through a combination of Series B1 and Series B2 venture funding in a deal led by Rice Park Capital on February 5, 2024, putting the company's pre-money valuation at $8.2 million. Assurant Ventures, Arthur Ventures and other undisclosed investors also participated in the round. The funds will be used to expand the company's Loan Engineering System's capabilities and enhance the user experience.</t>
  </si>
  <si>
    <t>Business/Productivity Software*, Financial Software</t>
  </si>
  <si>
    <t>Artificial Intelligence &amp; Machine Learning, Big Data, FinTech, Mortgage Tech, SaaS</t>
  </si>
  <si>
    <t>abi custom application, alternative lending, analytics platform, automated underwriting, credit score, fintech, home loan originations, mortgage audit, mortgage automation, mortgage lender software, underwriting, underwriting tools</t>
  </si>
  <si>
    <t>224407-45P</t>
  </si>
  <si>
    <t>Thomas Showalter</t>
  </si>
  <si>
    <t>+1 (855) 520-1400</t>
  </si>
  <si>
    <t>tshowalter@candortechnology.com</t>
  </si>
  <si>
    <t>Mr. Thomas Showalter is a Co-Founder and serves asCo- Chief Executive Officer and Chairman at Candor.</t>
  </si>
  <si>
    <t>Rutgers University, New Brunswick, BA (Bachelor of Arts), 1970, Psychology, Stanford University, MBA (Master of Business Administration), 1982, University of Virginia, MA (Master of Arts), 1972, Experimental Psychology, University of Virginia, MA (Master of Arts), 1972, Statistics</t>
  </si>
  <si>
    <t>The company raised $13.06 million through a combination of Series A and Series A1 venture funding in a deal led by Arthur Ventures on August 18, 2021, putting the company's pre-money valuation at $20 million. Other undisclosed investors also participated in the round. The funds will be used to enhance the company's patent-pending loan engineering system, accelerate growth, and expand operations and its business reach.</t>
  </si>
  <si>
    <t>Arthur Ventures</t>
  </si>
  <si>
    <t>Morris Manning &amp; Martin (Legal Advisor to Company)</t>
  </si>
  <si>
    <t>30009</t>
  </si>
  <si>
    <t>www.candortechnology.com</t>
  </si>
  <si>
    <t>194184-55T</t>
  </si>
  <si>
    <t>Candor (Business/Productivity Software)</t>
  </si>
  <si>
    <t>482539-15</t>
  </si>
  <si>
    <t>Afore Capital, Alek Koenig(Alek Koenig), Andrew Farah(Andrew Farah), Banana Capital, Behind Genius Ventures, Contrary (San Francisco)(Eric Tarczynski), Ellen DaSilva(Ellen DaSilva), Global Founders Capital, Joseph Quan(Joseph Quan), Riverside Ventures, Ryan Delk, SSC Venture Partners, Village Global, Work Life Ventures</t>
  </si>
  <si>
    <t>Afore Capital (www.afore.vc), Banana Capital (www.bananacapital.vc), Behind Genius Ventures (www.behindgeniusventures.com), Contrary (San Francisco) (www.contrary.com), Global Founders Capital (www.globalfounderscapital.com), Riverside Ventures (www.riversideventures.com), SSC Venture Partners (sscventurepartners.com), Village Global (www.villageglobal.vc), Work Life Ventures (www.worklife.vc)</t>
  </si>
  <si>
    <t>Developer of a professional platform intended to help teams work better together with culture-building tools. The company provides a platform for teams to create user manuals, do shoutouts, check-ins, peer-to-peer feedback, and run 1-on-1 meetings, collect and verify reviews on startup employees, about the strengths and growth areas of future teammates and managers, and provide thoughtful and actionable feedback to individuals, enabling employees to learn and improve on how they show up for their teammates.</t>
  </si>
  <si>
    <t>The company raised $4.87 million of Seed-1, Seed-2, and Seed-3 funding from Contrary, Afore Capital and Work Life Ventures on May 17, 2022, putting the company's pre-money valuation at $20.13 million. Village Global and 10 other investors also participated in the round. The funds will be used to build a new kind of professional network that is focused on how people work, not just what they've worked on.</t>
  </si>
  <si>
    <t>feedback system, poll, team building, team collaboration software, team management software, team performance</t>
  </si>
  <si>
    <t>154408-87P</t>
  </si>
  <si>
    <t>Kelsey Bishop</t>
  </si>
  <si>
    <t>Ms. Kelsey Bishop is the Founder and serves as Chief Executive Officer at Candor (Social/Platform Software).</t>
  </si>
  <si>
    <t>Boston College, Degree, Finance and Entrepreneurship</t>
  </si>
  <si>
    <t>The company raised $4.87 million of Seed-1, Seed-2, and Seed-3 funding from Contrary, Afore Capital and Work Life Ventures on May 17, 2022, putting the company's pre-money valuation at $20.13 million. Village Global, Global Founders Capital, Banana Capital, Riverside Ventures, Behind Genius Ventures, SSC Venture Partners, Ryan Delk, Andrew Farah, Joseph Quan, Ellen DaSilva and Alek Koenig also participated in the round. The funds will be used to build a new kind of professional network that is focused on how people work, not just what they've worked on.</t>
  </si>
  <si>
    <t>Afore Capital, Alek Koenig, Andrew Farah, Banana Capital, Behind Genius Ventures, Contrary (San Francisco), Ellen DaSilva, Global Founders Capital, Joseph Quan, Riverside Ventures, Ryan Delk, SSC Venture Partners, Village Global, Work Life Ventures</t>
  </si>
  <si>
    <t>Behind Genius Fund(Behind Genius Ventures)</t>
  </si>
  <si>
    <t>Cooley (Legal Advisor to Contrary (San Francisco))</t>
  </si>
  <si>
    <t>www.joincandor.com</t>
  </si>
  <si>
    <t>189170-02T</t>
  </si>
  <si>
    <t>Canela Media</t>
  </si>
  <si>
    <t>343685-08</t>
  </si>
  <si>
    <t>Acrew Capital(Richard Wolpert), Alumni Ventures(Gregory Baker), Angeles Investors(Rodrigo Garcia), BBG Ventures (North America)(Susan Lyne), BMO Bank, Cap Table Coalition, Cerity Partners Ventures, Commune Angels, Link Ventures(Lisa Dolan), Mighty Capital, Portfolia, Powerhouse Capital (California), Publicis Media, Reinventure Capital, Samsung NEXT Ventures, TEGNA Ventures</t>
  </si>
  <si>
    <t>Acrew Capital (www.acrewcapital.com), Alumni Ventures (www.av.vc), Angeles Investors (www.angelesinvestors.com), BBG Ventures (North America) (www.bbgventures.com), Cap Table Coalition (www.captablecoalition.com), Cerity Partners Ventures (www.touchdownvc.com), Commune Angels (www.communeangels.com), Link Ventures (www.linkventures.com), Mighty Capital (www.mighty.capital), Portfolia (www.portfolia.co), Powerhouse Capital (California) (www.powerhouse.vc), Reinventure Capital (www.reinventurecapital.com), Samsung NEXT Ventures (www.samsungnext.com)</t>
  </si>
  <si>
    <t>Provider of digital media services intended to represent the ad inventory of Spanish content in the USA. The company's services include a complete ecosystem to connect with multicultural audiences leading with its free streaming service, on-demand Latino-focused movies, and TV entertainment through multiple platforms, enabling customers to get in-depth knowledge and understanding of how to establish meaningful and culturally relevant connections with the new mainstream.</t>
  </si>
  <si>
    <t>TEGNA Ventures sold a stake in the company to an undisclosed buyer.</t>
  </si>
  <si>
    <t>Movies, Music and Entertainment</t>
  </si>
  <si>
    <t>Entertainment Software, Movies, Music and Entertainment*</t>
  </si>
  <si>
    <t>TMT</t>
  </si>
  <si>
    <t>digital media jobs, influencer marketing, influencer network, media marketing, online marketing, streaming on demand, streaming service</t>
  </si>
  <si>
    <t>218216-98P</t>
  </si>
  <si>
    <t>Isabel Rafferty Zavala</t>
  </si>
  <si>
    <t>+1 (619) 356-0270</t>
  </si>
  <si>
    <t>isabel@canelamedia.com</t>
  </si>
  <si>
    <t>Ms. Isabel Rafferty Zavala is the Founder and serves as Chief Executive Officer &amp; Board Member at Canela Media.</t>
  </si>
  <si>
    <t>The company raised $37 million of through a combination of debt and equity on February 24, 2022, putting the company's pre-money valuation at $164 million. $25 million of Series A was led by Acrew Capital, Angeles Investors with participation from TEGNA Ventures, Publicis Media, Touchdown Ventures, BMO Harris Bank, Powerhouse Capital, Samsung NEXT Ventures, BBG Ventures, Reinventure Capital, Mighty Capital, Portfolia, Cap Table Coalition, Link Ventures, Alumni Ventures, Commune Angels and other undisclosed investors. $11.8 million was raised in the form of debt. The funds will be used to accelerate product development and produce new high-quality original programming for its flagship product Canela.TV and Canela Music, and to enable expansion further into Latin America.</t>
  </si>
  <si>
    <t>Acrew Capital, Alumni Ventures, Angeles Investors, BBG Ventures (North America), BMO Bank, Cap Table Coalition, Cerity Partners Ventures, Commune Angels, Link Ventures, Mighty Capital, Portfolia, Powerhouse Capital (California), Publicis Media, Reinventure Capital, Samsung NEXT Ventures, TEGNA Ventures</t>
  </si>
  <si>
    <t>Acrew Capital(Richard Wolpert), Angeles Investors(Rodrigo Garcia)</t>
  </si>
  <si>
    <t>Acrew Diversify Capital Fund(Acrew Capital), Bascom Ventures Fund 3(Alumni Ventures), BBG Ventures III(BBG Ventures (North America)), Link Ventures 2(Link Ventures), Portfolia Rising America Fund(Portfolia), Reinventure Capital Fund I(Reinventure Capital)</t>
  </si>
  <si>
    <t>Goodwin Procter (Legal Advisor to Acrew Capital, Anthony McCusker JD), Lowenstein Sandler (Legal Advisor to Company, Edward Zimmerman JD)</t>
  </si>
  <si>
    <t>Lowenstein Sandler (Legal Advisor to Company, Edward Zimmerman JD)</t>
  </si>
  <si>
    <t>Goodwin Procter (Legal Advisor to Acrew Capital, Anthony McCusker JD)</t>
  </si>
  <si>
    <t>www.canelamedia.com</t>
  </si>
  <si>
    <t>Other - $11.80M</t>
  </si>
  <si>
    <t>156318-40T</t>
  </si>
  <si>
    <t>Canix</t>
  </si>
  <si>
    <t>279545-05</t>
  </si>
  <si>
    <t>AltaIR Capital(Igor Ryabenkiy), Andrew Freedman(Andrew Freedman), Converge Venture Partners, Emles Venture Partners, Floret Ventures, MAVA Ventures, Nano LLC, Yleana Venture Partners</t>
  </si>
  <si>
    <t>AltaIR Capital (www.altair.vc), Converge Venture Partners (converge.vc), Emles Venture Partners (emlesventure.com), Floret Ventures (www.floretventures.com), MAVA Ventures (www.mavavc.com)</t>
  </si>
  <si>
    <t>Developer of a cannabis sale and ERP system designed to eliminate frustrating busywork and streamline operations. The company's software offers barcode scanning, on-site integration and training, a customizable interface, and round-the-clock phone support, enabling cannabis companies to optimally power operations and automate compliance.</t>
  </si>
  <si>
    <t>Yleana Venture Partners sold a stake in the company to an undisclosed buyer in July 2022. Previously, the company raised $10.00 million of Series A venture funding from Cathexis Ventures, Lago Innovation Fund and Gaingels on June 7, 2022, putting the company's pre-money valuation at $50 million. AG Collective Capital and other investors also participated in the round. The funds will be used to expand throughout the United States and Canada, allowing it to scale its cultivation forecasting and production planning ERP platform to meet market-specific regulations.</t>
  </si>
  <si>
    <t>Advanced Manufacturing, Cannabis</t>
  </si>
  <si>
    <t>barcode scanning systems, cannabis platform, cannabis software, cannabis technology, compliance software, compliance software service, erp software system, industrial iot</t>
  </si>
  <si>
    <t>209581-03P</t>
  </si>
  <si>
    <t>Stacey Hronowski</t>
  </si>
  <si>
    <t>+1 (415) 894-9884</t>
  </si>
  <si>
    <t>stacey@canix.com</t>
  </si>
  <si>
    <t>Ms. Stacey Hronowski is a Co-Founder and serves as Chief Executive Officer at Canix.</t>
  </si>
  <si>
    <t>Series A2</t>
  </si>
  <si>
    <t>The company raised $1.5 million through the combination of Series A2 and Series A4 venture funding from MAVA Ventures, Floret Ventures and Yleana Venture Partners on May 1, 2020, putting the company's pre-money valuation at $10 million. AltaIR Capital, Nano LLC, Converge Venture Partners, Emles Venture Partners, Andrew Freedman, and other undisclosed investors also participated in the round.</t>
  </si>
  <si>
    <t>AltaIR Capital, Andrew Freedman, Converge Venture Partners, Emles Venture Partners, Floret Ventures, MAVA Ventures, Nano LLC, Yleana Venture Partners</t>
  </si>
  <si>
    <t>AltaIR Growth Venture(AltaIR Capital), Converge Venture Partners Fund I(Converge Venture Partners), Floret Ventures Fund(Floret Ventures)</t>
  </si>
  <si>
    <t>www.canix.com</t>
  </si>
  <si>
    <t>165437-65T</t>
  </si>
  <si>
    <t>Canoa</t>
  </si>
  <si>
    <t>437533-84</t>
  </si>
  <si>
    <t>Building Ventures(Travis Connors), Stackpoint, TMV(Trail Mix Ventures)</t>
  </si>
  <si>
    <t>Building Ventures (www.buildingventures.com), Stackpoint (www.stackpoint.com), TMV(Trail Mix Ventures) (tmv.vc)</t>
  </si>
  <si>
    <t>Developer of a digital design platform intended for designers to create, share, present, comment, approve, and hand off design work all in one platform. The company's platform helps clients envision what space can become, enabling brands to roll out space at scale and reinvent the way businesses shop for their low-carbon offices, enabling companies to reduce costs and environmental impact and also offer sustainable spaces as a team from start to finish.</t>
  </si>
  <si>
    <t>The company raised $8.7 million of seed funding in a deal led by Building Ventures, Eclipse Ventures and Stackpoint on November 1, 2021, putting the company's pre-money valuation at $26.3 million. TMV and Evolution VC also participated in the round. The funds will be used to scale the team to meet burgeoning demand.</t>
  </si>
  <si>
    <t>LOHAS &amp; Wellness, Real Estate Technology, SaaS, TMT</t>
  </si>
  <si>
    <t>architectural furniture, architectural interior, commercial real estate, crm, customer relationship management, digital commerce, interior designer company, interior designer platform, interior designer service</t>
  </si>
  <si>
    <t>109439-29P</t>
  </si>
  <si>
    <t>Federico Negro</t>
  </si>
  <si>
    <t>federico@canoa.supply</t>
  </si>
  <si>
    <t>Mr. Federico Negro is a Founder at Canoa. He served as Chief Executive Officer at Canoa. He served as Vice President of Physical Environments at WeWork. Previously, he co-founded Case and WHObyYOU and also served as its Chief Operating Officer. He received a Bachelor of Science in Architectural Studies from the University of Illinois at Urbana-Champaign in 2002 and a Master's in Architecture from Parsons School of Design in 2004.</t>
  </si>
  <si>
    <t>Parsons School of Design, Master's, 2004, Architecture, University of Illinois, Urbana-Champaign, BS (Bachelor of Science), 2002, Architecture</t>
  </si>
  <si>
    <t>The company raised $1.5 million of pre-seed funding in a deal led by TMV(Trail Mix Ventures) on December 29, 2020, putting the company's pre-money valuation at $5 million. Building Ventures and Gemini Ventures also participated in the round. The funds will be used to develop and deliver a scaling platform for a better built world.</t>
  </si>
  <si>
    <t>Building Ventures, Stackpoint, TMV(Trail Mix Ventures)</t>
  </si>
  <si>
    <t>TMV(Trail Mix Ventures)</t>
  </si>
  <si>
    <t>Building Ventures I(Building Ventures)</t>
  </si>
  <si>
    <t>11216</t>
  </si>
  <si>
    <t>www.canoa.supply</t>
  </si>
  <si>
    <t>174887-56T</t>
  </si>
  <si>
    <t>Canomiks</t>
  </si>
  <si>
    <t>277684-03</t>
  </si>
  <si>
    <t>Groove Capital, Plug and Play Tech Center</t>
  </si>
  <si>
    <t>Groove Capital (www.groovecap.com), Plug and Play Tech Center (www.plugandplaytechcenter.com)</t>
  </si>
  <si>
    <t>Operator of genomics and artificial intelligence-based technology platform intended to test and certify the biological efficacy and safety of ingredients and formulations. The company's technology uses omics science, data analytics, machine learning, and bioinformatics to validate, test, and certify the biological efficacy and safety of ingredients and formulations for functional food, beverage, and dietary supplement systems, enabling clients to develop quality products and reduce the time and cost of development.</t>
  </si>
  <si>
    <t>The company received $998,064 of grant funding from the National Science Foundation on June 19, 2024. The funds will be used to develop its technology platform to benchmark and measure the biological effect of botanical ingredients and their impact on human health.</t>
  </si>
  <si>
    <t>Biotechnology, Business/Productivity Software*, Other Commercial Services</t>
  </si>
  <si>
    <t>Artificial Intelligence &amp; Machine Learning, FoodTech, Life Sciences, SaaS</t>
  </si>
  <si>
    <t>biotechnology research, food ingredients research, food safety data, formulation technology, genomics platform, genomics technologies, genomics testing, genomics testing optimization</t>
  </si>
  <si>
    <t>209305-72P</t>
  </si>
  <si>
    <t>Leena Pradhan-Nabzdyk</t>
  </si>
  <si>
    <t>+1 (888) 664-5701</t>
  </si>
  <si>
    <t>leena@canomiks.com</t>
  </si>
  <si>
    <t>Dr. Leena Pradhan-Nabzdyk is a Co-Founder and serves as Chief Executive Officer at Canomiks. She is a Assistant Professor of Surgery at Harvard Medical with extensive experience in cardiovascular health, diabetes and allied areas. Expert in functional foods and is currently the CEO of Canomiks. Offers evidence based insights into all things supplement related. PhD Pharmacology.</t>
  </si>
  <si>
    <t>MIT (Sloan), MBA (Master of Business Administration), Ph.D. (Doctor of Philosophy)</t>
  </si>
  <si>
    <t>The company raised $75,000 of seed funding from Groove Capital and Plug and Play Tech Center on April 21, 2021.</t>
  </si>
  <si>
    <t>Groove Capital Fund I(Groove Capital)</t>
  </si>
  <si>
    <t>Rochester, MN</t>
  </si>
  <si>
    <t>Minnesota</t>
  </si>
  <si>
    <t>55905</t>
  </si>
  <si>
    <t>www.canomiks.com</t>
  </si>
  <si>
    <t>191456-47T</t>
  </si>
  <si>
    <t>Canopie</t>
  </si>
  <si>
    <t>494215-66</t>
  </si>
  <si>
    <t>Aeroflow(Scott Sonnone), Beta Boom(Sergio Paluch), Charity Entreprenuership, Opulentia, Point32Health Foundation, StartUp Health, Virginia Venture Partners</t>
  </si>
  <si>
    <t>Aeroflow (www.aeroflowhealth.com), Beta Boom (betaboom.com), Opulentia (www.opulentia.vc), StartUp Health (www.startuphealth.com)</t>
  </si>
  <si>
    <t>Developer of a mental health care platform designed to prevent and address symptoms of maternal depression and anxiety. The company's platform has adapted cognitive behavioral therapy and compassion-focused treatment from programs supported by randomized control trials, enabling pregnant women and new mothers to prevent and treat common mental health challenges.</t>
  </si>
  <si>
    <t>The company raised $3.7 million of Series 1 seed funding in a deal led by Aeroflow and Beta Boom on September 19, 2024. Luminary Impact Fund, Symphonic Capital, Techstars, and Sorenson Impact Foundation also participated in the round. The funds will be used to expand the company's personalized, virtual mental health services, which are covered by insurance, to support new mothers across the United States.</t>
  </si>
  <si>
    <t>Digital Health, FemTech, HealthTech, Mobile, SaaS</t>
  </si>
  <si>
    <t>anxiety management, cognitive behavioral therapy, maternal care, maternal mental health, mental healthcare, pregnancy support</t>
  </si>
  <si>
    <t>296874-55P</t>
  </si>
  <si>
    <t>Anne Wanlund</t>
  </si>
  <si>
    <t>+1 (650) 209-0126</t>
  </si>
  <si>
    <t>awanlund@canopie.app</t>
  </si>
  <si>
    <t>Ms. Anne Wanlund is a Co-Founder and serves as Chief Executive Officer &amp; Board Member at Canopie.</t>
  </si>
  <si>
    <t>The company raised $1.25 million of seed funding in the form of convertible debt from Point32Health Foundation, Aeroflow Healthcare and StartUp Health on July 6, 2022, putting the company's pre-money valuation at $5 million. Beta Boom, Virginia Venture Partners, Opulentia and Charity Entreprenuership also participated in the round., Subsequently, the deal got converted into equity.</t>
  </si>
  <si>
    <t>Aeroflow, Beta Boom, Charity Entreprenuership, Opulentia, Point32Health Foundation, StartUp Health, Virginia Venture Partners</t>
  </si>
  <si>
    <t>Beta Boom Fund II(Beta Boom)</t>
  </si>
  <si>
    <t>Falls Church, VA</t>
  </si>
  <si>
    <t>Falls Church</t>
  </si>
  <si>
    <t>22046</t>
  </si>
  <si>
    <t>www.canopie.health</t>
  </si>
  <si>
    <t>Other - $0.14M</t>
  </si>
  <si>
    <t>244223-29T</t>
  </si>
  <si>
    <t>Canopy (Social/Platform Software)</t>
  </si>
  <si>
    <t>539107-93</t>
  </si>
  <si>
    <t>1985 Capital, Hustle Fund, Techstars</t>
  </si>
  <si>
    <t>1985 Capital (www.1985capital.com), Hustle Fund (www.hustlefund.vc), Techstars (www.techstars.com)</t>
  </si>
  <si>
    <t>Developer of social platform intended for content creators to connect, share advice, and learn from each other. The company's platform offers a subscription model that allows access to communicate openly about the behind-the-scenes process of content creation, rewarded with points for giving advice, brands can connect with creators for collaborations and sponsorships, enabling brands to connect with creators and content creators to learn from each other, troubleshoot problems, and get support from their peers.</t>
  </si>
  <si>
    <t>The company raised $240,000 of venture funding from Hustle Fund, 1985 Capital and Techstars on October 17, 2023. Previously, the company joined Techstars as a part of its Seattle Accelerator on September 28, 2023 and received $120,000 in funding.</t>
  </si>
  <si>
    <t>Information Services (B2C), Social/Platform Software*</t>
  </si>
  <si>
    <t>communication content, content creator, creators community, creators market, media creation, social discovery</t>
  </si>
  <si>
    <t>371821-33P</t>
  </si>
  <si>
    <t>Ayomi Samaraweera</t>
  </si>
  <si>
    <t>sayomi@underthecanopy.io</t>
  </si>
  <si>
    <t>Ms. Ayomi Ayomi is the Founder and serves as Chief Executive Officer at Canopy.</t>
  </si>
  <si>
    <t>The company raised $240,000 of venture funding from Hustle Fund, 1985 Capital and Techstars on October 17, 2023.</t>
  </si>
  <si>
    <t>1985 Capital, Hustle Fund</t>
  </si>
  <si>
    <t>www.underthecanopy.io</t>
  </si>
  <si>
    <t>266056-12T</t>
  </si>
  <si>
    <t>CaptureNoire</t>
  </si>
  <si>
    <t>608086-90</t>
  </si>
  <si>
    <t>Elevate Ventures</t>
  </si>
  <si>
    <t>Elevate Ventures (www.elevateventures.com)</t>
  </si>
  <si>
    <t>Operator of a photography platform intended for image technology. The company's platform makes melanin-friendly photography tools, enabling customers to capture their true reflection and empower their creativity.</t>
  </si>
  <si>
    <t>The company joined BeNimble Foundation on an undisclosed date and received $5,000 in the form of grant funding.</t>
  </si>
  <si>
    <t>application software, mobile application, mobile photography, photography platform, photography tool, skin tone</t>
  </si>
  <si>
    <t>403683-58P</t>
  </si>
  <si>
    <t>Martina Jackson</t>
  </si>
  <si>
    <t>Ms. Martina Jackson is the Founder &amp; serves as Chief Executive Officer at CaptureNoire.</t>
  </si>
  <si>
    <t>Degree, 2005, Indiana University, Bloomington, BA (Bachelor of Arts), 2009, Biology</t>
  </si>
  <si>
    <t>The company raised $80,000 of seed funding from Elevate on June 28, 2024.</t>
  </si>
  <si>
    <t>www.capturenoire.com</t>
  </si>
  <si>
    <t>241020-28T</t>
  </si>
  <si>
    <t>CarbonBright</t>
  </si>
  <si>
    <t>530465-50</t>
  </si>
  <si>
    <t>Cascade Seed Fund, FortyTwo.VC</t>
  </si>
  <si>
    <t>Cascade Seed Fund (www.cascadeseedfund.com), FortyTwo.VC (www.fortytwo.vc)</t>
  </si>
  <si>
    <t>Developer of product impact intelligence software designed to automatically and accurately measure a product's impact. The company's platform measures products' impact through the supply chain, making it faster and easier to identify emissions hotspots and transition to more sustainable products and ingredients, enabling businesses to measure, report, and reduce their environmental impact.</t>
  </si>
  <si>
    <t>The company raised $600,000 of pre-seed funding from Cascade Seed Fund and FortyTwo.VC on August 31, 2023, putting the company's pre-money valuation at $4.4 million.</t>
  </si>
  <si>
    <t>CleanTech, SaaS</t>
  </si>
  <si>
    <t>ai, carbon emissions management, environmental impact, impact intelligence platform, product lifecycle, supply chain, sustainable products</t>
  </si>
  <si>
    <t>354477-52P</t>
  </si>
  <si>
    <t>Francesca Wallbank</t>
  </si>
  <si>
    <t>Ms. Francesca Wallbank co-founded and served as Chief Executive Officer &amp; Board Member at CarbonBright.</t>
  </si>
  <si>
    <t>Loughborough University, Degree, 2016, Mathematics</t>
  </si>
  <si>
    <t>Cascade Seed Fund II(Cascade Seed Fund), FortyTwo Fund-1(FortyTwo.VC)</t>
  </si>
  <si>
    <t>www.carbonbright.co</t>
  </si>
  <si>
    <t>170455-96T</t>
  </si>
  <si>
    <t>Casa Blanca Real Estate</t>
  </si>
  <si>
    <t>464446-36</t>
  </si>
  <si>
    <t>Sam Ben-Avraham(Sam Ben-Avraham)</t>
  </si>
  <si>
    <t>Developer of a real estate application intended for matching home buyers and renters. The company's application offers personalized match-making machine learning technology powered by a simple swipe left or right and guides through the process, schedules showings, and sends listings to agents and chat, enabling users to find their dream home based on preferences and lifestyle priorities.</t>
  </si>
  <si>
    <t>The company raised $2.6 million of seed funding in a deal led by Samuel Ben-Avraham on April 15, 2021. Other undisclosed investors also participated in the round. The funding will be used to continue expanding into new markets, nationally and globally as well as enhancing the company's technology and scaling.</t>
  </si>
  <si>
    <t>Real Estate Services (B2C)</t>
  </si>
  <si>
    <t>Application Software, Information Services (B2C), Real Estate Services (B2C)*</t>
  </si>
  <si>
    <t>Artificial Intelligence &amp; Machine Learning, Mobile, Real Estate Technology</t>
  </si>
  <si>
    <t>home listing platform, home purchasing assistance, matchmaking technology, real estate, real estate marketplace, real estate platform</t>
  </si>
  <si>
    <t>259813-63P</t>
  </si>
  <si>
    <t>Hannah Bomze</t>
  </si>
  <si>
    <t>+1 (917) 371-3466</t>
  </si>
  <si>
    <t>hannah@casa-blanca.com</t>
  </si>
  <si>
    <t>Ms. Hannah Bomze is a Co-Founder of Casa Blanca (Application Software) and also serves as its Chief Executive Officer.</t>
  </si>
  <si>
    <t>New York University, Degree</t>
  </si>
  <si>
    <t>Sam Ben-Avraham</t>
  </si>
  <si>
    <t>www.casa-blanca.com</t>
  </si>
  <si>
    <t>213741-73T</t>
  </si>
  <si>
    <t>Casap (Financial Services)</t>
  </si>
  <si>
    <t>518957-74</t>
  </si>
  <si>
    <t>Alloy Labs, Commerce Ventures, Curql Collective, gener8tor, Lightspeed Venture Partners(Aaron Frank), Primary Venture Partners</t>
  </si>
  <si>
    <t>Alloy Labs (www.alloylabs.com), Commerce Ventures (commerce.vc), gener8tor (www.gener8tor.com), Lightspeed Venture Partners (www.lsvp.com), Primary Venture Partners (www.primary.vc)</t>
  </si>
  <si>
    <t>Developer of a case management tool platform designed to streamline and automate back office operations for fintech and banks. The company's platform provides technology infrastructure and offers industry-leading insights into its operations and compliance programs, enabling businesses to have financial and operating leverage.</t>
  </si>
  <si>
    <t>The company raised $8.5 million of venture funding in a deal led by Lightspeed Venture Partners on October 28, 2024. Primary Venture Partners, Curql Collective, Commerce Ventures, Alloy Labs and gener8tor also participated in the round. The funds will be used to continue to scale its AI decisioning, helping financial institutions reduce operational costs, curb fraud-related losses, and transform the consumer experience.</t>
  </si>
  <si>
    <t>Financial Software, Media and Information Services (B2B), Other Financial Services*</t>
  </si>
  <si>
    <t>digital payment, financial platform service, operating leverage, operations firm, technology infrastructure, technology infrastructure company</t>
  </si>
  <si>
    <t>332893-09P</t>
  </si>
  <si>
    <t>Shanthi Shanmugam</t>
  </si>
  <si>
    <t>shanthi@casaphq.com</t>
  </si>
  <si>
    <t>Ms. Shanthi is a Co-Founder and serves as Chief Executive Officer at Casap.</t>
  </si>
  <si>
    <t>University of California, Berkeley, Degree</t>
  </si>
  <si>
    <t>Alloy Labs, Commerce Ventures, Curql Collective, Lightspeed Venture Partners, Primary Venture Partners</t>
  </si>
  <si>
    <t>gener8tor</t>
  </si>
  <si>
    <t>Lightspeed Venture Partners(Aaron Frank)</t>
  </si>
  <si>
    <t>PVP Fund III(Primary Venture Partners)</t>
  </si>
  <si>
    <t>10018-7953</t>
  </si>
  <si>
    <t>www.casaphq.com</t>
  </si>
  <si>
    <t>220148-20T</t>
  </si>
  <si>
    <t>Cascade (Human Capital Services)</t>
  </si>
  <si>
    <t>517724-47</t>
  </si>
  <si>
    <t>AlleyCorp, SBXi</t>
  </si>
  <si>
    <t>AlleyCorp (www.alleycorp.com), SBXi (www.sbxi.com)</t>
  </si>
  <si>
    <t>Developer of human resources and benefits intelligent platform designed for health price transparency. The company's platform engages in offering artificial intelligence-based personalized healthcare plans for employees, provides advanced health equity for employees by making care more affordable and accessible, and accurate data on pricing, coverage, and quality for any plan, enabling healthcare firms to choose the right healthcare plan for their organization.</t>
  </si>
  <si>
    <t>The company raised $3.75 million of Seed funding in a deal led by Gradient Ventures on October 24, 2024. Myriad Venture Partners and Success Venture Partners also participated in the round. The funds will be used to continue to build out customer-requested features and expand the company's platform to support increased demand driven by early customer successes.</t>
  </si>
  <si>
    <t>Business/Productivity Software, Enterprise Systems (Healthcare), Human Capital Services*</t>
  </si>
  <si>
    <t>Artificial Intelligence &amp; Machine Learning, HealthTech, HR Tech</t>
  </si>
  <si>
    <t>ai assistant, ai health assistant, benefits engagement, employee assistance, enterprise ai system, healthcare plan services, healthcare pricing, intelligence platform, personalized healthcare</t>
  </si>
  <si>
    <t>330263-92P</t>
  </si>
  <si>
    <t>Ana-Maria Constantin</t>
  </si>
  <si>
    <t>aconstantin@gocascade.ai</t>
  </si>
  <si>
    <t>Ms. Ana-Maria is a Co-Founder &amp; serves as Chief Executive Officer at Cascade Health.</t>
  </si>
  <si>
    <t>The company raised $1.7 million of venture funding in the form of equity and SAFE notes in a deal led by AlleyCorp on May 15, 2023. SBXi and other undisclosed investors also participated in the round.</t>
  </si>
  <si>
    <t>AlleyCorp</t>
  </si>
  <si>
    <t>Pillsbury Winthrop Shaw Pittman (Legal Advisor to AlleyCorp)</t>
  </si>
  <si>
    <t>98004</t>
  </si>
  <si>
    <t>www.gocascade.ai</t>
  </si>
  <si>
    <t>213873-49T</t>
  </si>
  <si>
    <t>CaseCTRL</t>
  </si>
  <si>
    <t>460210-78</t>
  </si>
  <si>
    <t>HearstLab(Eve Burton), Houston Angel Network, Techstars</t>
  </si>
  <si>
    <t>HearstLab (www.hearstlab.com), Houston Angel Network (www.houstonangelnetwork.org), Techstars (www.techstars.com)</t>
  </si>
  <si>
    <t>Developer of surgical management platform intended to coordinate and communicate surgical cases between staff and individual surgeons. The company offers an artificial intelligence-based platform that offers predictive analytics to automate surgery scheduling workflows, enabling hospitals and clinics to enhance efficiency and overall patient care.</t>
  </si>
  <si>
    <t>The company received $100,000 of grant funding from Wavemaker Three-Sixty Health on November 6, 2022.</t>
  </si>
  <si>
    <t>Enterprise Systems (Healthcare)</t>
  </si>
  <si>
    <t>Application Software, Automation/Workflow Software, Business/Productivity Software, Enterprise Systems (Healthcare)*</t>
  </si>
  <si>
    <t>Artificial Intelligence &amp; Machine Learning, Digital Health, SaaS</t>
  </si>
  <si>
    <t>artificial intelligence, digital health, healthcare, healthcare exchange platform, saas, surgery coordination application, surgery management, surgery planning, surgery planning software, surgical coordination, surgical management platform</t>
  </si>
  <si>
    <t>253746-55P</t>
  </si>
  <si>
    <t>Pamela Singh</t>
  </si>
  <si>
    <t>+1 (703) 624-8668</t>
  </si>
  <si>
    <t>pamela.singh@casectrl.com</t>
  </si>
  <si>
    <t>Ms. Pamela Singh is a Co-Founder and serves as Chief Executive Officer at CaseCTRL. As a veteran systems engineer with a background in operations research, she is passionate about the science of efficiency. After experiencing the various pains of surgery first hand (or foot, as the case was) she saw a need for optimal case management and more empowered players in the surgical chain of command.</t>
  </si>
  <si>
    <t>The company raised $500,000 of venture funding from Techstars, HearstLab and Houston Angel Network on February 10, 2022. The funds will be used for augmenting surgery scheduling capabilities.</t>
  </si>
  <si>
    <t>HearstLab, Houston Angel Network</t>
  </si>
  <si>
    <t>Sugar Land, TX</t>
  </si>
  <si>
    <t>Sugar Land</t>
  </si>
  <si>
    <t>77478</t>
  </si>
  <si>
    <t>www.casectrl.com</t>
  </si>
  <si>
    <t>187085-71T</t>
  </si>
  <si>
    <t>CaseNetwork</t>
  </si>
  <si>
    <t>490698-37</t>
  </si>
  <si>
    <t>Martinson Ventures</t>
  </si>
  <si>
    <t>Martinson Ventures (www.martinsonventures.com)</t>
  </si>
  <si>
    <t>Provider of digital healthcare training intended to serve healthcare professionals. The company's platform provides innovative healthcare education on technology platforms, enabling healthcare professionals to become capable, competent, and resilient in an ever-changing healthcare environment.</t>
  </si>
  <si>
    <t>The company raised $2.85 million of venture funding from Martinson Ventures on January 18, 2022.</t>
  </si>
  <si>
    <t>Education and Training Services (B2B)*, Educational Software</t>
  </si>
  <si>
    <t>EdTech, LOHAS &amp; Wellness</t>
  </si>
  <si>
    <t>clinical care, healthcare application, healthcare education, healthcare knowledge, healthcare training, healthcare training program, quality education, technology platform</t>
  </si>
  <si>
    <t>320125-24P</t>
  </si>
  <si>
    <t>Kami Jacobsen</t>
  </si>
  <si>
    <t>Ms. Kami Jacobsen served as Chief Executive Officer &amp; Vice President of Sales and Marketing at CaseNetwork. She is an experienced program leader with broad business experience encompassing sales, marketing, and operations. Her career has spanned large Fortune 500 companies and early-stage start-ups in the medical device arena where she has directed and managed teams to successful outcomes. Her most recent emphasis has been in commercializing products and managing expansion initiatives to increase sales, specifically for companies focused on the early detection and treatment of breast cancer.She spent the past 10 years in a variety of roles calling on radiologists, radiation oncologists and breast surgeons in hospitals and freestanding clinics. Her expertise also includes marketing, launching new products, and creating case studies. In addition, she has managed 2 clinical patient registries, supporting physicians in publishing scientific abstracts and articles.She received her Master in Business Administration from Pepperdine University in California and graduated with a BA from Brigham Young University.</t>
  </si>
  <si>
    <t>Brigham Young University, Provo, BA (Bachelor of Arts), Pepperdine University, Master's, Business Administration</t>
  </si>
  <si>
    <t>19073-1405</t>
  </si>
  <si>
    <t>www.casenetwork.com</t>
  </si>
  <si>
    <t>129558-70T</t>
  </si>
  <si>
    <t>Casted</t>
  </si>
  <si>
    <t>399261-88</t>
  </si>
  <si>
    <t>Elevate Ventures(Ting Gootee), High Alpha(Scott Dorsey), Tappan Hill Ventures</t>
  </si>
  <si>
    <t>Elevate Ventures (www.elevateventures.com), High Alpha (www.highalpha.com), Tappan Hill Ventures (www.tappanhillventures.com)</t>
  </si>
  <si>
    <t>Developer of a content marketing platform designed to empower marketers to access, amplify, and attribute their podcast content. The company's platform harnesses the power of conversation to create relevant and expert-driven content that serves a purpose and delivers results, enabling clients to amplify conversations as part of their marketing strategy.</t>
  </si>
  <si>
    <t>The company raised $1 million of venture funding from undisclosed investors on October 4, 2024.</t>
  </si>
  <si>
    <t>AdTech, Marketing Tech, SaaS</t>
  </si>
  <si>
    <t>b2b platform developer, b2b platform operator, customer relationship management, marketing analytics platform, marketing automation, podcast analytics, podcast based platform, podcast hosting, podcasting platform developer</t>
  </si>
  <si>
    <t>219875-68P</t>
  </si>
  <si>
    <t>Lindsay Tjepkema</t>
  </si>
  <si>
    <t>Ms. Lindsay Tjepkema co-founded and served as Co-Chief Executive Officer &amp; Board Member at Casted.</t>
  </si>
  <si>
    <t>The company raised $2.35 million of seed funding from High Alpha, Tappan Hill Ventures and Elevate Ventures on January 10, 2020, putting the company's pre-money valuation at $5 million. The company will use the funding to grow its product, sales, and marketing teams, to continue to expand its platform and add new features.</t>
  </si>
  <si>
    <t>Elevate Ventures, High Alpha, Tappan Hill Ventures</t>
  </si>
  <si>
    <t>High Alpha Capital Fund II(High Alpha)</t>
  </si>
  <si>
    <t>46204</t>
  </si>
  <si>
    <t>www.casted.us</t>
  </si>
  <si>
    <t>200981-44T</t>
  </si>
  <si>
    <t>Castle</t>
  </si>
  <si>
    <t>502818-58</t>
  </si>
  <si>
    <t>Andrew Bialecki(Andrew Bialecki), Founder Collective, Freestyle Capital, Neo (Consulting Services (B2B)), Scott Belsky</t>
  </si>
  <si>
    <t>Founder Collective (www.foundercollective.com), Freestyle Capital (www.freestyle.vc), Neo (Consulting Services (B2B)) (www.neo.com), Scott Belsky (www.scottbelsky.com)</t>
  </si>
  <si>
    <t>Developer of a mobile application designed to make payments of household bills to automate and consolidate home expenses. The company offers tools for homeowners to simplify home finances and access all of the invoices and auto-pay setup in one clean, readable, and searchable ledger, enabling customers to optimize home financial plans to help them achieve their financial goals.</t>
  </si>
  <si>
    <t>The company raised $4 million of Seed-6 funding from undisclosed investors on September 27, 2024, putting the company's pre-money valuation at $14.5 million.</t>
  </si>
  <si>
    <t>application software, artificial intelligence, expense manager, invoice finance, mobile application, payment needs, payment platform, spend analysis</t>
  </si>
  <si>
    <t>311221-45P</t>
  </si>
  <si>
    <t>Madeline Hung</t>
  </si>
  <si>
    <t>+1 (415) 964-4845</t>
  </si>
  <si>
    <t>madeline@castlepay.co</t>
  </si>
  <si>
    <t>Ms. Madeline Hung is a Co-Founder &amp; serves as Chief Executive Officer and Board Member at Castle.</t>
  </si>
  <si>
    <t>The company raised $2.57 million through a combination of Seed funding from Founder Collective, Freestyle Capital and Neo on July 22, 2022, putting the company's pre-money valuation at $25 million. Andrew Bialecki and Scott Belsky also participated in the round.</t>
  </si>
  <si>
    <t>Andrew Bialecki, Founder Collective, Freestyle Capital, Neo (Consulting Services (B2B)), Scott Belsky</t>
  </si>
  <si>
    <t>Freestyle Capital Fund V(Freestyle Capital), Freestyle Capital Fund VI(Freestyle Capital)</t>
  </si>
  <si>
    <t>Hudson, NY</t>
  </si>
  <si>
    <t>Hudson</t>
  </si>
  <si>
    <t>12534</t>
  </si>
  <si>
    <t>www.getcastle.com</t>
  </si>
  <si>
    <t>261521-65T</t>
  </si>
  <si>
    <t>CAT Labs</t>
  </si>
  <si>
    <t>522911-44</t>
  </si>
  <si>
    <t>Arca (Asset Management), Borderless Capital, Brevan Howard Asset Management, Castle Island Ventures, CMT Digital, Cryptoverse Ventures, Hash3, M13, nvp capital, Outshine Ventures, RW3 Ventures</t>
  </si>
  <si>
    <t>Arca (Asset Management) (www.ar.ca), Borderless Capital (www.borderlesscapital.io), Brevan Howard Asset Management (www.brevanhoward.com), Castle Island Ventures (www.castleislandventures.com), CMT Digital (cmt.digital), Hash3 (www.hash3.xyz), M13 (www.m13.co), nvp capital (www.nvpcap.com), RW3 Ventures (www.rw3ventures.com)</t>
  </si>
  <si>
    <t>Developer of digital asset recovery tools intended to find, identify, and seize assets from various digital sources. The company offers a distinct toolset that specializes in finding, identifying and seizing cryptocurrency from smartphones, computers, servers, email, cloud accounts, documents and other digital data, enabling clients to optimize digital asset protection.</t>
  </si>
  <si>
    <t>The company raised $9.70 million through a combination of Seed-1, Seed-2, and Seed-3 funding from CMT Digital, RW3 Ventures and Newark Venture Partners on June 6, 2024, putting the company's pre-money valuation at $25.30 million. Hash3, Borderless Capital, M13, Outshine Ventures, Cryptoverse Ventures, Castle Island Ventures, Brevan Howard Asset Management and Arca (Los Angeles) also participated in the round.</t>
  </si>
  <si>
    <t>Network Management Software*</t>
  </si>
  <si>
    <t>Cryptocurrency/Blockchain, Cybersecurity, SaaS</t>
  </si>
  <si>
    <t>application security, crypto security, cybersecurity tool, digital asset protection, digital asset recovery, recovery system, security services, web3 security</t>
  </si>
  <si>
    <t>342812-44P</t>
  </si>
  <si>
    <t>Lilita Infante</t>
  </si>
  <si>
    <t>linfante@catlabs.io</t>
  </si>
  <si>
    <t>Ms. Lilita Infante is the Founder &amp; serves as Chief Executive Officer &amp; Board Member at CAT Labs. She is the former Department of Justice (DOJ) Special Agent who pioneered the first official Cyber Investigations Task Force focusing exclusively on the use of cryptocurrencies and dark web in criminal investigations. She is an expert in forensic blockchain analysis. She has led major crypto-related investigations for DOJ in partnership with international intelligence and law enforcement organizations. She was the lead agent on the case that took down Hydra - the largest crypto-powered dark web criminal organization and money laundering platform.</t>
  </si>
  <si>
    <t>The company raised $9.70 million through a combination of Seed-1, Seed-2, and Seed-3 funding from CMT Digital, RW3 Ventures and Newark Venture Partners on June 6, 2024, putting the company's pre-money valuation at $25.30 million. Hash3, M13, Borderless Capital, Outshine Ventures, Cryptoverse Ventures, Castle Island Ventures, Brevan Howard Asset Management and Arca (Los Angeles) also participated in the round.</t>
  </si>
  <si>
    <t>Castle Island Ventures I(Castle Island Ventures)</t>
  </si>
  <si>
    <t>Morse (Legal Advisor to Castle Island Ventures)</t>
  </si>
  <si>
    <t>www.catlabs.io</t>
  </si>
  <si>
    <t>225072-19T</t>
  </si>
  <si>
    <t>CataPalloVR</t>
  </si>
  <si>
    <t>517043-71</t>
  </si>
  <si>
    <t>Ben Franklin Technology Partners of Northeastern Pennsylvania</t>
  </si>
  <si>
    <t>Ben Franklin Technology Partners of Northeastern Pennsylvania (www.nep.benfranklin.org)</t>
  </si>
  <si>
    <t>Operator of an educational platform intended for a smoother transition into adulthood. The company's platform offers virtual reality modules focused on core skills essential to reduce the service need and its web-based learning module program helps to address service gaps for young adults with autism, enabling students to learn independent living and life skills.</t>
  </si>
  <si>
    <t>The company raised $100,000 of venture funding from Ben Franklin Technology Partners of Northeastern Pennsylvania on May 24, 2023. Previously, the company joined Berks LaunchBox as a part of its Testlab Accelerator Final Pitch Competition on December 20, 2022 and received $500,000 in funding in the form of grant.</t>
  </si>
  <si>
    <t>EdTech, Mobile, Virtual Reality</t>
  </si>
  <si>
    <t>cores skills essential modules, educational platform operator, educational platform provider, learning platform, virtual reality modules, web based learning modules</t>
  </si>
  <si>
    <t>328442-05P</t>
  </si>
  <si>
    <t>Krynn McClain</t>
  </si>
  <si>
    <t>Dr. Krynn McClain is the Founder and Owner and serves as Chief Executive Officer at CataPalloVR. She is also the Founder &amp; Owner and serves as President at Paragon Behavioral Health. She is a graduate of A.T. Still University with a doctorate in Healthcare Administration and of St. Bonaventure University with a master's in Community Mental Health Counseling. She is a licensed professional counselor and later became Trauma-Focused Cognitive Behavioral Therapy (TF-CBT) certified. She serves as the president for the company's +70 employees across three states. She is the visionary leader who develops company structure and culture for Paragon.</t>
  </si>
  <si>
    <t>Graduate, Master's, Community and Mental Health Counseling, St. Bonaventure University, Doctorate, Healthcare Administration</t>
  </si>
  <si>
    <t>The company raised $100,000 of venture funding from Ben Franklin Technology Partners of Northeastern Pennsylvania on May 24, 2023.</t>
  </si>
  <si>
    <t>Reading, PA</t>
  </si>
  <si>
    <t>Reading</t>
  </si>
  <si>
    <t>www.catapallovr.com</t>
  </si>
  <si>
    <t>213524-29T</t>
  </si>
  <si>
    <t>CentSai</t>
  </si>
  <si>
    <t>177267-97</t>
  </si>
  <si>
    <t>Suresh Madhuvarsu(Suresh Madhuvarsu)</t>
  </si>
  <si>
    <t>Developer of a personal finance platform designed to make financial education fun and easy to absorb. The company's platform publishes story-based content enriched with videos, articles, blogs, games, and quizzes to provide educational lessons through storytelling and interactive content, enabling financial service businesses to connect with millennials and Gen X through education and storytelling.</t>
  </si>
  <si>
    <t>The company raised an undisclosed amount of venture funding from SUM Ventures in 2022.</t>
  </si>
  <si>
    <t>debt management, e-learning platform, financial advisor, financial education, financial literacy, financial wellness</t>
  </si>
  <si>
    <t>170391-34P</t>
  </si>
  <si>
    <t>Arindam Nag</t>
  </si>
  <si>
    <t>+1 (646) 491-2254</t>
  </si>
  <si>
    <t>arindam@centsai.com</t>
  </si>
  <si>
    <t>Mr. Arindam Nag is a Co-Founder &amp; serves as the Co-Chief Executive Officer at CentSai. He started his career as a sports writer in his teens in Kolkata where he grew up. Once out of college (St Xavier's College), with a business degree, he joined The Economic Times in India, spending three years as an editor and a reporter. He joined Reuters news agency in Bombay in 1994 and the next 12 years he moved to New Delhi, London and then New York where he wrote on a variety of business and finance areas. In 2006 he joined the Dow Jones group in London, writing the Heard On the Street column for the Wall Street Journal and Dow Jones Newswires. He subsequently moved to New York as a deputy managing editor, launching new products for investment bankers and consultants. After a brief stint of over year as head of content at consulting firm Greenwich Associates, Arindam started plotting his entrepreneurship track, researching on how finance and economics could be simplified for the common man. Months later, CentSai was born. Arindam holds an MBA from New York University's Stern School of Business, post-grad degrees in Applied Economics and Journalism, and is also a Chartered Alternative Investment Analyst.</t>
  </si>
  <si>
    <t>Degree, Applied Economics, Degree, Journalism, New York University (Stern), MBA (Master of Business Administration)</t>
  </si>
  <si>
    <t>The company raised $400,000 of pre-seed funding from Suresh Madhuvarsu and other undisclosed investors on December 31, 2020, putting the company's pre-money valuation at $7 million.</t>
  </si>
  <si>
    <t>Suresh Madhuvarsu</t>
  </si>
  <si>
    <t>11215</t>
  </si>
  <si>
    <t>www.centsai.com</t>
  </si>
  <si>
    <t>140886-19T</t>
  </si>
  <si>
    <t>Ceresa</t>
  </si>
  <si>
    <t>315666-64</t>
  </si>
  <si>
    <t>Beam Angel Network, LiveOak Ventures(Krishna Srinivasan), Next Coast Ventures(Michael Smerklo), Sandusky Ventures</t>
  </si>
  <si>
    <t>Beam Angel Network (www.beamfounders.org), LiveOak Ventures (www.liveoak.vc), Next Coast Ventures (www.nextcoastventures.com), Sandusky Ventures (www.sanduskyventures.com)</t>
  </si>
  <si>
    <t>Developer of a leadership development platform designed to address the specific needs of diverse aspiring leaders. The company's platform offers programs with virtual executive coaching, structured curriculum, mentoring, and support, enabling professionals to have access to affordable leadership development.</t>
  </si>
  <si>
    <t>The company raised $8.89 million of venture funding from undisclosed investors on January 3, 2024. As a part of transaction an undisclosed amount was raised in the form of safe notes and convertible debt, and subsequently converted to equity.</t>
  </si>
  <si>
    <t>Education and Training Services (B2B), Educational Software*</t>
  </si>
  <si>
    <t>leadership courses, leadership program, mentorship program, mentorship services, professional training course, professional training provider</t>
  </si>
  <si>
    <t>237411-01P</t>
  </si>
  <si>
    <t>Anna Robinson</t>
  </si>
  <si>
    <t>+1 (650) 796-9145</t>
  </si>
  <si>
    <t>anna@ceresa.com</t>
  </si>
  <si>
    <t>Ms. Anna Robinson is a Co-Founder and serves as Chief Executive Officer and Board Member at Ceresa. She launched Ceresa in 2018 with the mission to build diverse leadership for the future by democratizing access to truly transformative career and leadership resources. She dedicates her time to shaping the company's vision and strategy, driving consistent high-quality programming, building a world-class team and culture, and shaping a sustainable social impact business model. Prior to launching Ceresa, Anna was a Partner at McKinsey &amp; Company, where she led strategy and transformation work for US and global health systems, as well as leading several women's initiatives. She also served as COO at an early-stage tech company.</t>
  </si>
  <si>
    <t>Stanford University, MBA (Master of Business Administration), 2007, University of Oxford, BA (Bachelor of Arts), 2003, Politics, Economics, Philosophy</t>
  </si>
  <si>
    <t>The company raised $1 million of seed funding in a deal led by Next Coast Ventures and LiveOak Venture Partners on May 18, 2020. Sandusky Ventures, and Beam Angel Network also participated in the round. The funds will be used to expand its product development.</t>
  </si>
  <si>
    <t>Beam Angel Network, LiveOak Ventures, Next Coast Ventures, Sandusky Ventures</t>
  </si>
  <si>
    <t>LiveOak Ventures(Krishna Srinivasan), Next Coast Ventures(Michael Smerklo)</t>
  </si>
  <si>
    <t>LiveOak Venture Partners II(LiveOak Ventures), Next Coast Ventures II(Next Coast Ventures)</t>
  </si>
  <si>
    <t>78703</t>
  </si>
  <si>
    <t>www.ceresa.com</t>
  </si>
  <si>
    <t>214625-35T</t>
  </si>
  <si>
    <t>CFEX</t>
  </si>
  <si>
    <t>519581-71</t>
  </si>
  <si>
    <t>Accurant International(Bahman Hoveida)</t>
  </si>
  <si>
    <t>Accurant International (www.accurantllc.com)</t>
  </si>
  <si>
    <t>Developer of cloud-based decarbonization platform designed to streamline and optimizes clean energy transactions. The company's platform specializes in substantially reducing the costs of back-office operations of PPA contracts between buyers and sellers by increasing financial transparency and minimizing billing errors, enabling businesses to track, plan, and reduce scope 2 GHG emissions.</t>
  </si>
  <si>
    <t>The company joined AWS Clean Energy Accelerator 4.0 on March 6, 2023. No equity or funding was exchanged as a result of this program.</t>
  </si>
  <si>
    <t>Business/Productivity Software*, Environmental Services (B2B), Other Energy Services</t>
  </si>
  <si>
    <t>carbon free energy, carbon free environment, clean energy firm, decarbonization platform, decarbonization services, decarbonization technology, intermittent renewable energy, solar photovoltaic</t>
  </si>
  <si>
    <t>46408-51P</t>
  </si>
  <si>
    <t>Jian Zhang</t>
  </si>
  <si>
    <t>jian.zhang@cfexcloud.com</t>
  </si>
  <si>
    <t>Dr. Jian Zhang is a Co-Founder and serves as Chief Executive Officer at CFEX. He co-founded and served as Chief Executive Officer &amp; Board Member at GridX. He served as Chief Executive Officer and Director at Tradescape.</t>
  </si>
  <si>
    <t>University of Chicago (Booth), MBA (Master of Business Administration), 1996, Finance and Accounting, University of Illinois, Urbana-Champaign, Ph.D. (Doctor of Philosophy), 1987, Electrical and Computer Engineering</t>
  </si>
  <si>
    <t>The company raised $1.5 million of seed funding in a deal led by Accurant International on February 7, 2023, putting the company's pre-money valuation at $6 million. Other undisclosed investors also participated in the round. Other undisclosed investors also participated in the round. The funds will be used to roll-out of the company's products to help enterprises worldwide to achieve Net Zero.</t>
  </si>
  <si>
    <t>Accurant International</t>
  </si>
  <si>
    <t>www.cfexcloud.com</t>
  </si>
  <si>
    <t>160802-74T</t>
  </si>
  <si>
    <t>Change</t>
  </si>
  <si>
    <t>454893-49</t>
  </si>
  <si>
    <t>GC&amp;H Investments, Human Ventures</t>
  </si>
  <si>
    <t>Human Ventures (www.human.vc)</t>
  </si>
  <si>
    <t>Operator of a donation platform designed to streamline regulations, donations, and analytics. The company's platform offers donation processing, curated non-profits, real-time analytics, and shareable content, enabling brands to drive a measurable impact by personalizing their content.</t>
  </si>
  <si>
    <t>The company raised $5.71 million of seed funding in a deal led by New Enterprise Associates and Freestyle Capital on May 27, 2022, putting the company's pre-money valuation at $14 million. Alchemy Inc. and 5 other investors also participated in the round. The funds will be used to double the company's team size to six people by the end of the year</t>
  </si>
  <si>
    <t>crm, customer relationship management, donation infrastructure, donation platform, financial software, shareable content, social engagement software, social impact platform, social impact service</t>
  </si>
  <si>
    <t>247992-31P</t>
  </si>
  <si>
    <t>Amar Shah</t>
  </si>
  <si>
    <t>+1 (650) 450-1509</t>
  </si>
  <si>
    <t>amar@getchange.io</t>
  </si>
  <si>
    <t>Mr. Amar Shah is a Co-Founder and serves as President and Board Member at Change.</t>
  </si>
  <si>
    <t>Northwestern University, BA (Bachelor of Arts), 2017, Economics, Computer Science</t>
  </si>
  <si>
    <t>The company raised an estimated $750,000 of pre-seed funding from GC&amp;H Investments, Human Ventures and other undisclosed investors on December 9, 2020. The funds will be used to expedite its development and grow its reach.</t>
  </si>
  <si>
    <t>94104-5401</t>
  </si>
  <si>
    <t>www.getchange.io</t>
  </si>
  <si>
    <t>212002-30T</t>
  </si>
  <si>
    <t>Chaos Genius</t>
  </si>
  <si>
    <t>494839-54</t>
  </si>
  <si>
    <t>Charles Zedlewski(Charles Zedlewski), Elevation Capital (India), Holly Liu(Holly Liu), Sumon Sadhu(Sumon Sadhu), Y Combinator</t>
  </si>
  <si>
    <t>Elevation Capital (India) (www.elevationcapital.com), Y Combinator (www.ycombinator.com)</t>
  </si>
  <si>
    <t>Developer of a transformative DataOps observability platform designed for enhancing data infrastructure efficiency. The company's product focuses on optimizing the cloud data warehouse platform and offering automated recommendations to streamline workloads, identify inefficiencies, and enhance query performance to get alerted on important changes in their key performance indicators along with an instant root cause analysis, providing intelligent recommendations, delivering significant performance improvements and cost savings to organizations.</t>
  </si>
  <si>
    <t>The company joined NetApp Excellerator as a part of flagship accelerator program on April 5, 2024.</t>
  </si>
  <si>
    <t>Big Data, SaaS</t>
  </si>
  <si>
    <t>application security, cloud cost optimization, cloud workload protection platform, cost monitoring, data efficiency, data infrastructure, data optimization tool, data quality tools, data warehouse, databricks services, observability platform, snowflake solution provider</t>
  </si>
  <si>
    <t>Cloud Workload Protection, FinOps</t>
  </si>
  <si>
    <t>251381-71P</t>
  </si>
  <si>
    <t>Preeti Shrimal</t>
  </si>
  <si>
    <t>+1 (650) 567-4441</t>
  </si>
  <si>
    <t>preeti@chaosgenius.io</t>
  </si>
  <si>
    <t>Ms. Preeti Shrimal is a Co-Founder and serves as Chief Executive Officer at Chaos Genius. Ms. Shrimal also co-founded and served as Chief Executive Officer at GoodHealth.</t>
  </si>
  <si>
    <t>The company raised $3.3 million of seed funding in a deal led by Elevation Capital on January 3, 2023. Y Combinator, Charles Zedlewski, Holly Liu, Sumon Sadhu, and other undisclosed investors also participated in the round. The funds will be used to launch the product for the general public and expand the company's offering to other data warehouses and data lakehouses, such as Databricks, BigQuery, and Redshift.</t>
  </si>
  <si>
    <t>Charles Zedlewski, Elevation Capital (India), Holly Liu, Sumon Sadhu</t>
  </si>
  <si>
    <t>Elevation Capital (India)</t>
  </si>
  <si>
    <t>94304</t>
  </si>
  <si>
    <t>www.chaosgenius.io</t>
  </si>
  <si>
    <t>171544-60T</t>
  </si>
  <si>
    <t>ChargeNet</t>
  </si>
  <si>
    <t>465628-60</t>
  </si>
  <si>
    <t>10X Tech Ventures, San Diego Angel Conference(Benton Moore), Wayfare Ventures</t>
  </si>
  <si>
    <t>San Diego Angel Conference (www.thesdangels.com), Wayfare Ventures (www.wayfarevc.com)</t>
  </si>
  <si>
    <t>Developer of renewable energy infrastructure technology designed to create a seamless electric vehicle (EV) charging experience using EV charging. The company's platform makes it easier for quick-serve restaurants (QSR) to offer customers an opportunity to eat food and charge their EVs at the same time, enabling QSR businesses to accelerate the energy transition with EV fast charging and renewable energy infrastructure.</t>
  </si>
  <si>
    <t>The company was in talks to receive an undisclosed amount of Series A venture funding on July 5, 2022. Subsequently, the deal was cancelled. Previously, the company joined Google for Startups Accelerator as a part of its Climate Change Cohort Program on June 7, 2022.</t>
  </si>
  <si>
    <t>Utilities</t>
  </si>
  <si>
    <t>Other Utilities</t>
  </si>
  <si>
    <t>Business/Productivity Software, Other Hardware, Other Utilities*</t>
  </si>
  <si>
    <t>CleanTech, Climate Tech, LOHAS &amp; Wellness, Mobility Tech, SaaS</t>
  </si>
  <si>
    <t>battery storage, charging infrastructure, charging services, charging station, electric vehicle, ev charging, fast charging, renewable energy, software platform</t>
  </si>
  <si>
    <t>Electric Vehicle Charging Infrastructure</t>
  </si>
  <si>
    <t>261276-76P</t>
  </si>
  <si>
    <t>Ashutosh Dutt</t>
  </si>
  <si>
    <t>+1 (808) 397-3248</t>
  </si>
  <si>
    <t>Mr. Ashutosh Dutt serves as Chief Executive Officer at EVoke Systems (Energy Services). He is the Founder and serves as Chief Executive Officer at Electriflow Finance. He is a Co-Founder of ChargeNet Stations. His subject matter expertise in Distributed Energy Resources and EV Charging derives from his work as a consulting engineer and his senior management background. He has successfully built and scaled mature startups and new business units of large organizations such as Doosan GridTech, Enel X, Johnson Controls Inc., Honeywell, Allana, Buick and Bers, and others. He holds a B.S. in Biomedical Engineering.</t>
  </si>
  <si>
    <t>BS (Bachelor of Science), Biomedical Engineering, University of Southern California (USC), Degree, 2002</t>
  </si>
  <si>
    <t>The company raised $796,000 of pre-seed funding in a deal led by San Diego Angel Conference on April 16, 2021, putting the company's pre-money valuation at $3.5 million. 10X Tech Ventures also participated in the round.</t>
  </si>
  <si>
    <t>10X Tech Ventures, San Diego Angel Conference, Wayfare Ventures</t>
  </si>
  <si>
    <t>San Diego Angel Conference(Benton Moore)</t>
  </si>
  <si>
    <t>Grellas Shah (Legal Advisor to Company, David Siegel JD)</t>
  </si>
  <si>
    <t>Long Beach, CA</t>
  </si>
  <si>
    <t>Long Beach</t>
  </si>
  <si>
    <t>90804</t>
  </si>
  <si>
    <t>www.chargenetstations.com</t>
  </si>
  <si>
    <t>214505-56T</t>
  </si>
  <si>
    <t>Charlee.ai</t>
  </si>
  <si>
    <t>145527-13</t>
  </si>
  <si>
    <t>Markd(Ward Parker Beauchamp)</t>
  </si>
  <si>
    <t>Markd (markd.vc)</t>
  </si>
  <si>
    <t>Developer of an insurance insights platform designed to detect cost and litigation propensity patterns in insurance claims. The company's platform offers a set of sophisticated claims optimization tools, including an artificial intelligence (AI) enabled chatbot providing recommendations and suggested actions, an alert system that identifies red flags and suspicious patterns by leveraging cognitive analysis, and a pre-litigation prediction tool that utilizes emotion and sentiment analysis, enabling clients to receive an unprecedented level of oversight, resulting in an improved loss ratio.</t>
  </si>
  <si>
    <t>The company raised $10 million of seed funding in a deal led by Markd on April 18, 2023. Other undisclosed investors also participated in the round. Recently, the company raised seed funding from Markd and other undisclosed investors on March 25, 2024.</t>
  </si>
  <si>
    <t>Business/Productivity Software, Financial Software*, Media and Information Services (B2B), Other Insurance</t>
  </si>
  <si>
    <t>Artificial Intelligence &amp; Machine Learning, InsurTech</t>
  </si>
  <si>
    <t>analytics platform, business intelligence platform, insurance analytics, insurance insights, litigation support, sentiment analysis, sentiment analysis system, text analysis</t>
  </si>
  <si>
    <t>224635-15P</t>
  </si>
  <si>
    <t>Sri Ramaswamy</t>
  </si>
  <si>
    <t>+1 (844) 826-6906</t>
  </si>
  <si>
    <t>sramaswamy@charlee.ai</t>
  </si>
  <si>
    <t>Ms. Sri Ramaswamy is a Co-Founder &amp; serves as Chief Executive Officer &amp; Board Member at Charlee.ai. She has over 16 years of extensive experience in enterprise applications, business intelligence, advanced analytics, and artificial intelligence (A.I.) in the financial services sector. She is highly focused and passionate about bringing ready-to-use solutions leveraging A.I., machine learning, and cognitive behavior analysis that are implementation friendly, actionable, and improves the top and bottom line. Prior to starting Infinilytics, She served as an Insurance Industry Solutions Architect designing and prototyping claims and underwriting solutions leveraging advanced and big data analytics. she holds a graduate degree in Information Technology from Griffith University, Australia, with a Higher Distinction in database administration. Sri is also an Oracle Certified Professional DBA with a 100% in Performance Running. Recently, She attained her Associate in Risk Management (ARM) from AICPCU.</t>
  </si>
  <si>
    <t>Griffith University, Graduate, Information Technology</t>
  </si>
  <si>
    <t>The company raised $10 million of seed funding in a deal led by Markd on April 18, 2023. Other undisclosed investors also participated in the round.</t>
  </si>
  <si>
    <t>Markd</t>
  </si>
  <si>
    <t>Pleasanton, CA</t>
  </si>
  <si>
    <t>Pleasanton</t>
  </si>
  <si>
    <t>94588</t>
  </si>
  <si>
    <t>www.charlee.ai</t>
  </si>
  <si>
    <t>218871-82T</t>
  </si>
  <si>
    <t>Chiefy</t>
  </si>
  <si>
    <t>491478-22</t>
  </si>
  <si>
    <t>Emerge Ventures (Tel Aviv), LionBird(Robert Lord), Nina Capital, NYU Entrepreneurial Institute</t>
  </si>
  <si>
    <t>Emerge Ventures (Tel Aviv) (emerge.ventures), LionBird (www.lionbird.com), Nina Capital (www.nina.capital), NYU Entrepreneurial Institute (entrepreneur.nyu.edu/resource/innovation-venture-fund)</t>
  </si>
  <si>
    <t>Developer of perioperative team collaboration platform intended to prove patient care. The company's platform captures lessons, notes, and feedback after procedures and drives continuous improvement, enabling surgeons, anesthesiologists, nurses, and other surgical stakeholders to efficiently coordinate and collaborate from pre-op to post-op, while automating administrative tasks.</t>
  </si>
  <si>
    <t>The company raised $4.2 million of seed funding in a deal led by LionBird on March 20, 2023, putting the company's pre-money valuation at $7 million. Nina Capital, NYU Entrepreneurial Institute, and Emerge also participated in the round. The funds will be used to accelerate and expand product development and customer acquisition.</t>
  </si>
  <si>
    <t>Communication Software, Other Healthcare Technology Systems*</t>
  </si>
  <si>
    <t>Artificial Intelligence &amp; Machine Learning, HealthTech, SaaS, Space Technology</t>
  </si>
  <si>
    <t>ai power data, collaboration platform, communication software, continuous improvement, patient caregiver, surgical workflow</t>
  </si>
  <si>
    <t>244431-46P</t>
  </si>
  <si>
    <t>Maya Ber Lerner</t>
  </si>
  <si>
    <t>+1 (347) 325-0616</t>
  </si>
  <si>
    <t>maya@chiefyteam.com</t>
  </si>
  <si>
    <t>Ms. Maya Ber Lerner is a Co-Founder and serves as Chief Executive Officer at Chiefy. Ms. Lerner served as Chief Technology Officer at Quali. Prior to her current position, she served as VP of Product Management and a variety of key management roles at Quali including systems engineering and sales. In her sales management roles, she was VP of International Sales, Director of Channel Development, and Director of Asia-Pacific Sales. Prior to Quali, she held technical roles at Amdocs. Maya eventually found her true passion for software and IT automation. She is a frequent speaker, panelist, and contributing writer within the greater tech community, with a focus on DevOps, automation, CX, and more. When not traveling, Maya is the IT person at home, and the only one allowed to change router configurations.</t>
  </si>
  <si>
    <t>Tel Aviv University, Bachelor's, Biomedical Engineering</t>
  </si>
  <si>
    <t>Emerge Ventures (Tel Aviv), LionBird, Nina Capital, NYU Entrepreneurial Institute</t>
  </si>
  <si>
    <t>LionBird(Robert Lord)</t>
  </si>
  <si>
    <t>Innovation Venture Fund(NYU Entrepreneurial Institute), Nina Capital Fund II(Nina Capital)</t>
  </si>
  <si>
    <t>www.chiefyteam.com</t>
  </si>
  <si>
    <t>174461-59T</t>
  </si>
  <si>
    <t>ChipBrain</t>
  </si>
  <si>
    <t>438485-23</t>
  </si>
  <si>
    <t>Brightlane Ventures, Glasswing Ventures, NFX</t>
  </si>
  <si>
    <t>Brightlane Ventures (www.brightlane.co), Glasswing Ventures (www.glasswing.vc), NFX (www.nfx.com)</t>
  </si>
  <si>
    <t>Developer of an emotionally intelligent AI assistant designed to read the emotional and conversational cues of the client. The company's product provides real-time emotional analysis by reading conversational cues based on the words spoken, tone of voice, and facial expression, identifies key turning points in the conversations, improves communications training, and provides personalized feedback as per the communicator's conversations, enabling communicators to navigate conversations effectively, close more deals, and increase revenue.</t>
  </si>
  <si>
    <t>The company raised $716,664 of equity crowdfunding via Netcapital as of May 3, 2023, putting the company's pre-mopney valuation at $2.15 million.</t>
  </si>
  <si>
    <t>Business/Productivity Software*, Other Hardware</t>
  </si>
  <si>
    <t>ai product, ai research, artificial intelligence technology, customer analysis, customer analysis tool, data labeling, machine learning lab, sales productivity, sales productivity analysis, sales productivity tool</t>
  </si>
  <si>
    <t>239390-20P</t>
  </si>
  <si>
    <t>Lisa Vo</t>
  </si>
  <si>
    <t>lisa@chipbrain.com</t>
  </si>
  <si>
    <t>Ms. Lisa Vo is a Co-Founder and serves as Chief Executive Officer, Principal Accounting Officer, Principal Financial Officer, Principal Executive Officer and Board Member at ChipBrain. She holds a bachelor's degree in Computer Science from Harvard University, with software engineering experience from Microsoft and Palantir Technologies. She created and led a new computer science course while at Harvard, co-founded and led engineering at Bluebonnet Data--a national tech nonprofit with over 300 technical volunteers. Lisa is a first-generation immigrant from Vietnam.</t>
  </si>
  <si>
    <t>Harvard University, Bachelor's, Computer Science</t>
  </si>
  <si>
    <t>The company raised $500,000 of seed funding from Glasswing Ventures, NFX, Brightlane Ventures, and other undisclosed investors on June 16, 2021.</t>
  </si>
  <si>
    <t>Glasswing Ventures(Glasswing Ventures), NFX Capital Fund II(NFX)</t>
  </si>
  <si>
    <t>Lewes, DE</t>
  </si>
  <si>
    <t>Lewes</t>
  </si>
  <si>
    <t>19958</t>
  </si>
  <si>
    <t>www.chipbrain.com</t>
  </si>
  <si>
    <t>257311-09T</t>
  </si>
  <si>
    <t>Cignal</t>
  </si>
  <si>
    <t>557424-55</t>
  </si>
  <si>
    <t>Developer of artificial intelligence software designed to exercise and test vision models for homeland security applications safely. The company's software offers a suite of simulation and data lifecycle tools for machine vision intended for national security applications, enabling clients to accelerate time-to-market, optimize performance, and reduce uncertainty throughout the development lifecycle.</t>
  </si>
  <si>
    <t>The company raised $115,000 of pre-seed funding in the form of convertible notes in a deal led by Ben Franklin Technology Partners of Central and Northern Pennsylvania on March 25, 2024.</t>
  </si>
  <si>
    <t>artificial intelligence, automated threat recognition, computer vision, machine learning, synthetic data platform, synthetic database</t>
  </si>
  <si>
    <t>Synthetic Data</t>
  </si>
  <si>
    <t>393832-45P</t>
  </si>
  <si>
    <t>Jaclyn Fiterman</t>
  </si>
  <si>
    <t>jaclyn.fiterman@cignal.co</t>
  </si>
  <si>
    <t>Ms. Jaclyn Fiterman is the Founder and serves as Chief Executive Officer at Cignal.</t>
  </si>
  <si>
    <t>Mifflin County, PA</t>
  </si>
  <si>
    <t>Mifflin County</t>
  </si>
  <si>
    <t>17084</t>
  </si>
  <si>
    <t>cignal.co</t>
  </si>
  <si>
    <t>Bridge Loan - $0.12M (Convertible)</t>
  </si>
  <si>
    <t>192708-10T</t>
  </si>
  <si>
    <t>Claira</t>
  </si>
  <si>
    <t>453376-54</t>
  </si>
  <si>
    <t>Connetic Ventures, Global Forward Capital Management, Heartland Ventures(Conor McGuinness), Invest Detroit Ventures, Michigan Rise, Northern Michigan Angels</t>
  </si>
  <si>
    <t>Connetic Ventures (www.conneticventures.com), Global Forward Capital Management (www.globalforward.com), Heartland Ventures (www.heartlandvc.com), Invest Detroit Ventures (www.idventures.com), Michigan Rise (www.michiganrise.com), Northern Michigan Angels (www.northernmichiganangels.com)</t>
  </si>
  <si>
    <t>Developer of a competency analytics platform designed for companies to understand their talent and hire better. The company's dataset of thousands of competencies provides atomic intelligence on the current workforce, gaps, trends, and future needs, enabling businesses to match resources dynamically.</t>
  </si>
  <si>
    <t>The company raised an undisclosed amount of venture funding from Michigan Rise on January 31, 2024.</t>
  </si>
  <si>
    <t>competency management system, competency model, enterprise resource planning, erp, human capital, human capital management, marketplace operations, marketplace search, marketplace technology, talent agent, workforce analytics software</t>
  </si>
  <si>
    <t>246106-36P</t>
  </si>
  <si>
    <t>Katherine Hall</t>
  </si>
  <si>
    <t>+1 (616) 402-6151</t>
  </si>
  <si>
    <t>katie@claira.ai</t>
  </si>
  <si>
    <t>Ms. Katherine Hall is the Founder and serves as President, Board Member &amp; Chief Executive Officer at Claira.</t>
  </si>
  <si>
    <t>The company raised $5 million of seed funding in a deal led by Heartland Venture on April 22, 2022, putting the company's pre-money valuation at $5.5 million. Invest Detroit Ventures, Trend Forward Capital, Connetic Ventures, and Michigan Rise, Northern Michigan Angels also participated in the round. The funds will be used to optimize human capital.</t>
  </si>
  <si>
    <t>Connetic Ventures, Global Forward Capital Management, Heartland Ventures, Invest Detroit Ventures, Michigan Rise, Northern Michigan Angels</t>
  </si>
  <si>
    <t>Heartland Ventures(Conor McGuinness)</t>
  </si>
  <si>
    <t>Connetic Ventures(Connetic Ventures), Trend Forward Capital I(Global Forward Capital Management)</t>
  </si>
  <si>
    <t>Varnum (Legal Advisor to Company, Matthew Bower JD)</t>
  </si>
  <si>
    <t>Grand Rapids, MI</t>
  </si>
  <si>
    <t>Grand Rapids</t>
  </si>
  <si>
    <t>Michigan</t>
  </si>
  <si>
    <t>49525</t>
  </si>
  <si>
    <t>www.claira.ai</t>
  </si>
  <si>
    <t>233856-82T</t>
  </si>
  <si>
    <t>Class Companion</t>
  </si>
  <si>
    <t>530667-19</t>
  </si>
  <si>
    <t>Andrej Karpathy(Andrej Karpathy), Brainstorm Ventures, Gokul Rajaram(Gokul Rajaram), Index Ventures, OpenAI Startup Fund, Terrence Rohan</t>
  </si>
  <si>
    <t>Brainstorm Ventures (www.brainstorm.vc), Index Ventures (www.indexventures.com), OpenAI Startup Fund (www.openai.fund)</t>
  </si>
  <si>
    <t>Developer of an AI-enabled assistant designed to help social studies teachers assess written assignments. The company offers features such as immediate personalized feedback, generates instant progress reports, focuses on lesson planning, and more, enabling teachers to manage their pending assignments and improve their teaching experience.</t>
  </si>
  <si>
    <t>The company raised $4 million of seed funding in a deal led by Index Ventures on October 5, 2023. Brainstorm Ventures, OpenAI Startup Fund, Gokul Rajaram, Terrence Rohan and Andrej Karpathy also participated in the round. The funds will be used to improve the teacher experience and expand the team as teachers use their expertise to shape the AI to help students learn in new and exciting ways.</t>
  </si>
  <si>
    <t>Artificial Intelligence &amp; Machine Learning, EdTech, SaaS</t>
  </si>
  <si>
    <t>ai platform, artificial intelligence, assignment management platform, educational network, educational portal, teaching app</t>
  </si>
  <si>
    <t>368869-42P</t>
  </si>
  <si>
    <t>Avery Pan</t>
  </si>
  <si>
    <t>apan@classcompanion.com</t>
  </si>
  <si>
    <t>Ms. Avery Pan is a Co-Founder &amp; serves as Chief Executive Officer at Class Companion.</t>
  </si>
  <si>
    <t>Andrej Karpathy, Brainstorm Ventures, Gokul Rajaram, Index Ventures, OpenAI Startup Fund, Terrence Rohan</t>
  </si>
  <si>
    <t>Index Ventures</t>
  </si>
  <si>
    <t>Brainstorm Ventures III(Brainstorm Ventures)</t>
  </si>
  <si>
    <t>Cooley (Legal Advisor to Company), Goodwin Procter (Legal Advisor to Company)</t>
  </si>
  <si>
    <t>94127</t>
  </si>
  <si>
    <t>www.classcompanion.com</t>
  </si>
  <si>
    <t>266665-60T</t>
  </si>
  <si>
    <t>ClassBank</t>
  </si>
  <si>
    <t>512271-64</t>
  </si>
  <si>
    <t>Brass Ring Ventures, Ruthless for Good Fund, The Yass Prize</t>
  </si>
  <si>
    <t>Brass Ring Ventures (www.brassring.vc), Ruthless for Good Fund (www.ruthlessforgood.com), The Yass Prize (www.yassprize.org)</t>
  </si>
  <si>
    <t>Developer of an education technology platform intended for classroom management and financial literacy. The company's platform equips students with financial literacy and character development, preparing them for real-world responsibilities while fostering a supportive and collaborative school culture, enabling teachers to save time and drive student engagement and students to play an active role in their learning environment.</t>
  </si>
  <si>
    <t>The company raised $1 million of pre-seed funding from Brass Ring Ventures, Ruthless for Good Fund, and The Yass Prize on September 17, 2024. The funds will be used to accelerate the company's efforts to integrate real-world financial skills into K-12 classrooms nationwide.</t>
  </si>
  <si>
    <t>classroom management, edtech platform, education administration program, financial literacy, learning experience, school culture, student success</t>
  </si>
  <si>
    <t>321342-13P</t>
  </si>
  <si>
    <t>Abby Coyle</t>
  </si>
  <si>
    <t>abby@classequity.com</t>
  </si>
  <si>
    <t>Ms. Abby Coyle is a Co-Founder and serves as Chief Executive Officer at ClassEquity. In her free time, you can find her surfing, hiking, or reading a good mystery book.</t>
  </si>
  <si>
    <t>The company raised $1 million of pre-seed funding from Brass Ring Ventures, Ruthless for Good Fund and The Yass Prize on September 17, 2024. The funds will be used to accelerate the company's efforts to integrate real-world financial skills into K-12 classrooms nationwide.</t>
  </si>
  <si>
    <t>Tucson, AZ</t>
  </si>
  <si>
    <t>Tucson</t>
  </si>
  <si>
    <t>85718</t>
  </si>
  <si>
    <t>www.classbank.com</t>
  </si>
  <si>
    <t>178997-14T</t>
  </si>
  <si>
    <t>Clearbrief</t>
  </si>
  <si>
    <t>463196-80</t>
  </si>
  <si>
    <t>515 Ventures, Amy Weaver(Amy Weaver), Anne Hunt(Anne Hunt), Avid Duggan(Avid Duggan), Barney Harford(Barney Harford), Beth Birnbaum(Beth Birnbaum), Bryan Garner(Bryan Garner), Court Lorenzini(Court Lorenzini), Frederic Kerrest(Frederic Kerrest), Hadi Partovi(Hadi Partovi), Jack Newton(Jack Newton), James Shaughnessy(James Shaughnessy), Jason Barnwell(Jason Barnwell), Jon Runyan(Jon Runyan), Karen Ashby(Karen Ashby), Kate Vaughan(Kate Vaughan), Kelly Wright(Kelly Wright), Lata Setty(Lata Setty), Madrona Venture Group, Mark Britton(Mark Britton), Reign Ventures(Erica Minnihan), Sequoia Capital, William Neukom(William Neukom)</t>
  </si>
  <si>
    <t>515 Ventures (www.515ventures.com), Madrona Venture Group (www.madrona.com), Reign Ventures (www.reignvc.com), Sequoia Capital (www.sequoiacap.com)</t>
  </si>
  <si>
    <t>Developer of a legal platform designed to create a modern experience for the lawyer community. The company's platform uses natural language processing to assess how a given sentence is backed up by supporting evidence, enabling lawyers to assess their work or competitors' briefs and judges to read a brief alongside evidence.</t>
  </si>
  <si>
    <t>The company raised $4.5 million through a combination of Seed-3 and Seed-4 funding from Wilson Sonsini Goodrich &amp; Rosati, Reign Ventures and PHARUS Investment Partners on March 14, 2024, putting the company's pre-money valuation at $20 million. How Women Invest, Authentic Ventures, and other undisclosed investors also participated in the round.</t>
  </si>
  <si>
    <t>Business/Productivity Software*, Legal Services (B2C)</t>
  </si>
  <si>
    <t>Artificial Intelligence &amp; Machine Learning, Big Data, Legal Tech, SaaS</t>
  </si>
  <si>
    <t>evidence analysis, evidence gathering, factual evidence, internal investigation, law advice, legal platform, legal writing, litigation law, vertical application</t>
  </si>
  <si>
    <t>257378-68P</t>
  </si>
  <si>
    <t>Jacqueline Schafer</t>
  </si>
  <si>
    <t>+1 (212) 373-3176</t>
  </si>
  <si>
    <t>jackie@clearbrief.ai</t>
  </si>
  <si>
    <t>Ms. Jacqueline Schafer is the Founder &amp; serves as Chief Executive Officer and Board Member at Clearbrief. She built Clearbrief to solve the stresses of writing and filing briefs that she had encountered throughout her career as a litigator and in-house attorney. Jacqueline was recognized by VentureBeat as one of four semi-finalists for the 2020 Women in AI Rising Star award for founding Clearbrief as well as for her academic research, published in 2020, on how AI and natural language processing (NLP) will transform government social services and court systems. Jacqueline was recently accepted to the 2021 Microsoft Women in Cloud Accelerator Program. She began her career as a litigation associate at the New York law firm of Paul, Weiss, and spent the majority of her career as an Assistant Attorney General in Alaska and Washington State, where she specialized in appellate practice and complex litigation. Before founding Clearbrief in 2020, she served as in-house counsel for a $3B national nonprofit. She received her B.A. in English and French from the University of Pennsylvania (where she sang with John Legend's former a cappella group!), and her J.D. from Boston University School of Law.
(Bar admissions - WA, AK, NY)</t>
  </si>
  <si>
    <t>Boston University School of Law, JD (Doctor of Law), University of Pennsylvania, BA (Bachelor of Arts), English and French</t>
  </si>
  <si>
    <t>The company raised $3.50 million through a combination of Seed-1 and Seed-2 funding in a deal led by Reign Ventures on August 25, 2021, putting the company's pre-money valuation at $12 million. Sequoia Capital, Madrona Venture Group, 515 Ventures, Frederic Kerrest, Court Lorenzini, Jack Newton, Amy E. Weaver, Hadi Partovi, Kate Vaughan, Lata Setty, Karen Ashby, Jason Barnwell, Anne Jude Hunt, Bryan Garner, Bill Neukom, Mark Britton, Beth Birnbaum, Barney Harford, Jim Shaughnessy, Kelly Wright, Avid Larizadeh Duggan, Jon Runyan, and other undisclosed investors also participated in the round.</t>
  </si>
  <si>
    <t>515 Ventures, Amy Weaver, Anne Hunt, Avid Duggan, Barney Harford, Beth Birnbaum, Bryan Garner, Court Lorenzini, Frederic Kerrest, Hadi Partovi, Jack Newton, James Shaughnessy, Jason Barnwell, Jon Runyan, Karen Ashby, Kate Vaughan, Kelly Wright, Lata Setty, Madrona Venture Group, Mark Britton, Reign Ventures, Sequoia Capital, William Neukom</t>
  </si>
  <si>
    <t>Reign Ventures(Erica Minnihan)</t>
  </si>
  <si>
    <t>Reign Fund I(Reign Ventures)</t>
  </si>
  <si>
    <t>98104-2205</t>
  </si>
  <si>
    <t>www.clearbrief.com</t>
  </si>
  <si>
    <t>234772-66T</t>
  </si>
  <si>
    <t>Cleva</t>
  </si>
  <si>
    <t>534702-88</t>
  </si>
  <si>
    <t>1984 Ventures(Aaron Michel), BYLD Ventures, Decacorn Capital, FirstCheck Africa, Kairos Angels, Kara Ventures, Negma Group, Newfund Management, Rainfall Ventures, The Raba Partnership, Y Combinator</t>
  </si>
  <si>
    <t>1984 Ventures (www.1984.vc), BYLD Ventures (www.byldventures.com), Decacorn Capital (decacorn.vc), FirstCheck Africa (www.firstcheck.africa), Kairos Angels (www.kairosangels.com), Kara Ventures (www.kara.ventures), Negma Group (www.negmagroup.com), Newfund Management (www.newfundcap.com), Rainfall Ventures (www.rainfall.com), The Raba Partnership (www.rabacap.com), Y Combinator (www.ycombinator.com)</t>
  </si>
  <si>
    <t>Developer of a banking platform designed for Nigerian businesses and freelancers. The company's platform makes receiving or managing USD payments at an affordable and convenient option by offering competitive exchange rates and low fees, enabling businesses and individuals to manage their accounts around the world.</t>
  </si>
  <si>
    <t>The company joined Visa Africa Fintech as a part of second cohort on May 20, 2024. No equity or funding was exchanged as a result of this program.</t>
  </si>
  <si>
    <t>FinTech, Mobile</t>
  </si>
  <si>
    <t>account creation, commercial finance, digital banking, global banking platform, global banking service, payment facilitation, payments processing portal, payments processing services</t>
  </si>
  <si>
    <t>PayFac Enablers</t>
  </si>
  <si>
    <t>362314-99P</t>
  </si>
  <si>
    <t>Tolu Alabi</t>
  </si>
  <si>
    <t>Ms. Tolu Alabi is a Co-Founder &amp; serves as Chief Executive Officer at Cleva.</t>
  </si>
  <si>
    <t>The company raised $1.5 million of pre-seed funding in a deal led by 1984 Ventures, Rainfall Ventures, and Y Combinator on January 8, 2024. Negma Group, FirstCheck Africa, BYLD Ventures, The Raba Partnership, Kara Ventures, Kairos Angels, Newfund Management, Decacorn Capital, and undisclosed individual investors also participated in the round.</t>
  </si>
  <si>
    <t>1984 Ventures, BYLD Ventures, Decacorn Capital, FirstCheck Africa, Kairos Angels, Kara Ventures, Negma Group, Newfund Management, Rainfall Ventures, The Raba Partnership</t>
  </si>
  <si>
    <t>1984 Ventures(Aaron Michel), Rainfall Ventures, Y Combinator</t>
  </si>
  <si>
    <t>Byld Ventures Fund(BYLD Ventures), FirstCheck Africa Fund(FirstCheck Africa), Newfund North America I(Newfund Management)</t>
  </si>
  <si>
    <t>Wilson Sonsini Goodrich &amp; Rosati (Legal Advisor to Company, Jonathan Chan JD)</t>
  </si>
  <si>
    <t>Middletown, DE</t>
  </si>
  <si>
    <t>Middletown</t>
  </si>
  <si>
    <t>www.getcleva.com</t>
  </si>
  <si>
    <t>191489-50T</t>
  </si>
  <si>
    <t>Clockout</t>
  </si>
  <si>
    <t>494238-34</t>
  </si>
  <si>
    <t>Gaingels</t>
  </si>
  <si>
    <t>Gaingels (www.gaingels.com)</t>
  </si>
  <si>
    <t>Developer of a social platform designed to make friends and build networks naturally. The company's platform provides a tailor-made ecosystem for post-grads and young professionals with features such as buddies, group chats, events, and meetups, enabling users to form social connections and build their personal networks.</t>
  </si>
  <si>
    <t>The company raised $756,000 of seed funding in the form of SAFE notes from undisclosed investors on June 30, 2023. Gaingels also invested in this round.</t>
  </si>
  <si>
    <t>authentic connection building, group chat, social connectivity platform, social interactive, social media connection, social networking, social platform app</t>
  </si>
  <si>
    <t>219031-75P</t>
  </si>
  <si>
    <t>Manasa Grandhi</t>
  </si>
  <si>
    <t>+1 (212) 265-6222</t>
  </si>
  <si>
    <t>manasa@clockoutapp.com</t>
  </si>
  <si>
    <t>Ms. Manasa Grandhi is a Co-Founder and serves as Co-Chief Executive Officer &amp; Board Member at Clockout. She served as a Private Equity Associate at CVC Capital Partners.</t>
  </si>
  <si>
    <t>New York University (Stern), BS (Bachelor of Science), finance, economics, and computer science</t>
  </si>
  <si>
    <t>Bridgewater, NJ</t>
  </si>
  <si>
    <t>Bridgewater</t>
  </si>
  <si>
    <t>08807</t>
  </si>
  <si>
    <t>www.clockoutapp.com</t>
  </si>
  <si>
    <t>166040-38T</t>
  </si>
  <si>
    <t>Clocr</t>
  </si>
  <si>
    <t>266092-21</t>
  </si>
  <si>
    <t>Shawn Carpenter(Shawn Carpenter)</t>
  </si>
  <si>
    <t>Developer of a digital legacy planning and disbursement platform intended to secure essential documents and information and legally pass on digital assets. The company's platform offers a digital safety deposit box with encryption and security and an online compliant tool to manage estate planning, online will, and execution of documents, enabling users to secure essential information and organize them into vaults that can be unlocked by pre-assigned nominees in case of an emergency or death.</t>
  </si>
  <si>
    <t>The company joined InsurTech NY in 2024. No equity or funding was exchanged as a result of this program.</t>
  </si>
  <si>
    <t>Database Software*, Financial Software, Other Financial Services</t>
  </si>
  <si>
    <t>digital asset, digital vault, emergency planning, end-of-life planning, estate planning tools, legacy planning</t>
  </si>
  <si>
    <t>End-of-Life Planning</t>
  </si>
  <si>
    <t>226512-73P</t>
  </si>
  <si>
    <t>Apoorva Chintala</t>
  </si>
  <si>
    <t>+1 (512) 943-7733</t>
  </si>
  <si>
    <t>Ms. Apoorva Chintala is a Co-Founder and serves as Chief Executive Officer, President &amp; Board Member at Clocr. The idea for Clocr came to her a few years ago shortly after the passing of her grandfather. After he died, there was confusion surrounding his beneficiaries and how his assets were to be distributed. Her father was thrust into the role of 'executor' and forced to try and determine what my grandfather's wishes had been and how to disburse his assets. All of these new responsibilities for her father, while important and urgent, seemed trivial in comparison to our loss.</t>
  </si>
  <si>
    <t>The company raised $500,000 of seed funding from Shawn Carpenter and other undisclosed investors on February 1, 2021. The funds will be used to support the platform development and geographic expansion.</t>
  </si>
  <si>
    <t>Shawn Carpenter</t>
  </si>
  <si>
    <t>78759</t>
  </si>
  <si>
    <t>www.clocr.com</t>
  </si>
  <si>
    <t>169543-99T</t>
  </si>
  <si>
    <t>CloseFactor</t>
  </si>
  <si>
    <t>463552-57</t>
  </si>
  <si>
    <t>Morado Ventures</t>
  </si>
  <si>
    <t>Morado Ventures (www.moradoventures.com)</t>
  </si>
  <si>
    <t>Developer of enterprise software and machine learning applications designed to offer automated sales research and contextual insights. The company specializes in actionable and relevant information about companies from various disparate sources using natural language processing and information extraction techniques, enabling businesses to reduce the time spent by the account executives on research and maximize time engaging with customers and prospects.</t>
  </si>
  <si>
    <t>The company joined FintechNext Ventures on an undisclosed date. Earlier, the company raised $15 million of Series A venture funding in a deal led by Sequoia Capital and Vertex Ventures US on January 17, 2023. GTMFund, Neythri Futures Fund, Overtime.vc, C3 Ventures (VC), Gaingels and Milkbox Partners also participated in the round.</t>
  </si>
  <si>
    <t>Artificial Intelligence &amp; Machine Learning, Big Data, Marketing Tech, SaaS</t>
  </si>
  <si>
    <t>analyzing software, crm, customer relationship management, enterprise software application, enterprise software system, extraction techniques, sales productivity software, technology software solutions, vertical application</t>
  </si>
  <si>
    <t>140724-82P</t>
  </si>
  <si>
    <t>Leena Joshi</t>
  </si>
  <si>
    <t>+1 (925) 462-0432</t>
  </si>
  <si>
    <t>leena@ogmagod.com</t>
  </si>
  <si>
    <t>Ms. Leena Joshi is a Co-Founder &amp; serves as Chief Executive Officer &amp; Board Member at CloseFactor. Ms. Joshi served as Vice President of Product Marketing at Redis Labs. She has spent over fifteen years in the high-tech industry in a variety of product marketing and product management roles. Most recently, she spent five years leading the Splunk solutions marketing team for IT operations, application management, and application development. Prior to Splunk, she led product marketing for VMware's flagship product VMware vSphere. She has also held product management and business operations roles at VMware, Intel, and Accenture. Leena has a Bachelor of Engineering degree in computer technology from VJTI (the University of Mumbai), and a post-graduate degree in management from the Indian Institute of Management Calcutta.</t>
  </si>
  <si>
    <t>Indian Institute of Management, Calcutta, Postgraduate Degree, Management, University of Mumbai, BE (Bachelor of Engineering), Computer Technology</t>
  </si>
  <si>
    <t>The company raised an estimated $5.2 million through a combination of Seed and Seed-1 funding from Morado Venture Partners and other undisclosed investors on February 19, 2021, putting the company's pre-money valuation at $10 million.</t>
  </si>
  <si>
    <t>Morado Venture Partners III(Morado Ventures)</t>
  </si>
  <si>
    <t>94303</t>
  </si>
  <si>
    <t>www.closefactor.com</t>
  </si>
  <si>
    <t>188005-15T</t>
  </si>
  <si>
    <t>Cloud Range</t>
  </si>
  <si>
    <t>437501-26</t>
  </si>
  <si>
    <t>Circadian Ventures(Michael Dowdle), Connetic Ventures, TechFarms Capital</t>
  </si>
  <si>
    <t>Circadian Ventures (www.circadian.vc), Connetic Ventures (www.conneticventures.com), TechFarms Capital (www.techfarmscapital.com)</t>
  </si>
  <si>
    <t>Operator of a cybersecurity firm intended to offer cybersecurity training as a service. The company offers SOC analyst and DFIR Simulation Training, security team training, candidate assessment, SOC readiness assessment, OT training, and other related services, enabling employees to defend against inevitable cyber-attacks.</t>
  </si>
  <si>
    <t>The company received an undisclosed amount of development capital from The Riverside Company on March 1, 2024.</t>
  </si>
  <si>
    <t>Education and Training Services (B2B)*, Network Management Software</t>
  </si>
  <si>
    <t>cyber range training, cyber risk reduction, cyber security learning, cyber training and education, cybersecurity firm operator, cybersecurity safety, managed security services, security operations</t>
  </si>
  <si>
    <t>Private Equity, Venture Capital</t>
  </si>
  <si>
    <t>236325-79P</t>
  </si>
  <si>
    <t>Debbie Gordon</t>
  </si>
  <si>
    <t>+1 (615) 400-3175</t>
  </si>
  <si>
    <t>dgordon@cloudrangecyber.com</t>
  </si>
  <si>
    <t>Ms. Debbie Gordon is a Co-Founder and serves as Chief Executive Officer at Cloud Range. She founded and sold several companies in eCommerce, data security, and IT asset Management. Debbie is a frequent speaker and thought leader on subjects related to the human element of cyber effectiveness. She is a globally recognized entrepreneur leading a new category in cybersecurity. Debbie began her career 25+ years ago in the technical education/ certification space and has since built and sold several companies in eCommerce, IT asset management, and training. Debbie is a frequent speaker on cybersecurity readiness, simulation training, and team effectiveness at conferences and seminars all around the world. She has also been featured in many podcasts, has authored many articles, and has been quoted in major publications including Fox News, Wall Street Journal and Forbes.</t>
  </si>
  <si>
    <t>The company raised $1.35 million of venture funding in a deal led by Circadian Ventures on February 7, 2022. TechFarms Capital and Connetic Ventures also participated in the round. The funds will be used for some of the new innovations the company is developing.</t>
  </si>
  <si>
    <t>Circadian Ventures, Connetic Ventures, TechFarms Capital</t>
  </si>
  <si>
    <t>Circadian Ventures(Michael Dowdle)</t>
  </si>
  <si>
    <t>Circadian Ventures Fund I(Circadian Ventures), Connetic Ventures(Connetic Ventures), TechFarms Capital Fund I(TechFarms Capital)</t>
  </si>
  <si>
    <t>Baker Donelson (Legal Advisor to Company)</t>
  </si>
  <si>
    <t>37212</t>
  </si>
  <si>
    <t>www.cloudrangecyber.com</t>
  </si>
  <si>
    <t>190170-73T</t>
  </si>
  <si>
    <t>CloudEagle</t>
  </si>
  <si>
    <t>437150-62</t>
  </si>
  <si>
    <t>F7 Ventures, Pareto Holdings, RingCentral (NYS: RNG), TiE Silicon Valley, VITALIZE Venture Capital</t>
  </si>
  <si>
    <t>F7 Ventures (www.f7ventures.com), Pareto Holdings (www.pareto20.com), RingCentral (NYS: RNG) (www.ringcentral.com), TiE Silicon Valley (sv.tie.org), VITALIZE Venture Capital (vitalize.vc)</t>
  </si>
  <si>
    <t>Developer of AI (artificial intelligence) platform designed for drag-and-drop slack-enabled procurement workflows. The company's platform automatically categorizes the vendors and provides a complete view of vendors including compliance, and competitors, and automatically discovers and tracks every application being used in the organization, enabling information technology (IT), security and procurement teams to manage, govern and renew all their service-as-a-service (SaaS) apps from one single platform.</t>
  </si>
  <si>
    <t>The company raised an undisclosed amount of venture funding from Dragon Capital, Exceptional Capital, OneValley Ventures, and TSVC in January 2023. Simon Chan, Manik Gupta and Daniel Rossignol also participated in the round.</t>
  </si>
  <si>
    <t>cloud spend management, cost management software, saas management platform, software spend management, vendor management platform, vendor management tool</t>
  </si>
  <si>
    <t>257862-25P</t>
  </si>
  <si>
    <t>Nidhi Jain</t>
  </si>
  <si>
    <t>+1 (510) 299-5432</t>
  </si>
  <si>
    <t>nidhi@cloudeagle.ai</t>
  </si>
  <si>
    <t>Ms. Nidhi Jain is a Co-Founder and serves as Chief Executive Officer at CloudEagle. Prior to CloudEagle.ai, she spent several years selling to CIO's and building partnerships at Box &amp; ServiceNow. She is a former Goldman Sachs investment banker and also did venture investing and public markets investing in India. She came to the US with the first wave of startups in 1999, sold her company to Verizon wireless before completing her MBA from UC Berkeley.</t>
  </si>
  <si>
    <t>University of California, Berkeley, MBA (Master of Business Administration)</t>
  </si>
  <si>
    <t>The company raised $3 million of seed funding from RingCentral, Pareto Holdings and F7 Ventures on December 27, 2021. VITALIZE Venture Capital and TiE Silicon Valley also participated in the round.</t>
  </si>
  <si>
    <t>F7 Ventures, Pareto Holdings, RingCentral, TiE Silicon Valley, VITALIZE Venture Capital</t>
  </si>
  <si>
    <t>F7 Ventures Fund I(F7 Ventures), Vitalize Fund I(VITALIZE Venture Capital), Vitalize Fund II(VITALIZE Venture Capital)</t>
  </si>
  <si>
    <t>www.cloudeagle.ai</t>
  </si>
  <si>
    <t>139931-92T</t>
  </si>
  <si>
    <t>CloudSphere</t>
  </si>
  <si>
    <t>436797-55</t>
  </si>
  <si>
    <t>Atlantic Bridge Capital(Kevin Dillon), HighBar Partners(John Kim), iQuate, ST Engineering Ventures</t>
  </si>
  <si>
    <t>Atlantic Bridge Capital (www.abven.com), HighBar Partners (www.highbarpartners.com), iQuate (www.iquate.com)</t>
  </si>
  <si>
    <t>Developer of cloud governance platform designed for enterprises and cloud service providers. The company's platform offers governance across migration planning, security posture, identity, compliance, and cost management in the cloud, enabling companies in industry segments including telecommunications, software, finance, insurance, healthcare, construction, and education to simplify and optimize cloud migration, management, and governance.</t>
  </si>
  <si>
    <t>The company raised $12 million of Series B venture funding in a deal led by Atlantic Bridge Capital on September 5, 2024. ST Engineering Ventures and other undisclosed investors also participated in the round. The funds will be used to fuel CloudSphere's growth strategies, including expanding its comprehensive IT visibility platform into the security operations space.</t>
  </si>
  <si>
    <t>Business/Productivity Software*, Network Management Software, Systems and Information Management</t>
  </si>
  <si>
    <t>CloudTech &amp; DevOps, SaaS</t>
  </si>
  <si>
    <t>cloud cost management, cloud migration, cloud platform, cloud security, cloud solutions, network problems</t>
  </si>
  <si>
    <t>FinOps</t>
  </si>
  <si>
    <t>129084-04P</t>
  </si>
  <si>
    <t>Patrick McNally</t>
  </si>
  <si>
    <t>patrick.mcnally@equal1.com</t>
  </si>
  <si>
    <t>Mr. Patrick McNally serves as Chief Commercial Officer at Equal1. He served as Chief Executive Officer at iQuate. He also served as Chief Executive Officer and Board Member at CloudSphere. He brings extensive global management experience and leadership to iQuate, where he previously held roles as Director of Global Segment with Dell EMEA and Vice President of Global Enterprise at Insight EMEA &amp; APAC. He has a strong track record of leading high performing teams within high growth companies.</t>
  </si>
  <si>
    <t>Bachelor's (Honors), International Marketing, Degree, 1990, Dublin Business School, Degree, 1994, Languages</t>
  </si>
  <si>
    <t>The company raised $83.03 million of venture funding from ST Engineering Ventures, iQuate, Atlantic Bridge Capital and other undisclosed investors on July 5, 2020, putting the company's pre-money valuation at $853.27 million. HighBar Partners also participated in the round.</t>
  </si>
  <si>
    <t>Atlantic Bridge Capital, HighBar Partners, ST Engineering Ventures</t>
  </si>
  <si>
    <t>iQuate</t>
  </si>
  <si>
    <t>HighBar Partners III(HighBar Partners), ST Engineering Venture Fund(ST Engineering Ventures), University Bridge Fund II(Atlantic Bridge Capital)</t>
  </si>
  <si>
    <t>Cooley (Legal Advisor to Atlantic Bridge Capital, Jon Gavenman JD)</t>
  </si>
  <si>
    <t>www.cloudsphere.com</t>
  </si>
  <si>
    <t>193346-11T</t>
  </si>
  <si>
    <t>Clutch (Services (B2C Non-Financial))</t>
  </si>
  <si>
    <t>462021-76</t>
  </si>
  <si>
    <t>Capital Factory, HearstLab, Precursor Ventures, Purdue Ventures, Urban Capital Network</t>
  </si>
  <si>
    <t>Capital Factory (www.capitalfactory.com), HearstLab (www.hearstlab.com), Precursor Ventures (precursorvc.com), Urban Capital Network (www.urbancapitalnetwork.com)</t>
  </si>
  <si>
    <t>Provider of two-sided freelance services intended to help emerging brands elevate their digital marketing presence by connecting them to next-gen creators. The company's application helps to ease collaborations between creators looking to manage their rates, payments, and portfolios easily, and clients looking for services including social media management, short-form video content creation, and graphic design, enabling students to get financially independent and companies to hit their target audience, hire their target audience.</t>
  </si>
  <si>
    <t>The company was acquired by Plaiced for an undisclosed amount on July 26, 2024.</t>
  </si>
  <si>
    <t>Application Software, Other Restaurants, Hotels and Leisure, Other Services (B2C Non-Financial)*</t>
  </si>
  <si>
    <t>creator economy, freelance-marketers, freelancers marketplace, gig economy platform, hiring freelancers, human capital resource, marketing services, social media influence</t>
  </si>
  <si>
    <t>Formerly VC-backed</t>
  </si>
  <si>
    <t>254786-50P</t>
  </si>
  <si>
    <t>Madison Long</t>
  </si>
  <si>
    <t>+1 (281) 606-5864</t>
  </si>
  <si>
    <t>madison@thatsclutch.com</t>
  </si>
  <si>
    <t>Ms. Madison Long is a Co-Founder and also serves as its Chief Executive Officer &amp; Board Member at Clutch.</t>
  </si>
  <si>
    <t>Up Round</t>
  </si>
  <si>
    <t>The company raised $1.8 million of seed funding in a deal led by Precursor Ventures on August 5, 2022, putting the company's pre-money valuation at $6.2 million. Urban Capital Network, Capital Factory, Purdue Ventures, and HearstLab also participated in the round. The funds will be used to accelerate company's beta launch and its continued investment in customer and product strategy.</t>
  </si>
  <si>
    <t>Capital Factory Partners 2022(Capital Factory)</t>
  </si>
  <si>
    <t>77007</t>
  </si>
  <si>
    <t>www.thatsclutch.com</t>
  </si>
  <si>
    <t>191818-36T</t>
  </si>
  <si>
    <t>Clutch Wallet</t>
  </si>
  <si>
    <t>493272-82</t>
  </si>
  <si>
    <t>Anthemis, Emmeline Ventures(Naseem Sayani), Everywhere Ventures, Rogue Women(Caroline Lewis)</t>
  </si>
  <si>
    <t>Anthemis (www.anthemis.com), Emmeline Ventures (www.emmelineventures.vc), Everywhere Ventures (everywhere.vc), Rogue Women (www.roguewmn.com)</t>
  </si>
  <si>
    <t>Developer of a digital financial platform designed to invest in digital currencies. The company offers web and mobile applications that connect to Web3 wallets, explore Web3, and seamlessly transact NFTs, and cryptocurrencies, allowing users to hold, invest in, and trade digital assets on the Ethereum blockchain.</t>
  </si>
  <si>
    <t>The company raised $800,000 of pre-seed funding in a deal led by Anthemis on February 1, 2022. Everywhere Ventures, Rogue Women and Emmeline Ventures also participated in the round.</t>
  </si>
  <si>
    <t>Cryptocurrency/Blockchain, FinTech, Mobile</t>
  </si>
  <si>
    <t>application software, crypto platform developer, digital currency, digital currency platform, digital currency trading, financial platform, financial software</t>
  </si>
  <si>
    <t>294465-34P</t>
  </si>
  <si>
    <t>Rebecca Jones</t>
  </si>
  <si>
    <t>bec@clutchwallet.xyz</t>
  </si>
  <si>
    <t>Ms. Rebecca Jones serves is a Co-Founder &amp; serves as Chief Executive Officer at Clutch wallet.</t>
  </si>
  <si>
    <t>Charles Sturt University, Bachelor's (Honors), 2013, Business, Charles Sturt University, BBA (Bachelor of Business Administration), 2015, Management, Charles Sturt University, Master's, 2013, Business Leadership</t>
  </si>
  <si>
    <t>Anthemis, Emmeline Ventures, Everywhere Ventures, Rogue Women</t>
  </si>
  <si>
    <t>Anthemis</t>
  </si>
  <si>
    <t>Emmeline Ventures Fund I(Emmeline Ventures), Everywhere Ventures I(Everywhere Ventures), Female Innovators Lab(Anthemis), Rogue Women's Fund I(Rogue Women)</t>
  </si>
  <si>
    <t>90036</t>
  </si>
  <si>
    <t>www.joinclutch.xyz</t>
  </si>
  <si>
    <t>179789-50T</t>
  </si>
  <si>
    <t>Clymb</t>
  </si>
  <si>
    <t>472510-45</t>
  </si>
  <si>
    <t>TEDCO</t>
  </si>
  <si>
    <t>TEDCO (www.tedcomd.com)</t>
  </si>
  <si>
    <t>Developer of an educational platform designed to reduce the impact of mental, emotional and behavioral disorders in youth. The company's platform helps to develop emotional intelligence in children by combining mindfulness and socio-emotional learning and their cognitive functions, enabling users to have a personalized plan based on the state of their emotional health.</t>
  </si>
  <si>
    <t>The company raised $375,000 of venture funding from TEDCO and Conscious Venture Partners, Ignite Capital on October 11, 2023.</t>
  </si>
  <si>
    <t>child education, cognitive function development, edtech platform, educational application, mental strength, stress management</t>
  </si>
  <si>
    <t>274590-73P</t>
  </si>
  <si>
    <t>Ashley Williams</t>
  </si>
  <si>
    <t>awilliams@clymbup.io</t>
  </si>
  <si>
    <t>Ms. Ashley Williams is the Founder &amp; serves as Chief Executive Officer at Clymb. Ashley is an educator, school leader, and emotional intelligence expert with over a decade of experience in education. She has written and implemented socio-emotional and mindfulness curriculums for schools, non-profits, students and educators. She is a dedicated mindfulness practitioner.</t>
  </si>
  <si>
    <t>The company raised $100,000 of pre-seed funding in the form of convertible note from TEDCO on July 2, 2021.</t>
  </si>
  <si>
    <t>Baltimore, MD</t>
  </si>
  <si>
    <t>Baltimore</t>
  </si>
  <si>
    <t>Maryland</t>
  </si>
  <si>
    <t>21231</t>
  </si>
  <si>
    <t>www.clymbup.io</t>
  </si>
  <si>
    <t>Bridge Loan - $0.10M (Convertible)</t>
  </si>
  <si>
    <t>244099-90T</t>
  </si>
  <si>
    <t>CModel</t>
  </si>
  <si>
    <t>519783-94</t>
  </si>
  <si>
    <t>Alabama Futures Fund, Rogue Women, Techstars</t>
  </si>
  <si>
    <t>Alabama Futures Fund (www.alabamafuturesfund.com), Rogue Women (www.roguewmn.com), Techstars (www.techstars.com)</t>
  </si>
  <si>
    <t>Operator of a self-service decision intelligence platform intended to help growth-focused leaders make the right decisions at the right time. The company develops advanced decision-intelligence technology that gives businesses insight into their operations, enabling leadership teams to keep their team, strategy and resources in sync while they grow.
.</t>
  </si>
  <si>
    <t>The company raised $1 million of venture funding in the form of convertible debt from Alabama Futures Fund, Rogue Women and Techstars on February 15, 2024.</t>
  </si>
  <si>
    <t>decision intelligence, decision intelligence platform, decision intelligence technology, decision making, decision support, software development</t>
  </si>
  <si>
    <t>335077-03P</t>
  </si>
  <si>
    <t>Teasha Cable</t>
  </si>
  <si>
    <t>+1 (510) 205-2020</t>
  </si>
  <si>
    <t>teasha@c-model.com</t>
  </si>
  <si>
    <t>Ms. Teasha Cable is a Co-Founder and serves as Chief Executive Officer at CModel.</t>
  </si>
  <si>
    <t>Alabama Futures Fund, Rogue Women</t>
  </si>
  <si>
    <t>Rogue Women's Fund II(Rogue Women)</t>
  </si>
  <si>
    <t>Vallejo, CA</t>
  </si>
  <si>
    <t>Vallejo</t>
  </si>
  <si>
    <t>94589</t>
  </si>
  <si>
    <t>www.cmodel.io</t>
  </si>
  <si>
    <t>Bridge Loan</t>
  </si>
  <si>
    <t>211340-35T</t>
  </si>
  <si>
    <t>co:census</t>
  </si>
  <si>
    <t>459521-29</t>
  </si>
  <si>
    <t>Ad Astra Ventures</t>
  </si>
  <si>
    <t>Ad Astra Ventures (adastra.ventures)</t>
  </si>
  <si>
    <t>Developer of a survey and polling software designed to collect and analyze public sentiments for government agencies. The company's platform provides users with language translations to make surveys more inclusive, SMS-based surveys to engage constituents, integrations to import data, and tools to transform narrative-based data into usable information, enabling teams to gather representative data and transform public feedback into equitable insights efficiently.</t>
  </si>
  <si>
    <t>The company joined Google for Startups on an undisclosed date.</t>
  </si>
  <si>
    <t>Artificial Intelligence &amp; Machine Learning, Big Data, CloudTech &amp; DevOps, SaaS</t>
  </si>
  <si>
    <t>analytics platform, civic engagement platform, data visualisation, deep insights, govtech software, natural language processing, natural language technology, survey software, unstructured data analytics</t>
  </si>
  <si>
    <t>252106-57P</t>
  </si>
  <si>
    <t>Tiasia O'Brien</t>
  </si>
  <si>
    <t>+1 (518) 360-1344</t>
  </si>
  <si>
    <t>tiasia@seamsociallabs.com</t>
  </si>
  <si>
    <t>Ms. Tiasia O'Brien is the Founder of co:census.</t>
  </si>
  <si>
    <t>The company raised $525,000 of pre-seed funding from Ad Astra Ventures on December 18, 2020.</t>
  </si>
  <si>
    <t>10005</t>
  </si>
  <si>
    <t>www.cocensus.io</t>
  </si>
  <si>
    <t>Electric digital data processing, Speech analysis techniques or speech synthesis</t>
  </si>
  <si>
    <t>193824-73T</t>
  </si>
  <si>
    <t>Co:Create</t>
  </si>
  <si>
    <t>496348-03</t>
  </si>
  <si>
    <t>Amy Wu(Amy Wu), Andreessen Horowitz, Autograph, Flori Ventures, Gary Vaynerchuk(Gary Vaynerchuk), Muse Capital, Not Boring(Patrick McCormick), Quiet Capital, RareBreed Ventures, Rogue Women(Caroline Lewis), RTFKT, Tessera (Financial Software), Vaynerfund, VC3 (New York)</t>
  </si>
  <si>
    <t>Andreessen Horowitz (www.a16z.com), Autograph (www.autograph.io), Flori Ventures (www.floriventures.com), Gary Vaynerchuk (www.garyvaynerchuk.com), Muse Capital (www.musecapital.vc), Not Boring (www.notboring.co), Quiet Capital (www.quiet.com), RareBreed Ventures (rarebreed.vc), Rogue Women (www.roguewmn.com), RTFKT (www.rtfkt.com), Tessera (Financial Software) (www.tessera.co), Vaynerfund (vaynerfund.com), VC3 (New York) (vc3labs.com)</t>
  </si>
  <si>
    <t>Operator of a curated platform intended to connect tattoo collectors and artists. The company's platform offers exclusive access, white-glove service, and priority booking times for those who purchase directly from partnered artists and provides detailed scheduling, customization, placement discussions, and aftercare, enabling customers to request custom work or purchase pre-drawn designs from top tattoo artists.</t>
  </si>
  <si>
    <t>The company raised $25 million of seed funding in a deal led by Andreessen Horowitz on May 10, 2022. Autograph and 12 other investors also participated in the round. The funds will be used to double the current team of 10 people and sign partnerships with brands and creators for the protocol.</t>
  </si>
  <si>
    <t>Business/Productivity Software, Information Services (B2C)*, Media and Information Services (B2B)</t>
  </si>
  <si>
    <t>api-first, application infrastructure, booking platform, crm, crypto corporation management and finance, curated platform, custom tattoos, customer relationship management, tattoos artists, tattoos booking, white-glove service</t>
  </si>
  <si>
    <t>231609-34P</t>
  </si>
  <si>
    <t>Tara Fung</t>
  </si>
  <si>
    <t>+1 (704) 425-5935</t>
  </si>
  <si>
    <t>tara.fung@usecocreate.io</t>
  </si>
  <si>
    <t>Ms. Tara Fung is a Co-Founder &amp; serves as Chief Executive Officer at Co:Create. She served as Chief Revenue Officer at Alto. Ms. Tara Fung served as Chief Commercial Officer at CommonBond. She leads CommonBond's Enterprise team which is focused on providing education benefits to employers. Under her leadership, CommonBond raised $130M in equity funding and more than $3B in debt financing to support consumer lending and SaaS technology. Prior to CommonBond, Tara worked for German automotive giant, Daimler AG, in international strategy and project management roles. Tara has a B.S. in Economics from the University of South Carolina, and an M.B.A. from Harvard Business School.</t>
  </si>
  <si>
    <t>Harvard Business School, MBA (Master of Business Administration), University of South Carolina, Columbia, BS (Bachelor of Science), Economics</t>
  </si>
  <si>
    <t>The company raised $25 million of seed funding in a deal led by Andreessen Horowitz on May 10, 2022. Autograph, RTFKT, Tessera, Flori Ventures, Rogue Women, Quiet Capital, RareBreed Ventures, Muse Capital, Not Boring, VC3, Vayner Fund Amy Wu and Gary Vaynerchuk also participated in the round. The funds will be used to double the current team of 10 people and sign partnerships with brands and creators for the protocol.</t>
  </si>
  <si>
    <t>Amy Wu, Andreessen Horowitz, Autograph, Flori Ventures, Gary Vaynerchuk, Muse Capital, Not Boring, Quiet Capital, RareBreed Ventures, Rogue Women, RTFKT, Tessera (Financial Software), Vaynerfund, VC3 (New York)</t>
  </si>
  <si>
    <t>Andreessen Horowitz</t>
  </si>
  <si>
    <t>Quiet Growth I(Quiet Capital), RareBreed Fund I(RareBreed Ventures), Rogue Women's Fund II(Rogue Women), VC3 Fund I(VC3 (New York))</t>
  </si>
  <si>
    <t>Cooley (Legal Advisor to Company), Gunderson Dettmer (Legal Advisor to Andreessen Horowitz)</t>
  </si>
  <si>
    <t>Gunderson Dettmer (Legal Advisor to Andreessen Horowitz)</t>
  </si>
  <si>
    <t>Menlo Park, CA</t>
  </si>
  <si>
    <t>Menlo Park</t>
  </si>
  <si>
    <t>cocreate.ink</t>
  </si>
  <si>
    <t>158166-55T</t>
  </si>
  <si>
    <t>Cobble</t>
  </si>
  <si>
    <t>432639-10</t>
  </si>
  <si>
    <t>CMDM Holdings, Hardin Homestead Investments, Josh Kerr(Josh Kerr), Kerr Tech Investments(Josh Kerr)</t>
  </si>
  <si>
    <t>Kerr Tech Investments (kerr.vc)</t>
  </si>
  <si>
    <t>Developer of an artificial intelligence-driven platform designed to drive collaborative agreement on social decisions. The company's platform encourages proposals and feedback from everyone involved to reach a final state of agreement, understanding connections between people and their shared interests and preferences, enabling the wiring of how people make collaborative agreements on ideas.</t>
  </si>
  <si>
    <t>The company raised venture funding in the form of convertible debt from undisclosed investors in 2024.</t>
  </si>
  <si>
    <t>Artificial Intelligence &amp; Machine Learning, Mobile</t>
  </si>
  <si>
    <t>activity discovery, curated content, experience platform, female entrepreneurs, female founders, personal assistant, social activation platform, social app</t>
  </si>
  <si>
    <t>223580-08P</t>
  </si>
  <si>
    <t>Jordan Scott</t>
  </si>
  <si>
    <t>+1 (518) 312-7273</t>
  </si>
  <si>
    <t>jordan@trycobble.com</t>
  </si>
  <si>
    <t>Ms. Jordan Scott is the Founder and serves as Chief Executive Officer at Cobble. She went to NYU's Gallatin School of Individualized Study where she created her own major focused on "writing the family". Throughout college, she worked internships at several influential companies-from Cosmopolitan to Yahoo! to Refinery29. Her final internship at NBC (working as a liaison between Today, Nightly, and all of the affiliate stations across the United States) led to her first job as a news associate at CBS This Morning. To date, she has raised over $3 million in seed funding, with thousands of users who have swiped over 1M times on dates and experiences and is quickly expanding Cobble's offerings to new cities adapting to the culture. She has been profiled in Forbes, Fortune, FOX 5 Good Day New York, and more. In 2017, she created "idk tonight", a website and newsletter that provides NYC couples with curated date night plans to help couples answer the timeless question: What do you want to do tonight?". After winning NYU x New York Jets No Huddle Challenge and Entrepreneur Magazine's LIVE 5-minute pitch competition, she launched Cobble, the first app that supports couples in "life after the swipe."</t>
  </si>
  <si>
    <t>New York University, Bachelor's, 2016, Journalism</t>
  </si>
  <si>
    <t>The company raised $3.3 million of seed funding from Kerr Tech Investments, Hardin Homestead Investments and CMDM Holdings on October 26, 2020. Josh Kerr and other undisclosed investors also participated in the round. The funds will be used for new hires in marketing and developing an iOS app.</t>
  </si>
  <si>
    <t>CMDM Holdings, Hardin Homestead Investments, Josh Kerr, Kerr Tech Investments</t>
  </si>
  <si>
    <t>Mintz (Legal services B2B) (Legal Advisor to Company, Samuel Effron JD)</t>
  </si>
  <si>
    <t>Sunny Isles Beach, FL</t>
  </si>
  <si>
    <t>Sunny Isles Beach</t>
  </si>
  <si>
    <t>33160</t>
  </si>
  <si>
    <t>www.trycobble.com</t>
  </si>
  <si>
    <t>212553-01T</t>
  </si>
  <si>
    <t>Cobbler (Financial Software)</t>
  </si>
  <si>
    <t>509508-55</t>
  </si>
  <si>
    <t>10X Capital, Gaingels</t>
  </si>
  <si>
    <t>10X Capital (www.10xcapital.com), Gaingels (www.gaingels.com)</t>
  </si>
  <si>
    <t>Developer of financial budgeting software intended to help finance teams scale. The company specializes in automated tracking, headcount planning, detecting miscoded data, real-time financial data, real-time rolling headcount forecasts, and budget variance reports, enabling clients to grow by managing communication around budget changes and delivering real-time financial data to every employee.</t>
  </si>
  <si>
    <t>The company raised an estimated $4 million of Seed funding from 10X Capital and other undisclosed investors on October 3, 2022, putting the company's pre-money valuation at $10 million. Gaingels also invested in this round.</t>
  </si>
  <si>
    <t>automated tracking, budget software, finance workflow software, financial budgeting, financial budgeting service, financial budgeting software, financial data, headcount planning</t>
  </si>
  <si>
    <t>358562-89P</t>
  </si>
  <si>
    <t>Jamie Salazar</t>
  </si>
  <si>
    <t>Ms. Jamie Salazar is a Co-Founder and serves as Chief Executive Officer at Cobbler.</t>
  </si>
  <si>
    <t>www.cobbler.io</t>
  </si>
  <si>
    <t>165338-02T</t>
  </si>
  <si>
    <t>Cocoon (Business/Productivity Software)</t>
  </si>
  <si>
    <t>459104-41</t>
  </si>
  <si>
    <t>Brown Angel Group, First Round Capital, Index Ventures, SemperVirens Venture Capital</t>
  </si>
  <si>
    <t>Brown Angel Group (www.brownangelgroup.org), First Round Capital (www.firstround.com), Index Ventures (www.indexventures.com), SemperVirens Venture Capital (www.sempervirensvc.com)</t>
  </si>
  <si>
    <t>Developer of a leave management platform designed to address different types of employee leave. The company's platform assists with the complexities of every aspect of leaves, from compliance to payroll to claims and automates the recovery of state and insurance income, enabling companies to offer quality support to their team members through life's pivotal moments and providing employees with an empathetic leave experience.</t>
  </si>
  <si>
    <t>The company raised an undisclosed amount of venture funding from ADP Ventures on October 3, 2023.</t>
  </si>
  <si>
    <t>employee leave software, employee management platform, employee management tool, enterprise resource planning, erp, human capital management, insurance claims software, leave management software, payroll processing, payroll software</t>
  </si>
  <si>
    <t>251154-82P</t>
  </si>
  <si>
    <t>Mahima Chawla</t>
  </si>
  <si>
    <t>+1 (213) 973-3380</t>
  </si>
  <si>
    <t>mahima@meetcocoon.com</t>
  </si>
  <si>
    <t>Ms. Mahima Chawla is a Co-Founder and serves as Chief Executive Officer &amp; Chief Financial Officer at Cocoon.</t>
  </si>
  <si>
    <t>The company raised $5.5 million through a combination of Seed 1, and, Seed 2 funding from First Round Capital, Index Ventures, SemperVirens Venture Capital and Brown Angel Group on December 1, 2020, putting the company's pre-money valuation at $26 million.</t>
  </si>
  <si>
    <t>First Round Capital VII(First Round Capital), Index Ventures X(Index Ventures), SemperVirens Capital Fund(SemperVirens Venture Capital)</t>
  </si>
  <si>
    <t>94133</t>
  </si>
  <si>
    <t>www.cocoon.com</t>
  </si>
  <si>
    <t>133250-32T</t>
  </si>
  <si>
    <t>Code Galaxy</t>
  </si>
  <si>
    <t>278849-44</t>
  </si>
  <si>
    <t>Capital Factory, Houston Angel Network</t>
  </si>
  <si>
    <t>Capital Factory (www.capitalfactory.com), Houston Angel Network (www.houstonangelnetwork.org)</t>
  </si>
  <si>
    <t>Provider of online coding classes intended to assist students to grow and improve their computer programming skills. The company's coding classes are collaborative and creative with a project-based curriculum that empowers kids to develop new creative skills and learn to build their applications and games, enabling students to have access to structure and guidance in a fun and challenging environment.</t>
  </si>
  <si>
    <t>The company joined Texas Venture Labs as a part of spring program in 2023.</t>
  </si>
  <si>
    <t>coding classes, coding education, computer science education, edtech platform, interactive learning, k-12 education, online coding education, technology skills improvement, virtual learning</t>
  </si>
  <si>
    <t>287570-08P</t>
  </si>
  <si>
    <t>Marliis Reinkort</t>
  </si>
  <si>
    <t>+1 (404) 614-0006</t>
  </si>
  <si>
    <t>marliis@thecodegalaxy.com</t>
  </si>
  <si>
    <t>Ms. Marliis Reinkort serves as Chief Executive Officer at Code Galaxy. She is an experienced leader in the virtual learning space. She was the COO at Emerge Media (E-Learning Company), where she helped empower students to reach their potential in the Arts. She is also a professional rower who competed for both USC Women's Rowing team and the national team. She holds a B.A. in Communication and M.S. in entrepreneurship from USC.</t>
  </si>
  <si>
    <t>University of Southern California (USC), BA (Bachelor of Arts), Communication, University of Southern California (USC), MS (Master of Science), Entrepreneurship</t>
  </si>
  <si>
    <t>The company raised $154,500 of seed funding in the form of convertible debt from Capital Factory and Houston Angel Network on May 7, 2020.</t>
  </si>
  <si>
    <t>Capital Factory Partners 2018(Capital Factory)</t>
  </si>
  <si>
    <t>78741</t>
  </si>
  <si>
    <t>www.thecodegalaxy.com</t>
  </si>
  <si>
    <t>242782-93T</t>
  </si>
  <si>
    <t>Cofactr</t>
  </si>
  <si>
    <t>471935-26</t>
  </si>
  <si>
    <t>AG Collective Capital, Bain Capital Ventures, Broom Ventures, Cathexis Ventures, Correlation Ventures, Floating Point, Litani Ventures, Pioneer Fund, REMUS Capital, Seed River, Sweetspot Capital Holdings, Y Combinator</t>
  </si>
  <si>
    <t>AG Collective Capital (www.agcollectivecapital.com), Bain Capital Ventures (www.baincapitalventures.com), Broom Ventures (www.broom.ventures), Cathexis Ventures (www.cathexisventures.com), Correlation Ventures (www.correlationvc.com), Floating Point (www.floating.vc), Litani Ventures (www.litani.com), Pioneer Fund (www.pioneerfund.vc), REMUS Capital (www.remuscap.com), Seed River (www.seedriver.com), Sweetspot Capital Holdings (www.sweetspotcap.com), Y Combinator (www.ycombinator.com)</t>
  </si>
  <si>
    <t>Developer of automated electronics purchasing assistant designed to help the hardware team get all the parts they need. The company provides automated sourcing from global suppliers, powerful supply chain intelligence, and intuitive forecasting with transparent search, automated quoting, and instant purchasing, enabling clients to proactively source parts and mitigate supply issues.</t>
  </si>
  <si>
    <t>The company raised $17.21 million through a combination of Series A and Series A-1 venture funding from Skeptical Investments, Shah Capital Ventures and other undisclosed investors on October 14, 2024, putting the company's pre-money valuation at $63.79 million.</t>
  </si>
  <si>
    <t>Business/Productivity Software*, Logistics, Media and Information Services (B2B)</t>
  </si>
  <si>
    <t>SaaS, Supply Chain Tech</t>
  </si>
  <si>
    <t>automated tracking, electronics goods, electronics market, inventory management, procurement and sourcing, supply chain management, supply chain system</t>
  </si>
  <si>
    <t>273282-13P</t>
  </si>
  <si>
    <t>Matthew Haber</t>
  </si>
  <si>
    <t>+1 (332) 373-2227</t>
  </si>
  <si>
    <t>matthew@cofactr.com</t>
  </si>
  <si>
    <t>Mr. Matthew Haber is a Co-Founder and serves as Co-Chief Executive Officer &amp; Board Member at Cofactr.</t>
  </si>
  <si>
    <t>The company raised $8.98 million of seed funding from Cathexis Ventures, Pioneer Fund and Seed River on September 26, 2023, putting the company's pre-money valuation at $16.02 million. Correlation Ventures, AG Collective Capital, REMUS Capital, Floating Point, Bain Capital Ventures, Broom Ventures, Y Combinator, Litani Ventures and Sweetspot Capital Holdings, and other undisclosed investors also participated in the round.</t>
  </si>
  <si>
    <t>AG Collective Capital, Bain Capital Ventures, Broom Ventures, Cathexis Ventures, Correlation Ventures, Floating Point, Litani Ventures, Pioneer Fund, REMUS Capital, Seed River, Sweetspot Capital Holdings</t>
  </si>
  <si>
    <t>Floating Point WashCo Fund(Floating Point)</t>
  </si>
  <si>
    <t>Fox Rothschild (Legal Advisor to Company, Terrence Kerwin JD)</t>
  </si>
  <si>
    <t>www.cofactr.com</t>
  </si>
  <si>
    <t>158955-76T</t>
  </si>
  <si>
    <t>Coherent (Business/Productivity Software)</t>
  </si>
  <si>
    <t>452781-64</t>
  </si>
  <si>
    <t>Cathay Innovation, Franklin Templeton Investments United Kingdom</t>
  </si>
  <si>
    <t>Cathay Innovation (www.cathayinnovation.com), Franklin Templeton Investments United Kingdom (www.franklintempleton.co.uk)</t>
  </si>
  <si>
    <t>Developer of a software-as-a-service platform designed for business and IT collaboration. The company's platform transforms spreadsheets into APIs, unifies developers and non-developers, and automates processes, enabling businesses to streamline operations, enhance productivity, and reduce risks through efficient and scalable software.</t>
  </si>
  <si>
    <t>The company raised $75 million of Series B venture funding in a deal led by Maverick Ventures on April 21, 2022. American Family Ventures and 5 other investors also participated in the round.</t>
  </si>
  <si>
    <t>api connectivity, api development, enterprise platform, insurance pricing, process automation, process automation system</t>
  </si>
  <si>
    <t>245606-59P</t>
  </si>
  <si>
    <t>John Brisco</t>
  </si>
  <si>
    <t>+852 3905 2999</t>
  </si>
  <si>
    <t>john.brisco@coherent.com.hk</t>
  </si>
  <si>
    <t>Mr. John Brisco is a Co-Founder and serves as Chief Executive Officer at Coherent Capital Advisors. Mr. Brisco started his career in AXA and EY. Most recently, he worked as COO and CIO at Manulife Asia John is the leader and co-founder of Coherent. Every day, he works with teams, customers and partners across the world to help unleash business logic into APIs via Coherent's world-class and unique software. His movement into entrepreneurship arose from a successful executive career within some of the world's largest Financial services companies, where he became fascinated around how much business logic was being created in Microsoft Excel to support product planning, processes and financial reporting/planning to enable such businesses to operate. However, the 'a-ha' moment he experienced was the challenge, timeline and high cost challenges that were faced within business around translating this logic into the systems that enterprises use on a daily basis.</t>
  </si>
  <si>
    <t>The company raised $14 million of Series A venture funding in a deal led by Cathay Innovation on November 10, 2020. Franklin Templeton Investments United Kingdom also participated in the round. The funding will be used to expand Asia presence, boost customer reach, and scale its business.</t>
  </si>
  <si>
    <t>Cathay Innovation</t>
  </si>
  <si>
    <t>Cathay Innovation(Cathay Innovation), Cathay Innovation Fund II(Cathay Innovation)</t>
  </si>
  <si>
    <t>TTB Partners (Advisor: General to Company)</t>
  </si>
  <si>
    <t>www.coherent.global</t>
  </si>
  <si>
    <t>139775-23T</t>
  </si>
  <si>
    <t>Cohesion (Business/Productivity Software)</t>
  </si>
  <si>
    <t>279823-78</t>
  </si>
  <si>
    <t>Capital Markets Trading, ESD(Raj Gupta), Frasers Property (SES: TQ5)(Panote Sirivadhanabhakdi), Hyde Park Angels, Kenneth Griffin(Kenneth Griffin), Michael Sacks(Michael Sacks)</t>
  </si>
  <si>
    <t>Capital Markets Trading (www.capitalmarketstrading.com), ESD (www.esdglobal.com), Frasers Property (SES: TQ5) (www.frasersproperty.com), Hyde Park Angels (www.hpa.vc)</t>
  </si>
  <si>
    <t>Developer of a unified software platform intended for building data, operations, and experience. The company's smart building software unites core building systems with human data to generate actionable insights via the Internet of Things and machine learning, it integrates sustainability into smart building operations, enabling building owners and operators to increase asset value and improve resiliency.</t>
  </si>
  <si>
    <t>The company raised $6.25 million of Series 1 venture funding from undisclosed investors on March 29, 2023, putting the company's pre-money valuation at $14 million.</t>
  </si>
  <si>
    <t>Artificial Intelligence &amp; Machine Learning, Internet of Things, Real Estate Technology</t>
  </si>
  <si>
    <t>building automation, built environment, connected buildings, energy efficiency, enterprise resource planning, enterprise software, utility management system, workplace technology</t>
  </si>
  <si>
    <t>44854-93P</t>
  </si>
  <si>
    <t>Thrupti Shivakumar</t>
  </si>
  <si>
    <t>+1 (833) 796-5500</t>
  </si>
  <si>
    <t>tshivakumar@cohesionib.com</t>
  </si>
  <si>
    <t>Ms. Thrupti Shivakumar is a Co-Founder and serves as Chief Executive Officer and Board Member at Cohesion. She was the Vice President in Acquisitions at Green Courte Partners, LLC. She focused on Green Courte's parking acquisition efforts with an emphasis on the "near-airport" parking sector. Prior to joining Green Courte, she spent five years with InterPark, LLC, a national owner, manager, and developer of parking facilities. At InterPark, she was involved in the 2011 sale of the company from GE Real Estate to Alinda Capital Partners. Her responsibilities spanned a diverse spectrum including valuation and deal structuring, portfolio/asset management, and financial and operational reporting. Prior to InterPark, she worked at Hyatt Select Hotels where she was involved with rebranding the AmeriSuites hotel chain into Hyatt Place. She holds an M.B.A. from the Kellogg School of Management at Northwestern University and a B.S. in Finance from The University of Illinois at Urbana-Champaign.</t>
  </si>
  <si>
    <t>Northwestern University (Kellogg), MBA (Master of Business Administration), University of Illinois, Urbana-Champaign, BS (Bachelor of Science), 2004, Finance</t>
  </si>
  <si>
    <t>The company raised $8.22 million through a combination of Seed 1 and Seed 2 funding in a deal led by Hyde Park Angels on July 15, 2020, putting the company's pre-money valuation at $5.5 million. Frasers Property, Capital Markets Trading, ESD, Ken Griffin, and Michael Sacks also participated in the round. The funds will be used to accelerate the transition to smart buildings in global commercial real estate.</t>
  </si>
  <si>
    <t>Capital Markets Trading, ESD, Frasers Property, Hyde Park Angels, Kenneth Griffin, Michael Sacks</t>
  </si>
  <si>
    <t>Hyde Park Angels</t>
  </si>
  <si>
    <t>HMB Legal Counsel (Legal Advisor to Hyde Park Angels, James Jerue JD), Michael Best &amp; Friedrich (Legal Advisor to ESD), Much Shelist (Legal Advisor to Company, Gregory Grove JD)</t>
  </si>
  <si>
    <t>Much Shelist (Legal Advisor to Company, Gregory Grove JD)</t>
  </si>
  <si>
    <t>HMB Legal Counsel (Legal Advisor to Hyde Park Angels, James Jerue JD), Michael Best &amp; Friedrich (Legal Advisor to ESD)</t>
  </si>
  <si>
    <t>60606</t>
  </si>
  <si>
    <t>www.cohesionib.com</t>
  </si>
  <si>
    <t>Control or regulating systems in general, Transmission of digital information</t>
  </si>
  <si>
    <t>168559-21T</t>
  </si>
  <si>
    <t>COI Energy</t>
  </si>
  <si>
    <t>227780-56</t>
  </si>
  <si>
    <t>Aria Emiko (Investment), Attach Capital, Chloe Capital</t>
  </si>
  <si>
    <t>Aria Emiko (Investment) (www.ariaemiko.com), Attach Capital (www.attachcapital.com), Chloe Capital (www.chloecapital.com)</t>
  </si>
  <si>
    <t>Developer of an energy optimization platform designed to eliminate waste, save on energy costs, and protect the environment through artificial intelligence. The company's platform allows it to buy and sell capacity and eliminate energy waste by optimizing energy behaviors with the ability to monetize energy assets for use with demand response, energy efficiency, and renewable energy markets, enabling businesses to become energy efficient by getting custom alerts on energy wastage.</t>
  </si>
  <si>
    <t>The company raised $215,000 of venture funding from undisclosed investors on August 30, 2024. As a part of transaction $100,000 was raised in the form of convertible debt.</t>
  </si>
  <si>
    <t>Business/Productivity Software*, Media and Information Services (B2B), Other Energy Services</t>
  </si>
  <si>
    <t>Artificial Intelligence &amp; Machine Learning, CleanTech, Climate Tech, LOHAS &amp; Wellness, SaaS</t>
  </si>
  <si>
    <t>analytics and grid management, carbon management, energy management, energy monitoring, energy technology systems, grid infrastructure, grid optimization, renewable energy, savings management, system integration</t>
  </si>
  <si>
    <t>183851-38P</t>
  </si>
  <si>
    <t>Salisa Berrien</t>
  </si>
  <si>
    <t>+1 (855) 983-4667</t>
  </si>
  <si>
    <t>salisa@coienergy.com</t>
  </si>
  <si>
    <t>Ms. Salisa Berrien is the Founder and serves as Board Member &amp; Chief Executive Officer at COI Energy. She grew up in Pennsylvania and attended the University of Pittsburgh for her undergraduate education. She received her Bachelor of Science in Mechanical Engineering. Out of college, she started her career in energy at PPL in Northeast PA. She sold the first electric vehicle in the region (G-Van). She was also responsible for promoting electric technologies to large I&amp;C customers. She quickly recognized the need to get an MBA due to the type of work she was doing and went on to get her Executive MBA from Saint Joseph's University in Philadelphia. She worked for PECO Energy and ConEdison Solutions providing regulated and deregulated energy solutions from selling commodities to energy service contracts. She then gained interest in the smart grid and worked for two start-up companies providing grid optimization services to large I&amp;C customers. She helped customers monetize their excess capacity to sell it back to the electric grid through Demand Response and Regulation Services Markets. This led her to the energy software business where she sold Big Data analytics solutions to Governmental and Utility customers. She is an established veteran in the industry with over 25 years of energy expertise and delivering sustainable environmental solutions. She has over twenty-five years of experience in the electric power and smart grid space. From working at electric utilities to smart grid, cleantech, and big data analytics companies, She has had a diverse career in energy. Since 1996, she provided over 50 scholarships to high school and college students. In 2004, she established the Karl H. Lewis Engineering Impact Alumni Endowment at the University of Pittsburgh for minority students enrolled in Engineering. She's been a guest speaker at various conferences and events including SXSW, Florida's Women in Energy Leadership Forum, American Society for Engineering Education, and Morgan Stanley's Sustainable Futures Summit to name a few. In 2019, she was appointed to the Board of Trustees at the University of Pittsburgh. One of her core values is philanthropy. Her mission in life is to positively impact the space she occupies by leaving it better than she found it.</t>
  </si>
  <si>
    <t>BS (Bachelor of Science), Mechanical Engineering, University of Philadelphia, Executive MBA</t>
  </si>
  <si>
    <t>The company raised $1.99 million of seed funding from Aria Emiko, Chloe Capital, Attach Capital, and undisclosed investors on March 16, 2021.</t>
  </si>
  <si>
    <t>Chloe Capital Fund I(Chloe Capital)</t>
  </si>
  <si>
    <t>www.coienergy.com</t>
  </si>
  <si>
    <t>195490-27T</t>
  </si>
  <si>
    <t>Coinfeeds.AI</t>
  </si>
  <si>
    <t>489049-03</t>
  </si>
  <si>
    <t>Coinbase Ventures, FTX Ventures(Ramnik Arora), HTX Ventures, Orange DAO, Protocol Labs(Brad Holden), Third Kind Venture Capital, Y Combinator</t>
  </si>
  <si>
    <t>Orange DAO (orangedao.xyz), Protocol Labs (protocol.ai), Third Kind Venture Capital (www.3kvc.com), Y Combinator (www.ycombinator.com)</t>
  </si>
  <si>
    <t>Developer of an application programming interface software designed to provide news and social sentiment on cryptocurrency. The company's software uses standard HTTP response codes, authentication, and verbs to easily add or remove coins on the fly, enabling customers to customize their news feed and get access to podcasts, videos, and tweets about their portfolio coins.</t>
  </si>
  <si>
    <t>FTX Ventures sold a stake in the company to an undisclosed buyer.</t>
  </si>
  <si>
    <t>Financial Software, Information Services (B2C), Other Financial Services*</t>
  </si>
  <si>
    <t>Artificial Intelligence &amp; Machine Learning, Cryptocurrency/Blockchain, FinTech</t>
  </si>
  <si>
    <t>blockchain model, crypto coins, cryptocurrency tools, cryptocurrency trading, cryptographic services, programming coding, programming interface</t>
  </si>
  <si>
    <t>285389-47P</t>
  </si>
  <si>
    <t>Moyi Dang</t>
  </si>
  <si>
    <t>moyi@coinfeeds.io</t>
  </si>
  <si>
    <t>Ms. Moyi Dang is a Co-Founder and serves as Chief Executive Officer at Coinfeeds.</t>
  </si>
  <si>
    <t>The company raised $2 million of seed funding in a deal led by Coinbase Ventures, FTX Ventures and Protocol Labs on July 27, 2022. Huobi Ventures, Third Kind Venture Capital, Orange DAO, and Y Combinator also participated in the round.</t>
  </si>
  <si>
    <t>Coinbase Ventures, FTX Ventures, HTX Ventures, Orange DAO, Protocol Labs, Third Kind Venture Capital</t>
  </si>
  <si>
    <t>Coinbase Ventures, FTX Ventures(Ramnik Arora), Protocol Labs(Brad Holden)</t>
  </si>
  <si>
    <t>94102</t>
  </si>
  <si>
    <t>www.coinfeeds.ai</t>
  </si>
  <si>
    <t>191873-17T</t>
  </si>
  <si>
    <t>Collagia</t>
  </si>
  <si>
    <t>494832-79</t>
  </si>
  <si>
    <t>Jean Paoli(Jean Paoli), Palm Drive Capital, Robert Muglia(Robert Muglia), Sand Hill Angels, Sanjeev Kumar(Sanjeev Kumar), Sumina Verma(Sumina Verma)</t>
  </si>
  <si>
    <t>Palm Drive Capital (www.palmdrive.vc), Sand Hill Angels (www.sandhillangels.com)</t>
  </si>
  <si>
    <t>Developer of a Software-as-a-Service (SaaS) platform designed to connect businesses and their data to the observable world of images. The company's platform offers a second-generation artificial intelligence (AI) and machine learning (ML) application that combines business and image data together, enabling non-technical business users to quickly and intuitively explore business insights that emerge when these two diverse data types are combined.</t>
  </si>
  <si>
    <t>The company raised $1.2 million of venture funding in the form of convertible debt from Palm Drive Capital, Jean Paoli and Sanjeev Kumar in 2022. Bob Muglia, Sumina Verma and Sand Hill Angels also participated in the round.</t>
  </si>
  <si>
    <t>business software, complex data analysis, data modeling platform, data visualization software, image analytics platform, machine learning, machine learning tech, saas analytics</t>
  </si>
  <si>
    <t>297718-84P</t>
  </si>
  <si>
    <t>Rooney Armande</t>
  </si>
  <si>
    <t>joan@collagia.com</t>
  </si>
  <si>
    <t>Ms. Rooney Armande is a Co-Founder and serves as Chief Executive Officer of Collagia.</t>
  </si>
  <si>
    <t>Georgia State University, Atlanta, BA (Bachelor of Arts), University of California, Davis, Degree, 2004</t>
  </si>
  <si>
    <t>Jean Paoli, Palm Drive Capital, Robert Muglia, Sand Hill Angels, Sanjeev Kumar, Sumina Verma</t>
  </si>
  <si>
    <t>Goodwin Procter (Legal Advisor to Company, Andrew Sparks JD)</t>
  </si>
  <si>
    <t>Fairfield, CA</t>
  </si>
  <si>
    <t>94533</t>
  </si>
  <si>
    <t>www.collagia.com</t>
  </si>
  <si>
    <t>Bridge Loan - $1.20M (Convertible)</t>
  </si>
  <si>
    <t>169669-27T</t>
  </si>
  <si>
    <t>Common Room</t>
  </si>
  <si>
    <t>437780-35</t>
  </si>
  <si>
    <t>01 Advisors, Index Ventures, Madrona Venture Group(Sivaramakichenane Somasegar), Next Play Ventures, Richard Costolo(Richard Costolo)</t>
  </si>
  <si>
    <t>01 Advisors (www.01a.com), Index Ventures (www.indexventures.com), Madrona Venture Group (www.madrona.com), Next Play Ventures (www.nextplayventures.com)</t>
  </si>
  <si>
    <t>Developer of a community marketing software designed to connect with the people in their communities. The company's software creates a new type of relationship between organizations and the people in their communities based on authenticity, collaboration, and communication, enabling users to build thriving and engaged digital communities.</t>
  </si>
  <si>
    <t>The company raised $32.3 million of Series B venture funding in a deal led by Greylock Partners on April 1, 2021, putting the company's pre-money valuation at $290 million. Index Ventures and 7 other investors also participated in the round. The company intends to use the funding to deepen relationships with its users and customers.</t>
  </si>
  <si>
    <t>Marketing Tech</t>
  </si>
  <si>
    <t>community engagement, community management system, community marketing, community marketing platform, community marketing solutions, crm, customer journey platform, customer relationship management</t>
  </si>
  <si>
    <t>258472-81P</t>
  </si>
  <si>
    <t>Linda Lian</t>
  </si>
  <si>
    <t>linda@commonroom.io</t>
  </si>
  <si>
    <t>Ms. Linda Lian is a Co-Founder and serves as Chief Executive Officer at Common Room. She is an angel investor.</t>
  </si>
  <si>
    <t>The company raised $19.2 million through the combination of debt and Series A venture funding from Index Ventures, Madrona Venture Group and Next Play Ventures on March 12, 2020, putting the company's pre-money valuation at $50 million. 01 Advisors and Dick Costolo also participated in the round.</t>
  </si>
  <si>
    <t>01 Advisors, Index Ventures, Madrona Venture Group, Next Play Ventures, Richard Costolo</t>
  </si>
  <si>
    <t>01 Advisors Fund 01(01 Advisors), Index Ventures Scout Fund(Index Ventures)</t>
  </si>
  <si>
    <t>www.commonroom.io</t>
  </si>
  <si>
    <t>Other - $2.90M</t>
  </si>
  <si>
    <t>228388-06T</t>
  </si>
  <si>
    <t>Common Sense Privacy</t>
  </si>
  <si>
    <t>531014-23</t>
  </si>
  <si>
    <t>AI Fund, Calm Ventures, Magnify VC, Morgan Stanley (NYS: MS)</t>
  </si>
  <si>
    <t>AI Fund (www.aifund.ai), Calm Ventures (www.calmvc.com), Magnify VC (www.magnify.vc), Morgan Stanley (NYS: MS) (www.morganstanley.com)</t>
  </si>
  <si>
    <t>Provider of privacy assessment technology intended to have online privacy ratings for companies. The company's artificial intelligence-based subscription software helps companies to evaluate and manage privacy risk and enables performers to differentiate their offerings with a seal and also the company provide benchmarking and actionable insights sourced from an unsurpassed wealth of practice examples, enabling companies to assess and manage privacy regulatory risks.</t>
  </si>
  <si>
    <t>The company raised an undisclosed amount of venture funding from Bain &amp; Company on April 16, 2024. Gaingels also invested in this round.</t>
  </si>
  <si>
    <t>Business/Productivity Software, Network Management Software, Other Commercial Services*</t>
  </si>
  <si>
    <t>online privacy, online privacy protection, privacy assessment, privacy technology, privacy technology platform, privacy technology solutions</t>
  </si>
  <si>
    <t>100319-14P</t>
  </si>
  <si>
    <t>Daphne Li</t>
  </si>
  <si>
    <t>+1 (415) 562-6232</t>
  </si>
  <si>
    <t>dli@commonsenseprivacy.net</t>
  </si>
  <si>
    <t>Ms. Daphne Li serves as Chief Executive Officer &amp; Board Member at Common Sense Privacy. She served as Co-Chief Operating Officer at Akiri. She served as Managing Director at Health2047. She served as Chief Operating Officer at First Mile Care. During her career, she has helped launch and scale numerous technology-based startups as well as identify and develop new growth areas for Fortune 500 brands. Her passion for scaling companies started at Bain &amp; Company where she served on the business acceleration team, helping early-stage companies develop business models, secure investments, launch products, and scale operations. Prior to joining Health2047 Inc., she was Senior Vice President and General Manager of Enterprise at SaaS platform provider Upwork where she grew net sales by 850%. She also led marketing and product management at ADP, transforming a shrinking claims business into a SaaS platform and data business that was sold for $1B. Additionally, as Director of Strategy for Apple's $1.2B Education group, she forged strategic partnerships, co-created a new sales model, and helped redefine Apple's education market offering. She holds both an MBA and a BA in Economics from Stanford.</t>
  </si>
  <si>
    <t>Stanford Graduate School of Business, MBA (Master of Business Administration), Stanford University, BA (Bachelor of Arts), Economics</t>
  </si>
  <si>
    <t>The company raised $6.28 million of seed funding from Magnify VC, Calm Ventures and AI Fund on August 18, 2023, putting the company's pre-money valuation at $8.22 million. Morgan Stanley also participated in the round.</t>
  </si>
  <si>
    <t>AI Fund, Calm Ventures, Magnify VC, Morgan Stanley</t>
  </si>
  <si>
    <t>AI Fund(AI Fund), Magnify Ventures I(Magnify VC)</t>
  </si>
  <si>
    <t>Cooley (Legal Advisor to Company), Fenwick &amp; West (Legal Advisor to AI Fund)</t>
  </si>
  <si>
    <t>Fenwick &amp; West (Legal Advisor to AI Fund)</t>
  </si>
  <si>
    <t>www.commonsenseprivacy.net</t>
  </si>
  <si>
    <t>204616-63T</t>
  </si>
  <si>
    <t>Communityx (Social/Platform Software)</t>
  </si>
  <si>
    <t>438738-49</t>
  </si>
  <si>
    <t>Baron Davis(Baron Davis), Ben Crump(Ben Crump), Black Ambition(Pharrell Williams), Fearless Fund(Arian Simone), Goizueta Business School, Goodwater Capital, Matt Barnes(Matt Barnes), Techstars</t>
  </si>
  <si>
    <t>Black Ambition (www.blackambitionprize.com), Fearless Fund (www.fearless.fund), Goizueta Business School (goizueta.emory.edu), Goodwater Capital (www.goodwatercap.com), Techstars (www.techstars.com)</t>
  </si>
  <si>
    <t>Developer of a mobile social networking application designed to connect activists, organizations, and changemakers. The company's application unites like-minded changemakers around causes and calls to action such as petitions, events, donations, and more, enabling users to build a global social impact community based on shared causes.</t>
  </si>
  <si>
    <t>The company raised $2 million of seed funding in a deal led by Fearless Fund on February 16, 2023, putting the company's pre-money valuation at $4 million. Goodwater Capital and 6 other investors also participated in the round. The funds will be used to democratize the social media landscape and accelerates growth plans.</t>
  </si>
  <si>
    <t>Social/Platform Software*</t>
  </si>
  <si>
    <t>activist community, global community, mobile social networking application, social impact application, social impact service, social impact technology</t>
  </si>
  <si>
    <t>239883-49P</t>
  </si>
  <si>
    <t>Chloë Cheyenne</t>
  </si>
  <si>
    <t>+1 (213) 479-7748</t>
  </si>
  <si>
    <t>Ms. Chloë Cheyenne is a Co-Founder and serves as Chief Executive Officer &amp; Board Member at Communityx. She is a social impact tech entrepreneur who is passionate about uniting change-makers around shared causes and movements. She graduated from The Howard University School of Business Honors Program in 2013 with a BBA in International Business and Marketing. She graduated Magna Cum Laude with a full-time offer to join Google HQ in The Bay Area.</t>
  </si>
  <si>
    <t>BBA (Bachelor of Business Administration), International Business and Marketing, Howard University, Degree, 2013</t>
  </si>
  <si>
    <t>The company raised $2 million of seed funding in a deal led by Fearless Fund on February 16, 2023, putting the company's pre-money valuation at $4 million. Goodwater Capital, Techstars, Baron Davis, Ben Crump, Matt Barnes, Black Ambition and Goizueta Business School also participated in the round. The funds will be used to democratize the social media landscape and accelerates growth plans.</t>
  </si>
  <si>
    <t>Ben Crump, Black Ambition, Fearless Fund, Goizueta Business School, Goodwater Capital, Matt Barnes</t>
  </si>
  <si>
    <t>Baron Davis, Techstars</t>
  </si>
  <si>
    <t>Fearless Fund(Arian Simone)</t>
  </si>
  <si>
    <t>90038</t>
  </si>
  <si>
    <t>www.communityx.com</t>
  </si>
  <si>
    <t>202283-02T</t>
  </si>
  <si>
    <t>Complete</t>
  </si>
  <si>
    <t>503898-31</t>
  </si>
  <si>
    <t>Accel(Amy Saper), Cristina Cordova(Cristina Cordova), Plug and Play Tech Center, Y Combinator</t>
  </si>
  <si>
    <t>Accel (www.accel.com), Cristina Cordova (www.cristinajcordova.com), Plug and Play Tech Center (www.plugandplaytechcenter.com), Y Combinator (www.ycombinator.com)</t>
  </si>
  <si>
    <t>Developer of a compensation platform designed for compensation practices. The company's platform allows the creation of compensation philosophies that align with business goals and are then implemented company-wide, enabling companies to create a culture of transparency and proactivity and employees to understand their long-term earning potential.</t>
  </si>
  <si>
    <t>The company raised $4 million of seed funding in a deal led by Accel on August 22, 2022. Y Combinator, Cristina Cordova, Plug and Play Tech Center, and other undisclosed investors also participated in the round. The funds will be used to continue to make key strategic hires across product and design and expand its onboarding platform. Prior, the company joined Y Combinator on February 11, 2022, and received $500,000 in the form of SAFE funding. Subsequently, it was converted to equity.</t>
  </si>
  <si>
    <t>Business/Productivity Software*, Financial Software, Human Capital Services</t>
  </si>
  <si>
    <t>applicant tracking system, automated reminder, compensation platform, employee compensation, hr tech, human resources, team sharing</t>
  </si>
  <si>
    <t>313512-49P</t>
  </si>
  <si>
    <t>Rani Mavram</t>
  </si>
  <si>
    <t>rani@complete.so</t>
  </si>
  <si>
    <t>Ms. Rani Mavram is a Co-Founder &amp; serves as Chief Executive Officer at Complete Applications. She used to work on the product team at Google.</t>
  </si>
  <si>
    <t>University of California, Berkeley, Bachelor's, 2019, Business Administration</t>
  </si>
  <si>
    <t>The company raised $4 million of seed funding in a deal led by Accel on August 22, 2022. Y Combinator, Cristina Cordova, Plug and Play Tech Center and other undisclosed investors also participated in the round. The funds will be used to continue to make key strategic hires across product and design, and expand its onboarding platform.</t>
  </si>
  <si>
    <t>Accel, Cristina Cordova, Plug and Play Tech Center</t>
  </si>
  <si>
    <t>Accel(Amy Saper)</t>
  </si>
  <si>
    <t>www.trycomplete.com</t>
  </si>
  <si>
    <t>181722-52T</t>
  </si>
  <si>
    <t>ComplYant</t>
  </si>
  <si>
    <t>482418-37</t>
  </si>
  <si>
    <t>Craft Ventures, Mucker Capital, Slauson &amp; Co., Tale Venture Partners</t>
  </si>
  <si>
    <t>Craft Ventures (www.craftventures.com), Mucker Capital (www.mucker.com), Slauson &amp; Co. (www.slauson.co), Tale Venture Partners (www.talevp.com)</t>
  </si>
  <si>
    <t>Developer of tax assistance and management software designed to manage business tax for small businesses and finance professionals. The company's platform helps with tax deadlines, budgeting, deciphers notices, and payment reminders through a dashboard, enabling clients to manage their business efficiently.</t>
  </si>
  <si>
    <t>The company raised an undisclosed amount of venture funding from Operator Collective in 2023.</t>
  </si>
  <si>
    <t>budget management, budgeting platform, email and authoring, filing assistance, knowledge management system, multi business management, payment reminder, tax assistance platform, tax compliance service, tax management, tax software</t>
  </si>
  <si>
    <t>278597-35P</t>
  </si>
  <si>
    <t>Shiloh Johnson</t>
  </si>
  <si>
    <t>+1 (805) 590-9656</t>
  </si>
  <si>
    <t>sjohnson@complyantapp.com</t>
  </si>
  <si>
    <t>Ms. Shiloh Johnson is the Founder &amp; serves as Chief Executive Officer at ComplYant.</t>
  </si>
  <si>
    <t>Bachelor's, Business Management, Accounting, Golden Gate University, Master's</t>
  </si>
  <si>
    <t>The company raised $1 million of pre-seed funding from Slauson &amp; Co, Mucker Capital, and Tale Venture Partners in October 2020. Craft Ventures and other undisclosed investors also participated in this round.</t>
  </si>
  <si>
    <t>Mucker A-1(Mucker Capital), Slauson &amp; Co. Fund I(Slauson &amp; Co.)</t>
  </si>
  <si>
    <t>www.complyant.co</t>
  </si>
  <si>
    <t>135610-75T</t>
  </si>
  <si>
    <t>Compt</t>
  </si>
  <si>
    <t>235211-95</t>
  </si>
  <si>
    <t>Grant Deken, Harlem Capital(Henri Pierre-Jacques), Impellent Ventures, Jessica Meher(Jessica Meher), Slack Fund</t>
  </si>
  <si>
    <t>Harlem Capital (harlem.capital), Impellent Ventures (www.impellent.vc)</t>
  </si>
  <si>
    <t>Operator of an employee lifestyle benefit software platform intended to create, manage, and scale lifestyle benefits so employees can get exactly what they need, without increasing the budget. The company's platform provides tax-compliant perks that are flexible and customizable for employees, easy to manage, and cost-effective, enabling companies to manage their stipend process efficiently.</t>
  </si>
  <si>
    <t>The company raised an estimated $13 million of Series A venture funding in a deal led by Battery Ventures on April 1, 2022, putting the company's pre-money valuation at an estimated $47 million. Slack Fund, Salesforce Ventures and ETF@JFFLabs (Jobs for the Future) also participated in the round.</t>
  </si>
  <si>
    <t>HR Tech, SaaS, TMT</t>
  </si>
  <si>
    <t>employee experience, employee perks, enterprise resource planning, erp, futures of work, human capital management, perks and benefits, perks management platform, perks services, perks stipends, remote employee management, tax compliant perks</t>
  </si>
  <si>
    <t>36590-14P</t>
  </si>
  <si>
    <t>Amy Spurling</t>
  </si>
  <si>
    <t>+1 (617) 678-9233</t>
  </si>
  <si>
    <t>amy@compt.io</t>
  </si>
  <si>
    <t>Ms. Amy Spurling is a Co-Founder of Compt and serves as its President, Chief Executive Officer and Board Member. She served as Chief Operating Officer at Bedrock Data. She served as a Board Member of Airfox. She is a respected operation and financial professional, with over 15 years of leadership experience in strategic planning, international expansion, finance and accounting, human resources, corporate governance, and risk management. During her career, she has closed nine rounds of financing totaling more than $200M and managed two acquisitions to close with values ranging from 10-30x revenue. Prior to Bedrock Data, she was Chief Operating Officer and Chief Financial Officer at Jana Mobile. While at Jana Mobile, she was named Chief Financial Officer of the Year 2016 by Boston Business Journal, after raising $77M in financing in her first nine months, reorganizing operations in three key international markets, and helping to direct marketing and talent retention. She holds an MBA from Simmons School of Management and a BA from the University of Rochester.</t>
  </si>
  <si>
    <t>Simmons College, MBA (Master of Business Administration), 2003, University of Rochester, BA (Bachelor of Arts), 1999, Political Science</t>
  </si>
  <si>
    <t>The company raised $2.49 million of seed funding in a deal led by Harlem Capital Partners on April 23, 2020, putting the company's pre-money valuation at $4 million. Slack Fund and Impellent Ventures also participated in the round.</t>
  </si>
  <si>
    <t>Grant Deken, Harlem Capital, Impellent Ventures, Jessica Meher, Slack Fund</t>
  </si>
  <si>
    <t>Harlem Capital Partners Venture Fund I(Harlem Capital), Impellent Ventures I(Impellent Ventures)</t>
  </si>
  <si>
    <t>Cambridge, MA</t>
  </si>
  <si>
    <t>Cambridge</t>
  </si>
  <si>
    <t>02141</t>
  </si>
  <si>
    <t>www.compt.io</t>
  </si>
  <si>
    <t>157509-91T</t>
  </si>
  <si>
    <t>Computis</t>
  </si>
  <si>
    <t>442470-25</t>
  </si>
  <si>
    <t>BlockScience</t>
  </si>
  <si>
    <t>BlockScience (www.block.science)</t>
  </si>
  <si>
    <t>Developer of premium tax and accounting software designed to offer report generation for investment platforms through a white-labeled API. The company's software generates a wide assortment of tax and accounting reports enabling investors to increase return on investments by implementing tax-saving costing methods while remaining compliant with the latest tax regulations, enabling clients to meet all their tax needs.</t>
  </si>
  <si>
    <t>The company was in talks to receive seed funding on an undisclosed date. Subsequently, the deal was cancelled. Previously, the company raised $150,000 of pre-seed funding from BlockScience and other undisclosed investors on August 5, 2020.</t>
  </si>
  <si>
    <t>accounting platform, cryptocurrency unit, financial accounting software, tax assistance platform, tax engine, tax software</t>
  </si>
  <si>
    <t>243169-93P</t>
  </si>
  <si>
    <t>Elizabeth Dodge</t>
  </si>
  <si>
    <t>elizabeth@computis.io</t>
  </si>
  <si>
    <t>Ms. Elizabeth Dodge is a Co-Founder and serves as Chief Executive Officer at Computis.</t>
  </si>
  <si>
    <t>The company raised $150,000 of pre-seed funding from BlockScience and other undisclosed investors on August 5, 2020.</t>
  </si>
  <si>
    <t>Acworth, GA</t>
  </si>
  <si>
    <t>Acworth</t>
  </si>
  <si>
    <t>30101</t>
  </si>
  <si>
    <t>computis.io</t>
  </si>
  <si>
    <t>174731-68T</t>
  </si>
  <si>
    <t>Condor Software</t>
  </si>
  <si>
    <t>468049-78</t>
  </si>
  <si>
    <t>645 Ventures, Brightlane Ventures, Felicis, Labor Capital, Olima Ventures(Vijay Pandurangan), Pareto Holdings, Phoenix Investment Club (San Francisco), Plug and Play Tech Center, Switch Ventures, The MBA Fund</t>
  </si>
  <si>
    <t>645 Ventures (www.645ventures.com), Brightlane Ventures (www.brightlane.co), Felicis (www.felicis.com), Labor Capital (www.laborcapital.co), Olima Ventures (www.olimaventures.com), Pareto Holdings (www.pareto20.com), Phoenix Investment Club (San Francisco) (www.phoenixclub.vc), Plug and Play Tech Center (www.plugandplaytechcenter.com), Switch Ventures (www.switch.vc), The MBA Fund (www.thembafund.com)</t>
  </si>
  <si>
    <t>Developer of clinical finance software intended to harness real-time clinical trial data and third-party vendor collaboration for faster and more precise accounting. The company's software integrates real data to drive clinical accruals and strategically navigate forecasts and financial plans for clinical programs with ease, flexibility, and transparency, enabling companies to streamline operations reduce time spent in managing cash flow make key business decisions, and extend the runway.</t>
  </si>
  <si>
    <t>The company raised $175,000 of Series 1 seed funding in a deal led by Felicis on March 17, 2022, putting the company's pre-money valuation at $5.83 million. Brightlane Ventures,and 8 other investors also participated in the round.</t>
  </si>
  <si>
    <t>Financial Software*, Other Financial Services, Other Pharmaceuticals and Biotechnology</t>
  </si>
  <si>
    <t>accounting platform, budgeting &amp; forecasting, budgeting and forecasting, business process, cfo stack, financial insights, financial management, financial management tool, integrated software</t>
  </si>
  <si>
    <t>184098-07P</t>
  </si>
  <si>
    <t>Jennifer Kyle</t>
  </si>
  <si>
    <t>+1 (619) 985-2945</t>
  </si>
  <si>
    <t>jennifer@condorsoftware.co</t>
  </si>
  <si>
    <t>Ms. Jennifer Kyle is a Co-Founder and serves as Chief Executive Officer at Condor Software. Ms. Kyle also served as Director of Finance and Corporate Controller at Gerrity Group.</t>
  </si>
  <si>
    <t>The company raised $175,000 of Series 1 seed funding in a deal led by Felicis on March 17, 2022, putting the company's pre-money valuation at $5.83 million. Brightlane Ventures, 645 Ventures, Olima Ventures, Phoenix Investment Club, The MBA Fund, Pareto Holdings, Switch Ventures, Plug and Play Tech Center, and Labor Capital also participated in the round.</t>
  </si>
  <si>
    <t>645 Ventures, Brightlane Ventures, Felicis, Labor Capital, Olima Ventures, Pareto Holdings, Phoenix Investment Club (San Francisco), Plug and Play Tech Center, Switch Ventures, The MBA Fund</t>
  </si>
  <si>
    <t>Felicis</t>
  </si>
  <si>
    <t>Gunderson Dettmer (Legal Advisor to Felicis), Wilson Sonsini Goodrich &amp; Rosati (Legal Advisor to Company)</t>
  </si>
  <si>
    <t>Gunderson Dettmer (Legal Advisor to Felicis)</t>
  </si>
  <si>
    <t>San Diego, CA</t>
  </si>
  <si>
    <t>San Diego</t>
  </si>
  <si>
    <t>92101</t>
  </si>
  <si>
    <t>www.condorsoftware.com</t>
  </si>
  <si>
    <t>274355-11T</t>
  </si>
  <si>
    <t>Connecty AI</t>
  </si>
  <si>
    <t>630582-85</t>
  </si>
  <si>
    <t>Maciej Zawadziński(Maciej Zawadziński), Marcin Zukowski, Market One Capital(Jacek Łubiński), Notion Capital</t>
  </si>
  <si>
    <t>Market One Capital (moc.vc), Notion Capital (www.notion.vc)</t>
  </si>
  <si>
    <t>Developer of contextual intelligence tools designed for data analysis. The company's platform enables users to extract, interpret, and enrich data context, connecting complex datasets and decoding context through automated preparation and optimization and provides enterprise-specific contextual intelligence for data schema, model, and metric evaluation and preparation, enabling clients to get a no-code deployment to connect with a variety of data sources, ensuring data governance and security.</t>
  </si>
  <si>
    <t>The company raised $1.75 million of pre-seed funding in a deal led by Market One Capital on October 8, 2024, putting the company's pre-money valuation at $7 million. Notion Capital, Marcin Zukowski and Maciej Zawadzinski also participated in the round. The funds will be used to expand the company's context engine's capabilities across additional data sources and offer it as a service via API.</t>
  </si>
  <si>
    <t>data analysis, data enrichment, data interpretation, data optimization, data privacy, data storage, extraction tools, informed decision</t>
  </si>
  <si>
    <t>416592-37P</t>
  </si>
  <si>
    <t>Aishvarya Agarwal</t>
  </si>
  <si>
    <t>aagarwal@connectyai.com</t>
  </si>
  <si>
    <t>Ms. Aishvarya Agarwal is a Co-Founder and serves as Chief Executive Officer, President and Board Member at Connecty AI.</t>
  </si>
  <si>
    <t>The company raised $1.75 million of pre-seed funding in a deal led by Market One Capital on October 8, 2024, putting the company's pre-money valuation at $7 million. Notion Capital, Marcin Zukowski and Maciej Zawadziński also participated in the round. The funds will be used to expand the company's context engine's capabilities across additional data sources and offer it as a service via API.</t>
  </si>
  <si>
    <t>Maciej Zawadziński, Marcin Zukowski, Market One Capital, Notion Capital</t>
  </si>
  <si>
    <t>Market One Capital(Jacek Łubiński)</t>
  </si>
  <si>
    <t>www.connectyai.com</t>
  </si>
  <si>
    <t>197179-39T</t>
  </si>
  <si>
    <t>CookinGenie</t>
  </si>
  <si>
    <t>458101-54</t>
  </si>
  <si>
    <t>Allison Wood Ventures(Allison Wood)</t>
  </si>
  <si>
    <t>Allison Wood Ventures (www.allisonwoodventures.com)</t>
  </si>
  <si>
    <t>Operator of a food technology company intended to put fresh healthy meals on the dinner table. The company's chefs shop in neighborhood groceries and prepare food, right from scratch in the consumer's kitchen, enabling consumers to enjoy delicious food in their homes only.</t>
  </si>
  <si>
    <t>The company raised $2 million of seed funding from Allison Wood Ventures and other undisclosed investors on June 29, 2022. The funds will be used to expand company to new markets nationwide, allowing clients to connect easily with personal chefs who can cook fresh, healthy meals in their homes.</t>
  </si>
  <si>
    <t>Restaurants, Hotels and Leisure</t>
  </si>
  <si>
    <t>Other Restaurants, Hotels and Leisure</t>
  </si>
  <si>
    <t>Application Software, Other Restaurants, Hotels and Leisure*</t>
  </si>
  <si>
    <t>FoodTech</t>
  </si>
  <si>
    <t>digital restaurant, food app, food ecommerce, food technology, healthy food, mobile restaurant, restaurant marketplace, restaurant unit</t>
  </si>
  <si>
    <t>249098-23P</t>
  </si>
  <si>
    <t>Sabah Drabu</t>
  </si>
  <si>
    <t>+1 (833) 436-4387</t>
  </si>
  <si>
    <t>sabah.drabu@cookingenie.com</t>
  </si>
  <si>
    <t>Ms. Sabah Drabu is a Co-Founder and serves as Chief Executive Officer and Co-Chief Marketing Officer at CookinGenie.</t>
  </si>
  <si>
    <t>Allison Wood Ventures</t>
  </si>
  <si>
    <t>Hudson, OH</t>
  </si>
  <si>
    <t>Ohio</t>
  </si>
  <si>
    <t>44236</t>
  </si>
  <si>
    <t>www.cookingenie.com</t>
  </si>
  <si>
    <t>209229-04T</t>
  </si>
  <si>
    <t>Cooper Parenting</t>
  </si>
  <si>
    <t>515174-14</t>
  </si>
  <si>
    <t>Kli Capital, XFactor Ventures(Anna Palmer)</t>
  </si>
  <si>
    <t>Kli Capital (www.klicapital.vc), XFactor Ventures (www.xfactor.ventures)</t>
  </si>
  <si>
    <t>Provider of parenting advisory services designed for parents and expecting parents who are seeking reliable information about parenting. The company's services are guided by research-backed expertise covering everything parents need from birth to age ten, helping parents to get matched parent groups, expert-guided sessions, and research on various topics.</t>
  </si>
  <si>
    <t>The company raised an estimated $2 million of pre-seed funding from XFactor Ventures, Kli Capital and other undisclosed investors on November 1, 2022, putting the company's pre-money valuation at $6 million.</t>
  </si>
  <si>
    <t>advisory services, guidance system, parenting advice, parenting care, parenting help, parenting site</t>
  </si>
  <si>
    <t>147064-78P</t>
  </si>
  <si>
    <t>Gabby Slome</t>
  </si>
  <si>
    <t>+1 (844) 886-5543</t>
  </si>
  <si>
    <t>gslome@myollie.com</t>
  </si>
  <si>
    <t>Ms. Gabby Slome is a Co-Founder of Ollie. She is also a Co-Founder and serves as Chief Executive Officer at Cooper Parenting.</t>
  </si>
  <si>
    <t>Columbia Business School, MBA (Master of Business Administration), 2014, Business Administration, Columbia University, 2019, Sociology</t>
  </si>
  <si>
    <t>Kli Capital, XFactor Ventures</t>
  </si>
  <si>
    <t>Kli Capital Fund II(Kli Capital), XFactor Ventures Fund II(XFactor Ventures)</t>
  </si>
  <si>
    <t>www.yourcooper.com</t>
  </si>
  <si>
    <t>187800-31T</t>
  </si>
  <si>
    <t>Cooperation.org</t>
  </si>
  <si>
    <t>490983-31</t>
  </si>
  <si>
    <t>Ben Werdmuller(Ben Werdmuller), Bloomberg Beta(Roy Bahat), Robert Schwentker(Robert Schwentker)</t>
  </si>
  <si>
    <t>Bloomberg Beta (www.bloombergbeta.com)</t>
  </si>
  <si>
    <t>Operator of a social event platform intended to support healthy cooperation between people everywhere. The company's platform creates a friendly space where users can be part of a community and connect through conversation and events around music, food, languages, and activism, enabling users to share their interests and create personalized events.</t>
  </si>
  <si>
    <t>The company raised $50,000 of pre-seed funding in a deal led by Bloomberg Beta on July 26, 2021, putting the company's pre-money valuation at $2.65 million. Ben Werdmuller and Robert Schwentker also participated in the round.</t>
  </si>
  <si>
    <t>Application Software, Information Services (B2C), Social/Platform Software*</t>
  </si>
  <si>
    <t>community discussion, community forum, community place, events engagement, team building, team building services, wellness health</t>
  </si>
  <si>
    <t>291201-31P</t>
  </si>
  <si>
    <t>Michelle Zaremskas</t>
  </si>
  <si>
    <t>+1 (520) 440-1420</t>
  </si>
  <si>
    <t>Ms. Michelle Zaremskas is a Co-Founder &amp; serves as Chief Executive Officer at WhatsCookin'. She has leadership experience with Cigna Distinguished Software Engineer Enterprise Architect.</t>
  </si>
  <si>
    <t>Ben Werdmuller, Bloomberg Beta, Robert Schwentker</t>
  </si>
  <si>
    <t>Bloomberg Beta(Roy Bahat)</t>
  </si>
  <si>
    <t>Bloomberg Beta III(Bloomberg Beta)</t>
  </si>
  <si>
    <t>85716</t>
  </si>
  <si>
    <t>www.linkedtrust.us</t>
  </si>
  <si>
    <t>181106-20T</t>
  </si>
  <si>
    <t>Copper (Social/Platform Software)</t>
  </si>
  <si>
    <t>482054-95</t>
  </si>
  <si>
    <t>Fran Hauser(Fran Hauser), Oxonian Ventures, The Community Fund, Wave Capital</t>
  </si>
  <si>
    <t>Fran Hauser (franhauser.com), Oxonian Ventures (www.oxonianventures.com), The Community Fund (www.thecommunity.vc), Wave Capital (www.wave.capital)</t>
  </si>
  <si>
    <t>Operator of an online book platform intended to provide a place for authors and readers to gather in a meaningful community around books. The company's platform allows authors to interact with their audiences and for audiences to build community together around content that interests them and host virtual book clubs, enabling customers to connect with authors and readers of books that inspire, challenge, and bring joy.</t>
  </si>
  <si>
    <t>The company raised $100,000 of venture funding from Exit Quotient Ventures on September 13, 2022.</t>
  </si>
  <si>
    <t>Application Software, Social Content, Social/Platform Software*</t>
  </si>
  <si>
    <t>author platform, content creator, creative industry, ebooks, mobile application, reading platform, social media platform</t>
  </si>
  <si>
    <t>277306-21P</t>
  </si>
  <si>
    <t>Allison Trowbridge</t>
  </si>
  <si>
    <t>+1 (415) 422-6660</t>
  </si>
  <si>
    <t>allison@copperbooks.com</t>
  </si>
  <si>
    <t>Ms. Allison Trowbridge is the Founder &amp; serves as Chief Executive Officer at Copper Books.</t>
  </si>
  <si>
    <t>University of Oxford, MBA (Master of Business Administration), 2017</t>
  </si>
  <si>
    <t>The company raised $3 million of seed funding from Oxford Angel Fund, Wave Capital and The Community Fund on December 30, 2020, putting the company's pre-money valuation at $7 million. Fran Hauser also participated in the round.</t>
  </si>
  <si>
    <t>Fran Hauser, Oxonian Ventures, The Community Fund, Wave Capital</t>
  </si>
  <si>
    <t>Oxford Angel Fund I(Oxonian Ventures), Oxford Angel Fund II(Oxonian Ventures)</t>
  </si>
  <si>
    <t>Goodwin Procter (Legal Advisor to Company)</t>
  </si>
  <si>
    <t>West Hollywood, CA</t>
  </si>
  <si>
    <t>West Hollywood</t>
  </si>
  <si>
    <t>90069</t>
  </si>
  <si>
    <t>www.copperbooks.com</t>
  </si>
  <si>
    <t>213586-93T</t>
  </si>
  <si>
    <t>Copybara</t>
  </si>
  <si>
    <t>499908-61</t>
  </si>
  <si>
    <t>186 Ventures, Bantam Group, Founder Collective, Pear (California)</t>
  </si>
  <si>
    <t>186 Ventures (186ventures.com), Bantam Group (www.bantamgroup.com), Founder Collective (www.foundercollective.com), Pear (California) (www.pear.vc)</t>
  </si>
  <si>
    <t>Developer of an artificial intelligence-powered copywriting platform designed to improve the effectiveness of marketing campaigns. The company's tool generates and tests diverse page copy variants to pinpoint what truly captivates the audience as well as automate the copy testing process, providing continuous, insightful adjustments without the need for manual intervention, enabling marketing teams to work on targeted, relevant, and engaging content for different types of visitors.</t>
  </si>
  <si>
    <t>The company joined Good For Her as part of its 6th Cohort in 2023. No equity or funding was exchanged as a result of this program.</t>
  </si>
  <si>
    <t>AdTech, Artificial Intelligence &amp; Machine Learning, Big Data, Marketing Tech, SaaS</t>
  </si>
  <si>
    <t>ai tools, audience engagement, conversion marketing, conversion optimization, marketing toolset, targeted content, vertical application</t>
  </si>
  <si>
    <t>221951-80P</t>
  </si>
  <si>
    <t>Christina Pawlikowski</t>
  </si>
  <si>
    <t>+1 (617) 752-1553</t>
  </si>
  <si>
    <t>christina@causallabs.io</t>
  </si>
  <si>
    <t>Ms. Christina Pawlikowski is a Co-Founder &amp; serves as Chief Executive Officer at Causal Labs. She co-founded 23 Percent. She holds an M.B.A degree from Harvard Business School in 2014.</t>
  </si>
  <si>
    <t>Harvard Business School, MBA (Master of Business Administration), 2014</t>
  </si>
  <si>
    <t>The company raised $4 million of seed funding from 186 Ventures, Pear and Founder Collective on October 26, 2022, putting the company's pre-money valuation at $11 million. Bantam Group also participated in the round.</t>
  </si>
  <si>
    <t>186 Ventures I(186 Ventures)</t>
  </si>
  <si>
    <t>Morse (Legal Advisor to 186 Ventures)</t>
  </si>
  <si>
    <t>02130</t>
  </si>
  <si>
    <t>www.copybara.com</t>
  </si>
  <si>
    <t>185235-49T</t>
  </si>
  <si>
    <t>Corellium</t>
  </si>
  <si>
    <t>459862-21</t>
  </si>
  <si>
    <t>Cisco Investments(Janey Hoe), Paladin Capital Group(Mourad Yesayan), Phoenix International Investments</t>
  </si>
  <si>
    <t>Cisco Investments (www.ciscoinvestments.com), Paladin Capital Group (www.paladincapgroup.com), Phoenix International Investments (www.phnxintl.com)</t>
  </si>
  <si>
    <t>Developer of security research software designed for arm device virtualization for mobile security research, mobile app testing, and IoT device modeling. The company's software offers native performance, cloud convenience, and advanced development tools for phones and devices, enabling developers to be scalable, efficient, and innovative in the development of an ecosystem of arm-based devices.</t>
  </si>
  <si>
    <t>The company raised $25 million of Series A venture funding in a deal led by Paladin Capital Group on December 16, 2021, putting the company's pre-money valuation at $55 million. Cisco Investments, Phoenix International Investments, and other undisclosed investors also participated in the round. The funds will be used to accelerate R&amp;D to support customer demand and expand the company's go-to-market and partner ecosystem initiatives.</t>
  </si>
  <si>
    <t>Business/Productivity Software*, Multimedia and Design Software</t>
  </si>
  <si>
    <t>Cybersecurity, Internet of Things, Mobile</t>
  </si>
  <si>
    <t>app streaming, design software, device modeling, endpoint security, iot security, iot software, iot/ot security, mobile security, ot security, security device, security research</t>
  </si>
  <si>
    <t>IoT Security</t>
  </si>
  <si>
    <t>79215-85P</t>
  </si>
  <si>
    <t>Amanda Gorton</t>
  </si>
  <si>
    <t>+1 (561) 877-2357</t>
  </si>
  <si>
    <t>amanda@corellium.com</t>
  </si>
  <si>
    <t>Ms. Amanda Gorton is a Co-Founder &amp; serves as Chief Executive Officer at Corellium. Ms. Gorton serves as Chief Executive Officer at Virtual. She is also a Co-Founder of the company.</t>
  </si>
  <si>
    <t>Yale University, BA (Bachelor of Arts), 2010, Classics, Yale University, MA (Master of Arts), 2010, Classics</t>
  </si>
  <si>
    <t>Cisco Investments, Paladin Capital Group, Phoenix International Investments</t>
  </si>
  <si>
    <t>Paladin Capital Group(Mourad Yesayan)</t>
  </si>
  <si>
    <t>Paladin Cyber Fund II(Paladin Capital Group)</t>
  </si>
  <si>
    <t>Delray Beach, FL</t>
  </si>
  <si>
    <t>Delray Beach</t>
  </si>
  <si>
    <t>33444</t>
  </si>
  <si>
    <t>www.corellium.com</t>
  </si>
  <si>
    <t>156984-76T</t>
  </si>
  <si>
    <t>Cornelis Networks</t>
  </si>
  <si>
    <t>439861-33</t>
  </si>
  <si>
    <t>ADIT Ventures, Alumni Ventures(Brian Keil), Chestnut Street Ventures, Downing Ventures(Warren Rogers), Global Brain, Intel Capital(Alan Snodgrass), Ridgeline(Andrew McMahon)</t>
  </si>
  <si>
    <t>ADIT Ventures (www.aditventures.com), Alumni Ventures (www.av.vc), Chestnut Street Ventures (www.chestnutstreetventures.com), Global Brain (www.globalbrains.com), Intel Capital (www.intelcapital.com), Ridgeline (www.ridgeline.vc)</t>
  </si>
  <si>
    <t>Developer of high-performance computer networking products designed to accelerate the demanding technical computing applications. The company's products enable scientific, academic, governmental, and commercial customers to solve some of the challenges by efficiently focusing the computational power of many processing devices at scale on a single problem, simultaneously improving both result accuracy and time for their complex application workloads, enabling clients to deliver optimal performance, scalability, and efficiency across hyper-scale, cloud AI.</t>
  </si>
  <si>
    <t>The company raised $25 million of Series B venture funding from W11 Capital Management, Ben Franklin Technology Partners of Southeastern Pennsylvania and IAG Capital Partners on May 22, 2024, putting the company's pre-money valuation at $202.5 million. Previously, the company raised $24.3 million of Series B3 venture funding from undisclosed investors on August 24, 2023. As a part of the transaction, the amount was raised in the form of convertible debt which was subsequently converted into equity.</t>
  </si>
  <si>
    <t>Wireless Communications Equipment</t>
  </si>
  <si>
    <t>Fiberoptic Equipment, Wireless Communications Equipment*</t>
  </si>
  <si>
    <t>ai technology, cloud ai, computational fluid dynamics, computer networking, computing application, data center network</t>
  </si>
  <si>
    <t>242308-36P</t>
  </si>
  <si>
    <t>Philip Murphy</t>
  </si>
  <si>
    <t>+1 (610) 254-5020</t>
  </si>
  <si>
    <t>philip.murphy@cornelisnetworks.com</t>
  </si>
  <si>
    <t>Mr. Philip Murphy is a Co-Founder and serves as Chief Operations Officer, President, and Board Member at Cornelis Networks. He is responsible for the overall management and strategic direction of the company. Prior to co-founding Cornelis Networks, Phil served as a director at Intel Corporation, responsible for fabric platform planning and architecture, product positioning, and business development support. Prior to that role, Phil served as vice president of engineering and vice president of HPC technology within QLogic's Network Solutions Group, responsible for the design, development, and evangelizing of all high-performance computing products, as well as all storage area network switching products. Before joining QLogic, Phil was vice president of engineering at SilverStorm Technologies, which he co-founded in 2000 and which was acquired by QLogic in 2006. SilverStorm's core focus was on providing complete network solutions for high-performance computing clusters. Prior to co-founding SilverStorm, Phil served as director of engineering at Unisys Corporation and was responsible for all I/O development across the company's diverse product lines.</t>
  </si>
  <si>
    <t>BS (Bachelor of Science), Mathematics, University of Pennsylvania, MS (Master of Science), Computer and Information Science</t>
  </si>
  <si>
    <t>The company raised $35.5 million through a combination of debt and Series A-1, Series A-2, and Series A-3 venture funding in a deal led by Downing Ventures on February 8, 2021, putting the company's pre-money valuation at $40 million. Intel Capital, Chestnut Street Ventures, Alumni Ventures, Ridgeline, Global Brain, and ADIT Ventures also participated in the round.</t>
  </si>
  <si>
    <t>ADIT Ventures, Alumni Ventures, Chestnut Street Ventures, Downing Ventures, Global Brain, Intel Capital, Ridgeline</t>
  </si>
  <si>
    <t>Downing Ventures(Warren Rogers)</t>
  </si>
  <si>
    <t>Adit Growth Equity Fund(ADIT Ventures), AVG 2021 Total Access Funds(Alumni Ventures), AVG Frontier Fund(Alumni Ventures), Downing Ventures EIS(Downing Ventures), Global Brain VII(Global Brain), Ridgeline Ventures Fund I(Ridgeline)</t>
  </si>
  <si>
    <t>Hogan Lovells (Legal Advisor to Intel Capital, Jane Ross), Shoosmiths (Legal Advisor to Downing Ventures, Tom Wilde)</t>
  </si>
  <si>
    <t>Wayne, PA</t>
  </si>
  <si>
    <t>Wayne</t>
  </si>
  <si>
    <t>19087</t>
  </si>
  <si>
    <t>www.cornelisnetworks.com</t>
  </si>
  <si>
    <t>Other - $4.25M</t>
  </si>
  <si>
    <t>Electric digital data processing, Transmission of digital information</t>
  </si>
  <si>
    <t>186508-90T</t>
  </si>
  <si>
    <t>Coursemojo</t>
  </si>
  <si>
    <t>490036-60</t>
  </si>
  <si>
    <t>A-Street, Impact Assets, Ulu Ventures</t>
  </si>
  <si>
    <t>A-Street (www.astreet.com), Impact Assets (www.impactassets.org), Ulu Ventures (www.uluventures.com)</t>
  </si>
  <si>
    <t>Provider of online educational services intended to make quality courses accessible to all students. The company provides online courses that combine the flexibility of asynchronous learning that can happen at any time with the interactivity of synchronous, small-group learning that happens live at a scheduled time via videoconference, self-paced courses, and dual-enrollment courses, enabling students to earn college credit while still in high school.</t>
  </si>
  <si>
    <t>The company raised venture funding on August 7, 2024.</t>
  </si>
  <si>
    <t>Application Software, Educational and Training Services (B2C)*, Educational Software</t>
  </si>
  <si>
    <t>education courses, education platform, learning platform, learning services, online courses, online education, online education platform, online education service</t>
  </si>
  <si>
    <t>287916-85P</t>
  </si>
  <si>
    <t>Eric Westendorf</t>
  </si>
  <si>
    <t>ewestendorf@coursello.webflow.io</t>
  </si>
  <si>
    <t>Mr. Eric Westendorf is a Co-Founder &amp; serves as Chief Executive Officer at Coursello. Mr. Westendorf is a Co-Founder and serves as Co-Chief Executive Officer at Coursello. He also serves as Operating Partner at A-Street. A former teacher and principal, He co-founded LearnZillion, a digital curriculum company, and most recently co-founded A-Street Ventures. He holds several board roles and fellow positions focusing on public school performance, diversity, and educational equity. He is the co-founder and CEO of Coursello, an ed-tech company that provides high-quality online courses to schools and districts. He is the former co-founder and CEO of LearnZillion, a curriculum company that provides the highest quality curriculum in a digital-first format. He sold LearnZillion to Weld North Education (now Imagine Learning) in December 2019. Coursello and LearnZillion grew out of His lifelong interest in the design of learning experiences. That focus animated his work as a principal and Chief Academic Officer at E.L. Haynes Public Charter School in Washington, D.C., as Assistant Principal of St. Joseph's School in Harlem, and as a teacher in North Carolina, New York, and Yogyakarta, Indonesia. He is an advisor at A-Street Ventures, a Pahara-Aspen fellow, and a board member of E.L. Haynes Public Charter School and Kindred. He holds a bachelor's degree from Princeton University, a Master's degree in Teaching from Brown University, and a master's degree in Business Administration from Stanford University.</t>
  </si>
  <si>
    <t>Brown University, Master's, Teaching, Princeton University, Bachelor's, Stanford University, MBA (Master of Business Administration)</t>
  </si>
  <si>
    <t>The company raised $4.00 million of seed funding from A-Street, Ulu Ventures and ImpactAssets on November 22, 2021, putting the company's pre-money valuation at $13 million. Other undisclosed investors also participated in the round.</t>
  </si>
  <si>
    <t>A-Street Ventures Fund(A-Street), Ulu Ventures Fund III(Ulu Ventures)</t>
  </si>
  <si>
    <t>20016</t>
  </si>
  <si>
    <t>www.coursemojo.com</t>
  </si>
  <si>
    <t>242575-75T</t>
  </si>
  <si>
    <t>Couture Technologies</t>
  </si>
  <si>
    <t>340748-38</t>
  </si>
  <si>
    <t>InvestTN</t>
  </si>
  <si>
    <t>InvestTN (www.investtn.org)</t>
  </si>
  <si>
    <t>Developer of a virtual fitting and try-on tool intended for e-commerce businesses to show their customers how apparel items will look and fit on their body. The company's tool provides virtual try on technology that shows customers how items will look and fit on their body, enabling the retailers to give their customers a virtual experience of the products.</t>
  </si>
  <si>
    <t>The company raised $100,000 of venture funding in the form of SAFE notes in a deal led by Quantum Technology &amp; Financial Investments on September 30, 2024. Launch Tennessee also participated in the round.</t>
  </si>
  <si>
    <t>Artificial Intelligence &amp; Machine Learning, SaaS, Virtual Reality</t>
  </si>
  <si>
    <t>3d product visualization, 3d simulation, fashion technology, virtual fittings, virtual fittings technology, virtual measurement, visualization technology</t>
  </si>
  <si>
    <t>194176-27P</t>
  </si>
  <si>
    <t>Deanna Meador</t>
  </si>
  <si>
    <t>+1 (615) 936-1782</t>
  </si>
  <si>
    <t>deanna@couturetech.fashion</t>
  </si>
  <si>
    <t>Ms. Deanna Meador is a Co-Founder and serves as Chief Executive Officer at Couture Technologies. She also serves as Assistant Director of the Wond'ry at Vanderbilt University.</t>
  </si>
  <si>
    <t>The company raised $1.5 million of seed funding from InvestTN and other undisclosed investors on March 9, 2023.</t>
  </si>
  <si>
    <t>www.couturetechnologies.com</t>
  </si>
  <si>
    <t>129357-91T</t>
  </si>
  <si>
    <t>Create&amp;Learn</t>
  </si>
  <si>
    <t>399185-20</t>
  </si>
  <si>
    <t>Core Ventures Group(Joanna Drake), GSV Ventures(Michael Moe)</t>
  </si>
  <si>
    <t>Core Ventures Group (www.coreventuresgroup.com), GSV Ventures (www.gsv.ventures)</t>
  </si>
  <si>
    <t>Developer of an educational platform designed to grow creativity and critical thinking skills in kids. The company's platform offers experiences with advanced technologies on various topics such as scratch, artificial intelligence, data science, python, and other topics, enabling students to effectively learn coding using project and inquiry-based learning.</t>
  </si>
  <si>
    <t>The company raised an undisclosed amount of venture funding from StartX approximately in May 2022.</t>
  </si>
  <si>
    <t>Artificial Intelligence &amp; Machine Learning, Big Data, EdTech, SaaS</t>
  </si>
  <si>
    <t>ai classes, consumer data analytics, creative classes, critical thinking, critical thinking skills, data science, live courses, online kids classes, vertical application</t>
  </si>
  <si>
    <t>219663-64P</t>
  </si>
  <si>
    <t>Zhimei Jiang</t>
  </si>
  <si>
    <t>+1 (650) 670-8867</t>
  </si>
  <si>
    <t>jjiang@createandlearn.us</t>
  </si>
  <si>
    <t>Dr. Zhimei Jiang is a Co-Founder and serves as Chief Executive Officer &amp; Board Member at Create &amp; Learn. A from Stanford and Ph.D in Computer Science from University of California, Los Angeles (UCLA).</t>
  </si>
  <si>
    <t>Stanford University, MBA (Master of Business Administration), University of California, Los Angeles (UCLA), Ph.D. (Doctor of Philosophy), Computer Science</t>
  </si>
  <si>
    <t>The company raised $1.7 million of seed funding in a deal led by GSV Ventures on June 24, 2020. Core Ventures Group and other undisclosed investors also participated in the round. The funds will be used to hire more instructors and take on more students in the U.S. and abroad.</t>
  </si>
  <si>
    <t>Core Ventures Group, GSV Ventures</t>
  </si>
  <si>
    <t>GSV Ventures(Michael Moe)</t>
  </si>
  <si>
    <t>GSV CH II(GSV Ventures), GSV Ventures Fund II(GSV Ventures)</t>
  </si>
  <si>
    <t>Silicon Legal Strategy (Legal Advisor to Core Ventures Group, Coleman Cannon JD)</t>
  </si>
  <si>
    <t>www.create-learn.us</t>
  </si>
  <si>
    <t>220907-17T</t>
  </si>
  <si>
    <t>Creatively Focused</t>
  </si>
  <si>
    <t>518874-85</t>
  </si>
  <si>
    <t>Gopher Angels, Groove Capital, Mairs &amp; Power Venture Capital, York IE(Marshall Everson)</t>
  </si>
  <si>
    <t>Gopher Angels (www.gopherangels.com), Groove Capital (www.groovecap.com), Mairs &amp; Power Venture Capital (www.mairsandpower.vc), York IE (www.york.ie)</t>
  </si>
  <si>
    <t>Developer of an educational technology platform designed to equip teachers with deliberate tactics and abilities to enhance student results. The company offers assistance to enable special education teachers, paraprofessionals, and administrators to feel connected and supported in the world of special education through its web-based platform and social-emotional learning services, enabling educators to access resources that improve student outcomes.</t>
  </si>
  <si>
    <t>The company raised $3 million of seed funding in a deal led by York IE on April 1, 2023. Mairs &amp; Power Venture Capital, Groove Capital, and Gopher Angels also participated in the round. The funds will be used to expand the company's impact on the national extraordinary education shortage crisis by focusing on teachers' and paraprofessionals' learning and development needs.</t>
  </si>
  <si>
    <t>educational support, special education, special education management, special education process, special education service, special education software</t>
  </si>
  <si>
    <t>332677-81P</t>
  </si>
  <si>
    <t>Elizabeth Orme</t>
  </si>
  <si>
    <t>+1 (651) 207-4534</t>
  </si>
  <si>
    <t>elizabeth@creativelyfocused.net</t>
  </si>
  <si>
    <t>Ms. Elizabeth Orme is the Founder and serves as Chief Executive Officer at Creatively Focused. She started teaching special education to help students with disabilities feel successful.</t>
  </si>
  <si>
    <t>Gopher Angels, Groove Capital, Mairs &amp; Power Venture Capital, York IE</t>
  </si>
  <si>
    <t>York IE(Marshall Everson)</t>
  </si>
  <si>
    <t>Fredrikson (Legal Advisor to Mairs &amp; Power Venture Capital)</t>
  </si>
  <si>
    <t>Mendota Heights, MN</t>
  </si>
  <si>
    <t>Mendota Heights</t>
  </si>
  <si>
    <t>55120</t>
  </si>
  <si>
    <t>www.creativelyfocused.net</t>
  </si>
  <si>
    <t>165110-41T</t>
  </si>
  <si>
    <t>Credo AI</t>
  </si>
  <si>
    <t>459035-74</t>
  </si>
  <si>
    <t>AI Fund(Andrew Ng), Decibel Partners(Jon Sakoda), Village Global</t>
  </si>
  <si>
    <t>AI Fund (www.aifund.ai), Decibel Partners (www.decibel.vc), Village Global (www.villageglobal.vc)</t>
  </si>
  <si>
    <t>Developer of AI governance platform designed to automate artificial intelligence oversight and risk management. The company's SaaS platform provides continuous and comprehensive regulatory compliance to measure, monitor, and manage AI-introduced risks at scale, enabling enterprises to build customer trust to unlock sales opportunities, differentiate with AI, and manage risks effectively to gain confidence in their deployments.</t>
  </si>
  <si>
    <t>The company raised $21 million of Series A1 venture funding in a deal led by Mozilla Ventures, FPV Ventures and CrimsoNox Capital on July 30, 2024, putting the company's pre-money valuation at $82 million. Booz Allen Ventures, Sands Capital, Decibel Partners, and AI Fund also participated in the round. The funds will be used to help enterprises advance the development of AI in a more responsible way.</t>
  </si>
  <si>
    <t>ai audit, ai cores, ai governance, deep learning, deep learning tool, digital transformation, digital transformations, generative ai, machine learning, risk management</t>
  </si>
  <si>
    <t>250774-66P</t>
  </si>
  <si>
    <t>Navrina Singh</t>
  </si>
  <si>
    <t>navrina@credo.ai</t>
  </si>
  <si>
    <t>Ms. Navrina Singh is a Co-Founder and serves as Chief Executive Officer at Credo AI.</t>
  </si>
  <si>
    <t>The company raised $5.5 million of Seed-1 and Seed-2 funding in a deal led by Decibel Partners on January 1, 2020, putting the company's pre-money valuation at $16 million. AI Fund, Village Global and other undisclosed investors also participated in the round.</t>
  </si>
  <si>
    <t>AI Fund, Decibel Partners, Village Global</t>
  </si>
  <si>
    <t>Decibel Partners(Jon Sakoda)</t>
  </si>
  <si>
    <t>AI Fund(AI Fund), Decibel Partners I(Decibel Partners), Village Global Fund(Village Global)</t>
  </si>
  <si>
    <t>94306</t>
  </si>
  <si>
    <t>www.credo.ai</t>
  </si>
  <si>
    <t>Computing arrangements based on specific computational models, Electric digital data processing, Transmission of digital information</t>
  </si>
  <si>
    <t>188462-89T</t>
  </si>
  <si>
    <t>Criya</t>
  </si>
  <si>
    <t>491429-98</t>
  </si>
  <si>
    <t>Felicis(Viviana Faga), Fika Ventures(Eva Ho), SHAKTI(Keval Desai)</t>
  </si>
  <si>
    <t>Felicis (www.felicis.com), Fika Ventures (www.fika.vc), SHAKTI (www.shaktivc.com)</t>
  </si>
  <si>
    <t>Developer of a digital technology platform designed to start and grow the businesses online. The company's platform offers an all-in-one studio for different creative firms with a pre-built storefront and fully automated booking, payment invoicing, digital contracts, projects, and appointment setup, enabling companies to build profitable businesses by monetizing and organizing the services.</t>
  </si>
  <si>
    <t>The company raised $5.34 million through a combination of Seed-1, Seed-2, Seed-3 funding in a deal led by SHAKTI on April 8, 2022, putting the company's pre-money valuation at $24 million. Fika Ventures, Felicis, and other undisclosed investors also participated in the round. The funds will be used to build the company's founding team and scale the infrastructure to support more users. Previously, the company joined Y Combinator as part of its Winter 2022 cohort in 2022 and received $500,000 in funding in the form of SAFE notes.</t>
  </si>
  <si>
    <t>Artificial Intelligence &amp; Machine Learning, Marketing Tech, SaaS</t>
  </si>
  <si>
    <t>analytics tool, artificial intelligence engine, automated payment system, business growth, digital technology, engagement tool, marketing strategy, team collaboration, visual design tool</t>
  </si>
  <si>
    <t>291409-57P</t>
  </si>
  <si>
    <t>Deboshree Dutta</t>
  </si>
  <si>
    <t>deb@criya.co</t>
  </si>
  <si>
    <t>Ms. Deboshree Dutta is the Founder &amp; serves as Chief Executive Officer at Criya.</t>
  </si>
  <si>
    <t>The company raised $5.34 million through a combination of Seed-1, Seed-2, Seed-3 funding in a deal led by SHAKTI on April 8, 2022, putting the company's pre-money valuation at $24 million. Fika Ventures, Felicis, and other undisclosed investors also participated in the round. The funds will be used to build the company's founding team and scale the infrastructure to support more users.</t>
  </si>
  <si>
    <t>Felicis, Fika Ventures, SHAKTI</t>
  </si>
  <si>
    <t>SHAKTI(Keval Desai)</t>
  </si>
  <si>
    <t>Fika Ventures II(Fika Ventures)</t>
  </si>
  <si>
    <t>San Jose, CA</t>
  </si>
  <si>
    <t>San Jose</t>
  </si>
  <si>
    <t>95110</t>
  </si>
  <si>
    <t>www.criya.co</t>
  </si>
  <si>
    <t>204939-91T</t>
  </si>
  <si>
    <t>Cromatic</t>
  </si>
  <si>
    <t>498863-53</t>
  </si>
  <si>
    <t>Accel, Lux Capital, Not Boring, Team Ignite Ventures, What If Ventures, Work Life Ventures</t>
  </si>
  <si>
    <t>Accel (www.accel.com), Lux Capital (www.luxcapital.com), Not Boring (www.notboring.co), Team Ignite Ventures (www.teamignite.ventures), What If Ventures (www.whatif.vc), Work Life Ventures (www.worklife.vc)</t>
  </si>
  <si>
    <t>Developer of a biotech platform designed to make finding and managing scientific outsourcing easier for health-tech companies. The company's platform helps clients find and manage outsourcing partners and helps to connect with biotech companies looking for contract research organization services, enabling life-sciences companies to outsource research and development.</t>
  </si>
  <si>
    <t>The company raised $5.3 million of venture funding in a deal led by AgFunder and Life Extension Ventures on November 9, 2023. What If Ventures and 7 other investors also participated in the round. The funds will be used for product roadmap for biotechs and CROs, forge strategic partnerships, and expand the company's team across product, engineering, sales, and customer success. Previously, the company raised an undisclosed amount of venture funding from FJ Labs on June 23, 2023. The funding was originally raised in the form of SAFE notes subsequently converted into equity.</t>
  </si>
  <si>
    <t>Business/Productivity Software*, IT Consulting and Outsourcing, Other Healthcare Technology Systems</t>
  </si>
  <si>
    <t>HealthTech, SaaS</t>
  </si>
  <si>
    <t>biotech software, biotech software developer, biotechnology services, biotechnology systems, contract research service, enterprise resource planning, outsourcing model, r&amp;d outsourcing</t>
  </si>
  <si>
    <t>317766-34P</t>
  </si>
  <si>
    <t>Sunwoo Lee</t>
  </si>
  <si>
    <t>Ms. Sunwoo Lee co-founded and served as Co-Chief Executive Officer at Cromatic.</t>
  </si>
  <si>
    <t>Degree, 2016, Harvard Law School, JD (Doctor of Law), 2025, Law, Stanford University, Bachelor's, 2020, Philosophy, Stanford University, MS (Master of Science), 2021</t>
  </si>
  <si>
    <t>The company raised $1.2 million of pre-seed funding from What If Ventures, Accel and Lux Capital on September 1, 2022. Work Life Ventures, Team Ignite Ventures, and Not Boring also participated in the round.</t>
  </si>
  <si>
    <t>Gunderson Dettmer (Legal Advisor to Accel)</t>
  </si>
  <si>
    <t>Redwood City, CA</t>
  </si>
  <si>
    <t>Redwood City</t>
  </si>
  <si>
    <t>94063</t>
  </si>
  <si>
    <t>www.cromatic.bio</t>
  </si>
  <si>
    <t>215111-35T</t>
  </si>
  <si>
    <t>Croux</t>
  </si>
  <si>
    <t>519375-34</t>
  </si>
  <si>
    <t>TitletownTech</t>
  </si>
  <si>
    <t>TitletownTech (www.titletowntech.com)</t>
  </si>
  <si>
    <t>Operator of an online workforce marketplace intended to connect talented workers with flexible work opportunities in the hospitality industry. The company's marketplace streamlines the process of matching workers with suitable job opportunities by providing detailed worker profiles and real-time availability updates, enabling employers to find the right workers for their needs and workers to find work in their preferred areas.</t>
  </si>
  <si>
    <t>The company received $50,000 of grant funding from Alabama Launchpad on August 18, 2023. Previously, the company raised $1 million of pre-seed funding from TitletownTech and other undisclosed investors on May 2, 2023.</t>
  </si>
  <si>
    <t>Application Software, Business/Productivity Software*, Human Capital Services, Media and Information Services (B2B)</t>
  </si>
  <si>
    <t>Mobile, Restaurant Technology, SaaS</t>
  </si>
  <si>
    <t>hospitality sector, job placement, placement agency, restaurant staffing, workforce app, workforce management, workforce platform</t>
  </si>
  <si>
    <t>335424-07P</t>
  </si>
  <si>
    <t>Jennifer Ryan</t>
  </si>
  <si>
    <t>+1 (205) 973-6689</t>
  </si>
  <si>
    <t>jennifer@croux.co</t>
  </si>
  <si>
    <t>Ms. Jennifer Ryan is a Co-Founder and serves as Chief Executive Officer at Croux.</t>
  </si>
  <si>
    <t>Princeton University, BA (Bachelor of Arts), 2006</t>
  </si>
  <si>
    <t>The company raised $1 million of pre-seed funding from TitletownTech and other undisclosed investors on May 2, 2023.</t>
  </si>
  <si>
    <t>35203</t>
  </si>
  <si>
    <t>www.croux.co</t>
  </si>
  <si>
    <t>207393-76T</t>
  </si>
  <si>
    <t>Curated For You</t>
  </si>
  <si>
    <t>493025-68</t>
  </si>
  <si>
    <t>AIX Ventures(Bianca Caban), Cascade Seed Fund, Dundee Venture Capital(Matt Shandy), Dynamism Capital, Geekdom Fund, Gurtin Ventures, Techstars</t>
  </si>
  <si>
    <t>AIX Ventures (www.aixventures.com), Cascade Seed Fund (www.cascadeseedfund.com), Dundee Venture Capital (www.dundeeventurecapital.com), Dynamism Capital (dynamism.capital), Geekdom Fund (www.geekdomfund.com), Gurtin Ventures (www.gurtinventures.com), Techstars (www.techstars.com)</t>
  </si>
  <si>
    <t>Provider of an online shopping information service intended to contextualize the products for everyone. The company specializes in measuring consumer motivations based on the social-scientific measurement and theory by leveraging machine vision and natural language processing to accurately predict perceptions at scale, enabling clients to make the shopping experience effective.</t>
  </si>
  <si>
    <t>The company joined New York Fashion Tech Lab as a part of its 2024 cohort on March 26, 2024. Previously, the company joined Stage 2 Capital as a part of its Catalyst Cohort for 2024 in 2024 and received an undisclosed amount in funding.</t>
  </si>
  <si>
    <t>Artificial Intelligence &amp; Machine Learning, E-Commerce</t>
  </si>
  <si>
    <t>customer experience, ecommerce personalization, ecommerce sales, machine vision technology, natural language services, online shopping interface, online shopping technology</t>
  </si>
  <si>
    <t>179069-95P</t>
  </si>
  <si>
    <t>Katherine Aucoin</t>
  </si>
  <si>
    <t>+1 (225) 978-8862</t>
  </si>
  <si>
    <t>kaucoin@curatedforyou.io</t>
  </si>
  <si>
    <t>Ms. Katherine Aucoin is a Co-Founder and serves as Chief Executive Officer, President, &amp; Board Member at Curated For You. She founded and served as Chief Executive Officer at dearduck.</t>
  </si>
  <si>
    <t>The company raised $3.53 million of seed funding in a deal led by AIX Ventures and Dundee Venture Capital on November 1, 2022, putting the company's pre-money valuation at $8 million. Geekdom Fund, Gurtin Ventures, Dynamism Capital, Cascade Seed Fund and Techstars also participated in the round. The funds will be used to continue the development and delivery of lifestyle commerce and consumer insights platform for fashion retailers.</t>
  </si>
  <si>
    <t>AIX Ventures, Cascade Seed Fund, Dundee Venture Capital, Dynamism Capital, Geekdom Fund, Gurtin Ventures, Techstars</t>
  </si>
  <si>
    <t>AIX Ventures(Bianca Caban), Dundee Venture Capital(Matt Shandy)</t>
  </si>
  <si>
    <t>Dynamism Capital I(Dynamism Capital)</t>
  </si>
  <si>
    <t>77254</t>
  </si>
  <si>
    <t>www.curatedforyou.io</t>
  </si>
  <si>
    <t>124737-04T</t>
  </si>
  <si>
    <t>Curbside Kitchen</t>
  </si>
  <si>
    <t>277923-79</t>
  </si>
  <si>
    <t>Accipital, Mike Ravenscroft, Virginia Venture Partners(Jennifer O'Daniel)</t>
  </si>
  <si>
    <t>Accipital (accipital.com)</t>
  </si>
  <si>
    <t>Developer of food truck service platform designed to offer breakfast and lunch to commercial offices and multi-family residential buildings. The company ties with food trucks to circulate menus with tenants, enter orders, market their customized programs directly to the users in their facilities, and feedback loops on how trucks perform at properties, enabling office and residential building owners to consume desired food.</t>
  </si>
  <si>
    <t>The company raised $2 million of seed funding from Accipital, Virginia Venture Partners, and Mike Ravenscroft on March 27, 2020, putting the company's pre-money valuation at $8 million. Other undisclosed investors also participated in the round. The funds will be used to hire additional team members in multiple areas to scale business operations to new markets and complete a full build-out of their technology to include a mobile app, dynamic scheduling, and mobile ordering.</t>
  </si>
  <si>
    <t>FoodTech, Restaurant Technology</t>
  </si>
  <si>
    <t>discovery &amp; review, discovery and review, food and beverage discovery, food beverage discovery, food truck information, food truck management, food truck operator, food truck ordering, food truck restaurant, food truck scheduling</t>
  </si>
  <si>
    <t>213082-93P</t>
  </si>
  <si>
    <t>Amy Katz</t>
  </si>
  <si>
    <t>+1 (703) 570-8648</t>
  </si>
  <si>
    <t>amy@curbsidekitchen.com</t>
  </si>
  <si>
    <t>Ms. Amy Katz is a Co-Founder and serves as Chief Executive Officer &amp; Board Member at Curbside Kitchen.</t>
  </si>
  <si>
    <t>Accipital, Mike Ravenscroft, Virginia Venture Partners</t>
  </si>
  <si>
    <t>GAP Tech Fund(Virginia Venture Partners), Virginia Founders Fund(Virginia Venture Partners)</t>
  </si>
  <si>
    <t>McLean, VA</t>
  </si>
  <si>
    <t>McLean</t>
  </si>
  <si>
    <t>22102</t>
  </si>
  <si>
    <t>www.curbsidekitchen.com</t>
  </si>
  <si>
    <t>181203-67T</t>
  </si>
  <si>
    <t>Curious Cardinals</t>
  </si>
  <si>
    <t>482119-03</t>
  </si>
  <si>
    <t>Anthos Capital(Bryan Kelly)</t>
  </si>
  <si>
    <t>Anthos Capital (www.anthoscapital.com)</t>
  </si>
  <si>
    <t>Operator of a student mentoring platform intended to make students learn from mentors they aspire to be. The company's platform provides one-on-one mentorship with a college mentor to receive enrichment and academic assistance, collaborative workshops and global classrooms, enabling mentors to teach ascribing value and agency to both the teaching and learning roles.</t>
  </si>
  <si>
    <t>The company raised $465,000 of venture funding from Audacious Ventures, Deborah Liu and Deborah Quazzo on June 8, 2023. Other undisclosed investors also participated in the round.</t>
  </si>
  <si>
    <t>educational software, e-learning industry, online education service, online education service provider, online mentorship, online workshop</t>
  </si>
  <si>
    <t>277473-43P</t>
  </si>
  <si>
    <t>Audrey Wisch</t>
  </si>
  <si>
    <t>+1 (310) 909-3054</t>
  </si>
  <si>
    <t>audrey@curiouscardinals.com</t>
  </si>
  <si>
    <t>Ms. Audrey Wisch is a Co-Founder and serves as Chief Executive Officer &amp; Board Member at Curious Cardinals. She strives to create a community of lifelong learners and doers that celebrates the diversity each member of our team contributes. Since her passions imbue her life with meaning, Audrey hopes to help K-12 students discover theirs and provide college students with a platform to share their passions. A student CEO, Audrey is currently pursuing a major in History with a double minor in Education and Feminist, Gender, and Sexuality at Stanford University. In high school Audrey received the Scholar Athlete Award in recognition of her stellar academic and athletic achievements. A three season nationally ranked runner from 7th-12th grade, Audrey led the way as team captain from 10-12th grade and received countless MVP awards. She served as president of the debate team and founder of the Association to Benefit Children (ABC) Sports Club, in which she organized sporting events and tutored underserved kids. She recently created a partnership with Curious Cardinals and ABC to provide full financial aid to their students. At Stanford, Audrey tutors for HABLA, a club that pairs students with members of the Spanish-speaking custodial and janitorial staff to teach them English. She was also accepted into the Stanford Research Intensive program. In the summer of 2020, Audrey won a fellowship grant to conduct graduate-level research on the history of sexual assault narratives in the Black and feminist press for Professor Estelle Freedman, one of the most prominent feminist historians in the country.</t>
  </si>
  <si>
    <t>The company raised $6.86 million of seed funding from Anthos Capital and other undisclosed investors on March 25, 2022.</t>
  </si>
  <si>
    <t>Anthos Capital</t>
  </si>
  <si>
    <t>Anthos Capital V(Anthos Capital)</t>
  </si>
  <si>
    <t>www.curiouscardinals.com</t>
  </si>
  <si>
    <t>191017-81T</t>
  </si>
  <si>
    <t>CyDeploy</t>
  </si>
  <si>
    <t>494181-19</t>
  </si>
  <si>
    <t>Latimer Ventures, Preface Ventures, Startup Showdown</t>
  </si>
  <si>
    <t>Latimer Ventures (www.latimer.vc), Preface Ventures (www.prefaceventures.com)</t>
  </si>
  <si>
    <t>Developer of a cloud-based replica system designed for organizations to make security changes to their system with confidence. The company offers SaaS assistance by automating insight into the functional impact of making system security changes, enabling users to adjust or prevent workflow disruptions</t>
  </si>
  <si>
    <t>The company joined Google for Startups Accelerator on July 18, 2023, and received $150,000 in funding in the form of a grant. The funds will be used to expand the company's customer base while continuously refining its innovative cybersecurity product. Previously, the company raised $350,000 of venture funding in a deal led by Preface Ventures on March 9, 2023. Amazon Web Services and 7 other investors also participated in the round.</t>
  </si>
  <si>
    <t>Artificial Intelligence &amp; Machine Learning, Cybersecurity, Internet of Things, SaaS</t>
  </si>
  <si>
    <t>artificial intelligence technology, automated testing system, automated testing technology, cloud security, cloud-based systems, digital twin technology services, iot security, network security</t>
  </si>
  <si>
    <t>192327-40P</t>
  </si>
  <si>
    <t>Tina Williams-Koroma</t>
  </si>
  <si>
    <t>+1 (202) 573-9344</t>
  </si>
  <si>
    <t>tina.williams@cydeploy.com</t>
  </si>
  <si>
    <t>Ms. Tina Williams-Koroma is the Founder and served as Chief Executive Officer at CyDeploy. She also is a Co-Founder and serves as Chief Executive Officer and President at TCecure. She served as Vice Chairman at TEDCO. She served as President and Chief Executive Officer at TCecure, which provides security architecture, engineering, assessments, training, and consulting to public sector and commercial clients. She is an Adjunct Instructor for the University of Maryland Baltimore County's (UMBC) Master of Professional Studies in Cybersecurity and a member of the Maryland Bar and the NICE365 Industry Advisory Board of Directors. Prior to establishing TCecure, She started her career at Lockheed Martin as a software developer in the Information Systems Leadership Development Program (ISLDP). She finished her time at Lockheed as a Corporate Internal Auditor in the Business Leadership Development Program. She is a former Meyerhoff Scholar and a University Scholar at UMBC, where she received a Bachelor of Science degree in Computer Science. She also holds a Master of Science degree in Management from Rensselaer Polytechnic Institute and a Juris Doctor degree from the University of Maryland's Francis King Carey School of Law.</t>
  </si>
  <si>
    <t>BS (Bachelor of Science), Computer Science, Rensselaer Polytechnic Institute, MS (Master of Science), Management, University of Maryland, College Park, JD (Doctor of Law)</t>
  </si>
  <si>
    <t>The company raised $145,000 of venture funding from Latimer Ventures, Preface Ventures and Startup Showdown on November 17, 2021.</t>
  </si>
  <si>
    <t>Preface Enterprise Infrastructure Fund(Preface Ventures)</t>
  </si>
  <si>
    <t>No Mud No Magic (Advisor: General to Company)</t>
  </si>
  <si>
    <t>cydeploy.com</t>
  </si>
  <si>
    <t>Transmission of digital information</t>
  </si>
  <si>
    <t>179567-65T</t>
  </si>
  <si>
    <t>Dance Church</t>
  </si>
  <si>
    <t>439424-20</t>
  </si>
  <si>
    <t>Alumni Ventures(Todd McIntyre), Crush Ventures, Female Founders - Grow F, Graham &amp; Walker, KID Venture Capital, MaC Venture Capital(Zhenni Liu), PSL Studio(David Zager), PSL Ventures(David Zager)</t>
  </si>
  <si>
    <t>Alumni Ventures (www.av.vc), Crush Ventures (www.crush.ventures), Female Founders - Grow F (www.female-founders.org), Graham &amp; Walker (www.grahamwalker.com), KID Venture Capital (www.kidventurecapital.com), MaC Venture Capital (macventurecapital.com), PSL Studio (www.psl.com)</t>
  </si>
  <si>
    <t>Operator of dance-focused movement classes intended to offer joyful and connective experiences led by professional dancers. The company offers users access to its live classes and a library of on-demand dance classes and workouts that essentially feature professionals leading the class in a series of movement cues, accompanied by a curated playlist of multi-genre pop music, enabling users to participate in online fitness coaching and dance classes as per their schedule.</t>
  </si>
  <si>
    <t>The company raised $4.7 million through a combination of Seed, Seed-1, and Seed-2 funding in a deal led by MaC Venture Capital on October 18, 2021, putting the company's pre-money valuation at $10 million. Crush Ventures and other investors also participated in the round. The funds will be used to build out the tech platform, producing more content and driving more sign-ups and engagement among its members.</t>
  </si>
  <si>
    <t>Educational and Training Services (B2C)*, Entertainment Software</t>
  </si>
  <si>
    <t>EdTech, TMT</t>
  </si>
  <si>
    <t>dance classes, dance fitness platform, fitness classes, fitness coaching, fitness coaching services, fitness platform, fitness platform operator</t>
  </si>
  <si>
    <t>265934-62P</t>
  </si>
  <si>
    <t>Clara Siegel</t>
  </si>
  <si>
    <t>+1 (206) 600-9792</t>
  </si>
  <si>
    <t>clara@dancechurch.com</t>
  </si>
  <si>
    <t>Ms. Clara Siegel serves as Chief Executive Officer and Board Member at Dance Church. Ms. Clara was previously a senior product manager at Tableau and Amazon. At Facebook, she managed products on the Messenger and Gaming teams.</t>
  </si>
  <si>
    <t>The company raised $4.7 million through a combination of Seed, Seed-1, and Seed-2 funding in a deal led by MaC Venture Capital on October 18, 2021, putting the company's pre-money valuation at $10 million. Crush Ventures, KID Venture Capital, Alumni Ventures, PSL Ventures, Graham &amp; Walker, Female Founders - Grow F, and other undisclosed investors also participated in the round. The funds will be used to build out the tech platform, producing more content and driving more sign-ups and engagement among its members.</t>
  </si>
  <si>
    <t>Alumni Ventures, Crush Ventures, Female Founders - Grow F, Graham &amp; Walker, KID Venture Capital, MaC Venture Capital, PSL Studio, PSL Ventures</t>
  </si>
  <si>
    <t>MaC Venture Capital(Zhenni Liu)</t>
  </si>
  <si>
    <t>MaC Venture Capital 2019(MaC Venture Capital), Pioneer Square Labs Studio II(PSL Studio), Pioneer Square Ventures Fund I(PSL Ventures), Spike Ventures Fund 5(Alumni Ventures)</t>
  </si>
  <si>
    <t>Perkins Coie (Legal Advisor to Company, Jillian Harrison), Wilson Sonsini Goodrich &amp; Rosati (Legal Advisor to Company)</t>
  </si>
  <si>
    <t>98122</t>
  </si>
  <si>
    <t>go.dancechurch.com</t>
  </si>
  <si>
    <t>242590-96T</t>
  </si>
  <si>
    <t>Dapple Security</t>
  </si>
  <si>
    <t>527193-82</t>
  </si>
  <si>
    <t>Access Ventures, Everywhere Ventures, ex/ante, First In, Techstars</t>
  </si>
  <si>
    <t>Access Ventures (www.accessventures.org), Everywhere Ventures (everywhere.vc), ex/ante (www.buildexante.com), First In (www.wearefirstin.com), Techstars (www.techstars.com)</t>
  </si>
  <si>
    <t>Developer of a digital security technology platform designed to protect human digital identity. The company's technology utilizes responsible biometrics and privacy by design principles and with the help of its passwordless platform, enabling enterprises to defend against phishing and other cyber attacks.</t>
  </si>
  <si>
    <t>The company raised $2.33 million of pre-seed funding led by First In with the participation of Everywhere Ventures, Access Ventures Techstars, ex/ante, and other undisclosed investors on February 16, 2024. Previously, the company joined Techstars as a part of Techstars Boulder Accelerator on July 18, 2023, and received $120,000 in funding.</t>
  </si>
  <si>
    <t>Media and Information Services (B2B), Network Management Software*</t>
  </si>
  <si>
    <t>digital identity security, identity &amp; access management, identity administration, identity and access management, identity governance, identity governance &amp; administration, identity governance and administration, security technology, security technology developer, security technology operations, security technology platform, security technology service</t>
  </si>
  <si>
    <t>346113-82P</t>
  </si>
  <si>
    <t>Gadalia O'Bryan</t>
  </si>
  <si>
    <t>+1 (301) 801-9815</t>
  </si>
  <si>
    <t>go'bryan@dapplesecurity.com</t>
  </si>
  <si>
    <t>Ms. Gadalia O'Bryan is the Co-Founder and serves as Chief Executive Officer &amp; Board Member at Dapple Security. She served as a crypto mathematician at the National Security Agency (NSA) for nearly a decade and has built a successful career as a senior technology leader, operator, founder, and investor, specializing in security and data technologies that transform business, impact mission, and create change in the world. Gadalia has a graduate degree in Mathematics from UCLA and invests energy into fostering entrepreneurship and interest in STEM fields, increasing equity and representation in technology, and using technology for good.</t>
  </si>
  <si>
    <t>UCLA (Anderson), Degree, Mathematics</t>
  </si>
  <si>
    <t>The company raised $2.33 million of pre-seed funding led by First In with the participation of Everywhere Ventures, Access Ventures Techstars, ex/ante, and other undisclosed investors on February 16, 2024.</t>
  </si>
  <si>
    <t>Access Ventures, Everywhere Ventures, ex/ante, First In</t>
  </si>
  <si>
    <t>First In</t>
  </si>
  <si>
    <t>First In Ventures Fund I(First In)</t>
  </si>
  <si>
    <t>King &amp; Spalding (Legal Advisor to Company, Thomas Knox JD)</t>
  </si>
  <si>
    <t>Centennial, CO</t>
  </si>
  <si>
    <t>Centennial</t>
  </si>
  <si>
    <t>80112</t>
  </si>
  <si>
    <t>www.dapplesecurity.com</t>
  </si>
  <si>
    <t>133180-21T</t>
  </si>
  <si>
    <t>Datazoom</t>
  </si>
  <si>
    <t>225558-37</t>
  </si>
  <si>
    <t>Braden Pollock(Braden Pollock), Brooklyn Bridge Ventures, EPIC Ventures, Half Court Ventures, NextGen Venture Partners(Benjamin Bayat), York IE</t>
  </si>
  <si>
    <t>Brooklyn Bridge Ventures (www.brooklynbridge.vc), EPIC Ventures (www.epicvc.com), Half Court Ventures (www.halfcourt.vc), NextGen Venture Partners (www.nextgenvp.com), York IE (www.york.ie)</t>
  </si>
  <si>
    <t>Developer of a video logistics platform designed to address the issues with installing and managing multiple software packages. The company's platform offers data acquisition and automation while addressing user experience problems inherent in online video, to collect data in real-time and capture any data needed in sub-seconds and send it to a third-party tool or utilize the automation engine to act on the data, enabling video distributors and broadcasters to utilize a single software on their video player.</t>
  </si>
  <si>
    <t>The company raised venture funding in the form of SAFE notes on July 18, 2023.</t>
  </si>
  <si>
    <t>Automation/Workflow Software, Business/Productivity Software*, Media and Information Services (B2B)</t>
  </si>
  <si>
    <t>ai cores, analytics platform, data acquisition platform, data automation platform, video analytics, video data tool, video distribution tools, video platform builder</t>
  </si>
  <si>
    <t>49053-70P</t>
  </si>
  <si>
    <t>Diane Strutner</t>
  </si>
  <si>
    <t>+1 (347) 669-9679</t>
  </si>
  <si>
    <t>diane@datazoom.io</t>
  </si>
  <si>
    <t>Ms. Diane Strutner is a Co-Founder &amp; serves as Chief Executive Officer &amp; Board Member at Datazoom. Ms. Strutner served as a Vice President of Business Development at NicePeopleAtWork. She serves as Board Member at Streaming Global. She is an international sales and business development executive with a background working in SaaS and internet companies. She is a graduate of Manhattan College where she earned a Bachelor of Science in Marketing.</t>
  </si>
  <si>
    <t>Manhattan College, BS (Bachelor of Science), 2010, Marketing</t>
  </si>
  <si>
    <t>Series 3</t>
  </si>
  <si>
    <t>The company raised $3.77 million of Series 3 seed funding from Half Court Ventures, Brooklyn Bridge Ventures and NextGen Venture Partners on February 22, 2021, putting the company's pre-money valuation at $15 million. EPIC Ventures, York IE and Braden Pollock also participated in the round.</t>
  </si>
  <si>
    <t>Braden Pollock, Brooklyn Bridge Ventures, EPIC Ventures, Half Court Ventures, NextGen Venture Partners, York IE</t>
  </si>
  <si>
    <t>EPIC Venture Fund V(EPIC Ventures), NextGen Ventures Fund II(NextGen Venture Partners), YR Investments(York IE)</t>
  </si>
  <si>
    <t>DLA Piper (Legal Advisor to Company, Craig Lang JD)</t>
  </si>
  <si>
    <t>Encinitas, CA</t>
  </si>
  <si>
    <t>Encinitas</t>
  </si>
  <si>
    <t>92024-3558</t>
  </si>
  <si>
    <t>www.datazoom.io</t>
  </si>
  <si>
    <t>173424-70T</t>
  </si>
  <si>
    <t>Datum (Business/Productivity Software)</t>
  </si>
  <si>
    <t>467154-37</t>
  </si>
  <si>
    <t>Quansight Initiate, Sputnik ATX</t>
  </si>
  <si>
    <t>Quansight Initiate (www.qi.ventures), Sputnik ATX (www.sputnikatx.com)</t>
  </si>
  <si>
    <t>Operator of a geo-targeting platform intended to solve real-world problems. The company's platform leverages technology to build, manage, and optimize marketing campaigns with reporting dashboards and data visualization tools, enabling small businesses, nonprofits, and local governments to increase engagement and reach goals efficiently.</t>
  </si>
  <si>
    <t>The company raised $950,000 of venture funding from Quansight Initiate and Sputnik ATX on February 27, 2020.</t>
  </si>
  <si>
    <t>data solutions provider, digital marketing, marketing tech, marketing technology agency, marketing technology firm, mobile location data</t>
  </si>
  <si>
    <t>84353-86P</t>
  </si>
  <si>
    <t>Jennifer McEwan</t>
  </si>
  <si>
    <t>+1 (713) 306-5419</t>
  </si>
  <si>
    <t>jmcewan@datumxy.com</t>
  </si>
  <si>
    <t>Ms. Jennifer McEwan is a Co-Founder and serves as the Board Member &amp; Co-Chief Executive Officer at Datum (Media and Information Services (B2B)). Ms. Jennifer McEwan served as Shareholder at Greenberg Traurig. She ocuses her immigration practice on both employment-based and family-based immigration. Jennifer has experience serving health care, pharmaceutical and real estate industries, as well as entrepreneurs, scientists and researchers in scientific communities. She represents clients in a wide range of employment-based immigrant and non-immigrant visa matters including students, professionals, managers and executives, artists and entertainers, treaty investors, individuals of extraordinary ability, and immigrant investors. Jennifer concentrates on EB-5 immigrant investor visas. She has prepared and filed many I-526 petitions and I-829 petitions for immigrant investors, both through individual investments and regional center investments. Additionally, she regularly works with developers across a variety of industries seeking capital for new projects that qualify for EB-5 investments. She counsels clients on the creation of new Regional Centers, amendments of a Regional Center designations and adoptions of developer projects by existing Regional Centers. Jennifer also regularly counsels approved Regional Centers on an ongoing basis, including job creation issues and Regional Center management recordkeeping and staffing issues. Also, she is a Co-Founder &amp; serves as Chief Executive Officer &amp; Board Member at Datum Technologies.</t>
  </si>
  <si>
    <t>Drexel University, BS (Bachelor of Science), 2005, Summa Cum Laude, Drexel University, JD (Doctor of Law), 2009, cum laude</t>
  </si>
  <si>
    <t>Quansight Initiate Fund(Quansight Initiate)</t>
  </si>
  <si>
    <t>Bee Cave, TX</t>
  </si>
  <si>
    <t>Bee Cave</t>
  </si>
  <si>
    <t>78738</t>
  </si>
  <si>
    <t>www.datumxy.com</t>
  </si>
  <si>
    <t>264521-80T</t>
  </si>
  <si>
    <t>Daydream</t>
  </si>
  <si>
    <t>588843-55</t>
  </si>
  <si>
    <t>Alphabet (NAS: GOOGL), Alumni Ventures(Todd McIntyre), Forerunner Ventures(Kirsten Green), Index Ventures(Vlad Loktev), True Ventures</t>
  </si>
  <si>
    <t>Alphabet (NAS: GOOGL) (www.abc.xyz), Alumni Ventures (www.av.vc), Forerunner Ventures (www.forerunnerventures.com), Index Ventures (www.indexventures.com), True Ventures (www.trueventures.com)</t>
  </si>
  <si>
    <t>Developer of an AI-driven retail innovation technology designed to find products by eliminating irrelevant results. The company offers women's and men's clothes, sneakers, backpacks, and among others, enabling customers to have a personalized shopping experience.</t>
  </si>
  <si>
    <t>The company raised $49.66 million through a combination of Seed and Seed-1 funding in a deal led by Forerunner Ventures and Index Ventures on August 30, 2024, putting the company's pre-money valuation at $83.34 million. True Ventures, Alphabet, Alumni Ventures, and other undisclosed investors participated in the round. The funds will be used to help usher in a new way for people to browse catalogs of products.</t>
  </si>
  <si>
    <t>Retail</t>
  </si>
  <si>
    <t>Internet Retail</t>
  </si>
  <si>
    <t>Business/Productivity Software, Internet Retail*</t>
  </si>
  <si>
    <t>Artificial Intelligence &amp; Machine Learning, E-Commerce, SaaS</t>
  </si>
  <si>
    <t>clothing wear, ecommerce platform, fashion apparel portal, retail technology, shopping online, sneakers shoes</t>
  </si>
  <si>
    <t>53202-88P</t>
  </si>
  <si>
    <t>Julie Bornstein</t>
  </si>
  <si>
    <t>+1 (206) 576-8610</t>
  </si>
  <si>
    <t>Ms. Julie Bornstein is a Co-Founder and serves as Chief Executive Officer of Dahlia Labs. Ms. Bornstein serves as a Board Member and Chair of the Nominating &amp; Corporate Governance Committee at Redfin. She Co-Founded and served as Chief Executive Officer at The Yes. She has served as Chief Operating Officer at Stitch Fix, Inc., an online styling services company. Prior to that, she served as Chief Marketing and Digital Officer at Sephora, a cosmetic products company and subsidiary of LVMH MoÃ"t Hennessy Louis Vuitton SE. She also previously served on the boards of directors of a number of private companies. She holds an A.B. in Government from Harvard College and an M.B.A. from Harvard Business School. We believe that her senior leadership experience at various online services companies qualifies her to serve on our board of directors.</t>
  </si>
  <si>
    <t>Harvard Business School, MBA (Master of Business Administration), 1997, Harvard University, BA (Bachelor of Arts), 1992, Government</t>
  </si>
  <si>
    <t>Alphabet, Alumni Ventures, Forerunner Ventures, Index Ventures, True Ventures</t>
  </si>
  <si>
    <t>Forerunner Ventures(Kirsten Green), Index Ventures(Vlad Loktev)</t>
  </si>
  <si>
    <t>Forerunner Partners VI(Forerunner Ventures), Index Ventures XI(Index Ventures), Spike Ventures Fund 7(Alumni Ventures)</t>
  </si>
  <si>
    <t>Cooley (Legal Advisor to Company), Gunderson Dettmer (Legal Advisor to Index Ventures)</t>
  </si>
  <si>
    <t>Gunderson Dettmer (Legal Advisor to Index Ventures)</t>
  </si>
  <si>
    <t>Hillsborough, CA</t>
  </si>
  <si>
    <t>Hillsborough</t>
  </si>
  <si>
    <t>94010</t>
  </si>
  <si>
    <t>www.daydream.ing</t>
  </si>
  <si>
    <t>172336-42T</t>
  </si>
  <si>
    <t>DayTrip (Information Services)</t>
  </si>
  <si>
    <t>465969-88</t>
  </si>
  <si>
    <t>Bass Investment(Alex Crisses), Goodwater Capital, Mirae Asset Venture Investment (KRX: 100790)</t>
  </si>
  <si>
    <t>Bass Investment (bass.vc), Goodwater Capital (www.goodwatercap.com), Mirae Asset Venture Investment (KRX: 100790) (venture.miraeasset.co.kr)</t>
  </si>
  <si>
    <t>Developer of a space curation application platform designed to provide local discovery of city and travel content. The company's platform offers traveling information and reviews of places which are collected from architects, travel writers, and photographers to explore the city based on the review and visit selected places, enabling travelers to have a memorable experience.</t>
  </si>
  <si>
    <t>The company raised $3 million of seed funding from Bass Investment, Mirae Asset Venture Investment and Goodwater Capital on May 24, 2021.</t>
  </si>
  <si>
    <t>consumer services, content builder, local discovery platform, mobile platform, online application, travel platform</t>
  </si>
  <si>
    <t>263053-81P</t>
  </si>
  <si>
    <t>David Yoon</t>
  </si>
  <si>
    <t>david.yoon@ourspaceapp.com</t>
  </si>
  <si>
    <t>Mr. David Yoon is a Co-Founder &amp; serves as Chief Executive Officer at Daytrip (Information Services).</t>
  </si>
  <si>
    <t>Duke University, Graduate, Computer Science</t>
  </si>
  <si>
    <t>Bass Investment, Goodwater Capital, Mirae Asset Venture Investment</t>
  </si>
  <si>
    <t>10001</t>
  </si>
  <si>
    <t>www.daytrip.io</t>
  </si>
  <si>
    <t>219476-26T</t>
  </si>
  <si>
    <t>DBeaver</t>
  </si>
  <si>
    <t>465209-56</t>
  </si>
  <si>
    <t>Headline, Prospective Technologies Ventures</t>
  </si>
  <si>
    <t>Headline (www.headline.com), Prospective Technologies Ventures (www.pt-vc.com)</t>
  </si>
  <si>
    <t>Developer of a database tool designed to support all popular relational databases such as SQL, NoSQL, and cloud data sources. The company's platform features a connection to various data sources, special extensions for big data databases, a data viewer and editor, a mock data generator, a metadata browser, and a visual query builder, enabling organizations to work with multiple databases within one tool and improve their decision-making processes.</t>
  </si>
  <si>
    <t>The company raised $6.5 million of seed funding in a deal led by Headline on April 11, 2023, putting the company's pre-money valuation at $18.5 million. Prospective Technologies Ventures also participated in the round.</t>
  </si>
  <si>
    <t>big data, data analysis, data infrastructure, data management software, data visualization, database management system</t>
  </si>
  <si>
    <t>260370-82P</t>
  </si>
  <si>
    <t>Tatiana Krupenya</t>
  </si>
  <si>
    <t>+1 (347) 809-3202</t>
  </si>
  <si>
    <t>Ms. Tatiana Krupenya serves as Chief Executive Officer at DBeaver.</t>
  </si>
  <si>
    <t>Headline</t>
  </si>
  <si>
    <t>Cooley (Legal Advisor to Headline)</t>
  </si>
  <si>
    <t>10006</t>
  </si>
  <si>
    <t>www.dbeaver.com</t>
  </si>
  <si>
    <t>188918-65T</t>
  </si>
  <si>
    <t>Debbie</t>
  </si>
  <si>
    <t>490134-52</t>
  </si>
  <si>
    <t>BDMI, Green Egg Ventures, If Then Ventures, Liquid 2 Ventures, One Way Ventures, Outside Venture Capital, TA Ventures, Village Global</t>
  </si>
  <si>
    <t>BDMI (www.bdmifund.com), Green Egg Ventures (www.greenegg.vc), If Then Ventures (www.ifthen.vc), Liquid 2 Ventures (www.liquid2.vc), One Way Ventures (www.onewayvc.com), Outside Venture Capital (www.outside-vc.com), TA Ventures (www.taventures.vc), Village Global (www.villageglobal.vc)</t>
  </si>
  <si>
    <t>Developer of debt payment and cashback platform designed to visualize the debt payoff progress. The company's platform subverts the traditional credit card rewards system for users to earn points for saving, paying off debt, and fixing credit card payoff, mortgages, BNPL service, side hustling, medical debt payment, and much more, enabling customers to easily hook up and track their credit cards and spending accounts.</t>
  </si>
  <si>
    <t>The company is in the process of raising seed funding in the form of convertible notes from TruStage Ventures, Nurture Ventures, and Gaingels on April 1, 2023. The company plans to close the round by October 15, 2024. Previously, the company raised $1.4 million of venture funding from Bertelsmann Digital Media Investments, Village Global, and Green Egg Ventures on November 1, 2023, putting the company's pre-money valuation at $5.6 million. Liquid 2 Ventures, If Then Ventures, Geek Ventures, and Hustle Fund also participated in the round.</t>
  </si>
  <si>
    <t>cash back services, consumer payment, credit card debt, credit card tracking platform, credit score, debt consolidation, debt platform, financial health, financial literacy, personal and business banking, personal finance, personal loans, super app, superapp, wallets</t>
  </si>
  <si>
    <t>292219-21P</t>
  </si>
  <si>
    <t>Frida Leibowitz</t>
  </si>
  <si>
    <t>+1 (646) 565-1533</t>
  </si>
  <si>
    <t>frida@joindebbie.com</t>
  </si>
  <si>
    <t>Ms. Frida Leibowitz is a Co-Founder and serves as Chief Executive Officer at Debbie.</t>
  </si>
  <si>
    <t>The company raised $1.2 million of venture funding from Bertelsmann Digital Media Investments, TA Ventures and Village Global on February 23, 2022, putting the company's pre-money valuation at $8.8 million. Green Egg Ventures, Liquid 2 Ventures, If Then Ventures, Outside Venture Capital and One Way Ventures also participated in the round. The funds will be used to build the first app that offers actionable tasks, behavioral nudges, and tangible rewards for debt payoff.</t>
  </si>
  <si>
    <t>Liquid 2 Ventures Fund III(Liquid 2 Ventures), One Way Ventures Fund II(One Way Ventures)</t>
  </si>
  <si>
    <t>www.joindebbie.com</t>
  </si>
  <si>
    <t>234960-58T</t>
  </si>
  <si>
    <t>DeForm (Software Development Applications)</t>
  </si>
  <si>
    <t>534872-71</t>
  </si>
  <si>
    <t>A.Capital Ventures, Albert Hu(Albert Hu), Alchemy Ventures, Alchemy Ventures (California), Charley Ma(Charley Ma), Delphi Digital, Elad Gil(Elad Gil), Eric Chung(Eric Chung), Kindred Ventures, Marc Bhargava(Marc Bhargava), Nader Dabit(Nader Dabit), Nascent, Naval Ravikant(Naval Ravikant), Next Web capital, Scalar Capital, Scott Belsky(Scott Belsky), Sep Kamvar(Sep Kamvar), Sina Habibian(Sina Habibian), Sklar Capital, Sota Watanabe(Sota Watanabe)</t>
  </si>
  <si>
    <t>A.Capital Ventures (www.acapital.com), Alchemy Ventures (alchemyventures.com), Delphi Digital (www.delphidigital.io), Elad Gil (www.eladgil.com), Kindred Ventures (www.kindredventures.com), Nascent (www.nascent.xyz), Next Web capital (www.nextweb.capital), Scalar Capital (www.scalar.capital), Scott Belsky (www.scottbelsky.com)</t>
  </si>
  <si>
    <t>Operator of a software development company intended to offer marketing solutions in the Web3 space. The company's platform provides a range of services, from token design and governance to digital asset strategies and brand and influencer marketing, enabling clients to navigate the rapidly evolving Web3 ecosystem and develop successful marketing strategies in the decentralized landscape.</t>
  </si>
  <si>
    <t>The company raised $4.6 million of seed funding in a deal led by Delphi Digital, Kindred Ventures and Nascent on August 31, 2023. Alchemy Ventures and 13 other investors also participated in the round. The funds will be used to expand their offering and further develop their technology.</t>
  </si>
  <si>
    <t>Cryptocurrency/Blockchain, Marketing Tech</t>
  </si>
  <si>
    <t>digital asset token, influencer marketing management, influencer marketing service, influencer marketing system, marketing solutions company, web3 marketing, web3 marketing platform, web3 marketing solutions</t>
  </si>
  <si>
    <t>315172-09P</t>
  </si>
  <si>
    <t>Shiuan-Chin Chang</t>
  </si>
  <si>
    <t>Ms. Shiuan-Chin Chang is a Co-Founder and serves as Chief Executive Officer at DeForm.</t>
  </si>
  <si>
    <t>The company raised $4.6 million of seed funding in a deal led by Delphi Digital, Kindred Ventures and Nascent on August 31, 2023. Alchemy Ventures, Alchemy Ventures, A.Capital Ventures, Next Web capital, Scott Belsky, Sep Kamvar, Eric Chung, Sota Watanabe, Naval Ravikant, Charley Ma, Marc Bhargava, Albert Hu, Nader Dabit, Sina Habibian and Scalar Capital also participated in the round. The funds will be used to expand their offering and further develop their technology.</t>
  </si>
  <si>
    <t>A.Capital Ventures, Albert Hu, Alchemy Ventures, Alchemy Ventures (California), Charley Ma, Delphi Digital, Elad Gil, Eric Chung, Kindred Ventures, Marc Bhargava, Nader Dabit, Nascent, Naval Ravikant, Next Web capital, Scalar Capital, Scott Belsky, Sep Kamvar, Sina Habibian, Sklar Capital, Sota Watanabe</t>
  </si>
  <si>
    <t>Delphi Digital, Kindred Ventures, Nascent</t>
  </si>
  <si>
    <t>www.deform.cc</t>
  </si>
  <si>
    <t>185943-79T</t>
  </si>
  <si>
    <t>Defy Trends</t>
  </si>
  <si>
    <t>489580-57</t>
  </si>
  <si>
    <t>Alpha Sigma Capital, BIP Ventures, Celo Foundation, NEAR, Polygon (Financial Software), Tezos, The Graph</t>
  </si>
  <si>
    <t>Alpha Sigma Capital (www.alphasigma.fund), BIP Ventures (www.bipventures.vc), Celo Foundation (www.celo.org), NEAR (www.near.org), Polygon (Financial Software) (www.polygon.technology), Tezos (www.tezos.com), The Graph (www.thegraph.com)</t>
  </si>
  <si>
    <t>Developer of an AI and data-driven crypto intelligence platform intended to make confident investment decisions. The company's platform provides on-chain analysis and actionable data insights and forecasts supported by comprehensive education and research, enabling investors to understand the market, trade, compare different crypto assets and identify undervalued or overvalued coins.</t>
  </si>
  <si>
    <t>The company raised an undisclosed amount of venture funding from Longbrook Ventures and Alpha Transform Holdings in approximately May 2024.</t>
  </si>
  <si>
    <t>Financial Software*, Media and Information Services (B2B), Other Financial Services</t>
  </si>
  <si>
    <t>blockchain data supplier, crypto database platform, crypto information, crypto intelligence firm, cryptocurrency analytics platform, data science algorithm, nft analytics, real time market data</t>
  </si>
  <si>
    <t>286918-03P</t>
  </si>
  <si>
    <t>Imge Cetin</t>
  </si>
  <si>
    <t>Ms. Imge Cetin is a Co-Founder &amp; serves as Chief Executive Officer at Defy Trends. She specializes in data analysis and statistical analysis. Previously, Imge Su Cetin worked for the United Nations, where she helped develop a migration forecasting application.</t>
  </si>
  <si>
    <t>University of California, San Diego, MS (Master of Science), 2020, Data Science</t>
  </si>
  <si>
    <t>The company raised $120,000 of venture funding from NEAR Protocol, Celo Foundation and Polygon Labs UI (Cayman) on September 30, 2021. The Graph, Tezos, BIP Ventures and Alpha Sigma Capital also participated in the round.</t>
  </si>
  <si>
    <t>Brandon, FL</t>
  </si>
  <si>
    <t>Brandon</t>
  </si>
  <si>
    <t>33511-1849</t>
  </si>
  <si>
    <t>opengenie.ai</t>
  </si>
  <si>
    <t>219251-98T</t>
  </si>
  <si>
    <t>Delv (Business/Productivity Software)</t>
  </si>
  <si>
    <t>522370-00</t>
  </si>
  <si>
    <t>Lucy Guo(Lucy Guo)</t>
  </si>
  <si>
    <t>Developer of an artificial intelligence-powered platform designed to help people discover insights from a vast amount of literature. The company's platform specializes in providing a textual database with relevant articles, clustered by topic in interactive visualizations, enabling businesses to save time by helping them go through a large amount of literature.</t>
  </si>
  <si>
    <t>The company raised an estimated INR 37 million of venture funding from Village Global and On Deck on October 9, 2023, putting the company's pre-money valuation at INR 12 million.</t>
  </si>
  <si>
    <t>ai based, ai search engine, generative ai, integration model, interactive visualization, natural language technology, r&amp;d work, scientific researchers, workflow manager, workflow model</t>
  </si>
  <si>
    <t>341297-83P</t>
  </si>
  <si>
    <t>Pranjali Awasthi</t>
  </si>
  <si>
    <t>Ms. Pranjali Awasthi is the Founder &amp; serves as Chief Executive Officer at Delv AI.</t>
  </si>
  <si>
    <t>The company raised an undisclosed amount of pre-seed funding from Lucy Guo and other undisclosed investors in 2022.</t>
  </si>
  <si>
    <t>Lucy Guo</t>
  </si>
  <si>
    <t>www.delv.ai</t>
  </si>
  <si>
    <t>214687-27T</t>
  </si>
  <si>
    <t>demi</t>
  </si>
  <si>
    <t>519621-76</t>
  </si>
  <si>
    <t>Gold House Ventures, Great Circle Ventures, Meliorate Partners, Orca Climate Fund</t>
  </si>
  <si>
    <t>Gold House Ventures (www.goldhouse.org), Great Circle Ventures (greatcircle.vc), Meliorate Partners (www.meliorate.earth), Orca Climate Fund (www.orcaclimate.fund)</t>
  </si>
  <si>
    <t>Provider of environmental services aimed at reducing food waste and recycling through composting the waste material. The company offers various kinds of services like composting as a differentiated &amp; streamlined amenity, reduction in traditional waste management costs, and eligibility for sustainability and wellness certifications, providing society and big communities with a reduction of emissions and the ability to stand out as a building that goes the extra mile for its people and the planet.</t>
  </si>
  <si>
    <t>The company raised $800,000 of venture funding from Gold House Ventures, Meliorate Partners and Great Circle Ventures on August 1, 2023, putting the company's pre-money valuation at $4.2 million. Orca Climate Fund also participated on this round. Previously, the company joined gener8tor as a part of the fall 2022 cohort on May 12, 2023 and received $100,000 in funding.</t>
  </si>
  <si>
    <t>Environmental Services (B2B)</t>
  </si>
  <si>
    <t>Business/Productivity Software, Clothing, Environmental Services (B2B)*, Other Commercial Services</t>
  </si>
  <si>
    <t>CleanTech, FoodTech</t>
  </si>
  <si>
    <t>environmental company, environmental impact, environmental management, food production, food waste, food waste &amp; traceability, food waste and traceability, sustainability impacts, sustainability platform</t>
  </si>
  <si>
    <t>334565-83P</t>
  </si>
  <si>
    <t>Andrew Lee</t>
  </si>
  <si>
    <t>andrew@demicomposting.com</t>
  </si>
  <si>
    <t>Mr. Andrew Lee is a Co-Founder &amp; serves as Chief Technology Officer at demi.</t>
  </si>
  <si>
    <t>The company raised $800,000 of venture funding from Gold House Ventures, Meliorate Partners and Great Circle Ventures on August 1, 2023, putting the company's pre-money valuation at $4.2 million. Orca Climate Fund also participated on this round.</t>
  </si>
  <si>
    <t>Orca Climate Fund(Orca Climate Fund)</t>
  </si>
  <si>
    <t>www.demicomposting.com</t>
  </si>
  <si>
    <t>Other - (Convertible)</t>
  </si>
  <si>
    <t>204136-12T</t>
  </si>
  <si>
    <t>Derapi</t>
  </si>
  <si>
    <t>507432-34</t>
  </si>
  <si>
    <t>Daniel Tomb(Daniel Tomb), Earthshot Ventures(Ramsay Siegal), Mission One Capital, Ubiquity Ventures, UNION Labs VC</t>
  </si>
  <si>
    <t>Earthshot Ventures (www.earthshot.vc), Mission One Capital (m1c.vc), Ubiquity Ventures (www.ubiquity.vc), UNION Labs VC (www.unionlabs.com)</t>
  </si>
  <si>
    <t>Developer of a data infrastructure platform designed for distributed energy resources connectivity. The company's platform offers access to a multitude of supported devices through a single point of integration through DER service providers and DER device manufacturers, enabling clients to have secure, bidirectional, and granular access to energy devices and data.</t>
  </si>
  <si>
    <t>The company raised $2.7 million of seed funding in a deal led by Earthshot Ventures on September 15, 2022, putting the company's pre-money valuation at $7 million. Ubiquity Ventures, UNION Labs Ventures, Mission One Capital, and Daniel Tomb also participated in the round.</t>
  </si>
  <si>
    <t>Business/Productivity Software*, Internet Software, Media and Information Services (B2B), Software Development Applications</t>
  </si>
  <si>
    <t>Climate Tech</t>
  </si>
  <si>
    <t>climate tech, cloud computing, distributed energy, electric power, energy resources, renewable energy</t>
  </si>
  <si>
    <t>316457-74P</t>
  </si>
  <si>
    <t>Jake Masters</t>
  </si>
  <si>
    <t>+1 (415) 659-8589</t>
  </si>
  <si>
    <t>jake@derapi.com</t>
  </si>
  <si>
    <t>Mr. Jake Masters is a Co-Founder and serves as Advisor at Derapi. He has been an innovator and leader in the energy technology space for the last 15 years. Before founding Derapi, Mr. Masters served as the first CTO for Redaptive, Inc., and led the development of their full technology stack. Prior to Redaptive, Mr. Masters was the Founder and CEO of Enmetric Systems, where he developed the first enterprise plug-load management system. His products have been awarded multiple US patents and are estimated to have saved over 3 TWh of energy to date, equivalent to more than 2M metric tons of CO2.</t>
  </si>
  <si>
    <t>Daniel Tomb, Earthshot Ventures, Mission One Capital, Ubiquity Ventures, UNION Labs VC</t>
  </si>
  <si>
    <t>Earthshot Ventures(Ramsay Siegal)</t>
  </si>
  <si>
    <t>Ubiquity Ventures II(Ubiquity Ventures)</t>
  </si>
  <si>
    <t>Gunderson Dettmer (Legal Advisor to Ubiquity Ventures), Silicon Legal Strategy (Legal Advisor to UNION Labs VC, Andre Gharakhanian JD)</t>
  </si>
  <si>
    <t>San Carlos, CA</t>
  </si>
  <si>
    <t>San Carlos</t>
  </si>
  <si>
    <t>94070</t>
  </si>
  <si>
    <t>www.derapi.com</t>
  </si>
  <si>
    <t>186326-38T</t>
  </si>
  <si>
    <t>Design With Frank</t>
  </si>
  <si>
    <t>489921-13</t>
  </si>
  <si>
    <t>Redbud VC</t>
  </si>
  <si>
    <t>Redbud VC (redbud.vc)</t>
  </si>
  <si>
    <t>Developer of a digital tool designed to provide architectural intelligence to make well-designed homes that fit the exact needs of customers. The company's architectural intelligence tool allows users to discover plans, review the study them, and adapt the construct according to them, enabling customers to design their homes as per their ideas and planning with the help of technology.</t>
  </si>
  <si>
    <t>The company raised an undisclosed amount of venture funding from Sunstone Management on September 1, 2022.</t>
  </si>
  <si>
    <t>ai technology, architectural planning, architectural works, design platform, home design, planning and construction</t>
  </si>
  <si>
    <t>287620-03P</t>
  </si>
  <si>
    <t>Chloe Fan</t>
  </si>
  <si>
    <t>cfan@designwithfrank.com</t>
  </si>
  <si>
    <t>Ms. Chloe Fan is a Co-Founder &amp; serves as Chief Executive Officer at Design With Frank. She grew up in a family of homebuilders which left her with a desire to create beautiful homes of her own. She has seen the struggles that her family's clients had first-hand and wants to use this insight to solve those problems. She carried this passion and went on to study architecture in New York. She is an avid designer whose thesis work was featured on Wallpaper* and also received the David Yurnall award. In her free time she loves to put on her dancing shoes and cook up a storm in the kitchen. Her ultimate dream is to one day build a farmhouse, fill it with animals and live a simple country life!</t>
  </si>
  <si>
    <t>The company raised $50,000 of seed funding from Scale Incubations on August 30, 2021.</t>
  </si>
  <si>
    <t>www.designwithfrank.com</t>
  </si>
  <si>
    <t>184859-11T</t>
  </si>
  <si>
    <t>DEXA (Logistics)</t>
  </si>
  <si>
    <t>147109-15</t>
  </si>
  <si>
    <t>G2A Investment Partners, Venture 53</t>
  </si>
  <si>
    <t>G2A Investment Partners (www.g2aip.com), Venture 53 (www.venture53.com)</t>
  </si>
  <si>
    <t>Operator of an aviation company intended to change last-mile logistics by adopting autonomous delivery. The company's platform facilitates easy ordering and delivery tracking through a mobile app, while it is also developing a drone delivery network for swift product delivery within minutes, enabling businesses to streamline their logistic services for local package delivery.</t>
  </si>
  <si>
    <t>The company is in the process of raising $100,000 of an undisclosed targeted amount of Series 1 venture funding in the form of SAFE notes on May 2, 2024. It plans to close the round by December 1, 2024.</t>
  </si>
  <si>
    <t>Aerospace and Defense, Logistics*, Other Hardware</t>
  </si>
  <si>
    <t>Artificial Intelligence &amp; Machine Learning, Manufacturing, Mobility Tech, Robotics and Drones, Supply Chain Tech</t>
  </si>
  <si>
    <t>advances air mobility, automated drones delivery service, autonomous delivery, autonomous drone delivery, autonomous mobile delivery, aviation company, drone delivery platform, drone delivery technology, drones delivery service, drones delivery system, drones tech, evtol logistics, intelligent robotics, last mile delivery, logistics support, uav</t>
  </si>
  <si>
    <t>Autonomous Delivery</t>
  </si>
  <si>
    <t>264285-55P</t>
  </si>
  <si>
    <t>Beth Flippo</t>
  </si>
  <si>
    <t>+1 (917) 612-5679</t>
  </si>
  <si>
    <t>beth.flippo@flydexa.com</t>
  </si>
  <si>
    <t>Ms. Beth Flippo is a Co-Founder and serves as Chief Executive Officer &amp; Board Member at DEXA.</t>
  </si>
  <si>
    <t>The company raised $4.78 million of Series 1 seed funding in a deal led by G2A Investment Partners on December 9, 2021. Venture 53 and other undisclosed investors also participated in the round.</t>
  </si>
  <si>
    <t>G2A Investment Partners</t>
  </si>
  <si>
    <t>Wyrick Robbins Yates &amp; Ponton (Legal Advisor to Company)</t>
  </si>
  <si>
    <t>Dayton, OH</t>
  </si>
  <si>
    <t>Dayton</t>
  </si>
  <si>
    <t>45402</t>
  </si>
  <si>
    <t>www.droneexpress.com</t>
  </si>
  <si>
    <t>218917-81T</t>
  </si>
  <si>
    <t>DIA (Therapeutic Devices)</t>
  </si>
  <si>
    <t>522121-51</t>
  </si>
  <si>
    <t>Duke University, SOSV(Duncan Turner)</t>
  </si>
  <si>
    <t>Duke University (www.duke.edu), SOSV (www.sosv.com)</t>
  </si>
  <si>
    <t>Manufacturer of a wearable sensor designed to continuously measure cortisol through ambient levels of sweat on the user's skin. The company's products include wearable arm sleeves, and microfluidics technology-based sensors that provide real-time data and frequent testing and can be connected to smartphone applications via Bluetooth, enabling patients to have increased performance and improved health outcomes</t>
  </si>
  <si>
    <t>The company is reportedly in the process of raising $3 million of seed funding from undisclosed investors on February 12, 2024. It plans to close the round by June 14, 2024. Previously, the company joined Lighthouse Labs as part of its Spring 2023 Cohort on March 13, 2023, and received $20,000 in funding. The company is actively tracked by PitchBook.</t>
  </si>
  <si>
    <t>Digital Health, HealthTech, SaaS, Wearables &amp; Quantified Self</t>
  </si>
  <si>
    <t>health outcomes analysis, health technology, sensor device, sensor product, wearable accessory, wearable tech</t>
  </si>
  <si>
    <t>340754-86P</t>
  </si>
  <si>
    <t>Sloane Tilley</t>
  </si>
  <si>
    <t>+1 (919) 818-7221</t>
  </si>
  <si>
    <t>sloane@diasensor.com</t>
  </si>
  <si>
    <t>Ms. Sloane Tilley is a Co-Founder and serves as Chief Executive Officer at DIA. She has seven years of experience working in business development, product management, and sales in start-up and scaling technology companies. As an elite triathlete, she decided to start her own biosensing company after a terrible bike accident left her with a broken back, broken leg, PTSD, and no accessible and convenient way to accurately measure the internal biological processes occurring in her body. She continues to compete in triathlons as a member of GRIT USA, a triathlon team based in Washington, D.C. that is committed to increasing access and diversity in endurance sports. She completed her first full Ironman in May 2022 and qualified for the World Championships. She holds a B.S. and M.S. in Environmental Health Science and Engineering from the University of Carolina, Chapel Hill, and an MBA from the Duke Fuqua School of Business.</t>
  </si>
  <si>
    <t>MBA (Master of Business Administration), University of North Carolina, Chapel Hill, BS (Bachelor of Science), Environmental Health Sciences, University of North Carolina, Chapel Hill, MS (Master of Science), Environmental Health Sciences</t>
  </si>
  <si>
    <t>The company raised $270,000 of pre-seed funding in a deal led by SOSV on January 6, 2023, putting the company's pre-money valuation at $1.73 million. Duke University also participated in the round.</t>
  </si>
  <si>
    <t>Duke University, SOSV</t>
  </si>
  <si>
    <t>SOSV(Duncan Turner)</t>
  </si>
  <si>
    <t>SOSV IV(SOSV)</t>
  </si>
  <si>
    <t>07102</t>
  </si>
  <si>
    <t>www.diasensor.com</t>
  </si>
  <si>
    <t>Devices for introducing media into, or onto, the body</t>
  </si>
  <si>
    <t>242017-48T</t>
  </si>
  <si>
    <t>Diadem Capital</t>
  </si>
  <si>
    <t>490796-56</t>
  </si>
  <si>
    <t>Innovent Capital Group, Launch NY, Paddock Capital, Western New York Venture Association</t>
  </si>
  <si>
    <t>Innovent Capital Group (www.innoventcapital.com), Launch NY (www.launchny.org), Western New York Venture Association (www.wnyventure.com)</t>
  </si>
  <si>
    <t>Operator of a funding platform intended to streamline fundraising for venture-backed founders. The company's platform specializes in providing an AI-powered fundraising marketplace in which startups can explore all funding options by adding deal requirements and tracking the progress of negotiations, it offers free service to VCs, CVCs, and Family Offices, venture companies that are directed to investors according to their unique criteria, enabling businesses to raise funding rounds simply and efficiently.</t>
  </si>
  <si>
    <t>The company raised $600,000 of pre-seed funding in the form of convertible debt in a deal led by Launch NY in September 2023. Innovent Capital Group, Paddock Capital, Western New York Venture Association, and other undisclosed investors also participated in the round. The funds will be used for the growth of the fintech platform.</t>
  </si>
  <si>
    <t>alternative capital, business finance, capital fundraising, capital market, female founder, funding platform, fundraising marketplace, startups funding, venture capital</t>
  </si>
  <si>
    <t>311919-76P</t>
  </si>
  <si>
    <t>Stephanie Rieben</t>
  </si>
  <si>
    <t>+1 (212) 287-5860</t>
  </si>
  <si>
    <t>stephanie.rieben@diademcapital.com</t>
  </si>
  <si>
    <t>Ms. Stephanie Rieben is a Co-Founder and serves as Chief Executive Officer and Board Member at Diadem Capital.</t>
  </si>
  <si>
    <t>Launch NY</t>
  </si>
  <si>
    <t>Buffalo, NY</t>
  </si>
  <si>
    <t>Buffalo</t>
  </si>
  <si>
    <t>14203</t>
  </si>
  <si>
    <t>www.diademcapital.com</t>
  </si>
  <si>
    <t>Bridge Loan - $0.60M (Convertible)</t>
  </si>
  <si>
    <t>188652-25T</t>
  </si>
  <si>
    <t>Dialect (Communication Software)</t>
  </si>
  <si>
    <t>491776-39</t>
  </si>
  <si>
    <t>Austen Allred(Austen Allred), Heroic Ventures, HOF Capital, Joe McCann(Joe McCann), Solana Ventures, Tiger Global Management</t>
  </si>
  <si>
    <t>Heroic Ventures (www.heroicvc.com), HOF Capital (www.hofcapital.com), Solana Ventures (solana.ventures), Tiger Global Management (www.tigerglobal.com)</t>
  </si>
  <si>
    <t>Developer of a web3 messaging technology designed to provide wallets with a secure way to communicate. The company utilizes blockchain technology to provide decentralized web access so that users don't have to use email and sign in with saved usernames or passwords to reach their wallet address, enabling clients to have a new standard in authentication without the use of personal contact information.</t>
  </si>
  <si>
    <t>The company raised $4.1 million of seed funding in a deal led by Jump Crypto, Multicoin Capital, and Solana Ventures on April 14, 2022. HOF Capital and 3 other investors also participated in the round.</t>
  </si>
  <si>
    <t>Business/Productivity Software, Communication Software*</t>
  </si>
  <si>
    <t>authentication tech, blockchain technology, crypto content and social, messaging service, messaging technology, notification management, protocol design, wallets application, web3 app, web3 ecosystem, web3 tools, web4</t>
  </si>
  <si>
    <t>297283-24P</t>
  </si>
  <si>
    <t>Christopher Osborn</t>
  </si>
  <si>
    <t>chris@dialect.to</t>
  </si>
  <si>
    <t>Dr. Christopher Osborn is the Co-Founder &amp; serves as Co-Chief Executive Officer &amp; Board Member at Dialect.</t>
  </si>
  <si>
    <t>Columbia University, Ph.D. (Doctor of Philosophy), Physics</t>
  </si>
  <si>
    <t>The company raised $400,000 of seed funding from Tiger Global Management, Heroic Ventures and HOF Capital on April 7, 2020, putting the company's pre-money valuation at $2 million. Solana Ventures, Joe McCann and Austen Allred also participated in the round.</t>
  </si>
  <si>
    <t>Austen Allred, Heroic Ventures, HOF Capital, Joe McCann, Solana Ventures, Tiger Global Management</t>
  </si>
  <si>
    <t>Heroic Ventures Formation Fund I(Heroic Ventures), HOF Capital GGI Fund(HOF Capital), Tiger Global Private Investment Partners XI(Tiger Global Management)</t>
  </si>
  <si>
    <t>www.dialect.to</t>
  </si>
  <si>
    <t>195247-90T</t>
  </si>
  <si>
    <t>Digiphy</t>
  </si>
  <si>
    <t>497717-56</t>
  </si>
  <si>
    <t>Alumni Ventures, BDMI, Builders + Backers, Dispatch Ventures, Eyrir Venture Management, Gaingels, Groove Capital, LightShed Ventures, M13, Sify Ventures, Silicon Road, Techstars</t>
  </si>
  <si>
    <t>Alumni Ventures (www.av.vc), BDMI (www.bdmifund.com), Builders + Backers (www.buildersandbackers.com), Dispatch Ventures (www.dispatch.vc), Eyrir Venture Management (evm.is), Gaingels (www.gaingels.com), Groove Capital (www.groovecap.com), LightShed Ventures (www.lightshedvc.com), M13 (www.m13.co), Sify Ventures (www.sifyventures.com), Silicon Road (siliconroad.vc), Techstars (www.techstars.com)</t>
  </si>
  <si>
    <t>Developer of a SaaS platform designed to connect companies directly to consumers. The company's platform offers new insights and converts one-time buyers into loyal customers, also captures first-party data, fosters trust and drives consumer action and marketing materials into immersive digital experiences, enabling businesses to collect valuable zero-party consumer data.</t>
  </si>
  <si>
    <t>The company raised $10,000 of venture funding from Bertelsmann Digital Media Investments, Capitalize VC and ALIAVIA Ventures on September 1, 2022. Gaingels and 6 other investors also participated in the round. Previously, the company joined Techstars as a part of its Farm to Fork Accelerator on July 15, 2022, and received $120,000 in funding. Out of the total amount, $100,000 was raised in the form of convertible debt, which subsequently was converted to equity. Before that, the company raised $1.5 million of venture funding from Sify Ventures, Bertelsmann Digital Media Investments and Gaingels on June 1, 2022. M13 and 8 other investors also participated in the round. The funds will be used to publicly launch the company's new cutting-edge platform to help brands go beyond the label and connect directly with their customers as they turn their product packages into interactive digital storytelling displays triggered by QR codes.</t>
  </si>
  <si>
    <t>Internet of Things, Marketing Tech, SaaS, TMT</t>
  </si>
  <si>
    <t>data integration software, marketing channel platform, marketing platform operator, marketing platform service, marketing platform software, sales and marketing support</t>
  </si>
  <si>
    <t>303436-36P</t>
  </si>
  <si>
    <t>Sarah Ellenbogen</t>
  </si>
  <si>
    <t>sarah@digiphy.it</t>
  </si>
  <si>
    <t>Ms. Sarah Wagman Ellenbogen is a Co-Founder and serves as Chief Executive Officer at Digiphy. She spent 14 years at Google and YouTube in senior positions across business development, sales, and partnerships. In these roles, she built leading partnerships for some of Google's most influential advertising solutions.</t>
  </si>
  <si>
    <t>The company raised $1.5 million of venture funding from Sify Ventures, Bertelsmann Digital Media Investments and Gaingels on June 1, 2022. M13, Builders + Backers, Eyrir Venture Management, Groove Capital, Silicon Road, LightShed Ventures, Dispatch Ventures, Alumni Ventures and Techstars also participated in the round. The funds will be used to publicly launch the company's new cutting-edge platform to help brands go beyond the label and connect directly with their customers as they turn their product packages into interactive digital storytelling displays triggered by QR codes.</t>
  </si>
  <si>
    <t>Strategic Law Partners (Legal Advisor to Company)</t>
  </si>
  <si>
    <t>90035</t>
  </si>
  <si>
    <t>www.digiphy.it</t>
  </si>
  <si>
    <t>242995-69T</t>
  </si>
  <si>
    <t>Dili</t>
  </si>
  <si>
    <t>529758-01</t>
  </si>
  <si>
    <t>10X Capital, Allianz Life Ventures, Amino Capital, CoreNest, Decacorn Capital, Gaingels, Hi2 Global, HYPER Ventures (US), Litquidity Capital, NVO Capital, Pioneer Fund, Rebel Fund, Rocketship.vc, Singularity Capital</t>
  </si>
  <si>
    <t>10X Capital (www.10xcapital.com), Allianz Life Ventures (www.allianzlifeventures.com), Amino Capital (www.aminocapital.com), CoreNest (www.corenest.com), Decacorn Capital (decacorn.vc), Gaingels (www.gaingels.com), Hi2 Global (www.hi2global.com), HYPER Ventures (US) (www.hyperventures.io), Litquidity Capital (www.litquidity.co), NVO Capital (www.nvo.vc), Pioneer Fund (www.pioneerfund.vc), Rebel Fund (www.rebelfund.vc), Rocketship.vc (www.rocketship.vc), Singularity Capital (singularitycapital.us)</t>
  </si>
  <si>
    <t>Operator of a reliable artificial intelligence-powered data room platform intended to automate capital markets deals. The company's platform offers automated data visualization, financial analysis, and presentation output creation with asset-liability mismatches and legal clauses, enabling users and businesses to achieve increased productivity and avoid misconduct situations.</t>
  </si>
  <si>
    <t>The company raised $3.6 million of venture funding from Allianz Life Ventures, Gaingels and HYPER Ventures on February 19, 2024. Pioneer Fund and other undisclosed investors also participated in the round. Previously, the company graduated from Vercel AI Accelerator on August 23, 2023. No equity or funding was exchanged as a result of this program.</t>
  </si>
  <si>
    <t>Business/Productivity Software*, Financial Software, Media and Information Services (B2B), Other Financial Services</t>
  </si>
  <si>
    <t>automated audits, capital market dealings, capital markets technology, commercial real estate, data visualization platform, due diligence, financial analysis, generative ai, investment tax credit, tax equity</t>
  </si>
  <si>
    <t>352795-24P</t>
  </si>
  <si>
    <t>Stephanie Song</t>
  </si>
  <si>
    <t>Ms. Stephanie Song is a Co-Founder and serves as Chief Executive Officer at Invictus. She co-founded &amp; served as Chief Executive Officer at Dili.</t>
  </si>
  <si>
    <t>The company raised $3.6 million of venture funding from Allianz Life Ventures, Gaingels and HYPER Ventures on February 19, 2024. Pioneer Fund, NVO Capital, Litquidity Capital, 10X Capital, Rebel Fund, Singularity Capital, CoreNest, Decacorn Capital, Amino Capital, Rocketship.vc, Hi2 Global, and other undisclosed investors also participated in the round.</t>
  </si>
  <si>
    <t>Pioneer AI Fund(Pioneer Fund), Pioneer Fund II(Pioneer Fund)</t>
  </si>
  <si>
    <t>www.dili.ai</t>
  </si>
  <si>
    <t>156126-97T</t>
  </si>
  <si>
    <t>Dimension ()</t>
  </si>
  <si>
    <t>399467-44</t>
  </si>
  <si>
    <t>500 Global(Clayton Bryan), AltaIR Capital(Alexander Zhuravlev), Alumni Ventures, Brighter Capital, Dennis Wong(Dennis Wong), Investoro, Lightspeed Venture Partners, Lilei Xu(Lilei Xu), Lombardstreet Ventures, Nathan Savir(Nathan Savir), Ran Makavy(Ran Makavy), South Park Commons, Vishal Kapur(Vishal Kapur), Yun-Fang Juan(Yun-Fang Juan)</t>
  </si>
  <si>
    <t>500 Global (500.co), AltaIR Capital (www.altair.vc), Alumni Ventures (www.av.vc), Brighter Capital (www.brightercapital.com), Investoro (www.investoro.com), Lightspeed Venture Partners (www.lsvp.com), Lombardstreet Ventures (www.lombardstreet.vc), South Park Commons (www.southparkcommons.com)</t>
  </si>
  <si>
    <t>Developer of an on-demand waste management platform designed to make public spaces clean and tidy and make waste disposal accessible. The company's platform offers customizable junk removal, dumpster rentals, recycling, and hazardous waste disposal, enabling customers to declutter with peace of mind and contribute to a greener environment.</t>
  </si>
  <si>
    <t>The company raised $8 million through the combination of Series Pre-A-6 and Series Pre-A-7 venture funding in a deal led by AltaIR Capital on June 8, 2022, putting the company's pre-money valuation at $34 million. Primavera Venture Partners and 7 other investors also participated in the round. The funds will be used to improve technology, hire the best talents, and strengthen sales and marketing.</t>
  </si>
  <si>
    <t>Application Software*, Other Services (B2C Non-Financial)</t>
  </si>
  <si>
    <t>CleanTech, LOHAS &amp; Wellness, TMT</t>
  </si>
  <si>
    <t>dumpster rental, green environment, waste disposal, waste management platform, waste management program, waste removal service</t>
  </si>
  <si>
    <t>222544-18P</t>
  </si>
  <si>
    <t>Lily Shen</t>
  </si>
  <si>
    <t>+1 (415) 304-8171</t>
  </si>
  <si>
    <t>lily@trashwarrior.com</t>
  </si>
  <si>
    <t>Ms. Lily Shen is a Co-Founder and serves as Chief Executive Officer at Trash Warrior.</t>
  </si>
  <si>
    <t>Harvard University, Master's, 2015, Public Administration, Princeton University, BS (Bachelor of Science), 2011, Engineering</t>
  </si>
  <si>
    <t>The company raised $1.2 million through the combination of Series Pre-A venture funding in a deal led by AltaIR Capital on February 1, 2020, putting the company's pre-money valuation at $2.8 million. 500 Global, Alumni Ventures, Lombardstreet Ventures, Lightspeed Venture Partners, Brighter Capital, South Park Commons, Investoro, Yun-Fang Juan, Nathan Savir, Dennis Wong, Vishal Kapur, Ran Makavy, Lilei Xu and other undisclosed investors also participated in the round. The funds will be used to accelerate its product development, expand sales and marketing, and launch new markets.</t>
  </si>
  <si>
    <t>AltaIR Capital, Alumni Ventures, Brighter Capital, Dennis Wong, Investoro, Lightspeed Venture Partners, Lilei Xu, Lombardstreet Ventures, Nathan Savir, Ran Makavy, South Park Commons, Vishal Kapur, Yun-Fang Juan</t>
  </si>
  <si>
    <t>AltaIR Capital(Alexander Zhuravlev)</t>
  </si>
  <si>
    <t>AltaIR Growth Venture(AltaIR Capital), AVG 2021 Total Access Funds(Alumni Ventures), AVG Select Fund(Alumni Ventures), Lightspeed Venture Partners XI(Lightspeed Venture Partners), Lombardstreet Ventures I(Lombardstreet Ventures), Lombardstreet Ventures II(Lombardstreet Ventures), South Park Commons Fund I(South Park Commons)</t>
  </si>
  <si>
    <t>www.getdimension.com</t>
  </si>
  <si>
    <t>265419-73T</t>
  </si>
  <si>
    <t>Directo (Application Software)</t>
  </si>
  <si>
    <t>606898-09</t>
  </si>
  <si>
    <t>Calafia, Derive Ventures Management Company, Kima Ventures</t>
  </si>
  <si>
    <t>Derive Ventures Management Company (www.derive-ventures.com), Kima Ventures (www.kimaventures.com)</t>
  </si>
  <si>
    <t>Developer of travel chrome extension software designed to give guests an easy way to contact hotels and property managers directly. The company's software helps hotels and property to help hotels and property managers get more direct traffic, enabling users to save time and money when booking vacations, by streamlining the process of finding the best direct deals and eliminating the need for extensive research.</t>
  </si>
  <si>
    <t>The company raised $1 million of pre-seed funding from Kima Ventures, Derive Ventures, and Calafia on June 27, 2024. Other undisclosed investors also participated in the round. The funds will be used for the company's travel price comparison software.</t>
  </si>
  <si>
    <t>Application Software*</t>
  </si>
  <si>
    <t>browser extensions, browser extensions application, browser extensions developer, chrome extensions, chrome extensions software, chrome extensions tools</t>
  </si>
  <si>
    <t>402057-28P</t>
  </si>
  <si>
    <t>Marina Guastavino</t>
  </si>
  <si>
    <t>marina@getdirecto.com</t>
  </si>
  <si>
    <t>Ms. Marina Guastavino is a Co-Founder &amp; serves as Co-Chief Executive Officer at Directo.</t>
  </si>
  <si>
    <t>Torcuato Di Tella University, Bachelor's, 2009, international relations</t>
  </si>
  <si>
    <t>www.getdirecto.com</t>
  </si>
  <si>
    <t>186937-75T</t>
  </si>
  <si>
    <t>Diversio</t>
  </si>
  <si>
    <t>327146-95</t>
  </si>
  <si>
    <t>Chandaria Family Holdings(Sunir Chandaria), First Round Capital(Meka Asonye), Golden Ventures, Reform Ventures</t>
  </si>
  <si>
    <t>First Round Capital (www.firstround.com), Golden Ventures (www.golden.ventures), Reform Ventures (www.reformventures.com)</t>
  </si>
  <si>
    <t>Developer of a people intelligence platform designed to measure, track, and improve diversity, equity, and inclusion. The company's platform is created using artificial intelligence to bring rigor data, diagnosis, and analysis to help organizations become more inclusive and to develop cutting-edge technology, eliminate barriers to diversity and inclusion, enabling users to trust and get a platform that values feedback, transparency, collaboration, and impact.</t>
  </si>
  <si>
    <t>The company raised $6.5 million of Series A venture funding from Chandaria Family Holdings, Reform Ventures and First Round Capital on January 25, 2022. Golden Ventures also participated in the round. The funds will be used to invest in the company's team and product development including more targeted and customized data analysis as well as for the recommendation engine.</t>
  </si>
  <si>
    <t>Artificial Intelligence &amp; Machine Learning, HR Tech, LOHAS &amp; Wellness, SaaS</t>
  </si>
  <si>
    <t>analytics platform, business intelligence platform, customer experience, diversity and inclusion, equality and diversity, hr technology, human capital firm, information technology</t>
  </si>
  <si>
    <t>212357-89P</t>
  </si>
  <si>
    <t>Laura McGee</t>
  </si>
  <si>
    <t>+1 (332) 237-0957</t>
  </si>
  <si>
    <t>laura@diversio.com</t>
  </si>
  <si>
    <t>Ms. Laura McGee is a Co-Founder and serves as Chief Executive Officer, President &amp; Board Member at Diversio. She also served as Advisor at ArcTern Ventures.</t>
  </si>
  <si>
    <t>Chandaria Family Holdings, First Round Capital, Golden Ventures, Reform Ventures</t>
  </si>
  <si>
    <t>First Round Capital VIII(First Round Capital), Golden Venture Partners Fund IV(Golden Ventures)</t>
  </si>
  <si>
    <t>www.diversio.com</t>
  </si>
  <si>
    <t>168138-01T</t>
  </si>
  <si>
    <t>Divinia</t>
  </si>
  <si>
    <t>462537-55</t>
  </si>
  <si>
    <t>Alumni Ventures, Focal (VC), WI Harper Group(Wilson Wu)</t>
  </si>
  <si>
    <t>Alumni Ventures (www.av.vc), Focal (VC) (www.focal.vc), WI Harper Group (www.wiharper.com)</t>
  </si>
  <si>
    <t>Developer of a natural language programming software designed to improve the search experience for consumers, marketers, and e-commerce sites. The company's software provides product suggestions based on online reviews to accurately extract and index authentic insights about searchable options, enabling businesses to improve their search functionality and deliver stronger conversion rates.</t>
  </si>
  <si>
    <t>The company raised an undisclosed amount of venture funding from Yu Galaxy in approximately August 2023.</t>
  </si>
  <si>
    <t>analytics platform, artificial intelligence, crm, customer relationship management, ecommerce personalization, natural language processing, natural language technology, search engine system, seo marketing, seo tools, unstructured data analytics, web data, website analysis</t>
  </si>
  <si>
    <t>195083-02P</t>
  </si>
  <si>
    <t>Ji Fang</t>
  </si>
  <si>
    <t>+1 (617) 833-3211</t>
  </si>
  <si>
    <t>ji@divinia.ai</t>
  </si>
  <si>
    <t>Dr. Ji Fang is the Founder &amp; serves as the Chief Executive Officer at Divinia. She co-founded and served as the Chief Executive Officer at Liberio. She has over a decade of work of experience heading research and data science teams at Medallia and Xerox PARC. She was an Associate Professor at Peking University and has been granted 5 international patents, 13 pending. She has a Ph.D. in Computational Linguistics at Stanford. Prior to that, she was a researcher at Palo Alto Research Center (PARC). With decades of experience in NLP, she brings deep knowledge of an array of data and AI technologies and extensive expertise in data mining, linguistics, machine learning, pattern recognition, information extraction, and text analytics among others. Ji is the innovation engine, inspiration, and passion that drives the Divinia team. Frustrated by the limitations of the traditional search methods, she created the technology that fuels our product suite to make search better for everyone - consumers, marketers, and e-commerce sites. She received her BA &amp; MA in Linguistics from Peking University.</t>
  </si>
  <si>
    <t>Peking University, BA (Bachelor of Arts), Linguistics, Peking University, MA (Master of Arts), Linguistics, Stanford University, Ph.D. (Doctor of Philosophy), Computational Linguistics, Stanford University, Ph.D. (Doctor of Philosophy), Natural Language Processing</t>
  </si>
  <si>
    <t>The company raised $6.4 million of seed funding from Alumni Ventures, WI Harper Group, and Focal (VC) on December 4, 2020, putting the company's pre-money valuation at $15 million. Other undisclosed investors also participated in this round.</t>
  </si>
  <si>
    <t>Alumni Ventures, Focal (VC), WI Harper Group</t>
  </si>
  <si>
    <t>AVG 2021 Total Access Funds(Alumni Ventures), AVG Deep Tech Fund 2021(Alumni Ventures)</t>
  </si>
  <si>
    <t>Alston &amp; Bird (Legal Advisor to Company, Claudia Golden JD)</t>
  </si>
  <si>
    <t>Cupertino, CA</t>
  </si>
  <si>
    <t>Cupertino</t>
  </si>
  <si>
    <t>95014</t>
  </si>
  <si>
    <t>www.divinia.ai</t>
  </si>
  <si>
    <t>170367-04T</t>
  </si>
  <si>
    <t>Dónde</t>
  </si>
  <si>
    <t>460273-96</t>
  </si>
  <si>
    <t>Jeremy Andrus, Tamarak</t>
  </si>
  <si>
    <t>Tamarak (www.tmrk.com)</t>
  </si>
  <si>
    <t>Developer of an employee benefits platform designed for saving and booking resources for paid travel opportunities. The company's platform allows one to find the experiences, travel packages, lodging, flights, and transportation, and also manage savings, enabling companies to retain employees, reduce burnout, improve health, and increase productivity.</t>
  </si>
  <si>
    <t>The company raised an undisclosed amount of seed funding from Kickstart Fund on March 9, 2024.</t>
  </si>
  <si>
    <t>employee benefit, employee wellness, experience package, flight booking, leave management, travel management</t>
  </si>
  <si>
    <t>253924-03P</t>
  </si>
  <si>
    <t>Rilee Buttars</t>
  </si>
  <si>
    <t>+1 (213) 463-6633</t>
  </si>
  <si>
    <t>rilee.buttars@godonde.com</t>
  </si>
  <si>
    <t>Ms. Rilee Buttars is a Co-Founder and serves as Chief Executive Officer and Board Member at Dónde. She has a BS in Communications and MS in Sociology from BYU. She's spent most of her career as a project manager and strategist in film, advertising, and tech.</t>
  </si>
  <si>
    <t>Brigham Young University, Provo, BS (Bachelor of Science), Communications, Brigham Young University, Provo, MS (Master of Science), Sociology</t>
  </si>
  <si>
    <t>The company raised $1.3 million through a combination of Seed-1 and Seed-2 funding in a deal led by Jeremy Andrus on March 31, 2021, putting the company's pre-money valuation at $4.3 million. Tamarak also participated in the round. The funds will be used to hire on the remainder of the company's team, and then any other additional support.</t>
  </si>
  <si>
    <t>Jeremy Andrus</t>
  </si>
  <si>
    <t>Kunzler Bean &amp; Adamson (Legal Advisor to Company, Wade Bean JD)</t>
  </si>
  <si>
    <t>Salt Lake City, UT</t>
  </si>
  <si>
    <t>Salt Lake City</t>
  </si>
  <si>
    <t>Utah</t>
  </si>
  <si>
    <t>84101</t>
  </si>
  <si>
    <t>www.godonde.com</t>
  </si>
  <si>
    <t>117577-72T</t>
  </si>
  <si>
    <t>Dorian</t>
  </si>
  <si>
    <t>266250-61</t>
  </si>
  <si>
    <t>Andover Ventures, Century Game, Holly Liu(Holly Liu), Jens Hilgers, Jonathan Zweig, Kevin Lin(Kevin Lin), Konvoy Ventures, London Venture Partners(David Gardner), March Capital(Gregory Milken), Michael Chow(Michael Chow), Modern Times Group MTG (STO: MTG A), Neoteny, Night, Night Ventures, vgames</t>
  </si>
  <si>
    <t>Andover Ventures (www.andovervc.com), Jens Hilgers (www.observerward.com), Konvoy Ventures (www.konvoy.vc), London Venture Partners (www.londonvp.com), March Capital (www.marchcp.com), Modern Times Group MTG (STO: MTG A) (www.mtg.com), Neoteny (www.neoteny.com), Night (www.night.co), Night Ventures (www.nightventures.com), vgames (www.vgames.vc)</t>
  </si>
  <si>
    <t>Developer of game creation and streaming platform intended for users to turn their story into a game, play with friends, and monetize it. The company's no-code platform allows writers to design characters and backgrounds by choosing from a variety of visual assets or upload assets of their own while using a flowchart-style interface, enabling writers to turn fiction into interactive games, live to stream them, and make money in a game economy format.</t>
  </si>
  <si>
    <t>The company raised $14 million of Series A venture funding in a deal led by The Raine Group on March 17, 2022, putting the company's pre-money valuation at $40 million. Century Game, 1 AM Gaming, and 16 other investors also participated in the round. The funds will be used by the company to expand its cloud-based creation tools and live streaming support to ensure that making, sharing, and collaborating on Dorian is accessible for creators working together remotely.</t>
  </si>
  <si>
    <t>Entertainment Software*, Software Development Applications</t>
  </si>
  <si>
    <t>Gaming, Mobile</t>
  </si>
  <si>
    <t>creator economy, creator platform, games streaming, gaming content, gaming developer, gaming publisher, gaming studio, interactive storytelling platform, mobile games, storytelling app, storytelling platform</t>
  </si>
  <si>
    <t>202737-07P</t>
  </si>
  <si>
    <t>Julia Palatovska</t>
  </si>
  <si>
    <t>julia@dorian.live</t>
  </si>
  <si>
    <t>Ms. Julia Palatovska is a Co-Founder and serves as the Chief Executive Officer &amp; Board Member at Dorian. Previously, Julia was an investor at London Venture Partners in London, and before that she led business development and publishing at G5 Games (STO: G5EN) in Moscow.</t>
  </si>
  <si>
    <t>The company raised $5.45 million through a combination of Seed 1 and Seed 2 funding in a deal led by March Capital on September 16, 2020, putting the company's pre-money valuation at $7 million. Century Game, Modern Times Group MTG, London Venture Partners and 15 other investors also participated in the round. The funds will be used to deliver multiple stories for different audiences, with the first focus on millennial and Gen Z women.</t>
  </si>
  <si>
    <t>Andover Ventures, Century Game, Holly Liu, Jens Hilgers, Jonathan Zweig, Kevin Lin, Konvoy Ventures, London Venture Partners, March Capital, Michael Chow, Modern Times Group MTG, Neoteny, Night, Night Ventures, vgames</t>
  </si>
  <si>
    <t>March Capital(Gregory Milken)</t>
  </si>
  <si>
    <t>Konvoy Ventures(Konvoy Ventures), LVP Seed Fund III(London Venture Partners), March Capital Partners Fund II(March Capital), MTG Investment Fund(Modern Times Group MTG), Neoteny 4(Neoteny), Night Media Venture Fund I(Night), Night Ventures GP I(Night Ventures), Vgames Investment Fund(vgames)</t>
  </si>
  <si>
    <t>Cooley (Legal Advisor to March Capital), Dentons (Legal Advisor to Modern Times Group MTG), Fenwick &amp; West (Legal Advisor to Company)</t>
  </si>
  <si>
    <t>Cooley (Legal Advisor to March Capital), Dentons (Legal Advisor to Modern Times Group MTG)</t>
  </si>
  <si>
    <t>Covina, CA</t>
  </si>
  <si>
    <t>Covina</t>
  </si>
  <si>
    <t>91723</t>
  </si>
  <si>
    <t>home.dorian.live</t>
  </si>
  <si>
    <t>184294-45T</t>
  </si>
  <si>
    <t>Dorothy</t>
  </si>
  <si>
    <t>435018-52</t>
  </si>
  <si>
    <t>BT Growth Capital, Everywhere Ventures(Jenny Fielding), Fiat Ventures, Indicator Ventures, Keiki Capital, Kindergarten Ventures, Knoll Ventures, Lightspeed Ventures, Possibilian Ventures, Stellifi VC, Third Sphere</t>
  </si>
  <si>
    <t>BT Growth Capital (www.btgrowthcapital.com), Everywhere Ventures (everywhere.vc), Fiat Ventures (www.fiat.vc), Indicator Ventures (www.indicatorventures.com), Keiki Capital (www.keikicapital.com), Kindergarten Ventures (www.kindergarten.ventures), Knoll Ventures (www.knollventures.com), Possibilian Ventures (www.possibilian.xyz), Stellifi VC (www.stellifivc.com), Third Sphere (www.thirdsphere.com)</t>
  </si>
  <si>
    <t>Developer of sustainable economic services intended for communities facing climate change. The company's services provide flood zone maps that are accurate and can be used to assess exposure and offer comparable insurance quotes for purchase, it provides recovery payments &amp; services for property owners facing severe weather events, enabling future homeowners to reduce risk and simplify the flood insurance process.</t>
  </si>
  <si>
    <t>The company joined Leading Cities on an undisclosed date.</t>
  </si>
  <si>
    <t>Financial Software, Other Financial Services*, Other Insurance</t>
  </si>
  <si>
    <t>Artificial Intelligence &amp; Machine Learning, Big Data, FinTech, InsurTech</t>
  </si>
  <si>
    <t>artificial intelligence engine, climate insurance, disaster insurance, disaster service, financial technology, flood insurance, flood insurance service, machine learning tech</t>
  </si>
  <si>
    <t>229730-41P</t>
  </si>
  <si>
    <t>Arianna Armelli</t>
  </si>
  <si>
    <t>arianna@hidorothy.com</t>
  </si>
  <si>
    <t>Ms. Arianna Armelli is a Co-Founder &amp; serves as Chief Executive Officer at Dorothy.</t>
  </si>
  <si>
    <t>The company raised $1.9 million of seed funding in a deal led by Indicator Ventures in December 2021. Third Sphere, Everywhere Ventures, Fiat Ventures, Lightspeed Ventures, Knoll Ventures, BT Growth Capital, Stellifi VC, Possibilian Ventures, Keiki Capital and Kindergarten Ventures also participated in the round.</t>
  </si>
  <si>
    <t>BT Growth Capital, Everywhere Ventures, Fiat Ventures, Indicator Ventures, Keiki Capital, Kindergarten Ventures, Knoll Ventures, Lightspeed Ventures, Possibilian Ventures, Stellifi VC, Third Sphere</t>
  </si>
  <si>
    <t>Indicator Ventures</t>
  </si>
  <si>
    <t>Everywhere Ventures I-B(Everywhere Ventures), Indicator Ventures III(Indicator Ventures), Keiki Venture Fund I(Keiki Capital), Urban.Us Fund III(Third Sphere)</t>
  </si>
  <si>
    <t>Dentons (Legal Advisor to Company, Chris Hagenbuch)</t>
  </si>
  <si>
    <t>www.hidorothy.com</t>
  </si>
  <si>
    <t>200648-26T</t>
  </si>
  <si>
    <t>Double A Labs</t>
  </si>
  <si>
    <t>222787-99</t>
  </si>
  <si>
    <t>ATX Venture Partners, Hurt Family Investments, Meta Impact Capital, The Veteran Fund</t>
  </si>
  <si>
    <t>ATX Venture Partners (www.atxventurepartners.com), Hurt Family Investments (www.lucky7.io), Meta Impact Capital (www.metaimpact.capital), The Veteran Fund (www.veteran.fund)</t>
  </si>
  <si>
    <t>Developer of a technology platform designed for community engagement and collaboration. The company offers an immersive multimedia communication platform that allows users to collaborate through video, messaging, whiteboarding, polls, and games and serves as a web-based, unified video-chat platform that facilitates community connection, learning, and collaboration by consolidating all tools in a single location, enabling businesses to drive engagements and build relationships with their consumers in innovative ways while having the ability to quantify their results at each touch point.</t>
  </si>
  <si>
    <t>The company is reportedly seeking Series A venture funding from undisclosed investors by Q3 of 2024. Previously, Meta Impact Capital sold its stake in the company to an undisclosed buyer on February 29, 2024. The company is being actively tracked by PitchBook.</t>
  </si>
  <si>
    <t>Business/Productivity Software*, Communication Software, Media and Information Services (B2B), Multimedia and Design Software</t>
  </si>
  <si>
    <t>Marketing Tech, SaaS</t>
  </si>
  <si>
    <t>change management, collaboration platform, engagement level, experiential marketing, multimedia communication, multimedia communication platform, multimedia communication product, talent management, training and employment services, virtual workforce, virtual workshops</t>
  </si>
  <si>
    <t>175715-02P</t>
  </si>
  <si>
    <t>Amber Allen</t>
  </si>
  <si>
    <t>+1 (310) 740-7629</t>
  </si>
  <si>
    <t>amber@doublealabs.com</t>
  </si>
  <si>
    <t>Ms. Amber Allen is the Founder and serves as Chief Executive Officer at Double A Labs.</t>
  </si>
  <si>
    <t>The company raised $1.2 million of Series 1 venture funding from ATX Venture Partners, Meta Impact Capital and The Veteran Fund on an undisclosed date. Hurt Family Investments also participated in the round.</t>
  </si>
  <si>
    <t>ATX Venture Partners IV(ATX Venture Partners), Metaverse Fund I(Meta Impact Capital)</t>
  </si>
  <si>
    <t>www.doublealabs.com</t>
  </si>
  <si>
    <t>Sound-producing devices</t>
  </si>
  <si>
    <t>226198-36T</t>
  </si>
  <si>
    <t>Drip7</t>
  </si>
  <si>
    <t>529264-27</t>
  </si>
  <si>
    <t>Beta Boom</t>
  </si>
  <si>
    <t>Beta Boom (betaboom.com)</t>
  </si>
  <si>
    <t>Developer of microlearning platform intended to focus on behavior change in the cybersecurity and compliance space. The company provides an adaptable platform for different-sized organizations to improve the effectiveness of skills development in cybersecurity, compliance, and HR(human resources) training of the employees, enabling government and private organizations to improve the cybersecurity, compliance, and HR training of their employees.</t>
  </si>
  <si>
    <t>The company joined WTIA Startup Program's Cohort 8 on September 6, 2022.</t>
  </si>
  <si>
    <t>Cybersecurity, EdTech, HR Tech</t>
  </si>
  <si>
    <t>certify program, cybersecurity training, it training, learning technology, managed security services, microlearning platform, security operations, training program</t>
  </si>
  <si>
    <t>352125-46P</t>
  </si>
  <si>
    <t>Heather Stratford</t>
  </si>
  <si>
    <t>+1 (509) 703-5400</t>
  </si>
  <si>
    <t>hstratford@drip7.com</t>
  </si>
  <si>
    <t>Ms. Heather Stratford is the Founder &amp; serves as Chief Executive Officer and Chairman at Drip7. She is a Stronger International and a thought leader in the IT Training and Cybersecurity field. She keynotes at conferences, universities, and enterprise clients. She writes on cybersecurity and has been featured and written for global organizations including the 2018 G7Summit held in Canada, FORBES, Washington Examiner, SecurityMagazine, and Authority Magazine. She regularly speaks about Cybersecurity, Women in Technology, creating a Cybersecurity Culture, Privacy, shifting regulations, and how to manage cybersecurity risks. Past customers she has worked with include General Motors, SABIC (Saudia Arabian Oil ), StanfordUniversity, and MorganStanley</t>
  </si>
  <si>
    <t>The company raised an estimated $500,000 of seed funding from Beta Boom and other undisclosed investors in November 2021, putting the company's pre-money valuation at $1 million.</t>
  </si>
  <si>
    <t>Spokane, WA</t>
  </si>
  <si>
    <t>Spokane</t>
  </si>
  <si>
    <t>99223</t>
  </si>
  <si>
    <t>www.drip7.com</t>
  </si>
  <si>
    <t>160996-51T</t>
  </si>
  <si>
    <t>DrizzleX</t>
  </si>
  <si>
    <t>434832-22</t>
  </si>
  <si>
    <t>Israel Investment Fund Group(Hiri Etessami)</t>
  </si>
  <si>
    <t>Israel Investment Fund Group (www.iifg.com)</t>
  </si>
  <si>
    <t>Developer of an internet-of-a-thing-based water-saving platform intended to enable multifamily apartment buildings to reduce their water usage. The company's software-as-a-service platform uses artificial intelligence-based software and internet of things sensors installed in apartments to generate data-driven insights about water usage, with real-time alerts that pinpoint leaks and overuse down the specific apartment and fixture, enabling residential consumers to significantly slash bills and property expenses and positively impact the environment.</t>
  </si>
  <si>
    <t>The company raised $2.3 million of venture funding in the form of SAFE notes on March 15, 2024, putting the company's post-valuation at $17.3 million.</t>
  </si>
  <si>
    <t>Application Software, Electronic Equipment and Instruments*, Environmental Services (B2B)</t>
  </si>
  <si>
    <t>Artificial Intelligence &amp; Machine Learning, CleanTech, Internet of Things, SaaS</t>
  </si>
  <si>
    <t>metering system, submetering services, water bill reduction, water conservation, water consumption monitoring, water harvesting system, water management, water metering system, water usage tracking</t>
  </si>
  <si>
    <t>229378-87P</t>
  </si>
  <si>
    <t>Esther Altura</t>
  </si>
  <si>
    <t>+1 (323) 530-4816</t>
  </si>
  <si>
    <t>esther@drizzlex.com</t>
  </si>
  <si>
    <t>Ms. Esther Altura is a Co-Founder and serves as Chief Executive Officer &amp; Board Member at DrizzleX. She has deep experience as a technology and business leader, leading 80+ person software teams to build mission-critical distributed platforms. She also has owned and operated extensive multifamily apartment portfolios, and she understands the needs of our target customers.</t>
  </si>
  <si>
    <t>The company raised $1 million of seed funding from Israel Investment Fund Group on December 14, 2020, putting the company's pre-money valuation at $4.5 million.</t>
  </si>
  <si>
    <t>Israel Investment Fund Group</t>
  </si>
  <si>
    <t>Montebello, CA</t>
  </si>
  <si>
    <t>Montebello</t>
  </si>
  <si>
    <t>90640</t>
  </si>
  <si>
    <t>www.drizzlex.com</t>
  </si>
  <si>
    <t>223153-30T</t>
  </si>
  <si>
    <t>Dropstat</t>
  </si>
  <si>
    <t>453570-22</t>
  </si>
  <si>
    <t>BIP Ventures(Paul Iaffaldano)</t>
  </si>
  <si>
    <t>BIP Ventures (www.bipventures.vc)</t>
  </si>
  <si>
    <t>Developer of workforce and cost automation software designed to help hospitals optimize their staffing costs. The company's platform uses artificial intelligence to predict and autonomously fill shift gaps with the cost-efficient staff member available months before a staffing need arises, reducing staff operating costs and offering security methods to encrypt data both in the system and in transit, enabling clients to be ensured that their urgent shift staffing needs are filled quickly and safely.</t>
  </si>
  <si>
    <t>The company joined AWS Startups as a part of its Healthcare Accelerator on an undisclosed date. No equity or funding was exchanged as a result of this program.</t>
  </si>
  <si>
    <t>Automation/Workflow Software, Business/Productivity Software*, Other Healthcare Services</t>
  </si>
  <si>
    <t>enterprise resource planning, erp, hospital management, hospital staff management, human capital management, labor analysis, nurse staffing, staffing and recruitment, staffing solutions, workforce automation</t>
  </si>
  <si>
    <t>246594-70P</t>
  </si>
  <si>
    <t>Sara Well</t>
  </si>
  <si>
    <t>+1 (323) 868-9060</t>
  </si>
  <si>
    <t>sara@dropstat.com</t>
  </si>
  <si>
    <t>Ms. Sara Well is a Co-Founder and serves as Chief Executive Officer, President &amp; Board Member at Dropstat. She is a 12-year critical care/ trauma RN who spent years managing complex staffing in large health systems. She is passionate about the importance of ensuring safe staffing ratios in ensuring decreased healthcare provider burnout rates and ensuring optimal patient outcomes. When she's not busy at the office, she mentors underrepresented founders, volunteers in her local community, and spends quality time with her family and puppy.</t>
  </si>
  <si>
    <t>Complex</t>
  </si>
  <si>
    <t>The company raised $5.5 million through a combination of Seed funding in a deal led by BIP Ventures on March 31, 2023, putting the company's pre-money valuation at $5.9 million. Other undisclosed investors also participated in the round. The funds will be used to expand the company's services across the US, helping more healthcare facilities better manage staffing needs.</t>
  </si>
  <si>
    <t>BIP Ventures</t>
  </si>
  <si>
    <t>McDermott (Legal Advisor to BIP Ventures, Brian Gordon JD)</t>
  </si>
  <si>
    <t>90034</t>
  </si>
  <si>
    <t>www.dropstat.com</t>
  </si>
  <si>
    <t>241222-60T</t>
  </si>
  <si>
    <t>Duckbill</t>
  </si>
  <si>
    <t>532506-97</t>
  </si>
  <si>
    <t>Back to the Future Ventures, Forerunner Ventures, G9 Ventures, General Catalyst, Greycroft, Inspired Capital (New York), Red Antler</t>
  </si>
  <si>
    <t>Back to the Future Ventures (www.backtothefutureventures.com), Forerunner Ventures (www.forerunnerventures.com), G9 Ventures (www.g9.ventures), General Catalyst (www.generalcatalyst.com), Greycroft (www.greycroft.com), Inspired Capital (New York) (www.inspiredcapital.com), Red Antler (www.redantler.com)</t>
  </si>
  <si>
    <t>Developer of an AI-based platform designed to manage your daily life. The company's platform offers virtual assistant services including task management, errand completion, and scheduling appointments, enabling clients to utilize time and simplify their daily lives.</t>
  </si>
  <si>
    <t>The company raised an undisclosed amount of venture funding from Bain &amp; Company on April 16, 2024.</t>
  </si>
  <si>
    <t>daily life management, daily task management, personal assistant, virtual assistant, virtual assistant app, virtual assistant service</t>
  </si>
  <si>
    <t>357158-89P</t>
  </si>
  <si>
    <t>Meghan Verena</t>
  </si>
  <si>
    <t>+1 (617) 299-9052</t>
  </si>
  <si>
    <t>Ms. Meghan Verena is a Co-Founder &amp; serves as Chief Executive Officer at Duckbill .</t>
  </si>
  <si>
    <t>The company raised $33 million of Series A venture funding in a deal led by Forerunner Ventures on July 20, 2023. Red Antler, Back to the Future Ventures, General Catalyst, Greycroft, Inspired Capital (New York) and G9 Ventures also participated in the round.</t>
  </si>
  <si>
    <t>Inspired Capital Partners II(Inspired Capital (New York))</t>
  </si>
  <si>
    <t>Cooley (Legal Advisor to Company), Gunderson Dettmer (Legal Advisor to Forerunner Ventures), Latham &amp; Watkins (Legal Advisor to Inspired Capital (New York), Eli Curi JD)</t>
  </si>
  <si>
    <t>Gunderson Dettmer (Legal Advisor to Forerunner Ventures), Latham &amp; Watkins (Legal Advisor to Inspired Capital (New York), Eli Curi JD)</t>
  </si>
  <si>
    <t>02116-5132</t>
  </si>
  <si>
    <t>www.getduckbill.com</t>
  </si>
  <si>
    <t>159770-44T</t>
  </si>
  <si>
    <t>DUNIATOTO</t>
  </si>
  <si>
    <t>453512-62</t>
  </si>
  <si>
    <t>Invest Nebraska</t>
  </si>
  <si>
    <t>Invest Nebraska (www.investnebraska.com)</t>
  </si>
  <si>
    <t>Developer of games designed to offer a variety of slot games with themes and feature variants. The company develops mobile games and
guarantees security and comfort when playing online gambling, enabling players to play securely.</t>
  </si>
  <si>
    <t>The company joined gBETA as a part of NMotion Summer 2021 in 2021. Simultaneously, the company raised venture funding from and Gbeta in 2021. Previously, the company raised $500,000 of venture funding from Invest Nebraska and other undisclosed investors on July 10, 2020.</t>
  </si>
  <si>
    <t>Gaming</t>
  </si>
  <si>
    <t>game design and development, game developer, game platform, game players, gamers tech, games maker</t>
  </si>
  <si>
    <t>246278-44P</t>
  </si>
  <si>
    <t>Jessica Charlsen</t>
  </si>
  <si>
    <t>Ms. Jessica Charlsen co-founded and served as Co-Chief Executive Officer and Chief Growth Officer at DUNIATOTO. She is also a longtime marketing professional with experience in both the corporate and ad agency worlds. Working as a steward of numerous national brands, she has a deep understanding of the need to balance a company's efforts to grow while maintaining the economics that allows that company to function successfully day after day. She now applies that insight to help Job Share Connect's talent pool and corporate clients find their own beneficial balance.</t>
  </si>
  <si>
    <t>The company raised $500,000 of venture funding from Invest Nebraska and other undisclosed investors on July 10, 2020.</t>
  </si>
  <si>
    <t>Omaha, NE</t>
  </si>
  <si>
    <t>Omaha</t>
  </si>
  <si>
    <t>Nebraska</t>
  </si>
  <si>
    <t>68102</t>
  </si>
  <si>
    <t>www.jobshareconnect.com</t>
  </si>
  <si>
    <t>247348-63T</t>
  </si>
  <si>
    <t>Dunya Analytics</t>
  </si>
  <si>
    <t>537944-50</t>
  </si>
  <si>
    <t>KDX Ventures, Loyal VC, Persei Venture, Synovia Capital</t>
  </si>
  <si>
    <t>KDX Ventures (www.kdx.vc), Loyal VC (www.loyal.vc), Persei Venture (www.persei.com)</t>
  </si>
  <si>
    <t>Developer of a SaaS-based platform designed to offer companies science-based risk analytics for biodiversity and nature. The company's platform provides insights into biodiversity loss, deforestation, marine ecosystems, pollution, and resource use, and offers nature risk analysis and reporting tools scalable as financial reporting, climate risk for nature-related financial risks, and opportunities, enabling businesses to meet ESG disclosure requirements, and empowering them with insights in actionable financial terms to drive sustainability strategy.</t>
  </si>
  <si>
    <t>The company raised $1.2 million of seed funding from Persei Venture, Synovia Capital and KDX Ventures on September 4, 2024. Loyal VC and other undisclosed investors also participated in the round. Previously, the company joined Biodiversity Accelerator+ as a part of Cohort 3 on July 25, 2024. Before that, the company joined MassChallenge Switzerland as a part of 2024. Cohort on May 24, 2024. Earlier, the company received $20,000 of grant funding from Startup302 on May 16, 2024.</t>
  </si>
  <si>
    <t>Business/Productivity Software, Environmental Services (B2B), Media and Information Services (B2B)*</t>
  </si>
  <si>
    <t>climate analytics, climate technology, esg reporting, reporting tool, risk analysis tool, risk analytics</t>
  </si>
  <si>
    <t>Climate Risk Modeling-as-a-Service</t>
  </si>
  <si>
    <t>100440-28P</t>
  </si>
  <si>
    <t>Megan Pillsbury</t>
  </si>
  <si>
    <t>+1 (302) 316-3855</t>
  </si>
  <si>
    <t>Ms. Megan Pillsbury is the Founder and serves as Chief Executive Officer &amp; Board Member at Dunya Analytics. She served as a Director, Business Development at Insight Robotics. She is an engineer, entrepreneur, and innovation leader on a mission to reinvent the private sector. As the Founder and CEO of Dunya Analytics, the leading digital platform for science-based risk analytics in biodiversity and nature, she is dedicated to charting a course towards a sustainable and equitable economy. With a rich background in tech, startups, sustainability, and financial services, she has led innovation and fintech teams at Goldman Sachs and Morgan Stanley. She also orchestrated the business development strategy for The Climate Service, paving the way for its acquisition by S&amp;P Global. Beyond her corporate roles, she directs the Eco Entrepreneurship program at the University of Delaware and sits on the board of Enrich, a non-profit offering financial literacy education to migrant domestic workers in Hong Kong. Her academic credentials include an MBA from INSEAD and an MS in Electrical Engineering from the University of Michigan.</t>
  </si>
  <si>
    <t>INSEAD, MBA (Master of Business Administration), 2007, Ohio State University, Columbus, BS (Bachelor of Science), 1999, Electrical Engineering, University of Michigan, Ann Arbor, MS (Master of Science), 2000, Electrical Engineering</t>
  </si>
  <si>
    <t>The company raised $1.2 million of seed funding from Persei Venture, Synovia Capital and KDX Ventures on September 4, 2024. Loyal VC and other undisclosed investors also participated in the round.</t>
  </si>
  <si>
    <t>Synovia Capital</t>
  </si>
  <si>
    <t>Michael Best &amp; Friedrich (Legal Advisor to Persei Venture), Michael Best &amp; Friedrich (Legal Advisor to Synovia Capital)</t>
  </si>
  <si>
    <t>19801</t>
  </si>
  <si>
    <t>www.dunya-analytics.com</t>
  </si>
  <si>
    <t>181988-38T</t>
  </si>
  <si>
    <t>Dynam.AI</t>
  </si>
  <si>
    <t>232190-47</t>
  </si>
  <si>
    <t>Analytics Ventures(Andreas Roell), Ondas Holdings (NAS: ONDS)</t>
  </si>
  <si>
    <t>Analytics Ventures (www.analyticsventures.com), Ondas Holdings (NAS: ONDS) (www.ondas.com)</t>
  </si>
  <si>
    <t>Developer of artificial intelligence and machine learning platform designed to provide tailored services to businesses. The company's platform processes apply time-series data algorithms to address complex business challenges through prediction, forecasting, detection, and recommendations, enabling businesses to adopt prediction accuracy and transform their data into valuable business assets.</t>
  </si>
  <si>
    <t>The company raised $1 million of venture funding from Charles &amp; Potomac Capital on July 22, 2022, putting the company's pre-money valuation at $10 million.</t>
  </si>
  <si>
    <t>Business/Productivity Software, Consulting Services (B2B), IT Consulting and Outsourcing, Media and Information Services (B2B), Software Development Applications*</t>
  </si>
  <si>
    <t>ai automation platform, business assets, consulting firm, content optimization services, forecasting model, forecasting tool, machine learning algorithms, prediction accuracy, vertical application</t>
  </si>
  <si>
    <t>47778-22P</t>
  </si>
  <si>
    <t>Navid Alipour</t>
  </si>
  <si>
    <t>+1 (619) 866-4400</t>
  </si>
  <si>
    <t>navid@analyticsventures.com</t>
  </si>
  <si>
    <t>Mr. Navid Alipour is a Co-Founder and serves as Managing Partner at Analytics Ventures. He serves as Board Member at AdTheos. He is a Co-Founder and also serves as Chairman at Dynam.AI. He is a Co-Founder and serves as Chief Executive Officer at CureMatch. He is a Co-Founder and serves as Chief Executive Officer &amp; Board Member at CureMatrix. He was also the Founder of La Costa Investment Group. He serves as Chief Financial Officer, Advisor, and Board Member at AlphaTrAI. He serves as Chief Executive Officer and Chief Financial Officer at Zerise. He looks to identify top-tier scientists, academics, or corporate partners and then work with them to turn their research into viable businesses. He serves on the Board of Tech San Diego where he is recognized for his role in helping develop San Diego's now thriving eco-system. He is also on the boards of AV Lab. He serves as a Board Member at Kazuhm. He has been a panelist, judge, speaker, and moderator at forums such as UCSD, USD, SDSU, CyberHive, HeraHub, MIT Forum, RSNA, U.S. News STEM Conference, and CONNECT. He holds a Bachelor of Arts from UC San Diego and a JD/MBA from the University of San Diego.</t>
  </si>
  <si>
    <t>University of California, San Diego, BA (Bachelor of Arts), 2000, Political Science and Economics, University of San Diego, JD (Doctor of Law), 2003, University of San Diego, MBA (Master of Business Administration)</t>
  </si>
  <si>
    <t>Series A1</t>
  </si>
  <si>
    <t>The company raised $2.53 million through the combination of Series A1 and Series A2 venture funding from Ondas Networks, Analytics Ventures and other undisclosed investors on December 10, 2021, putting the company's pre-money valuation at $2.6 million.</t>
  </si>
  <si>
    <t>Ondas Holdings</t>
  </si>
  <si>
    <t>Analytics Ventures</t>
  </si>
  <si>
    <t>92126</t>
  </si>
  <si>
    <t>www.dynam.ai</t>
  </si>
  <si>
    <t>Computing arrangements based on specific computational models, Image data processing or generation, in general, Pictorial communication</t>
  </si>
  <si>
    <t>177467-14T</t>
  </si>
  <si>
    <t>eCourt Reporters</t>
  </si>
  <si>
    <t>470920-42</t>
  </si>
  <si>
    <t>ISA Ventures</t>
  </si>
  <si>
    <t>ISA Ventures (www.isaventures.com)</t>
  </si>
  <si>
    <t>Developer of an online legal platform intended to solve scheduling inefficiencies in the legal industry. The company's platform enables directly scheduling court reporters and legal support services for legal proceedings outside the courthouse with live search capabilities across the U.S., enabling law firms, government entities and court reporting agencies to schedule vetted court reporters and legal videographers for legal proceedings instead of wasting hours.</t>
  </si>
  <si>
    <t>The company joined The Milky Way Tech Hub as a part of Spring 2024 #InnovationSzn Cohort on May 6, 2024 and received an undisclosed amount of funding in the form of grant.</t>
  </si>
  <si>
    <t>Business/Productivity Software, Legal Services (B2B)*</t>
  </si>
  <si>
    <t>Legal Tech, SaaS</t>
  </si>
  <si>
    <t>attorney service, court reporting services, deposition services, law firm service, legal assistant, legal services, paralegal resources</t>
  </si>
  <si>
    <t>270721-63P</t>
  </si>
  <si>
    <t>Karen Renee</t>
  </si>
  <si>
    <t>+1 (262) 210-3915</t>
  </si>
  <si>
    <t>krenee@ecourtreporters.com</t>
  </si>
  <si>
    <t>Ms. Karen Renee is the Founder and Co-Owner and serves as Chief Executive Officer and President at eCourt Reporters.</t>
  </si>
  <si>
    <t>The company raised $120,000 of venture funding from ISA Ventures and other undisclosed investors on July 29, 2021, putting the company's pre-money valuation at $1.25 million.</t>
  </si>
  <si>
    <t>Michael Best &amp; Friedrich (Legal Advisor to Company, Daniel Gawronski JD)</t>
  </si>
  <si>
    <t>Burlington, WI</t>
  </si>
  <si>
    <t>Burlington</t>
  </si>
  <si>
    <t>53105</t>
  </si>
  <si>
    <t>www.ecourtreporters.com</t>
  </si>
  <si>
    <t>159835-06T</t>
  </si>
  <si>
    <t>EdCuration</t>
  </si>
  <si>
    <t>431616-34</t>
  </si>
  <si>
    <t>DCA Asset Management, Rockies Venture Club</t>
  </si>
  <si>
    <t>DCA Asset Management (www.dcaassetmanagementinc.com), Rockies Venture Club (www.rockiesventureclub.org)</t>
  </si>
  <si>
    <t>Developer of an education platform designed to match effective innovative curriculum resources to the schools and districts. The company's platform is an online, two-sided marketplace designed in a more collaborative way, enabling schools to make real advancements in learning quickly, to increase student success.</t>
  </si>
  <si>
    <t>The company was in talks to receive $500,000 of angel funding from undisclosed investors on October 9, 2020. Subsequently, the deal was cancelled. Previously, the company raised $500,000 of seed funding from Rockies Venture Club and DCA Asset Management on September 21, 2020, putting the company's pre-money valuation at $2.5 million.</t>
  </si>
  <si>
    <t>collaborative process, education and learning, education industry, education platform, education software company, purchasing curriculum</t>
  </si>
  <si>
    <t>222409-99P</t>
  </si>
  <si>
    <t>Timeri Tolnay</t>
  </si>
  <si>
    <t>+1 (303) 916-2392</t>
  </si>
  <si>
    <t>timeri@edcuration.com</t>
  </si>
  <si>
    <t>Ms. Timeri Tolnay is a Co-Founder and serves as Chief Executive Officer &amp; President at EdCuration. She serves as Chief Marketing Officer at Global Grid For Learning. As a career educator working in both teaching and professional development roles, Timeri transitioned to the private sector to help start a curriculum and professional development company in 2006 which she launched, grew and eventually sold. Since then she has been providing professional learning services for a variety of organizations prior to launching EdCuration.</t>
  </si>
  <si>
    <t>The company raised $500,000 of seed funding from Rockies Venture Club and DCA Asset Management on September 21, 2020, putting the company's pre-money valuation at $2.5 million.</t>
  </si>
  <si>
    <t>Rockies Vintage Fund 2021(Rockies Venture Club)</t>
  </si>
  <si>
    <t>Golden, CO</t>
  </si>
  <si>
    <t>Golden</t>
  </si>
  <si>
    <t>80401</t>
  </si>
  <si>
    <t>www.edcuration.com</t>
  </si>
  <si>
    <t>211104-73T</t>
  </si>
  <si>
    <t>eddii</t>
  </si>
  <si>
    <t>464161-60</t>
  </si>
  <si>
    <t>StartUp Health(Lauren Schafer)</t>
  </si>
  <si>
    <t>StartUp Health (www.startuphealth.com)</t>
  </si>
  <si>
    <t>Developer of a health tracking application designed to motivate everyone living with diabetes to record their wellness daily and adhere to healthy routines. The company's application offers a virtual in-app character designed to engage people living with diabetes to track and record their health through gamification and witty conversations, providing users with helpful tips in the form of a weekly report, and also rewards healthy practices and performance through in-app rewards.</t>
  </si>
  <si>
    <t>The company raised $2.50 million of seed funding in a deal led by Kapor Capital on August 2, 2023, putting the company's pre-money valuation at $11 million. StartUp Health, MedMountain Ventures, Alumni Ventures, and Atento Capital also participated in the round. The funds will be used to gamify Real-Time Glucose Data.</t>
  </si>
  <si>
    <t>Application Software*, Other Healthcare Services</t>
  </si>
  <si>
    <t>Digital Health, Mobile</t>
  </si>
  <si>
    <t>diabetes tracking application, health management application, health tracking, healthcare app, medication record, virtual application</t>
  </si>
  <si>
    <t>259188-85P</t>
  </si>
  <si>
    <t>Farhaneh Ahmadi</t>
  </si>
  <si>
    <t>+1 (857) 999-6369</t>
  </si>
  <si>
    <t>farhaneh@eddiihealth.com</t>
  </si>
  <si>
    <t>Dr. Farhaneh Ahmadi is the Co-Founder and serves as Chief Executive Officer at eddii. Farhaneh is a digital health visionary who has always believed in technology's ability to empower people living with chronic conditions. She first thought of eddii when she started wearing a Continuous Glucose Monitor (CGM). Farhaneh lives with T1D and understands what users go through day in and day out. She founded eddii while doing her MBA at Harvard Business School, and formed the foundational ideas for a virtual health buddy who can provide support round the clock. Prior to her MBA, Farhaneh did her Ph.D. in Biochemistry at Cambridge, where she studied the signaling pathways of innate immune cells, and her Master's in Immunology at Oxford. She was also a consultant at Oliver Wyman where she focused on healthcare. She is an inventor of four international patents.</t>
  </si>
  <si>
    <t>Cambridge University, Ph.D. (Doctor of Philosophy), Biochemistry, Harvard Business School, MBA (Master of Business Administration), University of Oxford, Master's, Immunology</t>
  </si>
  <si>
    <t>The company raised $1 million through a combination of debt, Seed-1A, Seed-1B and Seed-1C funding from StartUp Health and other undisclosed investors on June 1, 2022, putting the company's pre-money valuation at $8 million.</t>
  </si>
  <si>
    <t>StartUp Health</t>
  </si>
  <si>
    <t>www.eddiihealth.com</t>
  </si>
  <si>
    <t>Other - $0.05M</t>
  </si>
  <si>
    <t>271407-79T</t>
  </si>
  <si>
    <t>Edera</t>
  </si>
  <si>
    <t>641891-26</t>
  </si>
  <si>
    <t>645 Ventures(Mendy Yang), Calm Ventures, Eniac Ventures(Hadley Harris), Fairchild Fund II, Filippo Valsorda(Filippo Valsorda), FPV Ventures, Generationship, Jeff Behl(Jeff Behl), Joe Beda(Joe Beda), Mandy Andress(Mandy Andress), Nikitha Suryadevara(Nikitha Suryadevara), Precursor Ventures, Rosecliff Venture Partners</t>
  </si>
  <si>
    <t>645 Ventures (www.645ventures.com), Calm Ventures (www.calmvc.com), Eniac Ventures (www.eniac.vc), FPV Ventures (www.fpvventures.com), Precursor Ventures (precursorvc.com), Rosecliff Venture Partners (www.rosecliff.com)</t>
  </si>
  <si>
    <t>Developer of an AI security system designed to secure the organization's AI workloads. The company's system treats a container like a virtual machine guest with no shared kernel state between containers and a memory-safe rust control plane, enabling clients to reduce container escapes, security tool layering cost, and doom scrolling logs.</t>
  </si>
  <si>
    <t>The company raised $4.96 million of seed funding in a deal led by 645 Ventures and Eniac Ventures on August 20, 2024, putting the company's pre-money valuation at $10 million. FPV Ventures, Rosecliff Venture Partners, Fairchild Fund II, Calm Ventures, Precursor Ventures, Joe Beda, Mandy Andress, Filippo Valsorda (Angel), Jeff Behl, Nikitha Suryadevara and Generationship also participated in the round.</t>
  </si>
  <si>
    <t>Automation/Workflow Software, Business/Productivity Software, Network Management Software*</t>
  </si>
  <si>
    <t>Artificial Intelligence &amp; Machine Learning, Cybersecurity</t>
  </si>
  <si>
    <t>ai security, ai security application, ai security platform, ai security technology, security system device, security system software</t>
  </si>
  <si>
    <t>239880-25P</t>
  </si>
  <si>
    <t>Emily Long</t>
  </si>
  <si>
    <t>+1 (206) 627-0745</t>
  </si>
  <si>
    <t>Ms. Emily Long is a Co-Founder &amp; serves as Chief Executive Officer &amp; Board Member at Edera.. Ms. Emily Long served as Chief Operating Officer at Chainguard. She served as Chief Operating Officer &amp; Chief People Officer at Anchore. Prior to Anchore, she led LogicMonitor's HR function through hyper-growth by focusing on a people-first approach to scaling quickly and efficiently. She also spent 12 years at KPMG in a variety of roles including Human Resources, Campus Recruiting, Resource Management and Staffing, and Assurance Services. She brings experience from previous roles at Stealth Startup, Chainguard, Inc, Chief and Anchore. Emily Long holds a Bachelor of Science (B.S.) in Business Administration, Public Accounting from California Polytechnic State University-San Luis Obispo. With a robust skill set that includes Human Resources, College Recruiting, Student Recruiting, Public Speaking, Auditing and more.</t>
  </si>
  <si>
    <t>BS (Bachelor of Science), Business Administration</t>
  </si>
  <si>
    <t>645 Ventures, Calm Ventures, Eniac Ventures, Fairchild Fund II, Filippo Valsorda, FPV Ventures, Generationship, Jeff Behl, Joe Beda, Mandy Andress, Nikitha Suryadevara, Precursor Ventures, Rosecliff Venture Partners</t>
  </si>
  <si>
    <t>645 Ventures(Mendy Yang), Eniac Ventures(Hadley Harris)</t>
  </si>
  <si>
    <t>98104</t>
  </si>
  <si>
    <t>www.edera.dev</t>
  </si>
  <si>
    <t>178520-50T</t>
  </si>
  <si>
    <t>EdLight</t>
  </si>
  <si>
    <t>471034-90</t>
  </si>
  <si>
    <t>Equal Opportunity Ventures(Roland Fryer)</t>
  </si>
  <si>
    <t>Equal Opportunity Ventures (www.eoventures.com)</t>
  </si>
  <si>
    <t>Developer of a tutoring platform designed for teachers to digitize and collaborate on handwritten student work. The company's platform digitizes the original work that students do on paper both in class and at home and allows educators to give feedback by drawing directly on images of student work and adding audio recordings, stickers and text boxes, enabling teachers to check and give feedback on their student's work quickly.</t>
  </si>
  <si>
    <t>The company raised $4 million of Seed-1 funding in a deal led by Backstage Capital on March 28, 2024, putting the company's pre-money valuation at $11 million. Coherence Fund also participated in this round.</t>
  </si>
  <si>
    <t>homework correction, homework scoring, homework support application, teaching technology, tutoring classes, tutoring platform</t>
  </si>
  <si>
    <t>257642-11P</t>
  </si>
  <si>
    <t>Kate Gerson</t>
  </si>
  <si>
    <t>+1 (917) 348-2866</t>
  </si>
  <si>
    <t>kategerson@rethinc.us</t>
  </si>
  <si>
    <t>Ms. Kate Gerson is a Co-Founder and serves as Chief Executive Officer &amp; Board Member at Rethinc. She serves as Board Member at EdLight. She focuses on providing the strategy, coaching, training, and analytics that companies and leaders need in their work to create truly inclusive and healthy workplaces. Kate has been the architect of successful organizations with scaled impact, large-scale professional learning events, comprehensive content builds, and transformation opportunities for organizations and systems concerned with confronting racism and inequity. Kate was the founding CEO of UnboundEd, where she drove conversation about race in education reform and build relationships with system leaders, philanthropists, and organizations across the country. At UnboundED, she led the development of the Standards Institute, which offers a range of learning experiences grounded in the intersection of high standards, teaching, learning, and unconscious bias that adults need to close the opportunity gap caused by systemic bias and racism. This work has been adopted by countless organizations and systems across the US. Prior to her work at UnboundEd, she was a Senior Fellow at the Regents Research Fund, where she led New York State's academic projects (EngageNY), and built a free K-12 curriculum and training strategy that changed the direction and priorities of systems and major textbook developers nationwide. Previously, she was Executive Director at New Leaders, a national non-profit recruiting, training, and supporting urban school leaders. Kate was the founding principal of a renowned high school in Redhook, Brooklyn which modeled a better way to support and serve over-aged, under-credited students. Kate began her career as a teacher - as her parents did before her.</t>
  </si>
  <si>
    <t>The company raised $700,000 of Seed funding from Equal Opportunity Ventures on November 19, 2020, putting the company's pre-money valuation at $1 million.</t>
  </si>
  <si>
    <t>Equal Opportunity Ventures</t>
  </si>
  <si>
    <t>www.edlight.com</t>
  </si>
  <si>
    <t>158319-82T</t>
  </si>
  <si>
    <t>Edlyft</t>
  </si>
  <si>
    <t>433405-45</t>
  </si>
  <si>
    <t>Backstage Capital, Emilie Choi(Emilie Choi), Holly Liu(Holly Liu), January Ventures, Jeffrey Weiner(Jeffrey Weiner), Kapor Capital, Kleiner Perkins, Next Play Ventures, Nick Caldwell(Nick Caldwell), Realist Ventures, Ryan Roslansky(Ryan Roslansky), Twenty Seven Ventures, VEST Her Ventures, Village Global, Westbound Equity Partners, Y Combinator</t>
  </si>
  <si>
    <t>Backstage Capital (www.backstagecapital.com), January Ventures (january.ventures), Kapor Capital (www.kaporcapital.com), Kleiner Perkins (www.kleinerperkins.com), Next Play Ventures (www.nextplayventures.com), Nick Caldwell (nickcaldwell.com), Realist Ventures (realistlab.org), Twenty Seven Ventures (27v.vc), VEST Her Ventures (www.vesther.co), Village Global (www.villageglobal.vc), Westbound Equity Partners (www.westboundequity.com), Y Combinator (www.ycombinator.com)</t>
  </si>
  <si>
    <t>Developer of an education software intended to teach computer courses online. The company's software offers mentors who can teach various concepts and homework assignments and give access to complementary internship preparation series and other study tools, enabling students to get proper tutoring and thereby excel in the subject.</t>
  </si>
  <si>
    <t>The company joined Google for Startups Accelerator as part of its Fourth cohort on July 13, 2023 and received $150,000 in grant funding. The funds will be used to accelerate growth, incorporate AI into software and to continue to support emerging talent leaders and companies excited to scale their early talent training efforts in an equitable way.</t>
  </si>
  <si>
    <t>Educational and Training Services (B2C), Educational Software*, Information Services (B2C)</t>
  </si>
  <si>
    <t>computer science, consumer product &amp; services, consumer services, educational software, higher education, online education</t>
  </si>
  <si>
    <t>225741-52P</t>
  </si>
  <si>
    <t>Erika Hairston</t>
  </si>
  <si>
    <t>+1 (267) 314-7212</t>
  </si>
  <si>
    <t>erika@edlyft.com</t>
  </si>
  <si>
    <t>Ms. Erika Hairston is a Co-Founder and serves as Chief Executive Officer at Edlyft.</t>
  </si>
  <si>
    <t>The company raised $1.4 million of seed funding from January Ventures, Realist Ventures and Kapor Capital on October 28, 2020. Concrete Rose Capital, Next Play Ventures, Backstage Capital, Kleiner Perkins, Village Global, Twenty Seven Ventures, VEST (Social/Platform Software), Y Combinator, Jeff Weiner, Nick Caldwell, Ryan Roslansky, Emilie Choi and Holly Liu also participated in the round.</t>
  </si>
  <si>
    <t>Backstage Capital, Emilie Choi, Holly Liu, January Ventures, Jeffrey Weiner, Kapor Capital, Kleiner Perkins, Next Play Ventures, Nick Caldwell, Realist Ventures, Ryan Roslansky, Twenty Seven Ventures, VEST Her Ventures, Village Global, Westbound Equity Partners</t>
  </si>
  <si>
    <t>Backstage Capital Fund II(Backstage Capital), Concrete Rose Fund(Westbound Equity Partners), January Ventures Fund I(January Ventures), Kapor Capital Fund III(Kapor Capital), Realist Fund(Realist Ventures), VEST Her Fund I(VEST Her Ventures), Village Global Fund(Village Global)</t>
  </si>
  <si>
    <t>www.edlyft.com</t>
  </si>
  <si>
    <t>125696-80T</t>
  </si>
  <si>
    <t>EdSights</t>
  </si>
  <si>
    <t>322216-21</t>
  </si>
  <si>
    <t>Allbirds (NAS: BIRD), Brandon Krull(Brandon Krull), Everywhere Ventures, J20 Ventures, K50 Ventures, Katie Shea(Katie Shea), Rondo Ventures(Lance Anderson)</t>
  </si>
  <si>
    <t>Allbirds (NAS: BIRD) (www.allbirds.com), Brandon Krull (brandonkrull.com), Everywhere Ventures (everywhere.vc), J20 Ventures (www.j20ventures.co), K50 Ventures (www.k50ventures.com), Rondo Ventures (www.rondoventures.com)</t>
  </si>
  <si>
    <t>Developer an artificial intelligence-powered texting platform designed to measure and improve the student experience. The company's platform offers a text messaging chatbot and predictive analytics to identify students who are likely to drop out of college and connect to on-campus resources, enabling universities to engage and retain students.</t>
  </si>
  <si>
    <t>J20 Ventures and Rondo Ventures sold their stake in the company to an undisclosed buyer in September 2022.</t>
  </si>
  <si>
    <t>behavioral science, consumer data analytics, education service, enrollment process, enrollment service, predictive analytics platform, predictive analytics solution, retention service, vertical application</t>
  </si>
  <si>
    <t>214421-68P</t>
  </si>
  <si>
    <t>Carolina Recchi</t>
  </si>
  <si>
    <t>+1 (917) 591-6416</t>
  </si>
  <si>
    <t>carolina@edsights.io</t>
  </si>
  <si>
    <t>Ms. Carolina Recchi is a Co-Founder &amp; serves as Co-Chief Executive Officer and Board Member at EdSights.</t>
  </si>
  <si>
    <t>The company raised $1.6 million of seed funding from Allbirds, K50 Ventures and J20 Ventures on May 5, 2020, putting the company's pre-money valuation at $2.50 million. Rondo Ventures, The Fund, Brandon Krull and Katie Shea also participated in the round.</t>
  </si>
  <si>
    <t>Allbirds, Brandon Krull, Everywhere Ventures, J20 Ventures, K50 Ventures, Katie Shea, Rondo Ventures</t>
  </si>
  <si>
    <t>Everywhere Ventures I(Everywhere Ventures)</t>
  </si>
  <si>
    <t>www.edsights.io</t>
  </si>
  <si>
    <t>207774-46T</t>
  </si>
  <si>
    <t>El Camino Travel</t>
  </si>
  <si>
    <t>255138-49</t>
  </si>
  <si>
    <t>Grid110, Joseph Zadeh(Joseph Zadeh), Kinjil Mathur(Kinjil Mathur), Rafat Ali(Rafat Ali), Slauson &amp; Co., Trip Ventures</t>
  </si>
  <si>
    <t>Grid110 (www.grid110.org), Slauson &amp; Co. (www.slauson.co), Trip Ventures (www.tripventures.com)</t>
  </si>
  <si>
    <t>Developer of a travel platform designed to provide travelers with tourism and travel arrangement facilities. The company's platform turns solo travelers into group travel advocates, transforms family and friend getaways into immersive experiences and brings similarly-minded travel souls together in real life and online, enabling travelers to experience new cultures in ways that would otherwise be difficult to access on their own.</t>
  </si>
  <si>
    <t>The company graduated from Veloric Center for Entrepreneurship as a part of its Incubator Program on October 16, 2023. No equity or funding was exchanged as a result of this program. Previously, the company raised $1.1 million of pre-seed funding in a deal led by Slauson &amp; Co. on February 23, 2023. Trip Ventures, Joe Zadeh, Kinjil Mathur, and Rafat Ali also participated in the round. The funds will be used to further develop technology and build awareness of the brand as a premium marketplace for women travelers that connects them directly to exceptional experiences.</t>
  </si>
  <si>
    <t>Application Software, Information Services (B2C), Other Restaurants, Hotels and Leisure*</t>
  </si>
  <si>
    <t>subscription modeling service, travel advisory platform, travel arrangements, travel booking service, travel platform operator, women travel</t>
  </si>
  <si>
    <t>322609-60P</t>
  </si>
  <si>
    <t>Katalina Mayorga</t>
  </si>
  <si>
    <t>+1 (714) 542-6019</t>
  </si>
  <si>
    <t>katalina@elcamino.travel</t>
  </si>
  <si>
    <t>Ms. Katalina Mayorga is a Co-Founder &amp; serves as Chief Executive Officer at El Camino Travel. She was graduated in BA in International Studies and Human Rights and MA in Global Environmental Policy. She got selected as a 2017 Tory Burch Foundation Fellow and have been featured in Marie Claire, Creative Mornings, and Project Entrepreneur as a thought leader on the topics of travel and entrepreneurship.</t>
  </si>
  <si>
    <t>BA (Bachelor of Arts), 2007, International Studies and Human Rights, MA (Master of Arts), 2013, Global Environmental Policy</t>
  </si>
  <si>
    <t>The company raised $1.1 million of pre-seed funding in a deal led by Slauson &amp; Co. on February 23, 2023. Trip Ventures, Grid110, Joe Zadeh, Kinjil Mathur, and Rafat Ali also participated in the round. The funds will be used to further develop technology and build awareness of the brand as a premium marketplace for women travelers that connects them directly to exceptional experiences.</t>
  </si>
  <si>
    <t>Grid110, Joseph Zadeh, Kinjil Mathur, Rafat Ali, Slauson &amp; Co., Trip Ventures</t>
  </si>
  <si>
    <t>Slauson &amp; Co.</t>
  </si>
  <si>
    <t>Slauson &amp; Co. Fund I(Slauson &amp; Co.)</t>
  </si>
  <si>
    <t>Gunderson Dettmer (Legal Advisor to Slauson &amp; Co.)</t>
  </si>
  <si>
    <t>20002</t>
  </si>
  <si>
    <t>www.elcamino.travel</t>
  </si>
  <si>
    <t>247224-97T</t>
  </si>
  <si>
    <t>Elatra</t>
  </si>
  <si>
    <t>539592-76</t>
  </si>
  <si>
    <t>Verras Capital</t>
  </si>
  <si>
    <t>Verras Capital (www.verras.io)</t>
  </si>
  <si>
    <t>Developer of a digital coaching platform designed to amplify user performance, engagement, and loyalty. The company engages in coaching experience for all stakeholders through bespoke coaching and off-the-shelf coaching and offers development programs such as leadership development, employee development, performance management, and human capital analytics, enabling businesses to achieve long-term success and improve the performance of their employees.</t>
  </si>
  <si>
    <t>The company raised $200,000 of pre-seed funding from Verras Capital and other undisclosed investors on December 1, 2023, putting the company's pre-money valuation at $4.8 million.</t>
  </si>
  <si>
    <t>Business/Productivity Software, Education and Training Services (B2B)*, Educational Software</t>
  </si>
  <si>
    <t>coaching platform, employee training, leadership development, performance management, professional training, talent development</t>
  </si>
  <si>
    <t>373182-31P</t>
  </si>
  <si>
    <t>Natasha Drogolchuk</t>
  </si>
  <si>
    <t>+1 (213) 343-3030</t>
  </si>
  <si>
    <t>natasha.drogolchuk@elatra.io</t>
  </si>
  <si>
    <t>Ms. Natasha Drogolchuk is a Co-Founder and serves as Chief Executive Officer at Elatra.</t>
  </si>
  <si>
    <t>San Clemente, CA</t>
  </si>
  <si>
    <t>San Clemente</t>
  </si>
  <si>
    <t>92672</t>
  </si>
  <si>
    <t>www.elatra.io</t>
  </si>
  <si>
    <t>184290-94T</t>
  </si>
  <si>
    <t>ElectroTempo</t>
  </si>
  <si>
    <t>484099-39</t>
  </si>
  <si>
    <t>Buoyant Ventures(Amy Francetic), Ripple Impact Investments, Schematic Ventures(Julian Counihan), SpringTime Ventures, Supply Chain Ventures, Virginia Venture Partners(Marco Rubin), ZEBOX(Quentin Dumontet)</t>
  </si>
  <si>
    <t>Buoyant Ventures (www.buoyant.vc), Ripple Impact Investments (www.rippleimpactinvestments.com), Schematic Ventures (www.schematicventures.com), SpringTime Ventures (www.springtimeventures.com), Supply Chain Ventures (www.supplychainventure.com), ZEBOX (ze-box.io)</t>
  </si>
  <si>
    <t>Developer of an e-mobility ecosystem designed to deliver scalable software technology. The company's software provides subscriptions to dashboards, algorithms, and data bundles to assess the costs, benefits, and risks associated with electric vehicle adoption and infrastructure needs, enabling clients to de-risk their major electric vehicle investments.</t>
  </si>
  <si>
    <t>The company joined Plug and Play Tech Center on an undisclosed date. No equity or funding was exchanged as a result of this program.</t>
  </si>
  <si>
    <t>Business/Productivity Software, Media and Information Services (B2B)*, Other Energy Services, Other Financial Services</t>
  </si>
  <si>
    <t>electric vehicle, e-mobility company, e-mobility software, enterprise asset management, enterprise resource planning, mobility ecosystem, software solutions, vehicle electrification planning</t>
  </si>
  <si>
    <t>283757-05P</t>
  </si>
  <si>
    <t>Yanzhi Xu</t>
  </si>
  <si>
    <t>+1 (404) 723-0543</t>
  </si>
  <si>
    <t>ann.xu@electrotempo.com</t>
  </si>
  <si>
    <t>Dr. Yanzhi Xu is a Co-Founder and serves as Chief Executive Officer &amp; Board Member at ElectroTempo. She is a nationally recognized expert in transportation, energy &amp; emissions.</t>
  </si>
  <si>
    <t>Georgia Institute of Technology, Ph.D. (Doctor of Philosophy), 2010, Engineering, Peking University, BS (Bachelor of Science), 2006, Statistics, Environmental Science</t>
  </si>
  <si>
    <t>The company raised $5 million through a combination of Seed, and Seed-1 funding in a deal led by Schematic Ventures and Buoyant Ventures on August 16, 2023, putting the company's pre-money valuation at $10 million. Supply Chain Ventures, SpringTime Ventures, Virginia Venture Partners, ZEBOX, and Ripple Impact Investments also participated in the round. The funds will be used to grow the team and expand ongoing customer pilots.</t>
  </si>
  <si>
    <t>Buoyant Ventures, Ripple Impact Investments, Schematic Ventures, SpringTime Ventures, Supply Chain Ventures, Virginia Venture Partners</t>
  </si>
  <si>
    <t>ZEBOX</t>
  </si>
  <si>
    <t>Buoyant Ventures(Amy Francetic), Schematic Ventures(Julian Counihan)</t>
  </si>
  <si>
    <t>SpringTime Ventures Fund II(SpringTime Ventures)</t>
  </si>
  <si>
    <t>Cooley (Legal Advisor to Buoyant Ventures), Orrick (Legal Advisor to Company)</t>
  </si>
  <si>
    <t>Cooley (Legal Advisor to Buoyant Ventures)</t>
  </si>
  <si>
    <t>www.electrotempo.com</t>
  </si>
  <si>
    <t>206486-20T</t>
  </si>
  <si>
    <t>Eliza Dolls</t>
  </si>
  <si>
    <t>510694-57</t>
  </si>
  <si>
    <t>AIX Ventures</t>
  </si>
  <si>
    <t>AIX Ventures (www.aixventures.com)</t>
  </si>
  <si>
    <t>The company is planning to raise an undisclosed amount in product crowdfunding via Kickstarter as of May 18, 2024.</t>
  </si>
  <si>
    <t>The company is planning to raise an undisclosed amount in product crowdfunding via Kickstarter as of May 18, 2024. Previously, the company raised angel funding from 9 individual investors on an undisclosed date. The company is actively tracked by PitchBook.</t>
  </si>
  <si>
    <t>Consumer Durables</t>
  </si>
  <si>
    <t>Recreational Goods</t>
  </si>
  <si>
    <t>Application Software, Recreational Goods*</t>
  </si>
  <si>
    <t>autonomous machine, child development, child development toys, child education, children technology, early childhood education, intelligent robotics, stem engineering, technology product</t>
  </si>
  <si>
    <t>320379-67P</t>
  </si>
  <si>
    <t>Eliza Kosoy</t>
  </si>
  <si>
    <t>Dr. Eliza Kosoy is the Founder and serves as Chief Executive Officer at Eliza Dolls.</t>
  </si>
  <si>
    <t>University of California, Berkeley, Ph.D. (Doctor of Philosophy)</t>
  </si>
  <si>
    <t>The company raised $100,000 of venture funding from AIX Ventures in October 2022.</t>
  </si>
  <si>
    <t>Berkeley, CA</t>
  </si>
  <si>
    <t>Berkeley</t>
  </si>
  <si>
    <t>www.elizadolls.com</t>
  </si>
  <si>
    <t>175106-62T</t>
  </si>
  <si>
    <t>Elotl</t>
  </si>
  <si>
    <t>300282-94</t>
  </si>
  <si>
    <t>Boris Livshutz(Boris Livshutz), Daniel Scheinman(Daniel Scheinman), Edith Harbaugh(Edith Harbaugh), Essence Venture Capital, HearstLab, Telescopic Ventures, Timothy Chen(Timothy Chen), Vertex Ventures US(Jonathan Heiliger), XYZ Venture Capital</t>
  </si>
  <si>
    <t>Essence Venture Capital (www.essencevc.fund), HearstLab (www.hearstlab.com), Telescopic Ventures (www.telescopicventures.com), Vertex Ventures US (www.vvus.com), XYZ Venture Capital (www.xyz.vc)</t>
  </si>
  <si>
    <t>Operator of serverless infrastructure platform designed to serve microservice applications. The company offers a nodeless Kubernetes engine to run applications in a cost-effective, secure, and simple manner on the public cloud, enabling clients to save costs, improve multi-tenant security, and simplify operations.</t>
  </si>
  <si>
    <t>The company raised an estimated $7.5 million of seed funding in a deal led by Vertex Ventures US on June 11, 2021, putting the company's pre-money valuation at $15 million. Essence Venture Capital alongside 7 other investors also participated in the round. The funds will be used to hire across departments, continue building the platform, and expand to multiple cloud providers. Previously, the company joined HearstLab on an undisclosed date.</t>
  </si>
  <si>
    <t>IT Services</t>
  </si>
  <si>
    <t>IT Consulting and Outsourcing</t>
  </si>
  <si>
    <t>Business/Productivity Software, IT Consulting and Outsourcing*</t>
  </si>
  <si>
    <t>application infrastructure, cloud developer, cloud hosting, cloud network, cloud provider, cloud saas, cloud-based application, infrastructure platform, public cloud hosting, server management</t>
  </si>
  <si>
    <t>211256-11P</t>
  </si>
  <si>
    <t>Madhuri Yechuri</t>
  </si>
  <si>
    <t>madhuri@elotl.co</t>
  </si>
  <si>
    <t>Ms. Madhuri Yechuri is the Founder and serves as Chief Executive Officer at Elotl.</t>
  </si>
  <si>
    <t>The company raised $7.5 million of seed funding in a deal led by Vertex Ventures US on June 11, 2021, putting the company's pre-money valuation at $15 million. Essence Venture Capital, XYZ Venture Capital, Telescopic Ventures, HearstLab, Timothy Chen, Boris Livshutz, Dan Scheinman and Edith Harbaugh also participated in the round. The funds will be used to hire across departments, continue building the platform, and expand to multiple cloud providers.</t>
  </si>
  <si>
    <t>Boris Livshutz, Daniel Scheinman, Edith Harbaugh, Essence Venture Capital, Telescopic Ventures, Timothy Chen, Vertex Ventures US, XYZ Venture Capital</t>
  </si>
  <si>
    <t>HearstLab</t>
  </si>
  <si>
    <t>Vertex Ventures US(Jonathan Heiliger)</t>
  </si>
  <si>
    <t>www.elotl.co</t>
  </si>
  <si>
    <t>178971-76T</t>
  </si>
  <si>
    <t>Eluvio</t>
  </si>
  <si>
    <t>431623-81</t>
  </si>
  <si>
    <t>Fox (NAS: FOXA)(Paul Cheesbrough)</t>
  </si>
  <si>
    <t>Fox (NAS: FOXA) (www.foxcorporation.com)</t>
  </si>
  <si>
    <t>Operator of a media distribution platform intended to process a very high volume of data packets with a low tolerance for delay. The company's platform focuses on a utility blockchain network for owner-controlled storage, distribution, and monetization of digital content at scale as well as provides live and file-based content publishing, transcoding, sequencing, and dynamic and static distribution, and minting of derivative NFTs for all ranges of content experience, helping content distributors and owners to create more efficient, cost-effective, and faster digital supply chains.</t>
  </si>
  <si>
    <t>The company raised an estimated $100 million of Series A venture funding in a deal led by Fox on August 25, 2021. Other undisclosed investors also participated in the round. The funds will be used to accelerate the adoption of the company's platform across the broader media and entertainment industry.</t>
  </si>
  <si>
    <t>Business/Productivity Software, Entertainment Software*, Financial Software</t>
  </si>
  <si>
    <t>app development, content services, crypto content and social, digital content, digital content portal, kms, knowledge management system, live streaming, media application developer, media distribution platform, media distribution services, media platform operator, web4</t>
  </si>
  <si>
    <t>64251-19P</t>
  </si>
  <si>
    <t>Michelle Munson</t>
  </si>
  <si>
    <t>+1 (510) 849-2386</t>
  </si>
  <si>
    <t>michelle@eluv.io</t>
  </si>
  <si>
    <t>Ms. Michelle Munson is a Co-Founder and serves as Chief Executive Officer at Eluvio. She also served as Advisor at GenoSpace. Ms. Michelle Munson Co-Founded Aspera and led the company as CEO for 13 years including through acquisition by IBM in 2014. She is an Advisor at GenoSpace. Michelle is co-inventor of Aspera's fasp™ transport technology and is responsible for overseeing the company's direction in collaboration with co-founder Serban Simu. Michelle was a software engineer in research and start-up companies including the IBM Almaden Research center before founding Aspera in 2004. She has dual B.Sc. degrees in Electrical Engineering and in Physics from Kansas State University and was a Goldwater Scholar for achievement in Science and Mathematics, and later a Fulbright Scholar at Cambridge University where she received a postgraduate Diploma in Computer Science. She was the 2006 KSU College of Engineering Alumni Fellow (the youngest recipient ever), and has received national achievement awards from Glamour Magazine and USA Today. Michelle is also a frequent speaker on technologies and trends around Big Data Transport, Cloud Infrastructure, and Mobile.</t>
  </si>
  <si>
    <t>Kansas State University, BS (Bachelor of Science), 1996, Electrical Engineering, Kansas State University, BS (Bachelor of Science), 1996, Physics, University of Cambridge, MS (Master of Science), 1998, Computer Science</t>
  </si>
  <si>
    <t>Fox</t>
  </si>
  <si>
    <t>94710</t>
  </si>
  <si>
    <t>www.eluv.io</t>
  </si>
  <si>
    <t>Information and communication technology [ict] specially adapted for administrative, commercial, financial, managerial or supervisory purposes, Transmission of digital information</t>
  </si>
  <si>
    <t>185408-02T</t>
  </si>
  <si>
    <t>Elve</t>
  </si>
  <si>
    <t>489291-85</t>
  </si>
  <si>
    <t>Cambium Capital Management(David Moehring)</t>
  </si>
  <si>
    <t>Cambium Capital Management (www.cambium.vc)</t>
  </si>
  <si>
    <t>Manufacturer of high-efficiency lightweight millimeter-wave and near-terahertz power amplifiers intended to enable wireless connectivity. The company integrates advanced agile manufacturing technologies into vacuum electronic devices, providing companies with widespread connectivity online experience.</t>
  </si>
  <si>
    <t>The company raised $15 million of Series A venture funding in a deal led by TomEnterprise on February 22, 2024, putting the company's pre-money valuation at $50 million. Lockheed Martin Ventures, Cambium Capital Management, Green Sands Equity, Yu Galaxy and other undisclosed investors also participated in the round. The funds will be used to grow the company's customer base in the space connectivity market and to increase manufacturing capabilities.</t>
  </si>
  <si>
    <t>Connectivity Products</t>
  </si>
  <si>
    <t>Connectivity Products*, Other Communications and Networking, Wireless Communications Equipment</t>
  </si>
  <si>
    <t>Advanced Manufacturing, Internet of Things, Manufacturing</t>
  </si>
  <si>
    <t>amplifiers parts, amplifiers product, amplifiers system, electronic device, frequency product, iot networking, network infrastructure, power amplifier, signal device</t>
  </si>
  <si>
    <t>286238-44P</t>
  </si>
  <si>
    <t>Diana Gamzina</t>
  </si>
  <si>
    <t>diana.gamzina@elvespeed.com</t>
  </si>
  <si>
    <t>Dr. Diana Gamzina is the Founder &amp; serves as Chief Executive Officer at ElveSpeed. Dr. Gamzina joined SLAC in January of 2017; she was at the UC Davis millimeter-wave research group for over 8 years prior to that leading research and development programs in millimeter-wave and terahertz vacuum electronics. At SLAC, she has focused on the development of advanced materials for vacuum electron devices. Her expertise includes mechanics of materials' interaction with electromagnetic waves, micro to nanoscale as well as additive material synthesis techniques, high current density nanocomposite cathodes, and multiscale thermo-mechanical design and analysis. Enabling design-driven material microstructure for the next generation of RF vacuum electronic devices is her personal career goal.</t>
  </si>
  <si>
    <t>University of California, Davis, BS (Bachelor of Science), 2008, Materials Science, University of California, Davis, MS (Master of Science), 2012, Mechanical and Aerospace Engineering, University of California, Davis, Ph.D. (Doctor of Philosophy), 2016, Aerospace Engineering</t>
  </si>
  <si>
    <t>The company raised $3 million of through a combination of debt and Seed funding from Cambium Capital Management, and other undisclosed investors on August 27, 2021, putting the company's pre-money valuation at $2.89 million.</t>
  </si>
  <si>
    <t>Cambium Capital Management</t>
  </si>
  <si>
    <t>Cambium Capital Partners II(Cambium Capital Management)</t>
  </si>
  <si>
    <t>Davis, CA</t>
  </si>
  <si>
    <t>Davis</t>
  </si>
  <si>
    <t>95618</t>
  </si>
  <si>
    <t>www.elvespeed.com</t>
  </si>
  <si>
    <t>Other - $0.89M</t>
  </si>
  <si>
    <t>Amplifiers, Electric discharge tubes or discharge lamps, Magnets, Waveguides</t>
  </si>
  <si>
    <t>129698-65T</t>
  </si>
  <si>
    <t>Embodied Labs</t>
  </si>
  <si>
    <t>167043-61</t>
  </si>
  <si>
    <t>100 Plus Capital, JFFVentures, Ken Dychtwald(Ken Dychtwald), Maddy Dychtwald(Maddy Dychtwald), Pac-Link Management, SustainVC(Justin Desrosiers), The Venture Reality Fund(Marco DeMiroz), WXR Venture Fund, Ziegler(John Hopper)</t>
  </si>
  <si>
    <t>100 Plus Capital (www.100pluscap.com), JFFVentures (www.jff.org/what-we-do), Maddy Dychtwald (maddydychtwald.com), Pac-Link Management (www.paclinkventure.com/default.htm), SustainVC (www.sustainvc.com), The Venture Reality Fund (www.thevrfund.com), WXR Venture Fund (www.wxrfund.com), Ziegler (www.ziegler.com)</t>
  </si>
  <si>
    <t>Developer of a training platform intended for professional staff development and caregiver education and support. The company's system helps professionals use virtual reality to create and implement an empathy-based patient-centered health curriculum, enabling healthcare providers to provide enhanced services for healthcare training.</t>
  </si>
  <si>
    <t>The company joined AARP Innovation Labs and AgeTech Collaborative on an undisclosed date. No equity or funding was exchanged as a result of this program.</t>
  </si>
  <si>
    <t>Education and Training Services (B2B), Other Hardware, Other Healthcare Services, Other Healthcare Technology Systems*</t>
  </si>
  <si>
    <t>Digital Health, EdTech, Virtual Reality</t>
  </si>
  <si>
    <t>caregiver training, dementia education, human computer interaction, medical illustrations, nursing program, proactive care, senior services, training platform, virtual reality training, workforce training</t>
  </si>
  <si>
    <t>147431-98P</t>
  </si>
  <si>
    <t>Carrie Shaw</t>
  </si>
  <si>
    <t>+1 (323) 421-7600</t>
  </si>
  <si>
    <t>carrie@embodiedlabs.com</t>
  </si>
  <si>
    <t>Ms. Carrie Shaw is a Co-Founder and serves as Chief Executive Officer at Embodied Labs. She has a particular interest in conveying the first-person perspective of vulnerable patient populations through virtual reality storytelling. After graduating from the University of North Carolina at Chapel Hill with a B.S. in Public Health, she joined the Peace Corps as a Health Education volunteer and lived in the Dominican Republic where she taught reproductive health to youth and worked as a medical translator. During this time she discovered that art as a teaching tool for health education can cross all cultural and language barriers. She went on to pursue a Master's of Science at the University of Illinois Chicago in Biomedical Visualization.</t>
  </si>
  <si>
    <t>University of Illinois, Urbana-Champaign, MS (Master of Science), 2016, Biomedical, University of North Carolina, Chapel Hill, BS (Bachelor of Science), 2010, Public Health Education</t>
  </si>
  <si>
    <t>The company raised $3.2 million of seed funding in a deal led by The Venture Reality Fund and Ziegler on January 15, 2020, putting the company's pre-money valuation at $10 million. Pac-Link Management, SustainVC, Women in XR, 100 Plus Capital, ETF@JFFLabs, and other 2 angel investors also participated in the round.</t>
  </si>
  <si>
    <t>100 Plus Capital, JFFVentures, Ken Dychtwald, Maddy Dychtwald, Pac-Link Management, SustainVC, The Venture Reality Fund, Ziegler</t>
  </si>
  <si>
    <t>WXR Venture Fund</t>
  </si>
  <si>
    <t>The Venture Reality Fund(Marco DeMiroz), Ziegler(John Hopper)</t>
  </si>
  <si>
    <t>ETF@JFFLabs Impact Fund(JFFVentures), SustainVC Impact Fund II(SustainVC), VR Fund(The Venture Reality Fund), WXR Fund(WXR Venture Fund), Ziegler Link-Age Fund II(Ziegler)</t>
  </si>
  <si>
    <t>Michael Best &amp; Friedrich (Legal Advisor to Company, Drew Whiting JD), Perkins Coie (Legal Advisor to The Venture Reality Fund, Arman Pahlavan JD)</t>
  </si>
  <si>
    <t>Michael Best &amp; Friedrich (Legal Advisor to Company, Drew Whiting JD)</t>
  </si>
  <si>
    <t>Perkins Coie (Legal Advisor to The Venture Reality Fund, Arman Pahlavan JD)</t>
  </si>
  <si>
    <t>www.embodiedlabs.com</t>
  </si>
  <si>
    <t>203250-16T</t>
  </si>
  <si>
    <t>Empower Delivery</t>
  </si>
  <si>
    <t>507071-44</t>
  </si>
  <si>
    <t>Allos Ventures(David Kerr), High Alpha</t>
  </si>
  <si>
    <t>Allos Ventures (www.allosventures.com), High Alpha (www.highalpha.com)</t>
  </si>
  <si>
    <t>Developer of a delivery management software designed to enable delivery-centric restaurants with end-to-end handling of production. The company's technology offers consumer ordering &amp; revenue channel management, loyalty &amp; marketing, order fulfillment, culinary operations, delivery management, native first-party ordering, smart fire times, kitchen display system, and expo station management, enabling clients to operate efficiently, monitor and control the entire delivery process.</t>
  </si>
  <si>
    <t>The company raised $2.93 million of venture funding in the form of convertible debt from undisclosed investors on November 13, 2023.</t>
  </si>
  <si>
    <t>FoodTech, Restaurant Technology, SaaS</t>
  </si>
  <si>
    <t>delivery management, delivery optimization, delivery process management, ghost kitchen, hospitality automation, kitchen management, restaurant &amp; retail tech, restaurant and retail technology, restaurant delivery, restaurant ordering solution</t>
  </si>
  <si>
    <t>Ghost Kitchens</t>
  </si>
  <si>
    <t>186078-97P</t>
  </si>
  <si>
    <t>Meredith Sandland</t>
  </si>
  <si>
    <t>+1 (949) 863-2804</t>
  </si>
  <si>
    <t>meredith@empower.delivery</t>
  </si>
  <si>
    <t>Ms. Meredith Sandland is a Co-Founder and serves as Chief Executive Officer and Board Member at Empower Delivery. She serves as Board Member at Epic Kitchens. She served as the Chief Operating Officer at Kitchen United. Prior to joining Kitchen United, Meredith Sandland was the Chief Development Officer for Taco Bell, a division of Yum! Brands. In that role, she added more than $1 billion in sales to the system through the addition of 1,000 restaurants. She was responsible for the concept, franchise sales, expansion strategy, market planning, real estate, architecture, construction, and maintenance. She also led International Development Strategy and overall Brand Strategy in other roles during her tenure at Taco Bell. Previously, Meredith worked for more than a decade for Bain &amp; Company, specializing in Private Equity due diligence and post-acquisition alignment of management teams and owners.</t>
  </si>
  <si>
    <t>The company raised $3 million of seed funding in a deal led by Allos Ventures on September 7, 2022. High Alpha and other undisclosed investors also participated in the round.</t>
  </si>
  <si>
    <t>Allos Ventures, High Alpha</t>
  </si>
  <si>
    <t>Allos Ventures(David Kerr)</t>
  </si>
  <si>
    <t>46255</t>
  </si>
  <si>
    <t>www.empower.delivery</t>
  </si>
  <si>
    <t>175110-76T</t>
  </si>
  <si>
    <t>EMTECH</t>
  </si>
  <si>
    <t>458627-59</t>
  </si>
  <si>
    <t>500 Startups LatAm, Consonance (Lagos), Gilgamesh Ventures, NetX (New Zealand), Noemis Ventures, Octerra Capital, XFactor Ventures</t>
  </si>
  <si>
    <t>500 Startups LatAm (latam.500.co), Consonance (Lagos) (www.consonanceinvest.com), Gilgamesh Ventures (gilgamesh.wpengine.com), NetX (New Zealand) (www.netx.fund), Noemis Ventures (www.noemisventures.com), Octerra Capital (www.octerracapital.com), XFactor Ventures (www.xfactor.ventures)</t>
  </si>
  <si>
    <t>Developer of a cloud-based software designed to provide central banks with scalable and resilient digital infrastructure. The company offers digital regulatory sandboxes for multi-party collaborative workflows, digital cash, and digital currency integrators for cross-border integration among others, enabling central banks to modernize operations and improve efficiency.</t>
  </si>
  <si>
    <t>The company raised $9.78 million of seed funding in a deal led by Z47 on August 3, 2023. Level Up Ventures and 20 other investors also participated in the round. The funds will be used to fuel the ongoing development of the company's infrastructure tools for central banks and fintech companies.</t>
  </si>
  <si>
    <t>CloudTech &amp; DevOps, FinTech, SaaS</t>
  </si>
  <si>
    <t>api-first, application infrastructure, cross-border payments, currency management, digital cash system, digital currency software, enterprise payment, financial ecosystem, financial ecosystem network, financial services, financial software tools, fintech firm, fx</t>
  </si>
  <si>
    <t>250296-40P</t>
  </si>
  <si>
    <t>Carmelle Cadet</t>
  </si>
  <si>
    <t>+1 (908) 312-0195</t>
  </si>
  <si>
    <t>carmelle@futuremtech.com</t>
  </si>
  <si>
    <t>Ms. Carmelle Cadet is the Founder &amp; serves as Chief Executive Officer at EMTECH. She is an experienced Finance and Business Leader in the Enterprise IT sector, with specializations in Financial Services and Blockchain Technologies. She is a passionate advocate for financial inclusion, economic development, and a former Finance and Business Executive at IBM. For the last 3 years, Carmelle worked on Digital Currency technologies and strategies for the purpose of addressing financial inclusion and lowering the cost of cross border payments. As a thought leader in the Central Bank Digital Currency (CBDC) space, Carmelle engages with Central Banks from Africa to the Caribbean to enable their transition to the digital currency era in an inclusive way. She earned her Executive MBA from New York University and was also named NYC Fintech Women's Inspiring Fintech Females 2019.</t>
  </si>
  <si>
    <t>New York University, Executive MBA, 2015</t>
  </si>
  <si>
    <t>The company raised an estimated $170,000 through the combination of Seed-1 and Seed-4 funding from XFactor Ventures, Noemis Ventures and Consonance Investment Managers on October 23, 2020, putting the company's pre-money valuation at $2.83 million. NetX (New Zealand), Octerra Capital, GiIgamesh Ventures, 500 Startups LatAm and other undisclosed investors also participated in the round.</t>
  </si>
  <si>
    <t>Gilgamesh Fintech Ventures(Gilgamesh Ventures), Noemis Ventures Fund(Noemis Ventures), XFactor Ventures Fund II(XFactor Ventures)</t>
  </si>
  <si>
    <t>10027</t>
  </si>
  <si>
    <t>www.emtech.com</t>
  </si>
  <si>
    <t>177874-66T</t>
  </si>
  <si>
    <t>EngFlow</t>
  </si>
  <si>
    <t>435083-59</t>
  </si>
  <si>
    <t>Adam Frankl(Adam Frankl), Alchemist Accelerator(Ravi Belani), Andreessen Horowitz(Martin Casado), Everywhere Ventures, Firstminute Capital(Lina Wenner), Ian Rust(Ian Rust), Jenny Fielding(Jenny Fielding), Martin Giese(Martin Giese), Martina Lauchengco(Martina Lauchengco), Rachel Potvin(Rachel Potvin), Siesta Ventures, Sylvia Isler(Sylvia Isler), Tiger Global Management</t>
  </si>
  <si>
    <t>Alchemist Accelerator (www.alchemistaccelerator.com), Andreessen Horowitz (www.a16z.com), Everywhere Ventures (everywhere.vc), Firstminute Capital (www.firstminute.capital), Siesta Ventures (www.siestaventur.es), Tiger Global Management (www.tigerglobal.com)</t>
  </si>
  <si>
    <t>Developer of a remote execution platform intended to help developers build software faster and ship well-tested products. The company's platform speeds up software builds and can be run on-premises or on the cloud and supports all clients around the clock that implement the open-source remote execution API with no hidden costs, enabling developers to build tools and connect experts to accelerate productivity.</t>
  </si>
  <si>
    <t>The company raised EUR 18 million of Series A venture funding from Tiger Global Management, Andreessen Horowitz and Firstminute Capital on November 15, 2022. Dev Angels, Rachel Potvin and 6 other investors also participated in the round.</t>
  </si>
  <si>
    <t>IT Consulting and Outsourcing, Software Development Applications*</t>
  </si>
  <si>
    <t>bazel building system, devops setup, information technology advice, information technology service, it remote support, remote execution service, software development guide</t>
  </si>
  <si>
    <t>230057-47P</t>
  </si>
  <si>
    <t>Helen Altshuler</t>
  </si>
  <si>
    <t>helen@engflow.com</t>
  </si>
  <si>
    <t>Ms. Helen Altshuler is a Co-Founder &amp; serves as Chief Executive Officer at EngFlow. She is a senior engineering executive with 20 years of software development, start-up CTO, and director of engineering experience at Google, PeerIQ and J.P. Morgan. She currently manages software engineering for Google Maps data platform, and is a trusted startup and CTO advisor with CapitalG and Techstars.</t>
  </si>
  <si>
    <t>The company raised $3.7 million of seed funding in a deal led by Andreessen Horowitz, Firstminute Capital and Tiger Global Management on April 21, 2021. The Fund, Siesta Ventures, Alchemist Accelerator, Jenny Fielding, Martin Giese, Rachel Potvin, Ian Rust, Sylvia Isler, Adam Frankl and Martina Lauchengco also participated in the round.</t>
  </si>
  <si>
    <t>Adam Frankl, Alchemist Accelerator, Andreessen Horowitz, Everywhere Ventures, Firstminute Capital, Ian Rust, Jenny Fielding, Martin Giese, Martina Lauchengco, Rachel Potvin, Siesta Ventures, Sylvia Isler, Tiger Global Management</t>
  </si>
  <si>
    <t>Andreessen Horowitz(Martin Casado), Firstminute Capital(Lina Wenner), Tiger Global Management</t>
  </si>
  <si>
    <t>Firstminute Capital II(Firstminute Capital), The Firstminute Capital Fund(Firstminute Capital)</t>
  </si>
  <si>
    <t>78705</t>
  </si>
  <si>
    <t>www.engflow.com</t>
  </si>
  <si>
    <t>172381-15T</t>
  </si>
  <si>
    <t>EnvisionWell</t>
  </si>
  <si>
    <t>327126-70</t>
  </si>
  <si>
    <t>Ben Franklin Technology Partners of Southeastern Pennsylvania</t>
  </si>
  <si>
    <t>Ben Franklin Technology Partners of Southeastern Pennsylvania (www.sep.benfranklin.org)</t>
  </si>
  <si>
    <t>Developer of a lifestyle technology application designed to engage, learn, and be motivated for a healthier lifestyle. The company's digital fitness platform provides wellness information, knowledge, and support to empower healthier outcomes, helping users track their fitness, nutrition, and health.</t>
  </si>
  <si>
    <t>The company raised an undisclosed amount of seed funding from Ben Franklin Technology Partners of Southeastern Pennsylvania on January 1, 2023.</t>
  </si>
  <si>
    <t>digital health, digital wellness, fitness and wellness, health and wellness platform, life coaches, lifestyle technology, wellness platform, wellness solutions</t>
  </si>
  <si>
    <t>212318-02P</t>
  </si>
  <si>
    <t>Tammy Williams</t>
  </si>
  <si>
    <t>+1 (844) 473-4748</t>
  </si>
  <si>
    <t>Ms. Tammy Williams founded and served as Chief Executive Officer &amp; Board Member at EnvisionWell. She has 25+ years of human resources, change management and communications experience.</t>
  </si>
  <si>
    <t>The company raised $600,000 of pre-seed funding from Ben Franklin Technology Partner of Southeastern Pennsylvania and other undisclosed investors on April 29, 2021, putting the company's pre-money valuation at $3.1 million.</t>
  </si>
  <si>
    <t>West Chester, PA</t>
  </si>
  <si>
    <t>West Chester</t>
  </si>
  <si>
    <t>19382</t>
  </si>
  <si>
    <t>envisionwell.co</t>
  </si>
  <si>
    <t>168859-00T</t>
  </si>
  <si>
    <t>Epsilon3</t>
  </si>
  <si>
    <t>462630-25</t>
  </si>
  <si>
    <t>Edward Lando(Edward Lando), Jeffrey Crusey(Jeffrey Crusey), Kohala Ventures, MaC Venture Capital, Stage Venture Partners</t>
  </si>
  <si>
    <t>Kohala Ventures (www.kohalaventures.com), MaC Venture Capital (macventurecapital.com), Stage Venture Partners (www.stagevp.com)</t>
  </si>
  <si>
    <t>Developer of spacecraft software technology designed to modernize space missions by building the industry standard of operational software. The company's platform offers interactive real-time synchronized procedures for multiple programs/missions with detailed analytics, reports, and dashboards, enabling satellite operators, space manufacturers, and integrators to save time and money throughout the entire project's lifecycle.</t>
  </si>
  <si>
    <t>The company raised $15 million of Series A1 venture funding in a deal led by Lux Capital on July 12, 2022, putting the company's pre-money valuation at $60 million. MaC Venture Capital, Soma Capital, Moore Strategic Ventures, Farpoint and Y Combinator also participated in the round. The funds will be used to expand the company's suite of space project management solutions. Previously, the company joined AWS Startups as part of its 2022 Space Accelerator on May 24, 2022.</t>
  </si>
  <si>
    <t>Space Technology</t>
  </si>
  <si>
    <t>enterprise resource planning, erp, operational software, operations management, operations management software, operations tools, small satellite, space station</t>
  </si>
  <si>
    <t>Small Satellites</t>
  </si>
  <si>
    <t>256155-04P</t>
  </si>
  <si>
    <t>Laura Crabtree</t>
  </si>
  <si>
    <t>+1 (424) 209-7005</t>
  </si>
  <si>
    <t>laura@epsilon3.io</t>
  </si>
  <si>
    <t>Ms. Laura Crabtree is a Co-Founder and serves as Chief Executive Officer and Board Member at Epsilon3. She was one of the Crew Operations &amp; Resource Engineers (CORE) who helped put the United States back in the Human Space Flight business. Among the initial members of the operations team for SpaceX's Dragon spacecraft, she was also on the console for the first Dragon mission in 2010, the first mission to the International Space Station (ISS) in 2012, and part of the commercial crew contract over the next decade including the mission that delivered astronauts to the ISS in 2020. During that mission, she was the lead trainer for the crew and one of the CORE operators who communicated to and advocated for the crew during free flight. Her proudest moment was receiving a call on her personal cell phone from Astronaut Doug Hurley when she was orbiting above the earth and operating both the first commercial cargo and crew vehicles in free flight. During her time at SpaceX, her was also a part of the early F9 Recovery, Dragon Recovery, and Dragon operations teams. She was responsible for crew and ground operator flight training, flight software test, CONOPs development and simulator design. Over the years, she authored, tested and executed hundreds of procedures for both the ground operations teams and the crew onboard Dragon. She began her career at Northrop Grumman working various programs for DARPA and other DoD customers. She has a Bachelor's in Astronautical Engineering and a Master's in Systems Architecture, both from the University of Southern California.</t>
  </si>
  <si>
    <t>Bachelor's, Astronautical Engineering, University of Southern California (USC), Master's, Systems Architecture &amp; Engineering</t>
  </si>
  <si>
    <t>The company raised $1 million through a combination of Series A-2, Series A-3 and Series A-4 venture funding in a deal led by Stage Venture Partners on March 18, 2021, putting the company's pre-money valuation at $2 million. Kohala Ventures, MaC Venture Capital, Edward Lando and Jeff Crusey also participated in the round.</t>
  </si>
  <si>
    <t>Edward Lando, Jeffrey Crusey, Kohala Ventures, MaC Venture Capital, Stage Venture Partners</t>
  </si>
  <si>
    <t>Stage Venture Partners</t>
  </si>
  <si>
    <t>M Ventures Fund II(MaC Venture Capital), Stage Venture Partners III(Stage Venture Partners)</t>
  </si>
  <si>
    <t>Fenwick &amp; West (Legal Advisor to MaC Venture Capital)</t>
  </si>
  <si>
    <t>90403</t>
  </si>
  <si>
    <t>www.epsilon3.io</t>
  </si>
  <si>
    <t>243131-77T</t>
  </si>
  <si>
    <t>ergo (Logistics)</t>
  </si>
  <si>
    <t>537975-46</t>
  </si>
  <si>
    <t>Anthemis, Wischoff Ventures(Nichole Wischoff)</t>
  </si>
  <si>
    <t>Anthemis (www.anthemis.com), Wischoff Ventures (www.wischoff.com)</t>
  </si>
  <si>
    <t>Developer of pricing software intended to give the joy of bartering without the hassle. The company's software takes care of managing inventory, reducing overstock, and optimizing pricing strategy, enabling businesses to clear out inventory and increase profits without having to put the items on sale.</t>
  </si>
  <si>
    <t>The company raised $1.5 million of pre-seed funding led by Anthemis on October 12, 2023. Wischoff Ventures also participated in the round. The funds will be used to make additional hires and expand the product pipeline, which will include an app for stores on other marketplaces.</t>
  </si>
  <si>
    <t>E-Commerce, SaaS, Supply Chain Tech</t>
  </si>
  <si>
    <t>enterprise resource planning, enterprise supply chain management, inventory management, online retailer, online shopping, price optimization, pricing software, retailer service, supply chain management</t>
  </si>
  <si>
    <t>369932-86P</t>
  </si>
  <si>
    <t>Claire Stepanek</t>
  </si>
  <si>
    <t>cstepanek@ergooffers.com</t>
  </si>
  <si>
    <t>Ms. Claire Stepanek is the Founder &amp; serves as Chief Executive Officer at ergo.</t>
  </si>
  <si>
    <t>The company raised $1.5 million of pre-seed funding led by Anthemis and Wischoff Ventures on October 12, 2023. The funds will be used to make additional hires and expand the product pipeline, which will include an app for stores on other marketplaces.</t>
  </si>
  <si>
    <t>Anthemis, Wischoff Ventures</t>
  </si>
  <si>
    <t>www.ergooffers.com</t>
  </si>
  <si>
    <t>251711-92T</t>
  </si>
  <si>
    <t>EssentialDx</t>
  </si>
  <si>
    <t>572084-20</t>
  </si>
  <si>
    <t>Polaris Partners(Amir Nashat)</t>
  </si>
  <si>
    <t>Polaris Partners (www.polarispartners.com)</t>
  </si>
  <si>
    <t>Developer of a diagnostic platform intended to provide deep insights and actionable recommendations. The company's platform uses proprietary methodology and advanced AI to unlock a new frontier of organizational insights with data-driven recommendations, enabling leaders to make decisions that lead to sustainable success.</t>
  </si>
  <si>
    <t>The company raised an estimated $4 million through a combination of Seed and Seed-1 funding from Polaris Partners and other undisclosed investors on April 26, 2022, putting the company's pre-money valuation at $9.71 million.</t>
  </si>
  <si>
    <t>actionable data, actionable insights, diagnostic ai, diagnostic algorithm, diagnostic data, diagnostics components</t>
  </si>
  <si>
    <t>384431-23P</t>
  </si>
  <si>
    <t>Janet Stafford</t>
  </si>
  <si>
    <t>+1 (512) 520-0459</t>
  </si>
  <si>
    <t>Ms. Janet Stafford is a Co-Founder and serves as Chief Executive Officer &amp; Board Member at EssentialDx. Janet Stafford founded Alioth to make a difference-not only in the way executive search is conducted, but also to help life sciences companies find leaders who will change the world. She brings more than 25 years of global talent acquisition leadership and executive search expertise to Alioth. Highly regarded in the market, Janet has leveraged her comprehensive understanding of talent to build, transform, and scale high-performing teams and organizations across functions and industries, including technology, life sciences, healthcare, professional services, and financial services. Highly strategic, Janet has distinguished herself by fostering deep relationships and partnerships, both internally and externally, in order to identify and attract the right talent for her clients. She has built cohesive and inspired teams with a focus on maximizing potential, growth and efficiencies. Additionally, Janet has developed and implemented full-cycle talent delivery systems, creating innovative solutions and transforming talent acquisition delivery models, on a global scale. At the foundation of all of her accomplishments is Janet's unwavering care and consideration for people: candidates, clients and colleagues alike. A trusted business partner, she recognizes the mission-critical importance of finding, nurturing and deploying the best talent to enable organizations to meet their business goals and objectives, create enterprise value, and generate ROI for shareholders and investors. As CEO and Co-Founder of Alioth, Janet and her team are dedicated to solving executive talent needs for clients, ensuring businesses have the critical intellectual capital to be future ready. She is passionate about cultivating novel opportunities and creating positive, high-quality experiences for both clients and candidates. Outside of work, she enjoys playing piano, painting, high-performance driving, and spending time with her family, including her Boston Terrier.</t>
  </si>
  <si>
    <t>Polaris Partners</t>
  </si>
  <si>
    <t>www.essentialdx.com</t>
  </si>
  <si>
    <t>163919-08T</t>
  </si>
  <si>
    <t>Ethena</t>
  </si>
  <si>
    <t>433221-85</t>
  </si>
  <si>
    <t>Alumni Ventures(Erik Hammer), David Petraeus, GSV Ventures, Homebrew, January Ventures, Neo (Consulting Services (B2B)), Reshma Saujani, Village Global</t>
  </si>
  <si>
    <t>Alumni Ventures (www.av.vc), GSV Ventures (www.gsv.ventures), Homebrew (www.homebrew.co), January Ventures (january.ventures), Neo (Consulting Services (B2B)) (www.neo.com), Reshma Saujani (reshmasaujani.com), Village Global (www.villageglobal.vc)</t>
  </si>
  <si>
    <t>Developer of a training platform designed to provide harassment prevention training for modern teams. The company's platform contextualizes complex topics in current events and uses the news to illustrate workplace gray areas and offers a curriculum based on topical and nuanced content like mentorship, intersectionality, bystander intervention, and gendered feedback, enabling organizations to implement actionable strategies for preventing harassment and improving corporate culture.</t>
  </si>
  <si>
    <t>The company raised $30 million of Series B venture funding in a deal led by Lachy Groom on June 7, 2022, putting the company's pre-money valuation at $170 million. Felicis and 8 other investors also participated in the round. The funds will be used to build out additional compliance product lines and expand the company's core training technology.</t>
  </si>
  <si>
    <t>EdTech, HR Tech, SaaS</t>
  </si>
  <si>
    <t>behavior therapy, behavior training, education services, educational training, e-learning platform, enterprise resource planning, erp, harassment prevention, human capital management</t>
  </si>
  <si>
    <t>225244-45P</t>
  </si>
  <si>
    <t>Roxanne Petraeus</t>
  </si>
  <si>
    <t>+1 (917) 426-0537</t>
  </si>
  <si>
    <t>roxanne@goethena.com</t>
  </si>
  <si>
    <t>Ms. Roxanne Petraeus is a Co-Founder &amp; serves as Chief Executive Officer &amp; Board Member at Ethena. She is a Harvard and Oxford graduate, U.S. army combat veteran, former McKinsey consultant, and a Rhodes Scholar.</t>
  </si>
  <si>
    <t>Harvard University, Degree, University of Oxford, Degree</t>
  </si>
  <si>
    <t>The company raised $5.07 million through a combination of Seed-1, Seed-2 and Seed-3 funding in a deal led by GSV Ventures on December 18, 2020, putting the company's pre-money valuation at $12 million. January Ventures, Village Global, Homebrew, Alumni Ventures Group, Neo Innovation and Reshma Saujani also participated in the round.</t>
  </si>
  <si>
    <t>Alumni Ventures, David Petraeus, GSV Ventures, Homebrew, January Ventures, Neo (Consulting Services (B2B)), Reshma Saujani, Village Global</t>
  </si>
  <si>
    <t>GSV Ventures</t>
  </si>
  <si>
    <t>AVG 2021 Total Access Funds(Alumni Ventures), GSV Ventures Fund II(GSV Ventures), Homebrew Ventures III(Homebrew), January Ventures Fund I(January Ventures), Neo Venture Capital Fund I(Neo (Consulting Services (B2B))), Village Global Fund(Village Global)</t>
  </si>
  <si>
    <t>www.goethena.com</t>
  </si>
  <si>
    <t>254789-74T</t>
  </si>
  <si>
    <t>Euno</t>
  </si>
  <si>
    <t>540733-60</t>
  </si>
  <si>
    <t>10D, Barr Moses(Barr Moses), INT3, Lior Gavish(Lior Gavish), Yoni Broyde(Yoni Broyde)</t>
  </si>
  <si>
    <t>10D (10d.vc), INT3 (int3.com)</t>
  </si>
  <si>
    <t>Developer of a data model platform designed to make it easy for any company to balance consistency and freedom in data analytics. The company's platform specializes in reading SQL queries and proactively points to potential inconsistencies in business terms, and the algorithm identifies reusable elements in SQL and builds the data model, helping businesses with intelligent and consistent data modeling to make it easy from the comfort of their existing bi tools.</t>
  </si>
  <si>
    <t>The company raised $6.25 million of seed funding in a deal led by 10D and INT3 on March 19, 2024. Barr Moses, Lior Gavish, Yoni Broyde and other undisclosed investors also participated in the round. The funds will be used to launch a dynamic governance solution for data teams at large and scale-up organizations.</t>
  </si>
  <si>
    <t>analytics platform, analytics platform software, data management software, data model, data modeling platform, data modeling tools, data modelling, data software &amp; systems, data software and systems, sql analysis, sql query</t>
  </si>
  <si>
    <t>374602-78P</t>
  </si>
  <si>
    <t>Sarah Levy</t>
  </si>
  <si>
    <t>slevy@euno.ai</t>
  </si>
  <si>
    <t>Ms. Sarah Levy is a Co-Founder &amp; serves as Chief Executive Officer at Euno.</t>
  </si>
  <si>
    <t>10D, Barr Moses, INT3, Lior Gavish, Yoni Broyde</t>
  </si>
  <si>
    <t>10D, INT3</t>
  </si>
  <si>
    <t>10D Fund II(10D)</t>
  </si>
  <si>
    <t>Sunnyvale, CA</t>
  </si>
  <si>
    <t>Sunnyvale</t>
  </si>
  <si>
    <t>www.euno.ai</t>
  </si>
  <si>
    <t>169323-85T</t>
  </si>
  <si>
    <t>Euphoria (Application Software)</t>
  </si>
  <si>
    <t>463195-36</t>
  </si>
  <si>
    <t>Andrew Dunn, Ariela Safira, Backbone Angels, Chelsea Clinton, Crystal Hansen, Farhan Thawar, Gaingels, Soltan Bryce</t>
  </si>
  <si>
    <t>Backbone Angels (www.backboneangels.com), Gaingels (www.gaingels.com)</t>
  </si>
  <si>
    <t>Developer of a mobile banking application designed for the transgender men and women community. The company's application does not charge fees to open or maintain an account for survivors of domestic violence, transgender and intersex individuals, and other souls who've experienced significant trauma, helping transgender souls to improve their lives and welfare.</t>
  </si>
  <si>
    <t>The company joined AWS Startups as a part of its Women Founders Cohort on September 27, 2022, and received $130,000 in funding.</t>
  </si>
  <si>
    <t>Application Software, Financial Software*</t>
  </si>
  <si>
    <t>domestic violence, fintech technologies, lgbtq community, mobile banking, mobile banking application, transgender community, transgender people</t>
  </si>
  <si>
    <t>257892-04P</t>
  </si>
  <si>
    <t>Katherine Anthony</t>
  </si>
  <si>
    <t>+1 (509) 220-0817</t>
  </si>
  <si>
    <t>kate@euphoria.lgbt</t>
  </si>
  <si>
    <t>Ms. Katherine Anthony is a Co-Founder and serves as Chief Executive Officer at Euphoria. She is a serial entrepreneur with more than a decade of experience in hardware, software, and nonprofit startups. She is a front-end developer by trade and a UX/UI expert by nature. She has been highlighted by Yale as the nation's foremost expert on digital health for transgender patients and by Newsweek as one of America's Greatest Disruptors. Her most underrated skill is her ability to forge enduring partnerships that help overcome the hurdles of launching a technology venture as a woman who happens to be transgender</t>
  </si>
  <si>
    <t>BA (Bachelor of Arts), 2014, Entrepreneurship, Finance, BA (Bachelor of Arts), 2014, Marketing, Management, BA (Bachelor of Arts), 2015</t>
  </si>
  <si>
    <t>The company raised $500,000 of pre-seed funding from Gaingels, Chelsea Clinton and Backbone Angels on February 17, 2021, putting the company's pre-money valuation at an estimated $3 million. Crystal Hansen, Soltan Bryce, Andy Dunn, Farhan Thawar and Ariela Safira also participated in the round.</t>
  </si>
  <si>
    <t>80202</t>
  </si>
  <si>
    <t>www.euphoria.lgbt</t>
  </si>
  <si>
    <t>136080-55T</t>
  </si>
  <si>
    <t>Every Mother</t>
  </si>
  <si>
    <t>224124-22</t>
  </si>
  <si>
    <t>Courtside Ventures(Kai Bond), Eric Ries(Eric Ries), Everywhere Ventures, Gaingels, George Davis(George Davis), Ilia Papas(Ilia Papas), Jenny Fielding(Jenny Fielding), Rachel Drori(Rachel Drori), Robin Berzin(Robin Berzin), Serena Ventures(Serena Williams), Shruti Limited Partnership, Techstars(Jenny Fielding)</t>
  </si>
  <si>
    <t>Courtside Ventures (www.courtsidevc.com), Eric Ries (www.leanstartup.co), Everywhere Ventures (everywhere.vc), Gaingels (www.gaingels.com), Serena Ventures (www.serenaventures.com), Techstars (www.techstars.com)</t>
  </si>
  <si>
    <t>Developer of a fitness platform intended to offer evidence-based prenatal and postnatal care for mothers. The company's platform offers progressive and efficient workouts and fitness programs during all stages of motherhood and trains for faster and easier labor, enabling pregnant women to restore core strength and resolve diastasis recti in less than twelve weeks.</t>
  </si>
  <si>
    <t>The company raised $1.85 million of seed funding in a deal led by Courtside Ventures on January 21, 2020, putting the company's pre-money valuation at $5.00 million. Serena Ventures and 10 other investors also participated in the round. Of the total amount, $350,000 was originally raised in the form of convertible debt and subsequently converted into equity. The funds will be used to accelerate growth and scale operations to meet the ever-growing demand from mothers around the globe for an easily accessible.</t>
  </si>
  <si>
    <t>Application Software, Educational and Training Services (B2C)*, Other Healthcare Technology Systems</t>
  </si>
  <si>
    <t>FemTech, HealthTech, LOHAS &amp; Wellness, SaaS</t>
  </si>
  <si>
    <t>fitness platform firm, motherhood support, pelvic floor, postnatal fitness, postpartum fitness, prenatal fitness</t>
  </si>
  <si>
    <t>178030-72P</t>
  </si>
  <si>
    <t>Allison Rapaport</t>
  </si>
  <si>
    <t>+1 (646) 627-4703</t>
  </si>
  <si>
    <t>allison@thediamethod.com</t>
  </si>
  <si>
    <t>Ms. Allison Rapaport is a Co-Founder &amp; serves as Chief Executive Officer &amp; Board Member at Every Mother. She has 10+ years of experience in finance, strategy and entrepreneurship. She holds an MBA from Columbia Business School.</t>
  </si>
  <si>
    <t>Columbia Business School, MBA (Master of Business Administration)</t>
  </si>
  <si>
    <t>The company raised $1.85 million of seed funding in a deal led by Courtside Ventures on January 21, 2020, putting the company's pre-money valuation at $5.00 million. Serena Ventures, Everywhere Ventures, Shruti Limited Partnership, Techstars, Ilia Papas, Gaingels, Jenny Fielding, Robin Berzin, Eric Ries, George Davis, and Rachel Drori also participated in the round. Of the total amount, $350,000 was originally raised in the form of convertible debt and subsequently converted into equity. The funds will be used to accelerate growth and scale operations to meet the ever-growing demand from mothers around the globe for an easily accessible.</t>
  </si>
  <si>
    <t>Courtside Ventures, Eric Ries, Everywhere Ventures, Gaingels, George Davis, Ilia Papas, Jenny Fielding, Rachel Drori, Robin Berzin, Serena Ventures, Shruti Limited Partnership</t>
  </si>
  <si>
    <t>Courtside Ventures(Kai Bond)</t>
  </si>
  <si>
    <t>Courtside Ventures Fund II(Courtside Ventures), Everywhere Ventures I(Everywhere Ventures), Serena Ventures Fund I(Serena Ventures)</t>
  </si>
  <si>
    <t>www.every-mother.com</t>
  </si>
  <si>
    <t>190999-00T</t>
  </si>
  <si>
    <t>Everyrealm</t>
  </si>
  <si>
    <t>466427-44</t>
  </si>
  <si>
    <t>Shake and Bake</t>
  </si>
  <si>
    <t>Shake and Bake (www.shakeandbakeproductions.com)</t>
  </si>
  <si>
    <t>Operator of a technology and infrastructure company designed to focus on developing and investing in the virtual world and social video gaming businesses. The company's platform provides an active ecosystem that includes non-fungible tokens, real estate developments, gaming guild, full-stack non-fungible tokens, and a metaverse gaming development studio, enabling users to invest, manage and develop assets in immersive media.</t>
  </si>
  <si>
    <t>The company raised an undisclosed amount of venture funding from Sfermion, Animoca Ventures, WndrCo, and L1 Digital in approximately August 2023. Foresight Ventures, and Borderless Capital participated in this round.</t>
  </si>
  <si>
    <t>Entertainment Software, Financial Software*</t>
  </si>
  <si>
    <t>Cryptocurrency/Blockchain, FinTech, Gaming, Real Estate Technology</t>
  </si>
  <si>
    <t>gaming content, gaming developer, gaming development studio, gaming publisher, gaming studio, metaverse and gaming, non-fungible tokens, venture capital company, video games advertising, video games entertainment, video games publishing, web4</t>
  </si>
  <si>
    <t>130475-62P</t>
  </si>
  <si>
    <t>Janine Yorio</t>
  </si>
  <si>
    <t>+1 (917) 291-7801</t>
  </si>
  <si>
    <t>janine@everyrealm.com</t>
  </si>
  <si>
    <t>Ms. Janine Yorio is a Co-Founder &amp; serves as Chief Executive Officer at Everyrealm. She serves as Advisor &amp; Investor at The London Fund. She served as Head of Republic Realm &amp; Managing Director of Republic Crypto at Republic. She co-founded Republic Real Estate and served as Chief Executive Officer. She was previously the CEO of Compound, a fintech app focused on real estate investing that was backed by leading VC firms NEA and Founders Fund, which was acquired by Republic in 2020. She has helped build some of the most iconic real estate brands and has over two decades of experience at the intersection of real estate and consumer brands. She was previously Head of Acquisitions and Development for Andre Balazs and Standard Hotels where she acquired, financed, and sold condominium and hotel development projects in the US and abroad. She began her career at the real estate private equity firm NorthStar Capital where she worked on hundreds of portfolio company investments including the boutique hotel portfolio which NorthStar exited through IPO as Morgans Hotel Group (Nasdaq: MHGC.) She has overseen over $250 million in multifamily and residential condo investments. Over the course of her career, she has managed over $2 billion in real estate investments. She graduated from Yale University.</t>
  </si>
  <si>
    <t>Yale University, BA (Bachelor of Arts), History</t>
  </si>
  <si>
    <t>The company raised $6.3 million of seed funding from Shake and Bake and other undisclosed investors on October 1, 2021.</t>
  </si>
  <si>
    <t>www.everyrealm.com</t>
  </si>
  <si>
    <t>159904-09T</t>
  </si>
  <si>
    <t>Everyset</t>
  </si>
  <si>
    <t>171184-60</t>
  </si>
  <si>
    <t>Emerging Ventures, Kern Venture Group, Pasadena Angels, VSS Capital Partners</t>
  </si>
  <si>
    <t>Emerging Ventures (www.emerging.vc), Kern Venture Group (www.kernventuregroup.com), Pasadena Angels (www.pasadenaangels.com), VSS Capital Partners (www.vss.com)</t>
  </si>
  <si>
    <t>Developer of a production management platform designed to digitally onboard cast and crew for film production. The company's platform digitizes production reports on set and also helps to find, hire, manage, and pay cast and crew, it allows cast and crew looking for work to find events around and work for money, enabling film producers to have the required number of crew on set and track them.</t>
  </si>
  <si>
    <t>The company raised an estimated $4 million through a combination of Seed +, and Seed +-1 funding from Haven Ventures, Crosslink Capital, and other undisclosed investors on March 13, 2024, putting the company's pre-money valuation at $11 million.</t>
  </si>
  <si>
    <t>background casting, crew management, crew planning, digital voucher, freelancing jobs, hiring platform, hr platform, payroll system, temporary staff</t>
  </si>
  <si>
    <t>187520-41P</t>
  </si>
  <si>
    <t>Rumala Sheikhani</t>
  </si>
  <si>
    <t>+1 (949) 310-9291</t>
  </si>
  <si>
    <t>rum@castifi.com</t>
  </si>
  <si>
    <t>Ms. Rumala Sheikhani is a Co-Founder and serves as Co-Chief Executive Officer at Everyset. She comes from a strong Accounting background, starting her career in Big 4 Public Accounting at PricewaterhouseCoopers. She later transitioned into Production Accounting at FOX Studios and NBCUniversal, which then inspired her to launch Everyset.</t>
  </si>
  <si>
    <t>DePaul University, BS (Bachelor of Science)</t>
  </si>
  <si>
    <t>The company raised $2 million through a combination of Seed funding from VSS Capital Partners, Emerging Ventures and Kern Venture Group on May 1, 2021, putting the company's pre-money valuation at $4 million. Pasadena Angels also participated in the round.</t>
  </si>
  <si>
    <t>Emerging Ventures Fund II(Emerging Ventures), KVG Fund 2018(Kern Venture Group)</t>
  </si>
  <si>
    <t>Culver City, CA</t>
  </si>
  <si>
    <t>Culver City</t>
  </si>
  <si>
    <t>90232</t>
  </si>
  <si>
    <t>www.everyset.com</t>
  </si>
  <si>
    <t>180247-06T</t>
  </si>
  <si>
    <t>Evidently AI</t>
  </si>
  <si>
    <t>469919-98</t>
  </si>
  <si>
    <t>Davidovs Venture Collective, Flashpoint Venture Capital, Fly Ventures, Nauta Capital, PLF (NewYork), Runa Capital(Konstantin Vinogradov)</t>
  </si>
  <si>
    <t>Davidovs Venture Collective (www.davidovs.com), Flashpoint Venture Capital (www.flashpointvc.com), Fly Ventures (www.fly.vc), Nauta Capital (www.nautacapital.com), PLF (NewYork) (www.plfvc.com), Runa Capital (www.runacap.com)</t>
  </si>
  <si>
    <t>Developer of open source tools designed to analyze and monitor machine learning models. The company's tools monitor, analyze and debug machine learning models in production, export reports in one command to share with the team and business stakeholders and connect and monitor live logs and send alerts on instances that require attention, enabling developers to track and debug ML models in production.</t>
  </si>
  <si>
    <t>The company raised $1.02 million of seed funding from Flashpoint Venture Capital, Davidovs Venture Collective and PLF on July 1, 2022. Fly Ventures, Runa Capital and Nauta Capital also participated in the round. Previously, the company joined Y Combinator as a part of Summer 2021 on July 8, 2021 and received $125,000 in funding in the form of SAFE notes.</t>
  </si>
  <si>
    <t>machine learning api, ml monitoring, ml tools, open source data, open source network, open source tool</t>
  </si>
  <si>
    <t>201699-28P</t>
  </si>
  <si>
    <t>Elena Samuylova</t>
  </si>
  <si>
    <t>+1 (628) 267-3303</t>
  </si>
  <si>
    <t>elena@evidentlyai.com</t>
  </si>
  <si>
    <t>Ms. Elena Samuylova Co-Founder and serves as President, Chief Executive Officer &amp; Board Member at Evidently AI. She Co-Founded and served as Chief Product Officer and Board Member at Mechanica AI.</t>
  </si>
  <si>
    <t>The company raised $1.02 million of seed funding from Flashpoint Venture Capital, Davidovs Venture Collective and PLF on July 1, 2022. Fly Ventures, Runa Capital and Nauta Capital also participated in the round.</t>
  </si>
  <si>
    <t>Davidovs Venture Collective, Flashpoint Venture Capital, Fly Ventures, Nauta Capital, PLF (NewYork), Runa Capital</t>
  </si>
  <si>
    <t>Phystech Leadership Fund(Flashpoint Venture Capital)</t>
  </si>
  <si>
    <t>www.evidentlyai.com</t>
  </si>
  <si>
    <t>194025-07T</t>
  </si>
  <si>
    <t>EyeGage</t>
  </si>
  <si>
    <t>496274-14</t>
  </si>
  <si>
    <t>Right Side Capital Management</t>
  </si>
  <si>
    <t>Right Side Capital Management (www.rightsidecapital.com)</t>
  </si>
  <si>
    <t>Developer of an eye-analysis software designed to determine drug and alcohol levels to increase safety. The company's software uses artificial intelligence-based and data-driven drug screening technology that runs on a mobile device to analyze the characteristics of the eye, enabling workplaces and individuals to ensure safety in high-risk environments by quickly and accurately screening for substances before operating life-threatening equipment like cars, cranes, and scalpels.</t>
  </si>
  <si>
    <t>The company raised $1.74 million of angel funding from undisclosed investors on October 12, 2022, putting the company's pre-money valuation at $18.26 million. Previously, the company joined AWS Startups as a part of its Black Founders cohort on June 9, 2022 and received an estimated $225,000 in funding.</t>
  </si>
  <si>
    <t>Artificial Intelligence &amp; Machine Learning, Industrials, Mobile</t>
  </si>
  <si>
    <t>artificial intelligence based, drug screening technology, eye analysis software, eye scanning, eye scanning technology, safety services</t>
  </si>
  <si>
    <t>300758-59P</t>
  </si>
  <si>
    <t>LaVonda Brown</t>
  </si>
  <si>
    <t>+1 (800) 880-7641</t>
  </si>
  <si>
    <t>lavonda@eyegage.com</t>
  </si>
  <si>
    <t>Dr. LaVonda Brown is the Founder and serves as Chief Executive Officer at EyeGage.</t>
  </si>
  <si>
    <t>Emory University, MBA (Master of Business Administration), Ph.D. (Doctor of Philosophy)</t>
  </si>
  <si>
    <t>The company raised $42,455 of pre-seed funding from Right Side Capital Management, and other undisclosed investors on April 1, 2021. The funds will be used to collect 10,000 eye datasets and secure two pilot contracts within the transportation and construction industry.</t>
  </si>
  <si>
    <t>30308</t>
  </si>
  <si>
    <t>www.eyegage.com</t>
  </si>
  <si>
    <t>140784-13T</t>
  </si>
  <si>
    <t>Fable</t>
  </si>
  <si>
    <t>437783-95</t>
  </si>
  <si>
    <t>Breyer Capital, Defy Partners Management, M13, Maveron, Redpoint Ventures(Annie Kadavy)</t>
  </si>
  <si>
    <t>Breyer Capital (www.breyercapital.com), Defy Partners Management (www.defy.vc), M13 (www.m13.co), Maveron (www.maveron.com), Redpoint Ventures (www.redpoint.com)</t>
  </si>
  <si>
    <t>Developer of an e-book platform intended to provide stories for everyone. The company's platform allows reading with influencers or friends in reading clubs for digital natives which are curated by experts to suit everyone's time, mood, and interests to fill the micro-moments in hectic lives with stories, enabling users to access social experiences with memorable stories in the cause of mental wellness.</t>
  </si>
  <si>
    <t>The company raised $20 million of Series A venture funding in a deal led by Tiger Global Management on November 8, 2021, putting the company's pre-money valuation at $50 million. Redpoint Ventures and other undisclosed investors also participated in the round. The funds will be used to accelerate growth in consumer and enterprise segments.</t>
  </si>
  <si>
    <t>Application Software, Information Services (B2C)*, Social/Platform Software</t>
  </si>
  <si>
    <t>e-booking platform, mental wellness, reading platform, reading website, stories collection, stories platform, storybook application</t>
  </si>
  <si>
    <t>127220-95P</t>
  </si>
  <si>
    <t>Padmasree Warrior</t>
  </si>
  <si>
    <t>Ms. Padmasree Warrior serves as a Board Member and Member of Compensation Committee at Microsoft. She serves as Board Member at Spotify. She is the Founder and serves as Chief Executive Officer, President &amp; Board Member at Fable Group. She also serves as a Board Member &amp; Member of the Audit Committee Spotify. She was a member of the board of directors of The Gap, Inc. from 2013 to 2016 and a member of the board of directors of Box, Inc. from 2014 to 2016. From 2008 to 2015 Ms. Warrior worked at Cisco, most recently as Chief Technology and Strategy Officer. She served as the President and Chief Executive Officer of NIO U.S. and Chief Development Officer of NIO Group from December 2015 to 2018. In 2019, she founded Fable Group, where she serves as President and Chief Executive Officer. She holds a Bachelor of Technology in Chemical Engineering from the Indian Institute of Technology and a Master of Science in Chemical Engineering from Cornell University.</t>
  </si>
  <si>
    <t>BS (Bachelor of Science), 1982, Chemical Engineering, Cornell University, MS (Master of Science), 1984, Chemical Engineering</t>
  </si>
  <si>
    <t>The company raised $8.80 million of seed funding in a deal led by Redpoint Ventures on January 14, 2021, putting the company's pre-money valuation at $10 million. Maveron, M13, Defy Partners Management, and Breyer Capital also participated in the round.</t>
  </si>
  <si>
    <t>Breyer Capital, Defy Partners Management, M13, Maveron, Redpoint Ventures</t>
  </si>
  <si>
    <t>Redpoint Ventures(Annie Kadavy)</t>
  </si>
  <si>
    <t>DEFY Partners II(Defy Partners Management), IDG China Capital Fund III(Breyer Capital), M13 Ventures II(M13), Maveron 15-1(Maveron), Redpoint Ventures VII(Redpoint Ventures)</t>
  </si>
  <si>
    <t>Fenwick &amp; West (Legal Advisor to Company), Goodwin Procter (Legal Advisor to Redpoint Ventures, Craig Schmitz JD)</t>
  </si>
  <si>
    <t>Goodwin Procter (Legal Advisor to Redpoint Ventures, Craig Schmitz JD)</t>
  </si>
  <si>
    <t>www.fable.co</t>
  </si>
  <si>
    <t>201332-71T</t>
  </si>
  <si>
    <t>FamGuru</t>
  </si>
  <si>
    <t>503148-70</t>
  </si>
  <si>
    <t>Shasta Ventures</t>
  </si>
  <si>
    <t>Shasta Ventures (www.shasta.vc)</t>
  </si>
  <si>
    <t>Opearator of a travel advisory platform intended to record and share insider travel knowledge. The company's platform aims to eliminate Fam Disorganization to create fam reports and share insights with clients easily, enabling users use information so we can sell more travel and grow their travel businesses.</t>
  </si>
  <si>
    <t>The company raised $390,300 of equitycrowdfunding via Wefunder in April 2024, putting the company's pre-money valuation at $4.6 million. The funds will be used by the company to build sales/marketing capability to grow supplier sales and user base and create premium Advisor subscription to capture additional revenue.</t>
  </si>
  <si>
    <t>Application Software, Business/Productivity Software*, Leisure Facilities, Media and Information Services (B2B)</t>
  </si>
  <si>
    <t>travel advisory, travel advisory platform, travel advisory services, travel knowledge, travel organizer, trip advisory</t>
  </si>
  <si>
    <t>374355-01P</t>
  </si>
  <si>
    <t>Carrie Wallace</t>
  </si>
  <si>
    <t>+1 (312) 543-9714</t>
  </si>
  <si>
    <t>carrie.wallace@famguru.app</t>
  </si>
  <si>
    <t>Ms. Carrie Wallace is the Founder and serves as President &amp; Chief Executive Officer at FamGuru.</t>
  </si>
  <si>
    <t>The company raised $550,000 of venture funding in the form of SAFE Notes from Shasta Ventures and other undisclosed investors in February 2023.</t>
  </si>
  <si>
    <t>www.famguru.app</t>
  </si>
  <si>
    <t>173594-44T</t>
  </si>
  <si>
    <t>FarmRaise</t>
  </si>
  <si>
    <t>442626-76</t>
  </si>
  <si>
    <t>Better Tomorrow Ventures, Cendana Capital, Incite Ventures (San Francisco), iSelect Fund, Jackson Moses(Jackson Moses), Pear (California), Susa Ventures, Ulu Ventures, Venture Studio (VC)</t>
  </si>
  <si>
    <t>Better Tomorrow Ventures (btv.vc), Cendana Capital (www.cendanacapital.com), Incite Ventures (San Francisco) (www.incite.org), iSelect Fund (www.iselectfund.com), Pear (California) (www.pear.vc), Susa Ventures (www.susaventures.com), Ulu Ventures (www.uluventures.com), Venture Studio (VC) (venturestudio.com.br)</t>
  </si>
  <si>
    <t>Developer of a vertical platform designed to track farm cash flow, manage farm business, and grow farmers' profitability. The company's platform offers assistance to farmers in learning about and applying for funding opportunities such as grants and loans, as well as financial and business management tools to ensure ongoing profitability and sustainability, enabling farmers to grow and plan long-term for their business needs.</t>
  </si>
  <si>
    <t>The company raised an undisclosed amount of venture funding from Innovations for Impact in approximately March 2023.</t>
  </si>
  <si>
    <t>Business/Productivity Software*, Financial Software, Other Financial Services</t>
  </si>
  <si>
    <t>AgTech, FinTech, SaaS, Supply Chain Tech</t>
  </si>
  <si>
    <t>agriculture finance, agriculture insurance, agrifinance and ecommerce, enterprise resource planning, farm management system, farmers help, farming finance, financing advisory, fintech saas, online fundraising</t>
  </si>
  <si>
    <t>243594-01P</t>
  </si>
  <si>
    <t>Jayce Hafner</t>
  </si>
  <si>
    <t>+1 (224) 242-3072</t>
  </si>
  <si>
    <t>jayce@farmraise.us</t>
  </si>
  <si>
    <t>Ms. Jayce Hafner is a Co-Founder &amp; serves as Chief Executive Officer at FarmRaise. She holds a Master of Business Administration/Master of Science from Stanford University.</t>
  </si>
  <si>
    <t>Stanford University, MBA (Master of Business Administration), Stanford University, MS (Master of Science), 2020</t>
  </si>
  <si>
    <t>The company raised $7.2 million of seed funding in a deal led by Susa Ventures on December 27, 2021, putting the company's pre-money valuation at $17 million. Cendana Capital, Incite Ventures (San Francisco), Better Tomorrow Ventures, Pear, Ulu Ventures, iSelect Fund, Jackson Moses, Venture Studio, and other undisclosed investors also participated in the round.</t>
  </si>
  <si>
    <t>Better Tomorrow Ventures, Cendana Capital, Incite Ventures (San Francisco), iSelect Fund, Jackson Moses, Pear (California), Susa Ventures, Ulu Ventures, Venture Studio (VC)</t>
  </si>
  <si>
    <t>Susa Ventures</t>
  </si>
  <si>
    <t>Better Tomorrow Ventures Fund I(Better Tomorrow Ventures), Cendana Capital IV(Cendana Capital), Pear Ventures I Expansion(Pear (California)), Susa Ventures III(Susa Ventures), Ulu Ventures Fund III(Ulu Ventures)</t>
  </si>
  <si>
    <t>Riverside, CA</t>
  </si>
  <si>
    <t>Riverside</t>
  </si>
  <si>
    <t>92504</t>
  </si>
  <si>
    <t>www.farmraise.com</t>
  </si>
  <si>
    <t>274181-95T</t>
  </si>
  <si>
    <t>Faura</t>
  </si>
  <si>
    <t>528899-95</t>
  </si>
  <si>
    <t>CEAS Investments I, Dorm Room Fund, MetaProp NYC, Responsibly Ventures</t>
  </si>
  <si>
    <t>CEAS Investments I (www.ceasinvestments.com), Dorm Room Fund (www.dormroomfund.com), MetaProp NYC (www.metaprop.com), Responsibly Ventures (www.responsibly.vc)</t>
  </si>
  <si>
    <t>Developer of a wildfire, climate data, and analytics platform designed to connect HOAs and property associations to contractors to perform large-scale mitigation work in high-risk wildfire zones. The company's platform offers a wide range of features such as gathering information from HOAs and property managers to assess the community's wildfire risk, automated reports to communities and schedule vetted contractors before the height of wildfire season, and community mitigation data to better inform fire response, insurance coverage in high-risk areas, and cover more wildfire mitigation with grant funding, helping users to create effective plan for their property to keep it safe.</t>
  </si>
  <si>
    <t>The company raised $500,000 of pre-seed funding in a deal led by CEAS Investments I on April 2, 2024. MetaProp NYC, Dorm Room Fund and Responsibly Ventures also participated in the round. The funds will be used to expand its operations and further its mission of transforming the property insurance landscape. Previously, the company joined MetaProp NYC as a part of its 5 Borough Cohort on February 13, 2024.</t>
  </si>
  <si>
    <t>Application Software, Business/Productivity Software, Information Services (B2C)*, Media and Information Services (B2B)</t>
  </si>
  <si>
    <t>climate analytics, climate data, climate data platform, environmental service, wildfire management, wildfire protection, wildfire tracking</t>
  </si>
  <si>
    <t>350872-48P</t>
  </si>
  <si>
    <t>Valkyrie Holmes</t>
  </si>
  <si>
    <t>+1 (702) 271-3895</t>
  </si>
  <si>
    <t>valkyrie@faura.us</t>
  </si>
  <si>
    <t>Ms. Valkyrie Holmes is a Co-Founder and serves as Chief Executive Officer at Faura. She has dedicated the last two years to the wildfire industry, first working on a startup aiming to build an alternative method of containment and now pivoting to climate mitigation. she's completed a data science internship at NASA's SEES Institute for Earth Science and recently spent the summer working in electrical engineering on the Falcon team at SpaceX. She became a fellow of the 776 Foundation to work full-time on fighting climate change.</t>
  </si>
  <si>
    <t>The company raised $500,000 of pre-seed funding in a deal led by CEAS Investments I on April 2, 2024. MetaProp NYC, Dorm Room Fund and Responsibly Ventures also participated in the round. The funds will be used to expand its operations and further its mission of transforming the property insurance landscape.</t>
  </si>
  <si>
    <t>CEAS Investments I, Dorm Room Fund, Responsibly Ventures</t>
  </si>
  <si>
    <t>MetaProp NYC</t>
  </si>
  <si>
    <t>CEAS Investments I</t>
  </si>
  <si>
    <t>Napa, CA</t>
  </si>
  <si>
    <t>Napa</t>
  </si>
  <si>
    <t>www.faura.us</t>
  </si>
  <si>
    <t>172288-27T</t>
  </si>
  <si>
    <t>Fave (Social/Platform Software)</t>
  </si>
  <si>
    <t>464426-11</t>
  </si>
  <si>
    <t>Betaworks Ventures, Concord Music, Female Founders Fund, Hybe (KRX: 352820), Quality Control Ventures, Right Hand Management, Sony Music Entertainment, Techstars, Warner Music Group (NAS: WMG)</t>
  </si>
  <si>
    <t>Betaworks Ventures (www.betaworksventures.com), Concord Music (www.concord.com), Female Founders Fund (www.femalefoundersfund.com), Hybe (KRX: 352820) (www.hybecorp.com/eng/main), Sony Music Entertainment (www.sonymusic.com), Techstars (www.techstars.com), Warner Music Group (NAS: WMG) (www.wmg.com)</t>
  </si>
  <si>
    <t>Developer of a social platform intended to connect fans with each other. The company's platform specializes in encouraging fans across the world to come together, create content to share fan stories and creativity, share the unique fan activities they're doing, get rewarded, and exchange in commerce in a marketplace, enabling fans to network and share their experiences.</t>
  </si>
  <si>
    <t>The company closed on $2 million of an undisclosed targeted amount of venture funding from Sony Music Entertainment, Warner Music Group, and Goodwater Capital on October 12, 2023. Female Founders Fund and 7 other investors also participated in the round. The funds will be used by the company to expand its development efforts. Previously, the company raised an undisclosed amount of venture funding from Goodwater Capital on May 25, 2022. The company is actively tracked by PitchBook.</t>
  </si>
  <si>
    <t>community management, fan engagement platform, fans interaction, fans marketplace, marketplace, photos and videos platform, social app</t>
  </si>
  <si>
    <t>262973-71P</t>
  </si>
  <si>
    <t>Jacquelle Horton</t>
  </si>
  <si>
    <t>jacquelle@faveforfans.com</t>
  </si>
  <si>
    <t>Ms. Jacquelle Horton is the Founder and serves as Chief Executive Officer at Fave.</t>
  </si>
  <si>
    <t>University of Southern California (USC), Master's</t>
  </si>
  <si>
    <t>The company raised $2 million of Seed funding in a deal led by Sony Music Entertainment, Quality Control Ventures and Female Founders Fund on May 5, 2021, putting the company's pre-money valuation at $6.2 million. Hybe, Warner Music Group, Concord Music, Betaworks Ventures, Right Hand Management,Techstars, and other undisclosed investors also participated in the round.</t>
  </si>
  <si>
    <t>Betaworks Ventures, Concord Music, Female Founders Fund, Hybe, Quality Control Ventures, Right Hand Management, Sony Music Entertainment, Techstars, Warner Music Group</t>
  </si>
  <si>
    <t>Female Founders Fund, Quality Control Ventures, Sony Music Entertainment</t>
  </si>
  <si>
    <t>Betaworks Ventures 2.0(Betaworks Ventures), Female Founders Fund II(Female Founders Fund), Techstars Rising Stars 2021(Techstars), WMG Boost(Warner Music Group)</t>
  </si>
  <si>
    <t>Cooley (Legal Advisor to Company), Wilson Sonsini Goodrich &amp; Rosati (Legal Advisor to Female Founders Fund)</t>
  </si>
  <si>
    <t>Wilson Sonsini Goodrich &amp; Rosati (Legal Advisor to Female Founders Fund)</t>
  </si>
  <si>
    <t>19808</t>
  </si>
  <si>
    <t>www.faveforfans.com</t>
  </si>
  <si>
    <t>208542-52T</t>
  </si>
  <si>
    <t>Fearless+</t>
  </si>
  <si>
    <t>513341-38</t>
  </si>
  <si>
    <t>Clear Heights Capital(Wray Thorn), Dimond Family Office, Linda Mintz(Linda Mintz), Mohit Daswani(Mohit Daswani), Sandy Hausner(Sandy Hausner), Sheila Baird(Sheila Baird), Tom Grossman(Tom Grossman), Vlad Brodsky(Vlad Brodsky)</t>
  </si>
  <si>
    <t>Clear Heights Capital (www.clear-heights.com)</t>
  </si>
  <si>
    <t>Operator of an education technology platform intended to empower the next generation to prepare for personal and professional success. The company's digital subscription platform creates a modern portfolio that showcases personal, academic, and professional accomplishments, enabling students to develop essential leadership and life skills that are not traditionally taught in school.</t>
  </si>
  <si>
    <t>The company was in talks to receive seed funding on an undisclosed date. Subsequently, the deal was cancelled. Previously, the company raised $1 million of pre-seed funding in a deal led by Clear Heights Capital on November 16, 2022. Mohit Daswani and 6 other investors also participated in the round. The funds will be used to bolster brand awareness and build additional platform features for the company.</t>
  </si>
  <si>
    <t>Application Software, Educational and Training Services (B2C)*</t>
  </si>
  <si>
    <t>career assessment, digital subscription platform, education technology, leadership skills, personality assessment, professional success</t>
  </si>
  <si>
    <t>324010-90P</t>
  </si>
  <si>
    <t>Deepali Vyas</t>
  </si>
  <si>
    <t>+1 (646) 234-5681</t>
  </si>
  <si>
    <t>deepali.vyas@kornferry.com</t>
  </si>
  <si>
    <t>Ms. Deepali Vyas is a Co-Founder &amp; serves as Chief Executive Officer at Fearless+. She is a serial entrepreneur, Advisory Board member, career strategist, and executive search consultant. Ms. Vyas serves as a Senior Client Partner and Global Head of FinTech, Payments, and Crypto Practice at Korn Ferry. She has advised companies like JP Morgan, Uber, Fidelity, Citadel, Wayfair, and the NFL. With 20 years of diverse experience, including Global Head of FinTech, Payments, Crypto, and Applied Intelligence at Korn Ferry, Deepali has a deep understanding of what it takes to be successful in today's workforce. She is also a well-published thought leader on topics such as digital assets, blockchain, cryptocurrencies, innovation, digital transformation, and talent in data and analytics. She serves on the advisory boards of Correlation One, TalentStat, NovusNorth, Gray Zones, and Rutgers WRiVersity Big Data Program. She's a certified executive coach from Columbia University's Coaching Learning Association. She graduated with honors from URiarity of Colorado and completed the International Financial Program at the London School of Economics.</t>
  </si>
  <si>
    <t>London School of Economics and Political Science, Master's, 2000, International Finance, London School of Economics and Political Science, MBA (Master of Business Administration), 2000, University of Colorado, Boulder, Bachelor's, 1999, Mathematics</t>
  </si>
  <si>
    <t>The company raised $1 million of seed funding in a deal led by Clear Heights Capital on November 16, 2022. Mohit Daswani, LInda Mintz, Dimond Family Office, Tom Grossman, Sandy Hausner, Vlad Brodsky and Sheila Baird also participated in the round. The funds will be used to bolster brand awareness and build additional platform features for the company.</t>
  </si>
  <si>
    <t>Clear Heights Capital, Dimond Family Office, Linda Mintz, Mohit Daswani, Sandy Hausner, Sheila Baird, Tom Grossman, Vlad Brodsky</t>
  </si>
  <si>
    <t>Clear Heights Capital(Wray Thorn)</t>
  </si>
  <si>
    <t>Boca Raton, FL</t>
  </si>
  <si>
    <t>Boca Raton</t>
  </si>
  <si>
    <t>33496</t>
  </si>
  <si>
    <t>www.fearlessplus.com</t>
  </si>
  <si>
    <t>175517-83T</t>
  </si>
  <si>
    <t>Fermata Discovery</t>
  </si>
  <si>
    <t>469174-78</t>
  </si>
  <si>
    <t>Chasella(James Kaplan), Guy Antoine, TIA Ventures, Two Lanterns Venture Capital, Vinny Sica</t>
  </si>
  <si>
    <t>Chasella (www.chasella.com), TIA Ventures (www.tiaventures.com), Two Lanterns Venture Capital (www.2l.vc)</t>
  </si>
  <si>
    <t>Developer of an artificial intelligence-driven investigation platform designed to automate and scale routine processes involved with investigative workflows. The company's platform automatically gathers, assembles, analyzes, and visualizes a high volume of information relevant to person-of-interest and relevant networks, providing investigators with software tools to automate and accelerate problem-solving processes.</t>
  </si>
  <si>
    <t>The company raised $3 million of seed funding in a deal led by New North Ventures on October 12, 2022, putting the company's pre-money valuation at $10 million. Two Lanterns Venture Partners, Bonfire Ventures, and Good Growth Capital also participated in the round.</t>
  </si>
  <si>
    <t>Business/Productivity Software*, Database Software, Media and Information Services (B2B)</t>
  </si>
  <si>
    <t>ai automation platform, analytics &amp; business intelligence, analytics and business intelligence, analytics platform, data analysis platform, fraud investigation, intelligence analysis, intelligence management, investigation technology, investigation technology software, network analysis</t>
  </si>
  <si>
    <t>267515-38P</t>
  </si>
  <si>
    <t>Amanda Goetz</t>
  </si>
  <si>
    <t>Ms. Amanda Goetz is a Co-Founder and serves as Chief Executive Officer &amp; Chief Technology Officer at Fermata Discovery. She completed Master of Business Administration from Massachusetts Institute of Technology.</t>
  </si>
  <si>
    <t>Massachusetts Institute of Technology, MBA (Master of Business Administration), 2014</t>
  </si>
  <si>
    <t>The company raised an estimated $1.87 million through a combination of Series 1b and Series 1C, Seed funding from Chasella, Two Lanterns Venture Partners and TIA Ventures in June, 2021, putting the company's pre-money valuation at $4.13 million. Guy Antoine and Vinny Sica also participated in the round.</t>
  </si>
  <si>
    <t>Chasella, Guy Antoine, TIA Ventures, Two Lanterns Venture Capital, Vinny Sica</t>
  </si>
  <si>
    <t>TIA Ventures Fund II(TIA Ventures)</t>
  </si>
  <si>
    <t>www.fermatadiscovery.com</t>
  </si>
  <si>
    <t>274778-47T</t>
  </si>
  <si>
    <t>Fern (IT Consulting and Outsourcing)</t>
  </si>
  <si>
    <t>519134-14</t>
  </si>
  <si>
    <t>Aito Capital, Pioneer Fund, Soma Capital, V1.vc</t>
  </si>
  <si>
    <t>Aito Capital (aito.my.canva.site), Pioneer Fund (www.pioneerfund.vc), Soma Capital (somacap.com), V1.vc (www.v1.vc)</t>
  </si>
  <si>
    <t>Provider of information technology services intended to generate production-ready SDKs for API. The company specializes in generating server code, SDKs, documentation, and a postman collection, providing clients with faster and error-free codes.</t>
  </si>
  <si>
    <t>On October 15, 2024, the company raised $12.78 million through the combination of Series A venture funding from V1.vc, Soma Capital, and Pioneer Fund, putting its pre-money valuation at $37.22 million. Aito Capital other undisclosed investors also participated in the round.</t>
  </si>
  <si>
    <t>IT Consulting and Outsourcing*, Other IT Services</t>
  </si>
  <si>
    <t>api coding, api documentation, sdk development, sdk platform, sdk tools, website development company</t>
  </si>
  <si>
    <t>346410-55P</t>
  </si>
  <si>
    <t>Daniel Sheridan</t>
  </si>
  <si>
    <t>danny@buildwithfern.com</t>
  </si>
  <si>
    <t>Mr. Daniel Sheridan is a Co-Founder and serves as Co-Chief Executive Officer &amp; Board Member at Fern.</t>
  </si>
  <si>
    <t>www.buildwithfern.com</t>
  </si>
  <si>
    <t>180591-40T</t>
  </si>
  <si>
    <t>Fêtefully</t>
  </si>
  <si>
    <t>340782-40</t>
  </si>
  <si>
    <t>Capital Factory, Chris Yeh(Chris Yeh), Gurtin Ventures(Grant Gurtin), Jeff Dodd(Jeff Dodd), John Kim(John Kim), Rob Houdek(Rob Houdek), Slauson &amp; Co.(Austin Clements), Techstars</t>
  </si>
  <si>
    <t>Capital Factory (www.capitalfactory.com), Chris Yeh (www.chrisyeh.com), Gurtin Ventures (www.gurtinventures.com), Slauson &amp; Co. (www.slauson.co), Techstars (www.techstars.com)</t>
  </si>
  <si>
    <t>Operator of an online wedding planning platform intended to provide personalized wedding planning guidance. The company's platform provides a membership, upon subscribing to which members get a personal wedding planner, professional advice and guidance on planning concerns, and day-of coordination from planners, enabling customers to plan their wedding without any hassles and save time.</t>
  </si>
  <si>
    <t>The company joined Pay Close Attention on January 3, 2022. Previously, the company raised $1.3 million of seed funding in a deal led by Slauson &amp; Co. on September 1, 2021. Gurtin Ventures and 6 other investors also participated in the round. The funds will be used to continue business growth and scale in the marketplace.</t>
  </si>
  <si>
    <t>Application Software, Information Services (B2C), Other Services (B2C Non-Financial)*</t>
  </si>
  <si>
    <t>event planner, marriage agency, online wedding planner, wedding guide, wedding planner, wedding planning website</t>
  </si>
  <si>
    <t>214597-27P</t>
  </si>
  <si>
    <t>GiGi McDowell</t>
  </si>
  <si>
    <t>gigi.mcdowell@fetefully.com</t>
  </si>
  <si>
    <t>Ms. GiGi McDowell is a Co-Founder and serves as Chief Executive Officer at fetefully.</t>
  </si>
  <si>
    <t>The company raised $1.3 million of seed funding in a deal led by Slauson &amp; Co. on September 1, 2021. Gurtin Ventures, Capital Factory, Techstars, Chris Yeh, John Kim, Jeff Dodd and Rob Houdek also participated in the round. The funds will be used to continue business growth and scale in the marketplace.</t>
  </si>
  <si>
    <t>Capital Factory, Gurtin Ventures, Jeff Dodd, John Kim, Rob Houdek, Slauson &amp; Co.</t>
  </si>
  <si>
    <t>Chris Yeh, Techstars</t>
  </si>
  <si>
    <t>Slauson &amp; Co.(Austin Clements)</t>
  </si>
  <si>
    <t>90210</t>
  </si>
  <si>
    <t>www.fetefully.com</t>
  </si>
  <si>
    <t>209232-82T</t>
  </si>
  <si>
    <t>Fimio</t>
  </si>
  <si>
    <t>515175-85</t>
  </si>
  <si>
    <t>Nat Friedman(Nat Friedman), Neo (Consulting Services (B2B)), Protocol Labs, Redpoint Ventures, The House Fund</t>
  </si>
  <si>
    <t>Neo (Consulting Services (B2B)) (www.neo.com), Protocol Labs (protocol.ai), Redpoint Ventures (www.redpoint.com), The House Fund (www.thehouse.fund)</t>
  </si>
  <si>
    <t>Developer of an online security platform intended to solve frauds related to web3 and control over data-centric workflows. The company's platform focuses on increasing access to capital and tackling the twin evils of fraud and coordination problems, enabling web3 builders to easily go beyond blacklists and simulations for assessing smart contract reputation.</t>
  </si>
  <si>
    <t>The company raised $2.19 million of seed funding in a deal led by Neo on October 27, 2022. Protocol Labs, The House Fund, Redpoint Ventures, and Nat Friedman also participated in the round.</t>
  </si>
  <si>
    <t>Business/Productivity Software, Network Management Software*</t>
  </si>
  <si>
    <t>Cryptocurrency/Blockchain, Cybersecurity</t>
  </si>
  <si>
    <t>application security, web3 community, web3 content, web3 firm, web3 infra, web3 network, web3 platform, web3 security, web3 tools</t>
  </si>
  <si>
    <t>325249-93P</t>
  </si>
  <si>
    <t>Omoju Miller</t>
  </si>
  <si>
    <t>+1 (510) 666-2900</t>
  </si>
  <si>
    <t>omojumiller@github.com</t>
  </si>
  <si>
    <t>Ms. Omoju Miller is a Co-Founder and serves as Chief Executive Officer at Fimio.</t>
  </si>
  <si>
    <t>Nat Friedman, Neo (Consulting Services (B2B)), Protocol Labs, Redpoint Ventures, The House Fund</t>
  </si>
  <si>
    <t>Neo (Consulting Services (B2B))</t>
  </si>
  <si>
    <t>Silicon Legal Strategy (Legal Advisor to Neo (Consulting Services (B2B)), Sarah Boulden JD)</t>
  </si>
  <si>
    <t>94611</t>
  </si>
  <si>
    <t>www.fimio.xyz</t>
  </si>
  <si>
    <t>224148-43T</t>
  </si>
  <si>
    <t>Finch (New York)</t>
  </si>
  <si>
    <t>465685-93</t>
  </si>
  <si>
    <t>Amasia, Chantal Noble Haldorsen(Chantal Noble Haldorsen), Empire Angels, Ryan Hudson(Ryan Hudson)</t>
  </si>
  <si>
    <t>Amasia (www.amasia.vc), Empire Angels (www.empireangels.com)</t>
  </si>
  <si>
    <t>Operator of a browser extension software designed to offer insights into a multitude of consumer products. The company's software assesses what products are made of, how they are created, and how long they last, besides pinning expert scores on products' environmental and social impacts with functional reviews from real people, enabling consumers to pinpoint the products that better fit their preferences and thus make more informed decisions when shopping.</t>
  </si>
  <si>
    <t>The company raised $3.23 million through a combination of Seed, and Seed 1 of seed funding from Amasia, Chantal Haldorsen and Empire Angels on May 18, 2023, putting the company's pre-money valuation at $4 million. Ryan Hudson also participated in the round. Previously, the company joined Google for Startups Accelerator as part of its climate change cohort on February 16, 2023.</t>
  </si>
  <si>
    <t>browser extensions application, browser extensions tools, insights data reporting, product information, product insights, product review, software extensions</t>
  </si>
  <si>
    <t>261531-37P</t>
  </si>
  <si>
    <t>Lizzie Horvitz</t>
  </si>
  <si>
    <t>+1 (216) 394-1627</t>
  </si>
  <si>
    <t>lizzie@choosefinch.com</t>
  </si>
  <si>
    <t>Ms. Lizzie Horvitz is the Founder and serves as Chief Executive Officer and Board Member at Finch.</t>
  </si>
  <si>
    <t>The company raised $3.23 million through a combination of Seed, and Seed 1 of seed funding from Amasia, Chantal Haldorsen and Empire Angels on May 18, 2023, putting the company's pre-money valuation at $4 million. Ryan Hudson also participated in the round.</t>
  </si>
  <si>
    <t>Amasia, Chantal Noble Haldorsen, Empire Angels, Ryan Hudson</t>
  </si>
  <si>
    <t>Amasia Fund II(Amasia)</t>
  </si>
  <si>
    <t>www.choosefinch.com</t>
  </si>
  <si>
    <t>128771-83T</t>
  </si>
  <si>
    <t>Finli</t>
  </si>
  <si>
    <t>398913-31</t>
  </si>
  <si>
    <t>Core Innovation Capital(Arjan Schütte), Emerson Collective(Fern Mandelbaum), MaC Venture Capital(Adrian Fenty), Muse Capital(Assia Grazioli-Venier), Slauson &amp; Co.(Austin Clements)</t>
  </si>
  <si>
    <t>Core Innovation Capital (www.corevc.com), Emerson Collective (www.emersoncollective.com), MaC Venture Capital (macventurecapital.com), Muse Capital (www.musecapital.vc), Slauson &amp; Co. (www.slauson.co)</t>
  </si>
  <si>
    <t>Developer of a digital financial platform designed to provide financial services to small businesses. The company's platform allows transferring administrative tasks such as billing, payment collection, reconciliation, inventory management, and customer management seamlessly, enabling businesses to create a solid financial infrastructure to improve their business, livelihood, and community.</t>
  </si>
  <si>
    <t>The company graduated from The Venture Center as part of its fifth annual ICBA ThinkTECH Accelerator Demo Day on June 29, 2023. No equity or funding was exchanged as a result of this program.</t>
  </si>
  <si>
    <t>FinTech, Mobile, SaaS</t>
  </si>
  <si>
    <t>ap automation, ar automation, bank technology, cfo stack, crm, customer relationship management, digital financial platform, expense management, inventory management software, invoice automation, payment management system, small business software</t>
  </si>
  <si>
    <t>218819-44P</t>
  </si>
  <si>
    <t>Lori Shao</t>
  </si>
  <si>
    <t>lori@finli.com</t>
  </si>
  <si>
    <t>Ms. Lori Shao is the Founder and serves as Chief Executive Officer and Board Member at Finli.</t>
  </si>
  <si>
    <t>The company raised $3.5 million through a combination of Seed funding in a deal led by MaC Venture Capital on January 29, 2021, putting the company's pre-money valuation at $6 million. Muse Capital, Core Innovation Capital, Slauson &amp; Co., and Emerson Collective also participated in the round.</t>
  </si>
  <si>
    <t>Core Innovation Capital, Emerson Collective, MaC Venture Capital, Muse Capital, Slauson &amp; Co.</t>
  </si>
  <si>
    <t>MaC Venture Capital(Adrian Fenty)</t>
  </si>
  <si>
    <t>Core Innovation Capital II(Core Innovation Capital), MaC Venture Capital 2019(MaC Venture Capital), Muse Capital Fund(Muse Capital), Slauson &amp; Co. Fund I(Slauson &amp; Co.)</t>
  </si>
  <si>
    <t>San Marino, CA</t>
  </si>
  <si>
    <t>San Marino</t>
  </si>
  <si>
    <t>91108</t>
  </si>
  <si>
    <t>www.finli.com</t>
  </si>
  <si>
    <t>274496-86T</t>
  </si>
  <si>
    <t>Finnegan the Dragon</t>
  </si>
  <si>
    <t>561469-15</t>
  </si>
  <si>
    <t>Pam Horan, Peter Horan(Peter Horan), Portland Seed Fund</t>
  </si>
  <si>
    <t>Portland Seed Fund (portlandseedfund.com)</t>
  </si>
  <si>
    <t>Developer of an interactive learning system designed to address speech and language delays in preschoolers. The company offers tools that support a child's overall brain development through engaging, play-based experiences, helping teachers, caregivers and parents nurture a love for learning and foster language development among children.</t>
  </si>
  <si>
    <t>The company raised $40,000 of seed funding from Portland Seed Fund, Peter Horan and Pam Horan on October 26, 2023.</t>
  </si>
  <si>
    <t>kids education, learning portal, learning software, speech development, speech development platform, speech learning</t>
  </si>
  <si>
    <t>416879-11P</t>
  </si>
  <si>
    <t>Emily Candiz</t>
  </si>
  <si>
    <t>+1 (503) 913-2453</t>
  </si>
  <si>
    <t>Ms. Emily Candiz is the Founder &amp; serves as Chief Executive Officer and Managing Principal at Finnegan the Dragon.</t>
  </si>
  <si>
    <t>Pam Horan, Peter Horan, Portland Seed Fund</t>
  </si>
  <si>
    <t>Portland Seed Fund IV(Portland Seed Fund)</t>
  </si>
  <si>
    <t>Hillsboro, OR</t>
  </si>
  <si>
    <t>Hillsboro</t>
  </si>
  <si>
    <t>Oregon</t>
  </si>
  <si>
    <t>www.finneganthedragon.com</t>
  </si>
  <si>
    <t>166777-75T</t>
  </si>
  <si>
    <t>Fireside Chat</t>
  </si>
  <si>
    <t>460073-35</t>
  </si>
  <si>
    <t>Chris Voss(Chris Voss), Mantis VC, Mark Cuban(Mark Cuban), Precursor Ventures, Rabil Ventures, Sanat Rao(Sanat Rao), Sujay Jaswa(Sujay Jaswa), Translink Investment, WillowTree Investments</t>
  </si>
  <si>
    <t>Mantis VC (www.mantisvc.com), Mark Cuban (markcubancompanies.com), Precursor Ventures (precursorvc.com), Rabil Ventures (rabilventures.com), Translink Investment (www.translink.kr), WillowTree Investments (www.willowtree.vc)</t>
  </si>
  <si>
    <t>Developer of a next-generation podcast platform intended for creators to bring the audience into the story through live, interactive, virtual shows. The company's platform is made for podcasting and conversing with listeners through said podcasts, enabling podcast hosts to distribute shows everywhere with the click of a button, understand what their audiences want more of with sophisticated analytics, and connect with those audiences in real-time.</t>
  </si>
  <si>
    <t>The company raised $25 million of Series AA venture funding from PivotNorth Capital, Simon Sports, and Gaingels on September 18, 2024. The funds will be used to expand the company, as well as broaden and accelerate product development. Gaingels also invested in this round.</t>
  </si>
  <si>
    <t>Broadcasting, Radio and Television, Social/Platform Software*</t>
  </si>
  <si>
    <t>AudioTech</t>
  </si>
  <si>
    <t>creators platform, entertainment platform, entertainment software, interactive entertainment, podcast software, podcast technology, podcast tools, podcasting platform, social software</t>
  </si>
  <si>
    <t>43563-97P</t>
  </si>
  <si>
    <t>Mark Cuban</t>
  </si>
  <si>
    <t>+1 (303) 542-5600</t>
  </si>
  <si>
    <t>Mr. Mark Cuban is a Co-Founder of Axs TV. He also serves as Advisor at SparkLabs Group. He is a Co-Owner of 2929 Entertainment. He served as an Advisor at Unikrn. He serves as an Investor at Backstage Capital. He serves as an Executive at LAZY. He serves as an Advisor at Sportradar &amp; Ground Signal. He serves as an Advisor at CivicScience. He is a Co-Founder of Mark Cuban Cost Plus Drug Company. He is a Co-Founder at Dust. He served as an Advisor at Sportlogiq. He served as a Board Member at Dave and Zergnet. He also serves as an Advisor, at SparkLabs Korea at SparkLabs Group. He is a Co-Owner of Underdog Fantasy. He co-founded Xpire. He is a Co-Founder of Backstage Capital. He also serves as a Strategic Advisor at Climate. He served as a Board Member at Power Practical and Thinkingvoice. He founded Radical Investments. He serves as an Advisor at Wear Your Voice. He serves as an Advisor at Eterneva and Netra. He is a Co-Founder of Three Commas. He serves as a Board Advisor at Nohbo. He serves as a Board Member at SparkCharge. He served as an Advisor at Open Garden. He is a Co-Founder, Co-Owner, Chief Executive Officer, Chairman &amp; President at Axs Tv. In 2011, he wrote an e-book, How to Win at the Sport of Business, in which he chronicles his life experiences in business and sports. He created MicroSolutions, a computer consulting service. He went on to later sell MicroSolutions in 1990 to CompuServe. He is an Angel Investor. He served as an Advisor at Every Cowhere. He serves as a Board Member at Wrench. He serves as a Board Member at Unshrinkit.</t>
  </si>
  <si>
    <t>Indiana University, BS (Bachelor of Science), 1981, Management</t>
  </si>
  <si>
    <t>The company raised an estimated $4.38 million of Series 1 Seed funding from Translink Investment, Mantis VC, Amara VC, and Precursor Ventures on February 8, 2021, putting the company's pre-money valuation at $12 million. Sujay Jaswa, Chris Voss, Sanat Rao and Mark Cuban also participated in the round.</t>
  </si>
  <si>
    <t>Chris Voss, Mantis VC, Mark Cuban, Precursor Ventures, Rabil Ventures, Sanat Rao, Sujay Jaswa, Translink Investment, WillowTree Investments</t>
  </si>
  <si>
    <t>Mantis Capital Fund I(Mantis VC), Precursor Ventures III(Precursor Ventures)</t>
  </si>
  <si>
    <t>Milpitas, CA</t>
  </si>
  <si>
    <t>Milpitas</t>
  </si>
  <si>
    <t>95035</t>
  </si>
  <si>
    <t>www.firesidechat.com</t>
  </si>
  <si>
    <t>Pictorial communication</t>
  </si>
  <si>
    <t>255461-68T</t>
  </si>
  <si>
    <t>Fireworks AI</t>
  </si>
  <si>
    <t>561272-14</t>
  </si>
  <si>
    <t>Alexandr Wang(Alexandr Wang), Artisanal Ventures, Benchmark Capital Holdings, Databricks Ventures, Frank Slootman(Frank Slootman), Howie Liu(Howie Liu), Sequoia Capital, Sheryl Sandberg(Sheryl Sandberg)</t>
  </si>
  <si>
    <t>Artisanal Ventures (www.artisanalv.com), Benchmark Capital Holdings (www.benchmark.com), Sequoia Capital (www.sequoiacap.com)</t>
  </si>
  <si>
    <t>Developer of a production AI platform designed to collaborate and serve the models, at high speeds.s The company's platform aims to run, fine-tune, and share large language models (LLMs) to solve product problems, enabling developers and businesses to scale at a faster rate through rapid product iteration building as well as minimizing cost to serve.</t>
  </si>
  <si>
    <t>The company raised $52 million of Series B venture funding in a deal led by Sequoia Capital on July 08, 2024, putting the company's pre-money valuation at $500 million. Databricks Ventures, Advanced Micro Devices, MongoDB Ventures, Benchmark Capital Holdings, Nvidia, Frank Slootman, Alexandr Wang, Sheryl Sandberg, Howie Liu and other undisclosed investors also participated in the round. The funds will be used to accelerate the development of compound AI systems, expand the company's team, and enhance the platform to drive greater AI adoption in production environments. Previously, the company raised $25 million of Series A venture funding in a deal led by Sequoia Capital on March 27, 2024. Databricks Ventures and 6 other investors also participated in the round. The funds will be used to create an API-based tool that puts that kind of power in reach of any company without requiring the level of engineering resources.</t>
  </si>
  <si>
    <t>Business/Productivity Software, Software Development Applications*</t>
  </si>
  <si>
    <t>ai neocloud, ai platform, compound feed, devops, full service devops, generative ai, language model, llm ai, llm tools, product iteration, production analysis</t>
  </si>
  <si>
    <t>Generative AI, AI neoclouds</t>
  </si>
  <si>
    <t>388262-26P</t>
  </si>
  <si>
    <t>Lin Qiao</t>
  </si>
  <si>
    <t>+1 (650) 870-7981</t>
  </si>
  <si>
    <t>lqiao@fireworks.ai</t>
  </si>
  <si>
    <t>Ms. Lin Qiao is a Co-Founder and serves as Chief Executive Officer at Fireworks AI.</t>
  </si>
  <si>
    <t>The company raised $25 million of Series A venture funding in a deal led by Sequoia Capital and Benchmark Capital Holdings on March 27, 2024. Databricks Ventures, Artisanal Ventures, Sheryl Sandberg, Howie Liu, Frank Slootman and Alexandr Wang also participated in the round. The funds will be used to create an API-based tool that puts that kind of power in reach of any company without requiring the level of engineering resources.</t>
  </si>
  <si>
    <t>Alexandr Wang, Artisanal Ventures, Benchmark Capital Holdings, Databricks Ventures, Frank Slootman, Howie Liu, Sequoia Capital, Sheryl Sandberg</t>
  </si>
  <si>
    <t>Benchmark Capital Holdings, Sequoia Capital</t>
  </si>
  <si>
    <t>Artisanal Ventures I(Artisanal Ventures)</t>
  </si>
  <si>
    <t>www.fireworks.ai</t>
  </si>
  <si>
    <t>157643-92T</t>
  </si>
  <si>
    <t>Fiveable</t>
  </si>
  <si>
    <t>232915-06</t>
  </si>
  <si>
    <t>BBG Ventures (North America)(Nisha Dua), Cream City Ventures(Craig Schedler), Darrell Silver(Darrell Silver), Deborah Quazzo(Deborah Quazzo), Golden Angels Investors(Timothy Keane), Matchstick Ventures(Ryan Broshar), Metrodora Ventures(Chelsea Clinton), Rezon8 Capital &amp; Advisory Group(K. Paul Singh), Spero Ventures(Sara Eshelman), Twenty Seven Ventures(Atin Batra)</t>
  </si>
  <si>
    <t>BBG Ventures (North America) (www.bbgventures.com), Golden Angels Investors (www.goldenangelsinvestors.com), Matchstick Ventures (www.matchstick.vc), Metrodora Ventures (www.metrodora.vc), Rezon8 Capital &amp; Advisory Group (www.rezon8capital.com), Spero Ventures (www.spero.vc), Twenty Seven Ventures (27v.vc)</t>
  </si>
  <si>
    <t>Operator of an education-based platform intended to build students' skills and confidence to earn college credit in placement exams. The company's platform provides online instruction by accredited teachers in advanced placement, college orientation and preparation, and other subjects, enabling students to access courses that help them learn complex concepts and skills in a convenient manner.</t>
  </si>
  <si>
    <t>The company raised $673,658 through the combination of Seed 1, Seed 2, Seed 3, Seed 4, and Seed 5 funding in a deal led by Cream City Ventures on April 10, 2022, putting the company's pre-money valuation at $2.5 million. Zerology, Arenberg Holdings, Gaingels, Union Square Ventures, SoGal Ventures, Slojo Investments, Twenty Seven Ventures, Right Side Capital Management, BBG Ventures, Del Johnson, Dave Sachse, Karl Muth, Mary Avery, Tom Avery, Reed Dohmen, Amy Slawson, Amit Sevak, Amit Pamecha, Gian Dilawari, Vaikunth Gupta, Silicon Pastures and Wisconsin Economic Development Corporation also participated in the round.</t>
  </si>
  <si>
    <t>education platform, online coaching platform, online education, online instruction, online mentoring, social learning platform</t>
  </si>
  <si>
    <t>193518-46P</t>
  </si>
  <si>
    <t>Amanda DoAmaral</t>
  </si>
  <si>
    <t>+1 (414) 600-9755</t>
  </si>
  <si>
    <t>amanda@fiveable.me</t>
  </si>
  <si>
    <t>Ms. Amanda DoAmaral is a Co-Founder &amp; serves as Chief Executive Officer &amp; Board Member at Fiveable.</t>
  </si>
  <si>
    <t>The company raised $2.33 million of Seed Prime funding in a deal led by BBG Ventures on October 13, 2020, putting the company's pre-money valuation at $3 million. Cream City Ventures, Twenty Seven Ventures, and 7 other investors also participated in the round.</t>
  </si>
  <si>
    <t>BBG Ventures (North America), Cream City Ventures, Darrell Silver, Deborah Quazzo, Golden Angels Investors, Matchstick Ventures, Metrodora Ventures, Rezon8 Capital &amp; Advisory Group, Spero Ventures, Twenty Seven Ventures</t>
  </si>
  <si>
    <t>BBG Ventures (North America)(Nisha Dua)</t>
  </si>
  <si>
    <t>BBG Ventures III(BBG Ventures (North America)), Matchstick Ventures Fund II(Matchstick Ventures)</t>
  </si>
  <si>
    <t>53211</t>
  </si>
  <si>
    <t>www.fiveable.me</t>
  </si>
  <si>
    <t>168624-01T</t>
  </si>
  <si>
    <t>FiVerity</t>
  </si>
  <si>
    <t>184213-18</t>
  </si>
  <si>
    <t>Mendoza Ventures(Adrian Mendoza)</t>
  </si>
  <si>
    <t>Mendoza Ventures (mendoza-ventures.com)</t>
  </si>
  <si>
    <t>Developer of a research and analysis platform designed to offer portfolio analysis to identify fake accounts and other forms of fraud in financial institutions The company's platform enables real-time information sharing among data providers, and anti-fraud resolutions through the anonymized exchange of fraud intelligence, it accelerates the detection and prevention of both known and unknown fraud, delivering proactive alerts, transparent risk scoring, and automated fraud classification, enabling businesses to detect new and emerging forms of cyber fraud and provide actionable, proactive threat intelligence with the power of collaboration.</t>
  </si>
  <si>
    <t>The company joined FinTech Sandbox on an undisclosed date.</t>
  </si>
  <si>
    <t>Financial Software, Media and Information Services (B2B), Network Management Software*</t>
  </si>
  <si>
    <t>Artificial Intelligence &amp; Machine Learning, Cybersecurity, SaaS</t>
  </si>
  <si>
    <t>compliance system, cyber fraud detection, financial crime, fraud detection, identity management, identity verification, risk mitigation</t>
  </si>
  <si>
    <t>11454-04P</t>
  </si>
  <si>
    <t>Greg Woolf</t>
  </si>
  <si>
    <t>+1 (781) 742-7400</t>
  </si>
  <si>
    <t>gwoolf@fiverity.com</t>
  </si>
  <si>
    <t>Mr. Greg Woolf is the Founder and serves as Chief Executive Officer and Board Member at FiVerity. He previously founded and served as Chief Executive Officer at Coalesce and Vantage Software, which was acquired by FirstRate Corporation. He was awarded IT-CEO of the Year by AI Global Magazine and FIMA FinTech Innovation Winner in 2018. He has dual-degrees in Computer Science, Math, and Finance with a Machine Learning certification from Stanford University. He moderates AI industry groups with more than 10,000 members and founded the Boston AI Think Tank, a group of senior executives from prominent global financial institutions and government regulators.</t>
  </si>
  <si>
    <t>Stanford University, Degree, Computer sience, Stanford University, Degree, Mathematics and Finance</t>
  </si>
  <si>
    <t>The company raised $2 million of seed funding from Mendoza Ventures and Douglas Levin on March 17, 2021. Other undisclosed investors also participated in the round. The company will use the funds to expand products and ramp up sales and marketing efforts.</t>
  </si>
  <si>
    <t>Mendoza Ventures</t>
  </si>
  <si>
    <t>Mendoza Ventures Pre-Seed Fund II(Mendoza Ventures)</t>
  </si>
  <si>
    <t>02116</t>
  </si>
  <si>
    <t>www.fiverity.com</t>
  </si>
  <si>
    <t>181316-26T</t>
  </si>
  <si>
    <t>Fivestar</t>
  </si>
  <si>
    <t>482190-58</t>
  </si>
  <si>
    <t>Brendan Kelly(Brendan Kelly)</t>
  </si>
  <si>
    <t>Developer of sports highlights mobile app designed to help athletes share their contributions to sports. The company's platform aggregates athletic highlights and provides a safe, social, environment for fans and athletes to celebrate athletic achievement and perseverance together, empowering athletes and fans to create, rate, and enjoy their sports highlights.</t>
  </si>
  <si>
    <t>The company raised $3 million of seed funding in a deal led by Brendan Kelly on October 6, 2021. Other undisclosed investors also participated in the round.</t>
  </si>
  <si>
    <t>athletics website, content based platform, events journals, sports highlights application, sports media, sports media agency</t>
  </si>
  <si>
    <t>86915-17P</t>
  </si>
  <si>
    <t>Erin McNeally</t>
  </si>
  <si>
    <t>+1 (866) 994-2957</t>
  </si>
  <si>
    <t>emcneally@fivestarnews.com</t>
  </si>
  <si>
    <t>Ms. Erin McNeally serves as Chief Executive Officer at Fivestar (Publishing). She served as Chief Operating Officer at SmartLink (Annapolis). A graduate of the University of Maryland, Baltimore County with a Bachelor of Science in Geography and Environmental Systems, McNeally joined the Smartlink staff in 2005 as a Leasing Specialist. She has a wide range of experience that includes leadership positions in sales, recruiting, operations and human resources, all with the company. In 2012, she was promoted to her current position. As Chief Operating Officer, McNeally provides the leadership, management and vision necessary to ensure that Smartlink has the proper operational controls, administrative and reporting procedures, and people systems in place to effectively grow the organization and to ensure financial strength and operating efficiency.</t>
  </si>
  <si>
    <t>University of Maryland, College Park, BS (Bachelor of Science), 2001, Geography</t>
  </si>
  <si>
    <t>Brendan Kelly</t>
  </si>
  <si>
    <t>Annapolis, MD</t>
  </si>
  <si>
    <t>Annapolis</t>
  </si>
  <si>
    <t>21076</t>
  </si>
  <si>
    <t>www.fivestar.video</t>
  </si>
  <si>
    <t>170197-75T</t>
  </si>
  <si>
    <t>FlavorCloud</t>
  </si>
  <si>
    <t>62182-72</t>
  </si>
  <si>
    <t>Brian Boland, Carter Eckhert(Carter Eckhert), Charles Songhurst(Charles Songhurst), David Jakubowski(David Jakubowski), Dennis Joyce(Dennis Joyce), Family Angel Management Fund, James and Jacinta Chadwick, Jordan Levy(Jordan Levy), Karl Brewer(Karl Brewer), Keeler Investments Group, Ken Block(Ken Block), Kim Rachmeler(Kim Rachmeler), Michelle Golberg, Mucker Capital(Omar Hamoui), Plug and Play Tech Center, Revolution (Washington DC), Seth Ginns(Seth Ginns), Tacoma Venture Fund (TVF)(Dennis Joyce), Willow Growth Partners, WillowTree</t>
  </si>
  <si>
    <t>Family Angel Management Fund (www.familyangelfund.com), Keeler Investments Group (www.keelerinvestments.com), Mucker Capital (www.mucker.com), Plug and Play Tech Center (www.plugandplaytechcenter.com), Revolution (Washington DC) (www.revolution.com), Tacoma Venture Fund (TVF) (www.tacomaventurefund.com), Willow Growth Partners (www.willowgrowth.com), WillowTree (www.willowtreeapps.com)</t>
  </si>
  <si>
    <t>Developer of a cross-border logistics platform intended to make worldwide shipping easy and affordable. The company's platform uses cloud technology and artificial intelligence to offer automated classification of products, and paperwork, country-specific compliance checks, expedited clearance, and product classification, enabling retailers and brand owners to automate a deeply fragmented, antiquated, and opaque logistics industry.</t>
  </si>
  <si>
    <t>The company raised $7.94 million of venture funding from undisclosed investors on March 15, 2024.</t>
  </si>
  <si>
    <t>Artificial Intelligence &amp; Machine Learning, E-Commerce, SaaS, Supply Chain Tech, TMT</t>
  </si>
  <si>
    <t>cross-border commerce, ecommerce personalization, enterprise supply chain management, global logistics, international shipping platform, international shipping services, internet retailing, logistics company, logistics services firm</t>
  </si>
  <si>
    <t>97937-11P</t>
  </si>
  <si>
    <t>Rathna Sharad</t>
  </si>
  <si>
    <t>+1 (855) 242-9969</t>
  </si>
  <si>
    <t>rathna.sharad@flavorcloud.com</t>
  </si>
  <si>
    <t>Ms. Rathna Sharad is a Co-Founder and serves as Chief Executive Officer and Board Member at FlavorCloud. She is also an Angel Investor.</t>
  </si>
  <si>
    <t>Annamalai University, BS (Bachelor of Science), 1996, Computer Science</t>
  </si>
  <si>
    <t>The company raised $8.62 million through a combination of Series A venture funding in a deal led by Mucker Capital on April 8, 2021, putting the company's pre-money valuation at $20 million. WillowTree, Willow Growth Partners, Tacoma Venture Fund (TVF), Family Angel Management Fund, Keeler Investments Group, Revolution, Dennis Joyce, Seth Ginns, Kim Rachmeler, Karl Brewer, Ken Block, Charlie Songhurst, Carter Eckhert, David Jakubowski, James and Jacinta Chadwick and Jordan Levy also participated in the round.</t>
  </si>
  <si>
    <t>Carter Eckhert, David Jakubowski, Dennis Joyce, Family Angel Management Fund, James and Jacinta Chadwick, Jordan Levy, Karl Brewer, Keeler Investments Group, Ken Block, Kim Rachmeler, Mucker Capital, Revolution (Washington DC), Seth Ginns, Tacoma Venture Fund (TVF), Willow Growth Partners, WillowTree</t>
  </si>
  <si>
    <t>Brian Boland, Charles Songhurst, Michelle Golberg, Plug and Play Tech Center</t>
  </si>
  <si>
    <t>Mucker Capital(Omar Hamoui)</t>
  </si>
  <si>
    <t>Family Angel Management Fund I(Family Angel Management Fund), Mucker A-1(Mucker Capital), Rise of the Rest Seed Fund(Revolution (Washington DC)), Willow Growth Partners Fund(Willow Growth Partners)</t>
  </si>
  <si>
    <t>Carney Badley Spellman (Legal Advisor to Company), Orrick (Legal Advisor to Company)</t>
  </si>
  <si>
    <t>98102</t>
  </si>
  <si>
    <t>www.flavorcloud.com</t>
  </si>
  <si>
    <t>271256-59T</t>
  </si>
  <si>
    <t>Flex (Sacramento)</t>
  </si>
  <si>
    <t>534439-00</t>
  </si>
  <si>
    <t>Harvest Venture Partners, Liquid 2 Ventures, Precursor Ventures(Charles Hudson), SV Angel(Beth Turner), Y Combinator</t>
  </si>
  <si>
    <t>Harvest Venture Partners (harvest.ventures), Liquid 2 Ventures (www.liquid2.vc), Precursor Ventures (precursorvc.com), SV Angel (www.svangel.com), Y Combinator (www.ycombinator.com)</t>
  </si>
  <si>
    <t>Operator of a payment platform intended for businesses to accept flexible spending accounts (FSA) and health savings account (HSA) cards. The company offers a prebuilt, hosted checkout page or UI building blocks to integrate card payments directly into existing payment flow, enabling businesses to attract new customers, grow cart size, and increase conversion by accepting HSA/FSA payments.</t>
  </si>
  <si>
    <t>The company raised $3.2 million of seed funding from Harvest Venture Partners, Precursor Ventures and Liquid 2 Ventures on September 4, 2024. Y Combinator and SV Angel also participated in the round. The funds will be used to accelerate product development and sales &amp; marketing, and to capitalize on strong interest from brands in capturing more of the $150B in potential annual HSA/FSA spending.</t>
  </si>
  <si>
    <t>Financial Software*, Other Financial Services, Other Healthcare Technology Systems</t>
  </si>
  <si>
    <t>FinTech, HealthTech</t>
  </si>
  <si>
    <t>card payment, finance payment technology, health savings, health savings account, payment platform, payment platform integration</t>
  </si>
  <si>
    <t>359050-96P</t>
  </si>
  <si>
    <t>Sam OKeefe</t>
  </si>
  <si>
    <t>+1 (800) 952-5210</t>
  </si>
  <si>
    <t>sam.okeefe@withflex.com</t>
  </si>
  <si>
    <t>Ms. Sam OKeefe is a Co-Founder and serves as Chief Executive Officer at Flex (Sacramento).</t>
  </si>
  <si>
    <t>Harvest Venture Partners, Liquid 2 Ventures, Precursor Ventures, SV Angel</t>
  </si>
  <si>
    <t>Sacramento, CA</t>
  </si>
  <si>
    <t>Sacramento</t>
  </si>
  <si>
    <t>95834</t>
  </si>
  <si>
    <t>www.withflex.com</t>
  </si>
  <si>
    <t>134318-62T</t>
  </si>
  <si>
    <t>FlickPlay</t>
  </si>
  <si>
    <t>433624-15</t>
  </si>
  <si>
    <t>Alumni Ventures(David Shapiro), Best Nights VC, Everywhere Ventures, Lightspeed Venture Partners, Magma Partners, Muse Capital, Tribe Capital</t>
  </si>
  <si>
    <t>Alumni Ventures (www.av.vc), Best Nights VC (www.bestnights.vc), Everywhere Ventures (everywhere.vc), Lightspeed Venture Partners (www.lsvp.com), Magma Partners (www.magmapartners.com), Muse Capital (www.musecapital.vc), Tribe Capital (www.tribecap.co)</t>
  </si>
  <si>
    <t>Developer of a gamified content creation platform designed to use augmented reality to merge the physical and digital worlds. The company's platform is based on augmented reality that aids in to release of limited edition products, and exclusive access to samples for sharing videos to earn rewards and points, enabling brands and users with the opportunity to increase engagement and foot traffic while helping individuals to create unique social content.</t>
  </si>
  <si>
    <t>The company raised an undisclosed amount of venture funding from Alpha Praetorian Capital, Goal Ventures, Bandai Namco Entertainment Inc (021fund) on November 28, 2023.</t>
  </si>
  <si>
    <t>Entertainment Software*, Social Content, Social/Platform Software</t>
  </si>
  <si>
    <t>AdTech, Augmented Reality, Gaming, Marketing Tech</t>
  </si>
  <si>
    <t>brand marketing service, cultural events, engagement system, experiential designing company, gamified social platform, gaming content, gaming developer, gaming publisher, gaming studio, sharing video, social commerce app, social content</t>
  </si>
  <si>
    <t>226468-54P</t>
  </si>
  <si>
    <t>Pierina Alaimo</t>
  </si>
  <si>
    <t>+1 (786) 340-7264</t>
  </si>
  <si>
    <t>pierina@flickplay.co</t>
  </si>
  <si>
    <t>Ms. Pierina Alaimo is a Founder and serves as Chief Executive Officer at FlickPlay. She serves as Advisor at Defiance Capital. Previously, she launched the first 3D-printed product line to be sold at Nordstrom, nationally. She also leads Creative and Design strategies for premium VR experiences for luxury fashion brands. Earlier in her career, she worked as an Architect for Frank Gehry, where she played a key role in the design and development of iconic large-scale architectural projects. She immigrated from Venezuela to Canada at 16 with a dream of becoming an architect. She got accepted at SCI-Arc in LA and ended up joining Frank Gehry where she led the design and development of Facebook's HQ building 21 in Menlo Park and Facebook's Park Ave office in NYC. Obsessed with immersive experiences, she went on to found Flickplay, the hybrid metaverse company backed by Lightspeed Ventures and other top investors.</t>
  </si>
  <si>
    <t>The company raised $1.28 million through a combination of Seed-1 and Seed-2 funding from Best Nights VC, Muse Capital and Everywhere Ventures on May 12, 2021, putting the company's pre-money valuation at $3.72 million. Tribe Capital, Alumni Ventures, Lightspeed Venture Partners, Magma Partners and other undisclosed investors also participated in the round.</t>
  </si>
  <si>
    <t>Alumni Ventures, Best Nights VC, Everywhere Ventures, Lightspeed Venture Partners, Magma Partners, Muse Capital, Tribe Capital</t>
  </si>
  <si>
    <t>Blue Ivy Ventures Fund 5(Alumni Ventures), Everywhere Ventures I(Everywhere Ventures), Magma Opportunity SPV 2019(Magma Partners)</t>
  </si>
  <si>
    <t>www.flickplay.co</t>
  </si>
  <si>
    <t>232578-91T</t>
  </si>
  <si>
    <t>Flipturn</t>
  </si>
  <si>
    <t>522198-82</t>
  </si>
  <si>
    <t>Accel(Daniel Levine), Background Capital, Comma Capital, Formulate Ventures</t>
  </si>
  <si>
    <t>Accel (www.accel.com), Background Capital (background.vc), Comma Capital (comma.vc), Formulate Ventures (www.formulateventures.com)</t>
  </si>
  <si>
    <t>Developer of a fleet and charger management platform intended for electric vehicle charging stations. The company's platform offers features such as real-time monitoring of chargers and vehicles, power management, and charging schedules, enabling transport businesses to optimize their charging infrastructure and streamline their electric vehicle operations.</t>
  </si>
  <si>
    <t>The company raised $15.56 million of Series A venture funding in a deal led by CRV on November 19, 2024. Accel and other undisclosed investors also participated in the round.</t>
  </si>
  <si>
    <t>Business/Productivity Software, Media and Information Services (B2B)*, Road</t>
  </si>
  <si>
    <t>Artificial Intelligence &amp; Machine Learning, CleanTech, Mobility Tech, SaaS</t>
  </si>
  <si>
    <t>charger management, ev charging, ev fleet management, fleet electrification, fleet electrification service, vehicle management</t>
  </si>
  <si>
    <t>320695-75P</t>
  </si>
  <si>
    <t>Kathryn Siegel</t>
  </si>
  <si>
    <t>katie@getflipturn.com</t>
  </si>
  <si>
    <t>Ms. Kathryn Siegel is a Co-Founder and serves as Chief Executive Officer &amp; Board Member at Flipturn.</t>
  </si>
  <si>
    <t>Massachusetts Institute of Technology (MIT), Bachelor's, Massachusetts Institute of Technology (MIT), Master's</t>
  </si>
  <si>
    <t>The company raised $4.5 million of seed funding in a deal led by Accel on July 27, 2023. Comma Capital, Background Capital, Formulate Ventures and other undisclosed investors also participated in the round. The funds will be used to build out its product and go-to-market team, expand access to Flipturn Connect, and accelerate product development.</t>
  </si>
  <si>
    <t>Accel, Background Capital, Comma Capital, Formulate Ventures</t>
  </si>
  <si>
    <t>Accel(Daniel Levine)</t>
  </si>
  <si>
    <t>11201</t>
  </si>
  <si>
    <t>www.getflipturn.com</t>
  </si>
  <si>
    <t>258470-74T</t>
  </si>
  <si>
    <t>Flock AI</t>
  </si>
  <si>
    <t>536040-73</t>
  </si>
  <si>
    <t>Dorm Room Fund, F4 Fund, Hustle Fund, Outlander VC, Red Swan Ventures, The MBA Fund</t>
  </si>
  <si>
    <t>Dorm Room Fund (www.dormroomfund.com), F4 Fund (www.f4.fund), Hustle Fund (www.hustlefund.vc), Outlander VC (www.outlander.vc), Red Swan Ventures (www.redswanventures.com), The MBA Fund (www.thembafund.com)</t>
  </si>
  <si>
    <t>Developer of AI models for personalized beauty and wellness products designed to generate production-quality content with speed and brand consistency. The company offers a generative AI platform that delivers brand-specific model content for every industry that reflects customers and brand aesthetics and analyzes visual identity and product catalog to generate diverse models with relevant skin tones, makeup looks, hairstyles, and styling, enabling beauty brands to showcase products on virtual models.</t>
  </si>
  <si>
    <t>The company raised $1.5 million of pre-seed funding in the form of SAFE notes from Outlander VC, Red Swan Ventures and Hustle Fund on April 17, 2024. Dorm Room Fund, The MBA Fund and F4 Fund also participated in the round.</t>
  </si>
  <si>
    <t>ai model, beauty products, beauty shopping, brand interaction, gamify application, generative ai, imagery device</t>
  </si>
  <si>
    <t>366817-33P</t>
  </si>
  <si>
    <t>Manvitha Mallela</t>
  </si>
  <si>
    <t>Ms. Manvitha Mallela is a Co-Founder and serves as Chief Executive Officer at Flock AI.</t>
  </si>
  <si>
    <t>F4 Fund I(F4 Fund), Hustle Fund III(Hustle Fund)</t>
  </si>
  <si>
    <t>10007</t>
  </si>
  <si>
    <t>www.flockshop.ai</t>
  </si>
  <si>
    <t>136088-11T</t>
  </si>
  <si>
    <t>Floodbase</t>
  </si>
  <si>
    <t>224060-59</t>
  </si>
  <si>
    <t>Draper Richards Kaplan Foundation(Steven McCormick)</t>
  </si>
  <si>
    <t>Draper Richards Kaplan Foundation (www.drkfoundation.org)</t>
  </si>
  <si>
    <t>Developer of a remote sensing platform designed to track floods in real-time. The company's platform uses satellites and artificial intelligence to observe floods without ground equipment, algorithms to smooth out difficult terrain and eliminate clouds to see the floods below, monitors people and assets at risk, pinpoints blocked roads, and measures the amount of property and agricultural damage, enabling catastrophe insurers, communities, and watershed managers to understand their risk and prepare and respond to the next flood.</t>
  </si>
  <si>
    <t>The company joined Lloyd's Lab on September 6, 2023 as a part of 11th Cohort. No equity or funding was exchanged as a result of this program.</t>
  </si>
  <si>
    <t>Business/Productivity Software, Media and Information Services (B2B)*, Other Hardware</t>
  </si>
  <si>
    <t>Artificial Intelligence &amp; Machine Learning, Big Data, Space Technology</t>
  </si>
  <si>
    <t>analytics platform, flood management, flood mapping, industrial data analytics, location intelligence platform, real time mapping, remote sensing platform, remote sensing software, remote sensing system, vertical application</t>
  </si>
  <si>
    <t>177860-08P</t>
  </si>
  <si>
    <t>Bessie Schwarz</t>
  </si>
  <si>
    <t>+1 (646) 343-9050</t>
  </si>
  <si>
    <t>bessie@cloudtostreet.info</t>
  </si>
  <si>
    <t>Ms. Bessie Schwarz is a Co-Founder and serves as President, Chief Executive Officer &amp; Board Member at Cloud to Street.</t>
  </si>
  <si>
    <t>Series 2</t>
  </si>
  <si>
    <t>The company raised an estimated $799,979 through the combination of Seed-2, Seed-3 and Seed-4 funding from Draper Richards Kaplan Foundation on May 1, 2020, putting the company's pre-money valuation at $5 million.</t>
  </si>
  <si>
    <t>Draper Richards Kaplan Foundation</t>
  </si>
  <si>
    <t>www.floodbase.com</t>
  </si>
  <si>
    <t>194624-74T</t>
  </si>
  <si>
    <t>Flowcarbon</t>
  </si>
  <si>
    <t>489934-63</t>
  </si>
  <si>
    <t>166 2nd Financial Services(Ilan Stern), Allegory (New York), Andreessen Horowitz(Benjamin Horowitz), Ashley Levinson(Ashley Levinson), BoxGroup, Centrifuge, Climate Capital, Coral DeFi, Fifth Wall, Fos Finance, General Catalyst, Hemma Group (Zurich), Intersection Growth Partners, Invesco (NYS: IVZ), Kevin Turen(Kevin Turen), Marc Andreessen(Marc Andreessen), RSE Ventures, Sam Levinson(Sam Levinson), Samsung NEXT Ventures, Spice Capital, Sunset Ventures (Los Angeles), Vibe Cap</t>
  </si>
  <si>
    <t>Allegory (New York) (www.allegory.earth), Andreessen Horowitz (www.a16z.com), BoxGroup (www.boxgroup.com), Centrifuge (www.centrifuge.io), Climate Capital (www.climatecapital.co), Coral DeFi (www.coralcapital.io), Fifth Wall (www.fifthwall.com), Fos Finance (www.fos.finance), General Catalyst (www.generalcatalyst.com), Hemma Group (Zurich) (www.hemma-group.com), Intersection Growth Partners (www.intersectiongp.com), Invesco (NYS: IVZ) (www.invesco.com/corporate), RSE Ventures (www.rseventures.com), Samsung NEXT Ventures (www.samsungnext.com), Spice Capital (www.spicecapital.xyz), Sunset Ventures (Los Angeles) (sunsetventures.xyz), Vibe Cap (www.vibecap.co)</t>
  </si>
  <si>
    <t>Developer of a carbon token technology designed to accelerate decarbonization through nature-based climate operations. The company's technology offers token-backed one-to-one by premium, nature-based carbon credits and focuses on premium renewable energy projects that optimize benefits and prioritize climate mitigation, local and indigenous communities, and biodiversity protection to provide offset and offers world-class project finance and technology, project development and credit portfolio services, enabling businesses to change lives and keep carbon sequestered in the ground.</t>
  </si>
  <si>
    <t>The company raised $32 million of Series A venture funding in a deal led by Andreessen Horowitz and Marc Andreessen on July 6, 2022. Centrifuge and 19 other investors also participated in the round.</t>
  </si>
  <si>
    <t>Business/Productivity Software, Environmental Services (B2B), Other Financial Services*</t>
  </si>
  <si>
    <t>CleanTech, Climate Tech, Cryptocurrency/Blockchain</t>
  </si>
  <si>
    <t>assets tokenization, carbon credit trading, carbon marketplace, carbon offset platform, carbon tech, climate change, climate change solution, decentralized finance, defi, voluntary carbon market infrastructure</t>
  </si>
  <si>
    <t>Decentralized Finance, Carbon Offset Trading Platforms</t>
  </si>
  <si>
    <t>104145-31P</t>
  </si>
  <si>
    <t>Dana Gibber</t>
  </si>
  <si>
    <t>+1 (908) 793-8359</t>
  </si>
  <si>
    <t>dana@flowcarbon.com</t>
  </si>
  <si>
    <t>Ms. Dana Gibber is a Co-Founder and serves as Chief Executive Officer and Board Member at Flow Carbon. Ms. Gibber Co-Founded and served as Chief Operating Officer at Headliner Labs.</t>
  </si>
  <si>
    <t>Harvard University, Bachelor's, 2009, Government, Yale Law School, JD (Doctor of Law), 2013</t>
  </si>
  <si>
    <t>The company raised $32 million of Series A venture funding in a deal led by Andreessen Horowitz and Marc Andreessen on July 6, 2022. Centrifuge, Climate Capital, Intersection Growth Partners, Sunset Ventures (Los Angeles), General Catalyst, Samsung NEXT Ventures, RSE Ventures, BoxGroup, Fifth Wall, Spice Capital, Vibe Cap, Allegory (New York), Fos Finance, Ashley Levinson, Sam Levinson, Kevin Turen, Hemma Group (Zurich), Coral DeFi, 166 2nd Financial Services and Invesco also participated in the round.</t>
  </si>
  <si>
    <t>166 2nd Financial Services, Allegory (New York), Andreessen Horowitz, Ashley Levinson, BoxGroup, Centrifuge, Climate Capital, Coral DeFi, Fifth Wall, Fos Finance, General Catalyst, Hemma Group (Zurich), Intersection Growth Partners, Invesco, Kevin Turen, Marc Andreessen, RSE Ventures, Sam Levinson, Samsung NEXT Ventures, Spice Capital, Sunset Ventures (Los Angeles), Vibe Cap</t>
  </si>
  <si>
    <t>Andreessen Horowitz(Benjamin Horowitz), General Catalyst, Marc Andreessen(Marc Andreessen), Samsung NEXT Ventures</t>
  </si>
  <si>
    <t>Vibe Capital Fund(Vibe Cap)</t>
  </si>
  <si>
    <t>Cooley (Legal Advisor to Company), Goodwin Procter (Legal Advisor to Andreessen Horowitz, Karen Ubell)</t>
  </si>
  <si>
    <t>www.flowcarbon.com</t>
  </si>
  <si>
    <t>167625-37T</t>
  </si>
  <si>
    <t>Fohlio</t>
  </si>
  <si>
    <t>268050-07</t>
  </si>
  <si>
    <t>Brick &amp; Mortar Ventures, Liebenthal Ventures, Ocean Azul Partners(Lisette Tellez), Valued Ventures</t>
  </si>
  <si>
    <t>Brick &amp; Mortar Ventures (www.brickmortar.vc), Liebenthal Ventures (www.liebenthalventures.com), Ocean Azul Partners (www.oceanazulpartners.com), Valued Ventures (www.valued.ventures)</t>
  </si>
  <si>
    <t>Developer of an easy-to-use specification and scheduling software designed to help the construction industry to centralize building material data and the transaction process. The company's software streamlines the creation of project schedules, product documents, and presentation materials and integrates them into user's projects more efficiently, enabling architects, designers, engineers, and contractors to research, select and incorporate building products into their projects effortlessly.</t>
  </si>
  <si>
    <t>The company raised $3.15 million of seed funding in a deal led by Brick &amp; Mortar Ventures on May 3, 2022. Dreamit Ventures and Ocean Azul Partners also participated in the round. The funds will be used to develop better and stronger software features.</t>
  </si>
  <si>
    <t>Construction Technology, SaaS</t>
  </si>
  <si>
    <t>analytics &amp; cdps, analytics and cdps, construction management software, construction project management, construction technology, interior design software, procurement analytics, procurement logistic</t>
  </si>
  <si>
    <t>206408-08P</t>
  </si>
  <si>
    <t>Hubin Yu</t>
  </si>
  <si>
    <t>+1 (646) 362-4944</t>
  </si>
  <si>
    <t>hubin@fohlio.com</t>
  </si>
  <si>
    <t>Ms. Hubin Yu is the Founder and serves as the Chief Executive Officer of Fohlio. Before Fohlio, Huibin was a VP at J.P. Morgan, where she managed the operations of cross-asset derivative trading desks and built out workflows and complex systems. Several years ago, she was going through the process of renovating her home when she experienced first-hand how difficult the process was. From compiling a complete list of necessary products and making sure to stay within the budget, to keeping track of several installation and warranty documents, Huibin realized that the interior design process was a significant hassle.</t>
  </si>
  <si>
    <t>The company raised $3.7 million of seed funding from Liebenthal Ventures, Valued Ventures and Ocean Azul Partners on September 21, 2021, putting the company's pre-money valuation at $7 million. Brick &amp; Mortar Ventures also participated in the round.</t>
  </si>
  <si>
    <t>Brick &amp; Mortar Ventures, Liebenthal Ventures, Ocean Azul Partners, Valued Ventures</t>
  </si>
  <si>
    <t>Brick &amp; Mortar Ventures I(Brick &amp; Mortar Ventures), Ocean Azul Partners II(Ocean Azul Partners)</t>
  </si>
  <si>
    <t>www.fohlio.com</t>
  </si>
  <si>
    <t>197077-15T</t>
  </si>
  <si>
    <t>Folio (Information Services (B2C))</t>
  </si>
  <si>
    <t>500617-99</t>
  </si>
  <si>
    <t>Antler, Array Ventures, Bloomberg Beta(Karin Klein), Bá Minuzzi(Bá Minuzzi), City Light Capital, Douglas Song(Douglas Song), DuContra Ventures, Microsoft (NAS: MSFT), Potencia Ventures, Visible Hands</t>
  </si>
  <si>
    <t>Antler (www.antler.co), Array Ventures (www.array.vc), Bloomberg Beta (www.bloombergbeta.com), City Light Capital (www.citylight.vc), DuContra Ventures (www.ducontra.ventures), Microsoft (NAS: MSFT) (www.microsoft.com), Potencia Ventures (potenciaventures.net), Visible Hands (www.visiblehands.vc)</t>
  </si>
  <si>
    <t>Operator of a talent accelerant platform intended to turn students into freelancers so they can graduate debt-free and experience-rich. The company builds impressive portfolios and a network to launch its careers and facilitates paid freelance projects between emerging professionals and a community of supportive founders, enabling students to access flexible professional experience.</t>
  </si>
  <si>
    <t>The company raised $4.1 million of seed funding from Microsoft, Bloomberg Beta, and Array Ventures on August 1, 2024. City Light Capital, Antler, Visible Hands, Bá Minuzzi, Dug Song, Potencia Ventures, and DuContra Ventures also participated in the round. The funding was originally raised in the form of SAFE notes and subsequently converted to equity.</t>
  </si>
  <si>
    <t>economic empowerment, freelance marketplace, internships, opportunity execution, opportunity platform, opportunity zones, portfolio building, skills enhancement, upward mobility</t>
  </si>
  <si>
    <t>306673-39P</t>
  </si>
  <si>
    <t>Catherine Huang</t>
  </si>
  <si>
    <t>cathy@folio.works</t>
  </si>
  <si>
    <t>Ms. Catherine Huang is the Founder and serves as Chief Executive Officer at Folio. She is serial founder in international healthcare, freelance marketplaces, and DTC sustainable seafood. She is also an endurance running coach, previous elite all american gymnast, bonderman fellow and published researcher.</t>
  </si>
  <si>
    <t>The company raised $4.1 million of seed funding from Microsoft, Bloomberg Beta and Array Ventures on August 1, 2024. City Light Capital, Antler, Visible Hands, Bá Minuzzi, Dug Song, Potencia Ventures and DuContra Ventures also participated in the round. The funding was originally raised in the form of SAFE notes and subsequently got converted to equity.</t>
  </si>
  <si>
    <t>Antler, Array Ventures, Bá Minuzzi, Bloomberg Beta, City Light Capital, Douglas Song, DuContra Ventures, Microsoft, Potencia Ventures, Visible Hands</t>
  </si>
  <si>
    <t>94619</t>
  </si>
  <si>
    <t>www.folio.works</t>
  </si>
  <si>
    <t>199075-69T</t>
  </si>
  <si>
    <t>Foodmeets</t>
  </si>
  <si>
    <t>501100-12</t>
  </si>
  <si>
    <t>Operator of a social networking platform intended to bring like-minded people together. The company specializes in connecting groups of people, recommending local restaurants, and scheduling times to meet with matches, enabling users to meet and connect.</t>
  </si>
  <si>
    <t>The company raised $5,000 of venture funding from IU Ventures on April 19, 2022.</t>
  </si>
  <si>
    <t>Other Restaurants, Hotels and Leisure, Social/Platform Software*</t>
  </si>
  <si>
    <t>connecting people, meeting manager, meeting platform, meetups app, mobile app, scheduling system, social networking app, socializing platform, socializing spaces</t>
  </si>
  <si>
    <t>308110-96P</t>
  </si>
  <si>
    <t>Jayapriya Una</t>
  </si>
  <si>
    <t>Ms. Jayapriya Una co-founded and served as Chief Executive Officer at Foodmeets. She is currently an IU Bloomington junior majoring in informatics and statistic. She primarily leads our app team on analytics, finances, and project management.</t>
  </si>
  <si>
    <t>The company raised $20,000 of seed funding from Elevate Ventures on July 12, 2021.</t>
  </si>
  <si>
    <t>Bloomington, IN</t>
  </si>
  <si>
    <t>Bloomington</t>
  </si>
  <si>
    <t>47401</t>
  </si>
  <si>
    <t>www.foodmeets.co</t>
  </si>
  <si>
    <t>183144-79T</t>
  </si>
  <si>
    <t>Founders First Capital Partners</t>
  </si>
  <si>
    <t>224235-91</t>
  </si>
  <si>
    <t>Catalyst Fund, Ewing Marion Kauffman Foundation(Philip Gaskin), Impact Assets, Lindmor Foundations, Rockefeller Foundation(Maria Kozloski), Spring Point Partners, Surdna Foundation(Shuaib Siddiqui)</t>
  </si>
  <si>
    <t>Catalyst Fund (www.thecatalystfund.com), Ewing Marion Kauffman Foundation (www.kauffman.org), Impact Assets (www.impactassets.org), Rockefeller Foundation (www.rockefellerfoundation.org), Spring Point Partners (www.thespringpoint.com), Surdna Foundation (www.surdna.org)</t>
  </si>
  <si>
    <t>Developer of a proprietary platform designed to offer revenue-based funding and business acceleration support. The company builds a comprehensive ecosystem through its platform to support service-based small businesses located outside of major capital markets, helping businesses led by women, people of color, LGBTQ+, and military veterans to help them grow.</t>
  </si>
  <si>
    <t>The company raised $11 million of Series A1 venture funding in a deal led by Surdna Foundation and Rockefeller Foundation on November 9, 2021. C E S and 6 other investors also participated in the round. The funds will be used to accelerate financing and advisory support for diverse-led small businesses.</t>
  </si>
  <si>
    <t>Consulting Services (B2B), Financial Software, Other Financial Services, Specialized Finance*</t>
  </si>
  <si>
    <t>business finance service, business funding, financing platform, financing service provider, funding platform, funding provides, revenue-based financing, revenue-based financing platform</t>
  </si>
  <si>
    <t>84394-09P</t>
  </si>
  <si>
    <t>Kim Folsom</t>
  </si>
  <si>
    <t>+1 (858) 755-4635</t>
  </si>
  <si>
    <t>kim_folsom@foundersfirstcapitalpartners.com</t>
  </si>
  <si>
    <t>Ms. Kim Folsom is the Founder and serves as Chief Executive Officer &amp; Chairperson at Founders First Capital Partners. Ms. Kim is a Co-Founder of Manhattan Street Capital. She co-founded REEL Qualified and served as its Chief Executive Officer. Before their work in academia, Ms. Folsom was the founder, CEO, and Chief Revenue Officer of ShowUhow, Inc., a company that developed and delivered video-based instructions for do-it-yourself projects. Kim grew the company from its inception in 2008 to a successful exit in 2014. Ms. Folsom is a passionate advocate for entrepreneurship and has been instrumental in helping to launch and grow numerous businesses. Kim is a sought-after speaker and advisor, and their work has been featured in Forbes, Fortune, Entrepreneur and Inc. magazines. Kim T. Folsom holds an MBA from Pepperdine University and a BSIS with a Major in IDS and Minor coursework in Economics from San Diego State University.</t>
  </si>
  <si>
    <t>Pepperdine University, MBA (Master of Business Administration), San Diego State University, BS (Bachelor of Science), Information Systems</t>
  </si>
  <si>
    <t>The company raised $9 million of Series A venture funding in a deal led by Surdna Foundation and Rockefeller Foundation on March 1, 2021. Lindmor Foundations, Spring Point Partners, Ewing Marion Kauffman Foundation, ImpactAssets, and Catalyst Fund also participated in the round. The funds will be used to expand into new regions across the United States and help diverse business owners who are poised for high growth but aren't a fit for venture capital or have the assets to meet traditional lending requirements.</t>
  </si>
  <si>
    <t>Catalyst Fund, Ewing Marion Kauffman Foundation, Impact Assets, Lindmor Foundations, Rockefeller Foundation, Spring Point Partners, Surdna Foundation</t>
  </si>
  <si>
    <t>Rockefeller Foundation(Maria Kozloski), Surdna Foundation(Shuaib Siddiqui)</t>
  </si>
  <si>
    <t>92121</t>
  </si>
  <si>
    <t>www.foundersfirstcapitalpartners.com</t>
  </si>
  <si>
    <t>232631-92T</t>
  </si>
  <si>
    <t>Fountain (New York)</t>
  </si>
  <si>
    <t>532706-95</t>
  </si>
  <si>
    <t>Alliance DAO, Blockchain Founders Fund, Caladan, Druid Ventures, FirstHand Alliance, Foundation Capital, Marin Digital Ventures, MHC Digital Finance, Nathan McCauley(Nathan McCauley), NGC Ventures, Primal Capital (Web3), Rene Reinsberg(Rene Reinsberg), United Overseas Bank (SES: U11)</t>
  </si>
  <si>
    <t>Alliance DAO (www.alliance.xyz), Blockchain Founders Fund (blockchainff.com), Caladan (www.caladan.xyz), Druid Ventures (www.druidventures.com), FirstHand Alliance (www.firsthand.vc), Foundation Capital (www.foundationcapital.com), Marin Digital Ventures (www.marinventures.com), MHC Digital Finance (mhcdigitalgroup.com), NGC Ventures (www.ngc.fund), Primal Capital (Web3) (www.primalcapital.io), United Overseas Bank (SES: U11) (www.uobgroup.com)</t>
  </si>
  <si>
    <t>Operator of web3 access management platform intended to provide safe and compliant Web3 access for companies and employees. The company's platform integrates custody accounts, exchanges, wallets and dApps into a single system, enabling business managers to delegate access to employees without sharing private keys.</t>
  </si>
  <si>
    <t>The company raised $3.5 million of seed funding from Caladan, Blockchain Founders Fund and Foundation Capital on June 27, 2023, putting the company's pre-money valuation at $14 million. Primal Capital (Abu Dhabi) and 6 other investors also participated in the round. The Funds will be used to fuel development, user testing, and security audits while providing working capital to expand hires in sales, technology, and compliance. Earlier, the company joined Alliance DAO as a part of ALL10 cohort on May 18, 2023 and received $250,000 in funding.</t>
  </si>
  <si>
    <t>Cryptocurrency/Blockchain, FinTech, Mobile, SaaS</t>
  </si>
  <si>
    <t>access management platform, audit trail, blockchain technology, wallets platform, web3 dapps, web3 technology</t>
  </si>
  <si>
    <t>211590-19P</t>
  </si>
  <si>
    <t>Morgan Lai</t>
  </si>
  <si>
    <t>morgan@formulateventures.com</t>
  </si>
  <si>
    <t>Ms. Morgan Lai is the Founder and serves as General Partner at Formulate Ventures. She is the Founder and serves as Chief Executive Officer at Fountain. She served as a Partner at Foundation Capital. She received her BS and MEng in EECS from MIT.</t>
  </si>
  <si>
    <t>Massachusetts Institute of Technology (MIT), BS (Bachelor of Science), Computer Science and Electrical Engineering, Massachusetts Institute of Technology (MIT), ME (Master of Engineering), Artificial Intelligence</t>
  </si>
  <si>
    <t>The company raised $3.5 million of seed funding from Caladan, Blockchain Founders Fund and Foundation Capital on June 27, 2023, putting the company's pre-money valuation at $14 million. Primal Capital (Abu Dhabi), Alliance DAO, MHC Digital Finance, Firsthand Alliance, NGC Ventures, Marin Digital Ventures, Druid Ventures, Rene Reinsberg, Nathan McCauley and United Overseas Bank also participated in the round. The Funds will be used to fuel development, user testing, and security audits while providing working capital to expand hires in sales, technology, and compliance.</t>
  </si>
  <si>
    <t>Blockchain Founders Fund, Caladan, Druid Ventures, FirstHand Alliance, Foundation Capital, Marin Digital Ventures, MHC Digital Finance, Nathan McCauley, NGC Ventures, Primal Capital (Web3), Rene Reinsberg, United Overseas Bank</t>
  </si>
  <si>
    <t>Alliance DAO</t>
  </si>
  <si>
    <t>Druid Ventures Fund I(Druid Ventures)</t>
  </si>
  <si>
    <t>fountainplatform.com</t>
  </si>
  <si>
    <t>158417-65T</t>
  </si>
  <si>
    <t>FourthBrain</t>
  </si>
  <si>
    <t>443082-61</t>
  </si>
  <si>
    <t>AI Fund(Andrew Ng)</t>
  </si>
  <si>
    <t>AI Fund (www.aifund.ai)</t>
  </si>
  <si>
    <t>Provider of artificial intelligence education and training services intended to create accessible and flexible pathways to AI and machine learning careers. The company's hybrid online learning programs include algorithms and system design, scalability, and deployment, machine learning for computer vision, transfer learning, and soft skills training coupled with practicals and projects in a realistic professional setting, enabling students and aspirants to leverage and convert opportunities in the AI domain.</t>
  </si>
  <si>
    <t>The company raised $1.6 million of seed funding from AI Fund in October 2021.</t>
  </si>
  <si>
    <t>artificial intelligence learning, artificial intelligence system, artificial intelligence training, education and training, machine learning training, training service, workforce development</t>
  </si>
  <si>
    <t>137533-96P</t>
  </si>
  <si>
    <t>Salwa Muhammad</t>
  </si>
  <si>
    <t>+1 (781) 974-5256</t>
  </si>
  <si>
    <t>salwa@fourthbrain.ai</t>
  </si>
  <si>
    <t>Ms. Salwa Muhammad is the Founder and Chief Executive Officer at FourthBrain. She served as Vice President at Udacity Connect, Trilogy Education (acquired by 2U), and 2U. She combined her experience in both online and in-person education to bring the best of both worlds to the hybrid format at FourthBrain. She holds degrees from Harvard University and Wellesley College.</t>
  </si>
  <si>
    <t>Harvard University, Master's, 2008, Technology, Innovation and Education, Wellesley College, BA (Bachelor of Arts), 2006, Psychology and Educational Studies</t>
  </si>
  <si>
    <t>AI Fund</t>
  </si>
  <si>
    <t>www.fourthbrain.ai</t>
  </si>
  <si>
    <t>220599-10T</t>
  </si>
  <si>
    <t>Fractal Protocol</t>
  </si>
  <si>
    <t>513391-96</t>
  </si>
  <si>
    <t>6th Man Ventures(Carl Vogel), Akshai Rajendran(Akshai Rajendran), Anand Gomes(Anand Gomes), Archetype (venture firm), Blizzard Avalanche Fund, Circle Ventures, CMT Digital, CoinShares Ventures, GoldenTree Asset Management, Hack VC(Alexander Pack), Josh Frank(Josh Frank), Plug and Play Tech Center, QCP Group(Stan Low), Shiliang Tang(Shiliang Tang), Sidney Powell(Sidney Powell), Spartan Group</t>
  </si>
  <si>
    <t>6th Man Ventures (www.6thman.ventures), Archetype (venture firm) (www.archetype.fund), Blizzard Avalanche Fund (www.blizzard.fund), Circle Ventures (www.circleventures.com), CMT Digital (cmt.digital), GoldenTree Asset Management (www.goldentree.com), Hack VC (www.hack.vc), Plug and Play Tech Center (www.plugandplaytechcenter.com), QCP Group (www.qcpgroup.com), Spartan Group (www.spartangroup.io)</t>
  </si>
  <si>
    <t>Developer of an omnichannel fixed yield platform intended to expand the digital economy by making decentralized finance, institutional grade and capital efficient. The company's platform provides secure and capital-efficient access to defi, enabling clients to get diversified yield exposure with cross-collateralizing margin accounts, built-in clearing and reporting.</t>
  </si>
  <si>
    <t>The company raised $6 million of seed funding in a deal led by Hack VC on April 17, 2023. Blizzard Avalanche Fund, CoinShares Ventures and 14 other investors also participated in the round. The funds will be used to continue launching institutional-grade products that facilitate capital efficiency, transparency, as well as a simplified user journey.</t>
  </si>
  <si>
    <t>capital market, decentralized finance, decentralized finance protocol, decentralized finance security, digital economy, digital economy analytics, digital economy regulation</t>
  </si>
  <si>
    <t>160630-39P</t>
  </si>
  <si>
    <t>Alexandre Elkrief</t>
  </si>
  <si>
    <t>Mr. Alexandre Elkrief is a Co-Founder and serves as Co-Chief Executive Officer at Fractal Protocol. Mr. Alexandre Co-Founded and served as President at Knowhere.</t>
  </si>
  <si>
    <t>The company raised $6 million of seed funding in a deal led by Hack VC on April 17, 2023. Blizzard Avalanche Fund, CoinShares Ventures, QCP Capital, Archetype (venture firm), 6th Man Ventures, Circle Ventures, CMT Digital, Plug and Play Tech Center, Shiliang Tang, Sidney Powell, Akshai Rajendran, Anand Gomes, Josh Frank, Spartan Group and GoldenTree Asset Management also participated in the round. The funds will be used to continue launching institutional-grade products that facilitate capital efficiency, transparency, as well as a simplified user journey.</t>
  </si>
  <si>
    <t>6th Man Ventures, Akshai Rajendran, Anand Gomes, Archetype (venture firm), Blizzard Avalanche Fund, Circle Ventures, CMT Digital, CoinShares Ventures, GoldenTree Asset Management, Hack VC, Josh Frank, Plug and Play Tech Center, QCP Group, Shiliang Tang, Sidney Powell, Spartan Group</t>
  </si>
  <si>
    <t>Hack VC(Alexander Pack)</t>
  </si>
  <si>
    <t>Cooley (Legal Advisor to Company), Goodwin Procter (Legal Advisor to Hack VC, John Servidio JD)</t>
  </si>
  <si>
    <t>Goodwin Procter (Legal Advisor to Hack VC, John Servidio JD)</t>
  </si>
  <si>
    <t>www.fractalprotocol.org</t>
  </si>
  <si>
    <t>218825-29T</t>
  </si>
  <si>
    <t>Fractional</t>
  </si>
  <si>
    <t>459548-38</t>
  </si>
  <si>
    <t>Global Founders Capital(Donald Stalter), Goodwater Capital, Twenty Two Ventures</t>
  </si>
  <si>
    <t>Global Founders Capital (www.globalfounderscapital.com), Goodwater Capital (www.goodwatercap.com), Twenty Two Ventures (www.twentytwo.vc)</t>
  </si>
  <si>
    <t>Developer of a fractional real estate investment platform designed to make investing accessible to everyone by making it inclusive, educational, collaborative, and fun. The company's platform offers a variety of investment properties, including single-family homes and multi-family homes, enabling investors to make rental income and appreciation gains with no annual fees or holding period.</t>
  </si>
  <si>
    <t>The company raised $15 million of Series A venture funding in a deal led by Fifth Wall on November 6, 2024. Other undisclosed investors also participated in this round.</t>
  </si>
  <si>
    <t>FinTech, Real Estate Technology, SaaS</t>
  </si>
  <si>
    <t>financial services, fractional ownership, fractional real estate, investment property, real estate investment, residential investment</t>
  </si>
  <si>
    <t>257658-76P</t>
  </si>
  <si>
    <t>Carlos Trevino</t>
  </si>
  <si>
    <t>+1 (956) 616-8718</t>
  </si>
  <si>
    <t>carlos@fractional.app</t>
  </si>
  <si>
    <t>Mr. Carlos Trevino is a Co-Founder and serves as Board Member at Fractional.</t>
  </si>
  <si>
    <t>The company raised an estimated $1.20 million through a combination of Series A-1 and Series A-2 venture funding from Goodwater Capital, Global Founders Capital, Twenty Two Ventures and other undisclosed investors on April 8, 2021, putting the company's pre-money valuation at $7.00 million.</t>
  </si>
  <si>
    <t>Global Founders Capital, Goodwater Capital, Twenty Two Ventures</t>
  </si>
  <si>
    <t>www.fractional.app</t>
  </si>
  <si>
    <t>192464-65T</t>
  </si>
  <si>
    <t>Fresh Sends</t>
  </si>
  <si>
    <t>495479-89</t>
  </si>
  <si>
    <t>Jeremy Cai(Jeremy Cai), Karelle Golda(Karelle Golda), Priscilla Tsai(Priscilla Tsai), Sidera Labs</t>
  </si>
  <si>
    <t>Sidera Labs (www.sideralabs.com)</t>
  </si>
  <si>
    <t>Operator of a gifting platform intended to offer quality gift items. The company's platform offers customized bouquets, sweatshirts, car fresheners, hats, and tees, helping customers to reclaim authentic connections through gifts.</t>
  </si>
  <si>
    <t>The company raised $550,000 of venture funding in a deal led by Sidera Labs on March 28, 2022. Karelle Golda, Priscilla Tsai, and Jeremy Cai also participated in the round.</t>
  </si>
  <si>
    <t>Specialty Retail</t>
  </si>
  <si>
    <t>Application Software, Other Consumer Durables, Other Services (B2C Non-Financial), Specialty Retail*</t>
  </si>
  <si>
    <t>E-Commerce, Mobile</t>
  </si>
  <si>
    <t>bouquet delivery, bouquet seller, customized bouquet, gifting items, gifting platform, gifting website</t>
  </si>
  <si>
    <t>298667-44P</t>
  </si>
  <si>
    <t>Ty Hiss</t>
  </si>
  <si>
    <t>+1 (888) 488-2924</t>
  </si>
  <si>
    <t>ty@freshsends.com</t>
  </si>
  <si>
    <t>Ms. Ty Hiss is a Co-Founder and serves as Chief Executive Officer at Fresh Sends.</t>
  </si>
  <si>
    <t>Degree, 2016, Fine Arts, Advertising &amp; Architecture, University of Colorado, Boulder, Bachelor's, 2017, Advertising &amp; Communication</t>
  </si>
  <si>
    <t>Jeremy Cai, Karelle Golda, Priscilla Tsai, Sidera Labs</t>
  </si>
  <si>
    <t>Sidera Labs</t>
  </si>
  <si>
    <t>80211</t>
  </si>
  <si>
    <t>www.freshsends.com</t>
  </si>
  <si>
    <t>260768-53T</t>
  </si>
  <si>
    <t>Frich</t>
  </si>
  <si>
    <t>470897-65</t>
  </si>
  <si>
    <t>Antler, Corinne Nevinny, Falls Fintech, K20 Fund, Lair East Labs, Red Cedar Ventures, Restive Ventures(Cameron Peake), Sunstone Management</t>
  </si>
  <si>
    <t>Antler (www.antler.co), Falls Fintech (www.fallsfintech.com), K20 Fund (www.k20fund.com), Lair East Labs (www.laireastlabs.com), Red Cedar Ventures (www.redcedarventures.com), Restive Ventures (www.restive.com), Sunstone Management (www.sunstoneinvestment.com)</t>
  </si>
  <si>
    <t>Developer of a social finance application designed to make money social by introducing savings challenges with friends. The company's application creates social spending challenges with friends, tracks social spending, sets savings goals, and provides rewards for winning challenges and goals, enabling users to make informed choices and navigate financial lives in a better way.</t>
  </si>
  <si>
    <t>The company raised $2.8 million through a combination of Seed-1, Seed-2, and Seed-3 funding in a deal led by Restive Ventures on May 30, 2023, putting the company's pre-money valuation at $8.2 million. Central Payments and 10 other investors also participated in the round. The funds will be used by the company to make key hires, including a former Bumble employee to lead growth and an early Robinhood employee to work in product.</t>
  </si>
  <si>
    <t>financial services app, money management, money saving app, online challenge, personal financial management, rewards technology, social finance company, wealthtech</t>
  </si>
  <si>
    <t>270640-54P</t>
  </si>
  <si>
    <t>Katrin Kaurov</t>
  </si>
  <si>
    <t>katrin@getfrich.com</t>
  </si>
  <si>
    <t>Ms. Katrin Kaurov is a Co-Founder and serves as Chief Executive Officer at Frich.</t>
  </si>
  <si>
    <t>The company raised $2.8 million through a combination of Seed-1, Seed-2, and Seed-3 funding in a deal led by Restive Ventures on May 30, 2023, putting the company's pre-money valuation at $8.2 million. Central Payments, Red Cedar Ventures, TruStage Ventures, K20 Fund, Sunstone Management, Antler, Goodwater Capital, Lair East Labs, Falls Fintech, and Corinne Nevinny also participated in the round. The funds will be used by the company to make key hires, including a former Bumble employee to lead growth and an early Robinhood employee to work in product.</t>
  </si>
  <si>
    <t>Antler, Corinne Nevinny, Falls Fintech, K20 Fund, Lair East Labs, Red Cedar Ventures, Sunstone Management</t>
  </si>
  <si>
    <t>Restive Ventures</t>
  </si>
  <si>
    <t>Restive Ventures(Cameron Peake)</t>
  </si>
  <si>
    <t>Brown Rudnick (Legal Advisor to Company)</t>
  </si>
  <si>
    <t>www.getfrich.com</t>
  </si>
  <si>
    <t>201081-34T</t>
  </si>
  <si>
    <t>Functional Finance</t>
  </si>
  <si>
    <t>503171-11</t>
  </si>
  <si>
    <t>Altai Ventures, AltaIR Capital, Crystal Venture Partners, Gold House Ventures, New Enterprise Associates, The Starr Foundation, Walkabout Ventures(Joshua Diamond)</t>
  </si>
  <si>
    <t>Altai Ventures (www.altaiventures.com), AltaIR Capital (www.altair.vc), Crystal Venture Partners (www.crystalventurepartners.com), Gold House Ventures (www.goldhouse.org), New Enterprise Associates (www.nea.com), The Starr Foundation (www.starrfoundation.org), Walkabout Ventures (www.walkabout.vc)</t>
  </si>
  <si>
    <t>Developer of a financial software designed to increase the operational efficiency of the insurance industry. The company's platform offers tools for billing, invoicing, payment collection, statement generation, and real-time, automatic reconciliation on every invoice and policy, enabling insurance operators to unify and automate all financial operations and workflows and offer services without replacing their current infrastructure.</t>
  </si>
  <si>
    <t>The company raised $20 million through a combination of Series A-1 and Series A-2 venture funding in a deal led by Walkabout Ventures on September 19, 2024, putting the company's pre-money valuation at $60.15 million. Munich Re Ventures, Summit Peak Investments, and Philip Edmundson also participated in the round. The funding will be used to fuel platform expansion and strategic hiring.</t>
  </si>
  <si>
    <t>FinTech, InsurTech, SaaS</t>
  </si>
  <si>
    <t>enterprise resource planning, financial management system, financial service infrastructure, insurance industry tool, insurance payment platform, payables automation, payables management, premium payment platform</t>
  </si>
  <si>
    <t>311392-99P</t>
  </si>
  <si>
    <t>Rashmi Melgiri</t>
  </si>
  <si>
    <t>+1 (508) 561-8887</t>
  </si>
  <si>
    <t>rashmi@functionalfi.com</t>
  </si>
  <si>
    <t>Ms. Rashmi Melgiri is a Co-Founder &amp; serves as Chief Executive Officer &amp; Board Member at Functional Finance.</t>
  </si>
  <si>
    <t>The company raised $8 million through a combination of Seed 1 and Seed 2 funding in a deal led by New Enterprise Associates, Walkabout Ventures and AltaIR Capital on August 3, 2023, putting the company's pre-money valuation at $28 million. Altai Ventures, Gold House Ventures, Crystal Venture Partners, The Starr Foundation and other undisclosed investors also participated in the round.</t>
  </si>
  <si>
    <t>Altai Ventures, AltaIR Capital, Crystal Venture Partners, Gold House Ventures, New Enterprise Associates, The Starr Foundation, Walkabout Ventures</t>
  </si>
  <si>
    <t>AltaIR Capital, New Enterprise Associates, Walkabout Ventures(Joshua Diamond)</t>
  </si>
  <si>
    <t>Altai Ventures Fund II(Altai Ventures)</t>
  </si>
  <si>
    <t>www.functionalfi.com</t>
  </si>
  <si>
    <t>184704-58T</t>
  </si>
  <si>
    <t>Fundid</t>
  </si>
  <si>
    <t>484752-16</t>
  </si>
  <si>
    <t>Builders + Backers, Global FinTech Venture Partners, Nevcaut Ventures(Dan Quan), The Artemis Fund(Leslie Goldman), Wheelhouse Digital Studios</t>
  </si>
  <si>
    <t>Builders + Backers (www.buildersandbackers.com), Global FinTech Venture Partners (www.gfvp.com), Nevcaut Ventures (nevcaut.vc), The Artemis Fund (www.theartemisfund.com), Wheelhouse Digital Studios (www.wheelhouse-studio.com)</t>
  </si>
  <si>
    <t>Developer of a financial advisory platform intended to help entrepreneurs find resources to grow their businesses. The company's platform specializes in securing optimum grant and incentive funding by matching owners with business grants, enabling female entrepreneurs to establish and grow their business operations.</t>
  </si>
  <si>
    <t>The company raised $5.25 million of seed funding in a deal led by Nevcaut Ventures on August 17, 2022. Wheelhouse Digital Studios, Builders + Backers, Global FinTech Venture Partners, The Artemis Fund and other undisclosed investors also participated in the round.</t>
  </si>
  <si>
    <t>business funding, financial advisory group, grant management, grants funding, grants matching, grants provider, grants seeking</t>
  </si>
  <si>
    <t>225593-74P</t>
  </si>
  <si>
    <t>Stefanie Sample</t>
  </si>
  <si>
    <t>+1 (406) 256-9000</t>
  </si>
  <si>
    <t>Ms. Stefanie Sample is the Founder and serves as Chief Executive Officer at Fundid. She founded and served as Chief Executive Officer at The Insight Studio.</t>
  </si>
  <si>
    <t>Builders + Backers, Global FinTech Venture Partners, Nevcaut Ventures, The Artemis Fund, Wheelhouse Digital Studios</t>
  </si>
  <si>
    <t>Nevcaut Ventures(Dan Quan)</t>
  </si>
  <si>
    <t>Artemis Female Fund II(The Artemis Fund), Global Fintech Venture Fund I(Global FinTech Venture Partners)</t>
  </si>
  <si>
    <t>Missoula, MT</t>
  </si>
  <si>
    <t>Missoula</t>
  </si>
  <si>
    <t>59802</t>
  </si>
  <si>
    <t>www.getfundid.com</t>
  </si>
  <si>
    <t>226580-68T</t>
  </si>
  <si>
    <t>FundMiner</t>
  </si>
  <si>
    <t>521405-20</t>
  </si>
  <si>
    <t>Cascade Seed Fund, Ferter, Sonoran Founders Fund(Kevin Groman), Techstars</t>
  </si>
  <si>
    <t>Cascade Seed Fund (www.cascadeseedfund.com), Ferter (ferter.in), Sonoran Founders Fund (www.sonoranfund.com), Techstars (www.techstars.com)</t>
  </si>
  <si>
    <t>Developer of software designed for fundraising organizations designed for universities and community foundations. The company's platform aggregates and organizes data and information which helps users track their funds easily, and includes compliance tracking, data visualization, workflow automation, and secure storage, enabling users to manage their gifts, funds, and endowments effectively.</t>
  </si>
  <si>
    <t>The company raised $2.50 million of Seed-1 funding from undisclosed investors on July 2, 2024, putting the company's pre-money valuation at $15 million.</t>
  </si>
  <si>
    <t>cfo stack, education app, financial saas, financial services, fund management, software development, software solutions</t>
  </si>
  <si>
    <t>339202-09P</t>
  </si>
  <si>
    <t>Chelsea Lamego</t>
  </si>
  <si>
    <t>chelsea@fundminer.com</t>
  </si>
  <si>
    <t>Ms. Chelsea Lamego is a Co-Founder and serves as Chief Executive Officer and Chairman at FundMiner. She founded FundMiner after working within Advancement Operations for 5 years at the University of Texas at El Paso.</t>
  </si>
  <si>
    <t>The company raised $1.7 million of Seed funding in a deal led by Sonoran Founders Fund on June 30, 2024, putting the company's pre-money valuation at $5 million. Cascade Seed Fund, Ferter and Techstars also participated in the round.</t>
  </si>
  <si>
    <t>Cascade Seed Fund, Ferter, Sonoran Founders Fund</t>
  </si>
  <si>
    <t>Sonoran Founders Fund(Kevin Groman)</t>
  </si>
  <si>
    <t>El Paso, TX</t>
  </si>
  <si>
    <t>El Paso</t>
  </si>
  <si>
    <t>79912</t>
  </si>
  <si>
    <t>www.fundminer.com</t>
  </si>
  <si>
    <t>177964-57T</t>
  </si>
  <si>
    <t>Fundr</t>
  </si>
  <si>
    <t>454562-83</t>
  </si>
  <si>
    <t>Capital Factory, Urban Capital Network</t>
  </si>
  <si>
    <t>Capital Factory (www.capitalfactory.com), Urban Capital Network (www.urbancapitalnetwork.com)</t>
  </si>
  <si>
    <t>Provider of an investor platform intended to produce seed portfolios of diverse founders for investors. The company's platform finds and aligns startups based on the corporate's needs and requirements and provides automated tools for tracking progress, enabling investors to build and diversify their seed portfolio.</t>
  </si>
  <si>
    <t>The company raised $1 million of seed funding from Urban Capital Network and Capital Factory on an undisclosed date.</t>
  </si>
  <si>
    <t>Business/Productivity Software, Financial Software*, Information Services (B2C), Media and Information Services (B2B)</t>
  </si>
  <si>
    <t>enterprise architecture, financial service infrastructure, financial services infrastructure, investment diversification, investment platform, investment platform operator, investment platform service, portfolio investment, seed funding</t>
  </si>
  <si>
    <t>105007-42P</t>
  </si>
  <si>
    <t>Lauren Washington</t>
  </si>
  <si>
    <t>lauren@fundr.ai</t>
  </si>
  <si>
    <t>Ms. Lauren Washington is a Co-Founder &amp; serves as Chief Executive Officer at Fundr.</t>
  </si>
  <si>
    <t>Northwestern University (Kellogg), MBA (Master of Business Administration), 2011, Entrepreneurship and Innovation, University of North Carolina, Chapel Hill, BA (Bachelor of Arts), 2005, Journalism and Mass Communication</t>
  </si>
  <si>
    <t>78744</t>
  </si>
  <si>
    <t>www.fundr.ai</t>
  </si>
  <si>
    <t>172124-11T</t>
  </si>
  <si>
    <t>FurSure</t>
  </si>
  <si>
    <t>438128-20</t>
  </si>
  <si>
    <t>BDMI, Moxxie Ventures, Streamlined Ventures(Ullas Naik), Ullas Naik(Ullas Naik)</t>
  </si>
  <si>
    <t>BDMI (www.bdmifund.com), Moxxie Ventures (www.moxxie.vc), Streamlined Ventures (www.streamlined.vc)</t>
  </si>
  <si>
    <t>Provider of pet insurance services intended to offer personalization and transparency to the pet health insurance sector. The company specializes in research, guidance, and continual service even after buying the policy and finds a pet insurance plan as seamless as possible for every pet parent with their customized approach, enabling customers to find pet insurance without spending hours on google with confusing jargon or outdated information.</t>
  </si>
  <si>
    <t>The company raised $3 million of seed funding in a deal led by MaC Venture Capital on October 27, 2022, putting the company's pre-money valuation at $22 million. Slope and 6 other investors also participated in the round. The funds will be used to propel the business forward with unique pet healthcare product developments, further establishing it as a one-stop financial shop for pet parents.</t>
  </si>
  <si>
    <t>Application Software, Other Insurance, Other Services (B2C Non-Financial)*</t>
  </si>
  <si>
    <t>InsurTech, Mobile, Pet Technology</t>
  </si>
  <si>
    <t>pet care services, pet health insurance, pet healthcare, pet insurance, pet insurance broker, pet insurance policy, pet insurance provider</t>
  </si>
  <si>
    <t>238324-69P</t>
  </si>
  <si>
    <t>Catherine Dennig</t>
  </si>
  <si>
    <t>catherine@getfursure.com</t>
  </si>
  <si>
    <t>Ms. Catherine Dennig is a Co-Founder and serves as Chief Executive Officer at FurSure.</t>
  </si>
  <si>
    <t>The company raised $3 million of Series 1 seed funding led by Moxxie Ventures and Streamlined Ventures on March 26, 2021, putting the company's pre-money valuation at $17 million. Bertelsmann Digital Media Investments and Ullas Naik also participated in the round.</t>
  </si>
  <si>
    <t>BDMI, Moxxie Ventures, Streamlined Ventures, Ullas Naik</t>
  </si>
  <si>
    <t>Moxxie Ventures, Streamlined Ventures(Ullas Naik)</t>
  </si>
  <si>
    <t>Streamlined Ventures III(Streamlined Ventures)</t>
  </si>
  <si>
    <t>94115</t>
  </si>
  <si>
    <t>www.getfursure.com</t>
  </si>
  <si>
    <t>168278-14T</t>
  </si>
  <si>
    <t>Gable</t>
  </si>
  <si>
    <t>462628-09</t>
  </si>
  <si>
    <t>Andrew Sinkov(Andrew Sinkov), Andrija Vrdoljak(Andrija Vrdoljak), Canaan Partners, January Ventures, Liron Smadja(Liron Smadja), Nadia Harris(Nadia Harris), Olga Maslikhova(Olga Maslikhova), Sarah Sorenson(Sarah Sorenson), Texas McCombs Investment Advisers, Unpopular Ventures, Yasmin Lukatz(Yasmin Lukatz)</t>
  </si>
  <si>
    <t>Canaan Partners (www.canaan.com), January Ventures (january.ventures), Unpopular Ventures (www.unpopular.vc)</t>
  </si>
  <si>
    <t>Developer of a workspace-as-a-service platform intended to distribute workspaces for companies and remote workers to manage the hybrid workspace. The company's platform helps to explore workspaces nearby and offers a secure space, enabling users to create flexible workplaces where they can connect, collaborate, and thrive.</t>
  </si>
  <si>
    <t>The company raised $12 million of Series A venture funding in a deal led by Foundation Capital, 515 Ventures, Allison Pickens Ventures, and SemperVirens Venture Capital on February 28, 2023. January Ventures and 3 other investors also participated in the round. The funds will be used to expand the company's workforce in the sales, customer success, and marketing areas extend its product offering, and hire more engineers and product team employees in its Israel offices to facilitate this.</t>
  </si>
  <si>
    <t>Real Estate Technology</t>
  </si>
  <si>
    <t>enterprise asset management, enterprise resource planning, erp, generative ai, hybrid workspace, local workspace, remote work environment, remote workplace, workspace provider, workspace search</t>
  </si>
  <si>
    <t>256105-18P</t>
  </si>
  <si>
    <t>Liza Levin</t>
  </si>
  <si>
    <t>+1 (210) 718-4752</t>
  </si>
  <si>
    <t>liza@gable.to</t>
  </si>
  <si>
    <t>Ms. Liza Levin is a Co-Founder and serves as Chief Executive Officer at Gable.</t>
  </si>
  <si>
    <t>The company raised $700,000 through a combination of Seed funding from MBA Investment Fund, January Ventures and Unpopular Ventures on September 1, 2020, putting the company's pre-money valuation at $5 million. Canaan Partners, Olga Maslikhova, Yasmin Lukatz, Andro Vrdoljak, Nadia Harris, Sarah Sorenson, Andrew Sinkov and Liron Smadja also participated in the round.</t>
  </si>
  <si>
    <t>Andrew Sinkov, Andrija Vrdoljak, Canaan Partners, January Ventures, Liron Smadja, Nadia Harris, Olga Maslikhova, Sarah Sorenson, Texas McCombs Investment Advisers, Unpopular Ventures, Yasmin Lukatz</t>
  </si>
  <si>
    <t>Canaan X(Canaan Partners), January Ventures Fund I(January Ventures), Unpopular Ventures Preferred A1(Unpopular Ventures)</t>
  </si>
  <si>
    <t>www.gable.to</t>
  </si>
  <si>
    <t>199197-28T</t>
  </si>
  <si>
    <t>Gainfront</t>
  </si>
  <si>
    <t>462057-58</t>
  </si>
  <si>
    <t>Naples Technology Ventures(Mike Abbaei)</t>
  </si>
  <si>
    <t>Naples Technology Ventures (www.naplestechnologyventures.com)</t>
  </si>
  <si>
    <t>Developer of an automated supplier procurement management tool designed to gain full visibility on all spend types. The company's tool provides a contract management and invoice module, vendor risk management, forecasting module, and compliance management, enabling businesses to make predictive analytics for better purchasing decisions.</t>
  </si>
  <si>
    <t>The company raised $3 million of seed funding from Naples Technology Ventures on July 11, 2022. The funds will be used to accelerate growth, add features, and enhance marketing efforts.</t>
  </si>
  <si>
    <t>Artificial Intelligence &amp; Machine Learning, SaaS, Supply Chain Tech</t>
  </si>
  <si>
    <t>ai automation platform, compliance management, contract lifecycle management, performance management, procurement management system, supplier relationship management, vendor risk software</t>
  </si>
  <si>
    <t>254892-97P</t>
  </si>
  <si>
    <t>Hetal Mehta</t>
  </si>
  <si>
    <t>+1 (408) 712-1277</t>
  </si>
  <si>
    <t>hetal@gainfront.com</t>
  </si>
  <si>
    <t>Ms. Hetal Mehta is the Founder and serves as Chief Executive Officer and Board Member at Gainfront. She holds a BS in Electrical Engineering, and, prior to founding Gainfront, she logged more than 15 years of IT consulting experience with financial firms on Wall Street. Her technical background combined with her sharp domain expertise has been instrumental in building Gainfront; engaging industry-leading customers, attracting and mentoring top engineering talent, and delivering top-class business results, she has driven Gainfront's growth over the years. Hetal Mehta has been recipient of Steve Awards and Women of the Year award by San Jose News Journal.</t>
  </si>
  <si>
    <t>University of Bombay, BS (Bachelor of Science), Electrical Engineering</t>
  </si>
  <si>
    <t>Naples Technology Ventures</t>
  </si>
  <si>
    <t>FINALIS SECURITIES (Advisor: General to Company, Andrew Engram), Now Capital Partners (Advisor: General to Company), Pillsbury Winthrop Shaw Pittman (Legal Advisor to Company)</t>
  </si>
  <si>
    <t>FINALIS SECURITIES (Advisor: General to Company, Andrew Engram), Now Capital Partners (Advisor: General to Company)</t>
  </si>
  <si>
    <t>www.gainfront.com</t>
  </si>
  <si>
    <t>179808-40T</t>
  </si>
  <si>
    <t>Game Jolt</t>
  </si>
  <si>
    <t>434657-26</t>
  </si>
  <si>
    <t>Acequia Capital(Hank Vigil), Graph Ventures, Kevin Lin(Kevin Lin), Madrona Venture Group, Nicholas Fajt(Nicholas Fajt), Possible Ventures, Ride Ventures(Greg Arrese), The Gramercy Fund, Todd Hooper(Todd Hooper), Trent Gegax(Trent Gegax)</t>
  </si>
  <si>
    <t>Acequia Capital (www.acecap.com), Graph Ventures (www.graphventures.com), Madrona Venture Group (www.madrona.com), Possible Ventures (www.possible.ventures), The Gramercy Fund (www.gramercyfund.com)</t>
  </si>
  <si>
    <t>Developer of a user-generated marketplace for digital collectibles designed for brands and creators connecting with millions of the Gen Z gaming community.
 The company platform helps to share video games and download major titles along with on-platform events and mini-games to enhance user engagement, enabling players to play and compete with friends and other players.</t>
  </si>
  <si>
    <t>The company raised $2.64 million of seed funding in a deal led by Acequia Capital on September 8, 2021. Madrona Venture Group and 8 other investors also participated in the round. The funds will be used to build in-app live streaming, discoverability, and monetization for its game-based content creators. An undisclosed amount of funding was originally raised in the form of SAFE notes and subsequently converted to equity.</t>
  </si>
  <si>
    <t>Application Software, Entertainment Software*, Social/Platform Software</t>
  </si>
  <si>
    <t>community platform, creator network, games sharing community, gaming community, gaming experience, gaming platform, gaming social, generative ai, loyalty program, social app, ugc marketplace, user generated media, video game platform, video games</t>
  </si>
  <si>
    <t>228938-95P</t>
  </si>
  <si>
    <t>Yaprak DeCarmine</t>
  </si>
  <si>
    <t>yaprak@gamejolt.com</t>
  </si>
  <si>
    <t>Ms. Yaprak DeCarmine is a Co-Founder and serves as Chief Executive Officer &amp; Board Member at Game Jolt. Prior to building Game Jolt, she joined Zulily in an operations role in their first year of operation prior to their IPO. Later, she became a toy buyer and was recruited by Groupon as the first buyer to establish their Canadian Goods business. Through Game Jolt, she is dedicated to building a platform that 3 billion gamers can call home.</t>
  </si>
  <si>
    <t>The company raised $2.64 million of seed funding in a deal led by Acequia Capital on September 8, 2021. Madrona Venture Group, Graph Ventures, Possible Ventures, Ride Ventures, The Gramercy Fund, Trent Gegax, Todd Hooper, Kevin Lin and Nick Fajt also participated in the round. The funds will be used to build in-app live streaming, discoverability, and monetization for its game-based content creators. An undisclosed amount of funding was originally raised in the form of SAFE notes and subsequently converted to equity.</t>
  </si>
  <si>
    <t>Acequia Capital, Graph Ventures, Kevin Lin, Madrona Venture Group, Nicholas Fajt, Possible Ventures, Ride Ventures, The Gramercy Fund, Todd Hooper, Trent Gegax</t>
  </si>
  <si>
    <t>Acequia Capital(Hank Vigil)</t>
  </si>
  <si>
    <t>Acequia Capital III(Acequia Capital), Graph Ventures 6(Graph Ventures)</t>
  </si>
  <si>
    <t>www.gamejolt.com</t>
  </si>
  <si>
    <t>157187-26T</t>
  </si>
  <si>
    <t>Gameboard</t>
  </si>
  <si>
    <t>442271-62</t>
  </si>
  <si>
    <t>Behind Genius Ventures, Coppice Capital, HAX, SOSV</t>
  </si>
  <si>
    <t>Behind Genius Ventures (www.behindgeniusventures.com), Coppice Capital (www.coppicecapital.co.uk), HAX (hax.co), SOSV (www.sosv.com)</t>
  </si>
  <si>
    <t>Developer of a tabletop gaming platform designed to bring back social gameplay. The company's platform utilizes a blend of physical, digital, and augmented reality to offer virtual tabletop games, enabling customers to play any tabletop game at any place without the need for game-specific items.</t>
  </si>
  <si>
    <t>The company joined AARP Innovation Labs on December 30, 2023. No equity or funding was exchanged as a result of this program.</t>
  </si>
  <si>
    <t>Electronics (B2C)</t>
  </si>
  <si>
    <t>Electronics (B2C)*, Entertainment Software, Recreational Goods</t>
  </si>
  <si>
    <t>Augmented Reality, Gaming</t>
  </si>
  <si>
    <t>board games, game developer, gaming access, gaming hardware, table tops games, tabletop gaming developer, tabletop gaming software, video game creator</t>
  </si>
  <si>
    <t>243016-30P</t>
  </si>
  <si>
    <t>Shail Mehta</t>
  </si>
  <si>
    <t>+1 (720) 219-8337</t>
  </si>
  <si>
    <t>shail@lastgameboard.com</t>
  </si>
  <si>
    <t>Ms. Shail Mehta is a Co-Founder and serves as Chief Executive Officer &amp; Board Member at Gameboard. She has a passion for gaming. When she immigrated to the US in the 90s, she encountered a group of children in her apartment that were playing chutes and ladders. She not knowing English, just began to play. The role of gameplay in creating community and fostering human connection has been central to her work at The Last Gameboard. In her professional life, she has a financial background working for hedge funds and venture capital funds. She has consulted for the Nuclear Regulatory Committee, City University of New York, City &amp; County of Denver 's projects, and Triunity Engineering. Has managed teams and executed projects throughout her career. She is the driving force for the vision and future for The Last Gameboard.</t>
  </si>
  <si>
    <t>The company raised $800,000 of seed funding from SOSV, Behind Genius Ventures and Hax Incubator on September 14, 2020. Coppice Capital also participated in the round.</t>
  </si>
  <si>
    <t>www.lastgameboard.com</t>
  </si>
  <si>
    <t>Image or video recognition or understanding, Radio direction-finding</t>
  </si>
  <si>
    <t>272341-00T</t>
  </si>
  <si>
    <t>GC AI</t>
  </si>
  <si>
    <t>594193-06</t>
  </si>
  <si>
    <t>MKT1, Work Life Ventures</t>
  </si>
  <si>
    <t>MKT1 (www.mkt1.co), Work Life Ventures (www.worklife.vc)</t>
  </si>
  <si>
    <t>Developer of a generative AI-based legal technology designed for in-house counsels. The company's technology provides features including first drafts, counseling docs, up-to-the-minute legal advice, higher-quality reviews, automated checklist reviews and common workflows with customizable saved prompts, enabling clients to get access to tools for reviewing, researching, and iterating on work products.</t>
  </si>
  <si>
    <t>The company raised $1.65 million of Seed funding from MKT1, Work Life Ventures on September 16, 2024, putting the company's pre-money valuation at $8.35 million.</t>
  </si>
  <si>
    <t>automate task, generative ai technology, in-house counselling, legal advice, legal technology tools, strategic advice</t>
  </si>
  <si>
    <t>327799-00P</t>
  </si>
  <si>
    <t>Cecilia Ziniti</t>
  </si>
  <si>
    <t>+1 (415) 269-4144</t>
  </si>
  <si>
    <t>cecilia@getgc.ai</t>
  </si>
  <si>
    <t>Ms. Cecilia Ziniti is a Co-Founder and serves as Board Member, Chief Legal Officer, Chief Executive Officer &amp; General Counsel at GC AI. She served as General Counsel &amp; Head of Business Development, Corporate Secretary at Replit. She served as an Angel Investor. She was a three-time General Counsel / Chief Legal Officer (Replit, BloomTech, and Anki). She was the former lead Product/IP Counsel at Cruise, Amazon Alexa counsel, and Morrison &amp; Foerster litigator. She is a Berkeley Law JD and Fellow, at Berkeley Center for Law and Technology.</t>
  </si>
  <si>
    <t>UC Berkeley (Boalt Hall School of Law), JD (Doctor of Law)</t>
  </si>
  <si>
    <t>getgc.ai</t>
  </si>
  <si>
    <t>209690-65T</t>
  </si>
  <si>
    <t>GenEQTY</t>
  </si>
  <si>
    <t>498309-31</t>
  </si>
  <si>
    <t>Tundra Ventures</t>
  </si>
  <si>
    <t>Tundra Ventures (www.tundravc.com)</t>
  </si>
  <si>
    <t>Developer of a data intelligence platform designed to transform intricate small and midsize business financial data into actionable insights. The company's platform by aggregating and analyzing financial data from various sources provides a comprehensive view of an SMB's financial health, spending behavior, and growth potential and empowers financial institutions, fintechs, global payment companies, and enterprises to embed tailored financial products or services directly within their platforms or applications, meeting the specific needs of SMBs, enabling women-owned and minority-owned companies to manage overall business health.</t>
  </si>
  <si>
    <t>The company raised an undisclosed amount of venture funding from Plug and Play Tech Center in approximately October 2023.</t>
  </si>
  <si>
    <t>artificial intelligence engine, data analytics software, financial data analytics, financial service infrastructure, financial services infrastructure, financial tool developer, fintech data, fintech platform, saas</t>
  </si>
  <si>
    <t>305318-44P</t>
  </si>
  <si>
    <t>Dionne Gumbs</t>
  </si>
  <si>
    <t>dionne@geneqty.com</t>
  </si>
  <si>
    <t>Ms. Dionne Gumbs is the Founder and serves as Chief Executive Officer &amp; Board Member at GenEQTY.</t>
  </si>
  <si>
    <t>Columbia Business School, MBA (Master of Business Administration), 2007, University of Pennsylvania, BA (Bachelor of Arts), 2000, Political Science/Economics</t>
  </si>
  <si>
    <t>The company raised $100,000 of venture funding in a deal led by Tundra Ventures on April 25, 2022.</t>
  </si>
  <si>
    <t>MN</t>
  </si>
  <si>
    <t>55446</t>
  </si>
  <si>
    <t>www.geneqty.com</t>
  </si>
  <si>
    <t>225766-09T</t>
  </si>
  <si>
    <t>Genius Academy</t>
  </si>
  <si>
    <t>529004-62</t>
  </si>
  <si>
    <t>Penske Corporation, SXSW</t>
  </si>
  <si>
    <t>SXSW (sxsw.com)</t>
  </si>
  <si>
    <t>Operator of the on-demand streaming platform intended to integrate into psychology, social work, and counseling courses. The company's platform offers an experiential mental health curriculum for integration into psychology counseling and social work classrooms searchable by topics, courses, programs, and problems, helping learners to recognize and correct areas for improvement.</t>
  </si>
  <si>
    <t>The company joined WGU Labs in 2024. No equity or funding was exchanged as a result of this program.</t>
  </si>
  <si>
    <t>assessment platform, experiential media, experiential mental health curriculum, mental health counseling, mental health education, streaming platform</t>
  </si>
  <si>
    <t>351269-65P</t>
  </si>
  <si>
    <t>Kim Shields</t>
  </si>
  <si>
    <t>+1 (818) 861-7771</t>
  </si>
  <si>
    <t>Ms. Kim Shields is the Founder and serves as President &amp; Chief Executive Officer at Genius Academy. She was recently named one of the Top 20 "Most Dynamic CEOS of 2021". For more than 15 years, she has collaborated with top-tier universities to create a revolutionary immersive curriculum that heightens student engagement through experiential learning and narrative pedagogy. She saw a need to democratize online education, so she launched Genius Academy to provide affordable access to dynamic experiential learning assets for all learners.</t>
  </si>
  <si>
    <t>University of California, Santa Barbara, BA (Bachelor of Arts), Film Theory</t>
  </si>
  <si>
    <t>The company raised $1.1 million of seed funding from Penske Corporation, and SXSW in September2021, putting the company's pre-money valuation at $5.9 million.</t>
  </si>
  <si>
    <t>www.experiencegenius.academy</t>
  </si>
  <si>
    <t>134888-68T</t>
  </si>
  <si>
    <t>Gentreo</t>
  </si>
  <si>
    <t>434063-26</t>
  </si>
  <si>
    <t>Breakaway Growth Fund, Sequoia Capital</t>
  </si>
  <si>
    <t>Breakaway Growth Fund (www.breakawaygrowth.us), Sequoia Capital (www.sequoiacap.com)</t>
  </si>
  <si>
    <t>Developer of a web-enabled tool designed to make estate planning easy, affordable, and accessible. The company's platform helps to create state-specific documents, securely store and share documents, prepare wills, power of attorney, medical directives, and pet-caring legal issues, enabling family members to securely store legal data and have instant access in an emergency with pre-drafted documents.</t>
  </si>
  <si>
    <t>The company joined Inclusive Ventures Lab on September 6, 2022 and received $250,000 in funding. Previously, the company raised an undisclosed amount of venture funding from Cap Table Coalition on January 23, 2022.</t>
  </si>
  <si>
    <t>Legal Services (B2C)</t>
  </si>
  <si>
    <t>Database Software, Information Services (B2C), Legal Services (B2C)*</t>
  </si>
  <si>
    <t>coaching and training, digital vaults, estate planning, legal documentation, power of attorney services, will storage</t>
  </si>
  <si>
    <t>138374-56P</t>
  </si>
  <si>
    <t>Renee Fry</t>
  </si>
  <si>
    <t>+1 (805) 566-6583</t>
  </si>
  <si>
    <t>renee@gentreo.com</t>
  </si>
  <si>
    <t>Ms. Renee Fry is a Co-Founder and serves as Chief Executive Officer at Gentreo. She brings with her over fifteen years of business and government experience and is a noted expert in the areas of business formation and new market development. She worked with the CEO and VP of Sales and Marketing to complete the successful GT Solar IPO. She worked with Philips to establish new business initiatives. She served as a senior staff member for Governor Mitt Romney, where she oversaw her cabinet and was in the cabinet and responsible for the state's business and technology initiatives.</t>
  </si>
  <si>
    <t>Harvard Business School, MBA (Master of Business Administration), 1999, Pennsylvania State University (Penn State), BS (Bachelor of Science), 1994, Logistics</t>
  </si>
  <si>
    <t>The company raised $25,000 of seed funding in a deal led by Breakaway Growth Fund in April 2020. Sequoia Capital also participated in the round.</t>
  </si>
  <si>
    <t>Breakaway Growth Fund</t>
  </si>
  <si>
    <t>Quincy, MA</t>
  </si>
  <si>
    <t>Quincy</t>
  </si>
  <si>
    <t>02169</t>
  </si>
  <si>
    <t>www.gentreo.com</t>
  </si>
  <si>
    <t>139233-52T</t>
  </si>
  <si>
    <t>Geojam</t>
  </si>
  <si>
    <t>436806-10</t>
  </si>
  <si>
    <t>CRT Labs, Dan Lok Ventures, Expert DOJO(Jonathan Hung), Galaxy Interactive, KuCoin Labs, Synapse Network</t>
  </si>
  <si>
    <t>CRT Labs (www.crtlabs.io), Dan Lok Ventures (www.danlokventures.com), Expert DOJO (www.expertdojo.com), Galaxy Interactive (interactive.galaxy.com), Synapse Network (www.synapse.network)</t>
  </si>
  <si>
    <t>Operator of a music-based social media platform intended to share music with friends. The company's platform offers music from different genres and permits sharing them among people thereby giving rewards in return, enabling music lovers to discover music they love while unlocking new revenue streams for artists and brands.</t>
  </si>
  <si>
    <t>The company raised an estimated $2.89 million through a combination of Seed 2-A, Seed 2-B and Seed 2-C funding from Ghaf Capital Partners, Hodl, Alpha Transform Holdings, and other undisclosed investors on December 19, 2021, putting the company's pre-money valuation at $10 million.</t>
  </si>
  <si>
    <t>Application Software, Social Content*, Social/Platform Software</t>
  </si>
  <si>
    <t>Artificial Intelligence &amp; Machine Learning, AudioTech, Mobile</t>
  </si>
  <si>
    <t>music platform, music portal, music sharing app, music social media, music streaming, reward points, social media platform</t>
  </si>
  <si>
    <t>234631-18P</t>
  </si>
  <si>
    <t>Sarah Figueroa</t>
  </si>
  <si>
    <t>+1 (949) 798-9334</t>
  </si>
  <si>
    <t>sarah@geojam.com</t>
  </si>
  <si>
    <t>Ms. Sarah Figueroa is a Co-Founder and serves as the Chief Executive Officer at Geojam.</t>
  </si>
  <si>
    <t>The company raised $2.5 million of seed funding in a deal led by Expert DOJO on April 24, 2020, putting the company's pre-money valuation at $2.6 million. Synapse Network, KuCoin Labs, CRT Labs, Galaxy Interactive (New York) and Dan Lok Ventures also participated in the round.</t>
  </si>
  <si>
    <t>CRT Labs, Dan Lok Ventures, Expert DOJO, Galaxy Interactive, KuCoin Labs, Synapse Network</t>
  </si>
  <si>
    <t>Expert DOJO(Jonathan Hung)</t>
  </si>
  <si>
    <t>Expert DOJO Fund II(Expert DOJO)</t>
  </si>
  <si>
    <t>90291</t>
  </si>
  <si>
    <t>www.geojam.xyz</t>
  </si>
  <si>
    <t>253664-65T</t>
  </si>
  <si>
    <t>Gestalt (Database Software)</t>
  </si>
  <si>
    <t>589838-23</t>
  </si>
  <si>
    <t>Connetic Ventures, Newtype Ventures, Sentiero Ventures, Turbostart</t>
  </si>
  <si>
    <t>Connetic Ventures (www.conneticventures.com), Newtype Ventures (www.newtypeventures.com), Sentiero Ventures (www.sentiero.vc), Turbostart (www.turbostart.co)</t>
  </si>
  <si>
    <t>Developer of a data warehousing and management platform intended to provide a secure database to businesses. The company's platform is built for start-up or early-stage businesses to eliminate manual data upload, helping clients with compliance, bank reporting, and other critical areas.</t>
  </si>
  <si>
    <t>The company joined gener8tor as part of the Curql Accelerate Fall 2024 on an undisclosed date.</t>
  </si>
  <si>
    <t>bank reporting, compliance data, credit fund, data driven product, data engineer, data warehouse, debt compliance, portfolio performance, secure database</t>
  </si>
  <si>
    <t>245419-93P</t>
  </si>
  <si>
    <t>Stephanie Hanson</t>
  </si>
  <si>
    <t>+1 (508) 228-4166</t>
  </si>
  <si>
    <t>shanson@gestalttech.com</t>
  </si>
  <si>
    <t>Ms. Stephanie Hanson is Co-Founder &amp; serves as Chief Executive Officer at Gestalt. She also serves as Board Member at Blossom Street Ventures. Stephanie is the CEO and co-founder of Clean Layer. Prior to Clean Layer, Stephanie was the CEO and founder of defi SOLUTIONS which served the need for origination systems to the meet the speed and flexibility needs of new and fast-growing auto lenders. She is a leader in the Auto Finance industry with 20 years experience creating risk based technology solutions for auto and emergency cash lenders.</t>
  </si>
  <si>
    <t>MBA (Master of Business Administration), Texas Christian University, BA (Bachelor of Arts), Finance, Spanish Minor – Cum Laude</t>
  </si>
  <si>
    <t>The company raised $2 million of seed funding from Connetic Ventures, Sentiero Ventures and Newtype Ventures on December 7, 2023. Turbostart also participated in the round. The funding was initially raised in the form of SAFE notes that subsequently got converted to equity.</t>
  </si>
  <si>
    <t>Newtype Ventures, Sentiero Ventures, Turbostart</t>
  </si>
  <si>
    <t>Connetic Ventures</t>
  </si>
  <si>
    <t>Sentiero Ventures Fund(Sentiero Ventures)</t>
  </si>
  <si>
    <t>Flower Mound, TX</t>
  </si>
  <si>
    <t>Flower Mound</t>
  </si>
  <si>
    <t>75022</t>
  </si>
  <si>
    <t>www.gestalttech.com</t>
  </si>
  <si>
    <t>158631-85T</t>
  </si>
  <si>
    <t>GivingData</t>
  </si>
  <si>
    <t>231374-98</t>
  </si>
  <si>
    <t>Developer of a grant and relationship management platform intended to help foundations optimize their grantmaking and stakeholder collaboration. The company's purpose-built tools include features such as portfolio management, scenario planning, grantee relationship management, custom workflows, and APIs for integration with numerous third-party operations, enabling grantmakers to manage all aspects of their foundation giving in the cloud.</t>
  </si>
  <si>
    <t>The company raised $3 million of Series A venture funding from Arthur Ventures on November 2, 2020, putting the company's pre-money valuation at $10 million.</t>
  </si>
  <si>
    <t>data management software, enterprise software system, grants software, philanthropic solution, purpose built crm, relationship management tool, stakeholder collaboration</t>
  </si>
  <si>
    <t>190278-82P</t>
  </si>
  <si>
    <t>Alfred Gracombe</t>
  </si>
  <si>
    <t>+1 (617) 500-3399</t>
  </si>
  <si>
    <t>alf.gracombe@givingdata.com</t>
  </si>
  <si>
    <t>Mr. Alfred Gracombe is the Founder and Board Member at GivingData. He served as Chief Executive Officer at GivingData. He has spent his entire career working in the nonprofit sector and is motivated by a core belief that technology has a critical role to play in the service of mission-driven organizations. He got his start in computers teaching electronic music composition and recording to middle school-aged kids in Washington, DC, followed by 10 years in Web development as VP of R&amp;D at Interactive Applications Group (iapps), a market-leading design and development company serving grantseeking and grantmaking organizations. He went on to start a technology consulting practice which evolved into GivingData when it became clear that the future of the company was in its software product.</t>
  </si>
  <si>
    <t>02139</t>
  </si>
  <si>
    <t>www.givingdata.com</t>
  </si>
  <si>
    <t>171369-73T</t>
  </si>
  <si>
    <t>Givingli</t>
  </si>
  <si>
    <t>459156-07</t>
  </si>
  <si>
    <t>186 Ventures, Baron Davis, Harry Hurst, Predictive Venture Partners, Seven Seven Six, Snap Yellow Accelerator(Michael Su)</t>
  </si>
  <si>
    <t>186 Ventures (186ventures.com), Predictive Venture Partners (www.predictivevc.com), Seven Seven Six (www.sevensevensix.com), Snap Yellow Accelerator (www.yellowla.com)</t>
  </si>
  <si>
    <t>Developer of customizable digital gifting software designed to allow users to send greetings and gifts from their mobile phones. The company offers personalized digital greetings by independent artists from around the world that include thank you cards, birthday gifts and cards meant for various occasions and also allows the addition of optional gifts from various brands, enabling users to send virtual greetings and gifts to their friends and family.</t>
  </si>
  <si>
    <t>The company raised $7.86 million of Series A venture funding in a deal led by Seven Seven Six on November 1, 2022, putting the company's pre-money valuation at $30 million. Other undisclosed investors also participated in the round.</t>
  </si>
  <si>
    <t>digital gifting, digital gifting platform, digital greeting, digital greeting card, online gift giving, online gifting portal</t>
  </si>
  <si>
    <t>251114-86P</t>
  </si>
  <si>
    <t>Nicole Green</t>
  </si>
  <si>
    <t>+1 (310) 773-5384</t>
  </si>
  <si>
    <t>nicole@givingli.com</t>
  </si>
  <si>
    <t>Ms. Nicole Green is a Co-Founder and serves as Board Member &amp; Chief Executive Officer at Givingli.</t>
  </si>
  <si>
    <t>MA (Master of Arts), Psychotherapy</t>
  </si>
  <si>
    <t>The company raised $4 million through a combination of Seed 1, Seed 2, and Seed 3 funding in a deal led by Seven Seven Six on June 29, 2021, putting the company's pre-money valuation at $10 million. Yellow, Baron Davis, 186 Ventures, Predictive Venture Partners and Harry Hurst also participated in the round. The funds will be used by the company to expand its gift offerings and grow creative partnerships with its community of independent artists.</t>
  </si>
  <si>
    <t>186 Ventures, Baron Davis, Harry Hurst, Predictive Venture Partners, Seven Seven Six</t>
  </si>
  <si>
    <t>Snap Yellow Accelerator</t>
  </si>
  <si>
    <t>186 Ventures I(186 Ventures), 776 Arete Fund I(Seven Seven Six), Predictive Venture Partners III(Predictive Venture Partners)</t>
  </si>
  <si>
    <t>Cooley (Legal Advisor to Seven Seven Six), Fenwick &amp; West (Legal Advisor to Company)</t>
  </si>
  <si>
    <t>Cooley (Legal Advisor to Seven Seven Six)</t>
  </si>
  <si>
    <t>90212</t>
  </si>
  <si>
    <t>www.givingli.com</t>
  </si>
  <si>
    <t>186943-24T</t>
  </si>
  <si>
    <t>Glacier</t>
  </si>
  <si>
    <t>481843-36</t>
  </si>
  <si>
    <t>Asymmetric Capital Partners, SHAKTI, Tommy Leep(Tommy Leep)</t>
  </si>
  <si>
    <t>Asymmetric Capital Partners (acp.vc), SHAKTI (www.shaktivc.com)</t>
  </si>
  <si>
    <t>Developer of recycling robots designed to revolutionize the way recycling facilities use technology. The company's platform uses artificial intelligence-powered sensors and robotics to automate the sorting of recyclable materials, enabling recycling facilities to streamline their operations, improve accuracy and increase profitability.</t>
  </si>
  <si>
    <t>The company raised $7.7 million of seed funding in the form of SAFE notes from The Climate Pledge, Watershed Collective, New Enterprise Associates, and AlleyCorp on January 12, 2024. Overture VC and VSC Ventures also participated in the round.</t>
  </si>
  <si>
    <t>Other Hardware</t>
  </si>
  <si>
    <t>Environmental Services (B2B), Other Hardware*</t>
  </si>
  <si>
    <t>Artificial Intelligence &amp; Machine Learning, CleanTech, Climate Tech, Robotics and Drones</t>
  </si>
  <si>
    <t>environmental technology, recycling analytics, renewable technology, sustainable environment, waste management, waste management technology, waste management tool</t>
  </si>
  <si>
    <t>276838-12P</t>
  </si>
  <si>
    <t>Areeb Malik</t>
  </si>
  <si>
    <t>areeb@endwaste.io</t>
  </si>
  <si>
    <t>Mr. Areeb Malik is a Co-Founder &amp; serves as Board Member at Glacier.</t>
  </si>
  <si>
    <t>The company raised $800,000 of Seed-1 funding from Asymmetric Capital Partners, SHAKTI, Tommy Leep and other undisclosed investors on May 10, 2021, putting the company's pre-money valuation at $2.4 million.</t>
  </si>
  <si>
    <t>Asymmetric Capital Partners, SHAKTI, Tommy Leep</t>
  </si>
  <si>
    <t>Asymmetric Capital Partners Fund(Asymmetric Capital Partners)</t>
  </si>
  <si>
    <t>www.endwaste.io</t>
  </si>
  <si>
    <t>172362-25T</t>
  </si>
  <si>
    <t>Glow Up Games</t>
  </si>
  <si>
    <t>439420-69</t>
  </si>
  <si>
    <t>1Up Ventures, Black Founders Matter, Gaingels, RareBreed Ventures(McKeever Conwell)</t>
  </si>
  <si>
    <t>1Up Ventures (1upfund.com), Black Founders Matter (www.blackfoundersmatter.org), Gaingels (www.gaingels.com), RareBreed Ventures (rarebreed.vc)</t>
  </si>
  <si>
    <t>Developer of character-driven mobile games intended to encourage more diverse characters and storylines in the gaming industry. The company offers story-based games by utilizing a data-driven approach to understand emergent markets, quantify the preferences and tastes of many different players, and publish research on games, plays, genders, and races, enabling players to enjoy beautifully crafted stories through games.</t>
  </si>
  <si>
    <t>The company raised $580,000 of seed funding in the form of SAFE notes from RareBreed Ventures, Black Founders Matter, and 1Up Ventures on May 18, 2021. Gaingels also invested in this round.</t>
  </si>
  <si>
    <t>Application Software, Entertainment Software*</t>
  </si>
  <si>
    <t>game developer, game publisher, gaming content, gaming developer, gaming publisher, gaming studio, mobile game developer, mobile gaming app, storytelling games</t>
  </si>
  <si>
    <t>166160-62P</t>
  </si>
  <si>
    <t>Mitu Khandaker</t>
  </si>
  <si>
    <t>+1 (929) 841-4297</t>
  </si>
  <si>
    <t>mitu@glowup.games</t>
  </si>
  <si>
    <t>Dr. Mitu Khandaker is a Co-Founder and serves as Chief Executive Officer, Board Member &amp; Director for Technology at Glow Up Games. She is a game designer, scholar, and entrepreneur, she worked on the acclaimed systemic narrative indie game Redshirt &amp; was part of the founding team at game AI tools company Spirit AI. A vocal advocate for thoughtful games, tech, and stories with respect to race, gender &amp; identity, She holds a Ph.D. in designing games for immersive interfaces such as VR and AR and has a background in computer engineering. She is also Assistant Arts Professor at the NYU Game Center, where she teaches game design and development. She was previously on the founding team at Spirit AI, a games AI middleware company, and launched a location-based games startup. She also worked in the indie game space on titles such as the social simulation game Redshirt. She has received a number of international accolades, including as a BAFTA Breakthrough Brit in 2013 and the Creative English Trailblazer Award in 2014, and has served on the advisory committee for the Advocacy Track at Game Developers' Conference since 2014. She is also on the board of directors at Feminist Frequency and is an AAAS IF/THEN Ambassador to champion more middle school and teen girls into game development.</t>
  </si>
  <si>
    <t>University of Portsmouth, ME (Master of Engineering), 2007, Computer Engineering, University of Portsmouth, Ph.D. (Doctor of Philosophy), 2010, game interactivity</t>
  </si>
  <si>
    <t>1Up Ventures, Black Founders Matter, Gaingels, RareBreed Ventures</t>
  </si>
  <si>
    <t>RareBreed Fund I(RareBreed Ventures)</t>
  </si>
  <si>
    <t>www.glowup.games</t>
  </si>
  <si>
    <t>165584-98T</t>
  </si>
  <si>
    <t>Goalsetter</t>
  </si>
  <si>
    <t>226161-19</t>
  </si>
  <si>
    <t>Amber Sabathia(Amber Sabathia), Astia, Backstage Capital, Baron Davis(Baron Davis), CC Sabathia(CC Sabathia), Chris Paul(Chris Paul), Elevate Capital, Kevin Durant(Kevin Durant), MasterCard (NYS: MA), Northwestern Mutual Future Ventures, Pipeline Angels, PNC (NYS: PNC), Portfolia, Remarkable Ventures, Robert Smith(Robert Smith), Ryan Bathe(Ryan Bathe), Sterling Brown(Sterling Brown), The Players Impact, U.S. Bank (NYS: USB)</t>
  </si>
  <si>
    <t>Astia (www.astia.org), Backstage Capital (www.backstagecapital.com), Chris Paul (chrispaul3.com), Elevate Capital (www.elevate.vc), MasterCard (NYS: MA) (www.mastercard.us), Northwestern Mutual Future Ventures (venture.northwesternmutual.com/future-ventures.html), Pipeline Angels (www.pipelineangels.com), PNC (NYS: PNC) (www.pnc.com), Portfolia (www.portfolia.co), Remarkable Ventures (www.remarkable.vc), The Players Impact (www.theplayersimpact.com), U.S. Bank (NYS: USB) (www.usbank.com)</t>
  </si>
  <si>
    <t>Operator of a goal-based savings and gifting platform intended to help kids and teens finance through games, memes, and pop culture. The company's platform facilitates the automatic deposit of a set amount every week or every month and offers debit cards with parental controls, and financial literacy quizzes, enabling young generations to make informed decisions and gain their saving goals seamlessly.</t>
  </si>
  <si>
    <t>The company raised $24.6 million of Series A venture funding in a deal led by MassMutual Financial Group and Seae Ventures on March 25, 2024, putting the company's pre-money valuation at $43.4 million. Fiserv and 20 other investors also participated in the round. The funds will be used by the company to enhance our B2B offerings and forge stronger partnerships with credit unions, banks, and wealth management institutions, expanding our reach and impact to ensure that the next generation can grow into savvy savers and investors.</t>
  </si>
  <si>
    <t>allowance management application, financial literacy, financial savings, financial savings management, financial savings platform, personal financial management, savings application, savings platform, wealthtech, youth banking</t>
  </si>
  <si>
    <t>Youth Banking</t>
  </si>
  <si>
    <t>145375-39P</t>
  </si>
  <si>
    <t>Tanya Court</t>
  </si>
  <si>
    <t>+1 (614) 777-1244</t>
  </si>
  <si>
    <t>tanya@goalsetter.co</t>
  </si>
  <si>
    <t>Ms. Tanya Court is a Co-Founder and serves as Chief Executive Officer and Board Member at Goalsetter. She is a savings, financial education, smart spending and soon-to-be investment platform made especially for kids and families. Prior to her role at Goalsetter, she worked at Nickelodeon, where she was senior vice president and general manager of Preschool and Parenting digital products, including NickJr.com and NOGGIN.com. In that position, she led Nickelodeon to become a key player in the parents' online space and bolstered NOGGIN and NickJr.com's positions as educational, interactive, resources that provide rich experiences for both children and parents. Prior to Nickelodeon, she served as vice president of new media products at ESPN, where she led the launch of ESPN3. She holds a bachelor's and master's degree in industrial engineering from Stanford University, and an advanced degree in parenting.</t>
  </si>
  <si>
    <t>Stanford University, BS (Bachelor of Science), Industrial Engineering, Stanford University, MS (Master of Science), 1994, Industrial Engineering</t>
  </si>
  <si>
    <t>The company raised $3.89 million of Seed funding in a deal led by Astia on February 18, 2021, putting the company's pre-money valuation at $8.53 million. MasterCard and 17 other investors also participated in the round.</t>
  </si>
  <si>
    <t>Amber Sabathia, Astia, Backstage Capital, Baron Davis, CC Sabathia, Chris Paul, Elevate Capital, Kevin Durant, MasterCard, Northwestern Mutual Future Ventures, PNC, Portfolia, Remarkable Ventures, Robert Smith, Ryan Bathe, Sterling Brown, The Players Impact, U.S. Bank</t>
  </si>
  <si>
    <t>Pipeline Angels</t>
  </si>
  <si>
    <t>Astia</t>
  </si>
  <si>
    <t>Elevate Capital Fund(Elevate Capital), Elevate Capital Fund II(Elevate Capital), Northwestern Mutual Future Ventures Fund II(Northwestern Mutual Future Ventures), Portfolia First Step Fund(Portfolia), Portfolia Rising America Fund(Portfolia)</t>
  </si>
  <si>
    <t>Goodwin Procter (Legal Advisor to Pipeline Angels, Mitzi Chang JD)</t>
  </si>
  <si>
    <t>11233</t>
  </si>
  <si>
    <t>www.goalsetter.co</t>
  </si>
  <si>
    <t>Coating metallic material</t>
  </si>
  <si>
    <t>195641-56T</t>
  </si>
  <si>
    <t>GoKidGo</t>
  </si>
  <si>
    <t>498035-71</t>
  </si>
  <si>
    <t>HappyNest (Financial Software)</t>
  </si>
  <si>
    <t>HappyNest (Financial Software) (www.myhappynest.com)</t>
  </si>
  <si>
    <t>Operator of a podcast company intended to create short-form and long-form animated audio experiences for kids. The company specializes in creating freely accessed narrative podcasts with engaging characters and immersive storytelling, enabling children to enjoy the audio podcasts and draw some time away from the screen.</t>
  </si>
  <si>
    <t>The company raised $1.1 million of venture funding from HappyNest and other undisclosed investors on June 6, 2022.</t>
  </si>
  <si>
    <t>audio imagination, immersive storytelling, narrative podcast, podcast creater, podcast for kids, story telling</t>
  </si>
  <si>
    <t>304147-36P</t>
  </si>
  <si>
    <t>Maia Glikman</t>
  </si>
  <si>
    <t>maiaglikman@gokidgo.com</t>
  </si>
  <si>
    <t>Ms. Maia Glikman is a Co-Founder and serves as Chief Executive Officer and Board Member at GoKidGo. She is a Los Angeles-based producer whose body of work spans numerous areas of the entertainment industry. Highlights as an executive include several years at ABC Network, Lucasfilm (under Kathleen Kennedy), and Sony Pictures Television (development and current). Most recently, she was the Head of Development at Amore &amp; Vita Productions and head of scripted projects for MSM/Tollin Productions. Her work has resulted in the acquisition of original projects including sales to Fox, CW, Netflix, Hulu, Disney+, and Spotify to name a few. As a creative producer, her mandate is the production of high-quality content that resonates with today's audience, most especially those that champion female and underrepresented voices.</t>
  </si>
  <si>
    <t>Latham &amp; Watkins (Legal Advisor to HappyNest (Financial Software), Kenneth Deutsch JD), Stubbs Alderton &amp; Markiles (Legal Advisor to Company)</t>
  </si>
  <si>
    <t>Stubbs Alderton &amp; Markiles (Legal Advisor to Company)</t>
  </si>
  <si>
    <t>Latham &amp; Watkins (Legal Advisor to HappyNest (Financial Software), Kenneth Deutsch JD)</t>
  </si>
  <si>
    <t>www.gokidgo.com</t>
  </si>
  <si>
    <t>271125-37T</t>
  </si>
  <si>
    <t>Good Agriculture</t>
  </si>
  <si>
    <t>521405-83</t>
  </si>
  <si>
    <t>Fireroad, Founders Factory, Harvest Returns</t>
  </si>
  <si>
    <t>Fireroad (www.fireroad.io), Founders Factory (www.foundersfactory.com), Harvest Returns (harvestreturns.com)</t>
  </si>
  <si>
    <t>Developer of an accounting platform designed to help farmers secure funding, manage finances, and improve marketing efforts. The company offers grant application services and financial management tools, enabling farmers to focus on growing their business while reaching and engaging more customers.</t>
  </si>
  <si>
    <t>The company raised $650,000 of seed funding from Fireroad, Founders Factory and Harvest Returns in approximately September 2024, putting the company's pre-money valuation at $3.35 million. Other undisclosed investors also participated in this round.</t>
  </si>
  <si>
    <t>AdTech, Artificial Intelligence &amp; Machine Learning, FinTech, SaaS</t>
  </si>
  <si>
    <t>agricultural assistance, business consulting, managing finances, marketing service, regenerative agriculture, regenerative farming</t>
  </si>
  <si>
    <t>Regenerative Agriculture</t>
  </si>
  <si>
    <t>339607-81P</t>
  </si>
  <si>
    <t>Alex Edquist</t>
  </si>
  <si>
    <t>+1 (404) 433-8588</t>
  </si>
  <si>
    <t>alex@goodagriculture.com</t>
  </si>
  <si>
    <t>Ms. Alex Edquist is a Co-Founder and serves as Chief Executive Officer at Good Agriculture.</t>
  </si>
  <si>
    <t>30332</t>
  </si>
  <si>
    <t>goodagriculture.com</t>
  </si>
  <si>
    <t>165662-38T</t>
  </si>
  <si>
    <t>GoodMaps</t>
  </si>
  <si>
    <t>459390-43</t>
  </si>
  <si>
    <t>American Printing House For The Blind, Cherub Fund, Future Labs Capital, Keyhorse Capital, Rachele Brooke Smith(Rachele Brooke Smith), Strike Ventures, Venture First</t>
  </si>
  <si>
    <t>American Printing House For The Blind (www.aph.org), Cherub Fund (cherubfund.org), Future Labs Capital (www.futurelabscapital.com), Keyhorse Capital (www.keyhorse.vc), Rachele Brooke Smith (rachelebsmith.com), Strike Ventures (www.strike.ventures), Venture First (www.venturefirst.com)</t>
  </si>
  <si>
    <t>Developer of indoor digital mapping, geospatial positioning, and accessible navigation software intended to improve the accessibility, safety and productivity of indoor spaces. The company's platform uses LiDAR, image recognition, and patented positioning technology to create unparalleled infrastructure-free indoor mapping and AI/AR-enhanced navigation experiences for complex spaces like airports and train stations, hospitals, malls and retail stores, and college or corporate campuses, it's UX have validated accessible for audiences ranging from blind and low vision, deaf, neurodiverse, limited mobility, new travelers, or individuals who may not know the venue's primary language, enabling users to access and provide first responders with data critical for performing their jobs and ensuring their safety.</t>
  </si>
  <si>
    <t>The company raised an undisclosed amount of Series A venture funding from GrowthX Capital and Keyhorse Capital on July 10, 2024.</t>
  </si>
  <si>
    <t>Artificial Intelligence &amp; Machine Learning, Big Data, Mobile</t>
  </si>
  <si>
    <t>accessibility, accessibility software service, blindness, computer vision, digital mapping application, digital mapping platform, digital mapping software, indoor mapping platform, indoor mapping software, indoor positioning, indoor positioning system, indoor positioning technology, mapping platform developer, mobility data analytics, vertical application</t>
  </si>
  <si>
    <t>Indoor Mapping</t>
  </si>
  <si>
    <t>251655-85P</t>
  </si>
  <si>
    <t>Jose Gaztambide</t>
  </si>
  <si>
    <t>+1 (860) 573-6342</t>
  </si>
  <si>
    <t>Mr. Jose Gaztambide served as Chief Executive Officer &amp; Board Member at GoodMaps. He serves as President and Board Member at Amplify Louisville. He joined GoodMaps from Interapt, where he served as COO. Previously, he structured and launched Social Impact Bond and Pay for Success contracts at Quantified Ventures in Washington, DC. He was formerly a consultant for McKinsey &amp; Company, where he served clients in retail, financial services, and private equity, and focused on due diligence, merger integration, and organizational design.</t>
  </si>
  <si>
    <t>The company raised $3.5 million of Series A1 venture funding in a deal led by Strike Ventures on February 10, 2022, putting the company's pre-money valuation at $6 million. American Printing House For The Blind, Future Labs Capital, Venture First, Cherub Fund, Keyhorse Capital, and Rachele Brooke Smith also participated in the round. The funds will be used to scale the company's operations even further by investing in business development and sales, in addition to some work on its technology.</t>
  </si>
  <si>
    <t>American Printing House For The Blind, Cherub Fund, Future Labs Capital, Keyhorse Capital, Rachele Brooke Smith, Strike Ventures, Venture First</t>
  </si>
  <si>
    <t>Strike Ventures</t>
  </si>
  <si>
    <t>Kentucky Enterprise Fund(Keyhorse Capital), Strike Ventures Fund I(Venture First)</t>
  </si>
  <si>
    <t>Venture First (Accounting to Company)</t>
  </si>
  <si>
    <t>Louisville, KY</t>
  </si>
  <si>
    <t>Louisville</t>
  </si>
  <si>
    <t>Kentucky</t>
  </si>
  <si>
    <t>40206</t>
  </si>
  <si>
    <t>www.goodmaps.com</t>
  </si>
  <si>
    <t>Image or video recognition or understanding</t>
  </si>
  <si>
    <t>181290-52T</t>
  </si>
  <si>
    <t>Govalo</t>
  </si>
  <si>
    <t>482104-45</t>
  </si>
  <si>
    <t>Adii Pienaar, Benjamin Jabbawy, Overlooked Ventures, Realist Ventures, Sugar Capital, SuperAngel.Fund</t>
  </si>
  <si>
    <t>Overlooked Ventures (www.overlookedventures.com), Realist Ventures (realistlab.org), Sugar Capital (www.sugarcap.com), SuperAngel.Fund (www.superangel.vc)</t>
  </si>
  <si>
    <t>Developer of a gifting platform designed to reinvent digital gifting exposure. The company's platform offers custom gift cards as they integrate with other e-commerce platforms to offer gift subscriptions, enabling customers to get more gifting products and discount coupons to send gifts to their loved ones.</t>
  </si>
  <si>
    <t>The company joined LAUNCH Fund as a part of its cohort 26 in approximately October 2022 and received $100,000 in funding.</t>
  </si>
  <si>
    <t>Application Software, Other Financial Services*</t>
  </si>
  <si>
    <t>custom gifting, gift card app, gift card service, loyalty and incentive, online gift card, online gifting platform, online gifting service</t>
  </si>
  <si>
    <t>277646-32P</t>
  </si>
  <si>
    <t>Kelly Vaughn</t>
  </si>
  <si>
    <t>Ms. Kelly Vaughn Co-Founded and served as Chief Executive Officer &amp; Chief Technology Officer at Govalo.</t>
  </si>
  <si>
    <t>The company raised $2.1 million of venture funding from Overlooked Ventures, Sugar Capital and Realist Ventures on May 10, 2021. SuperAngel.Fund, Adii Pienaar and Ben Jabbawy also participated in the round. The funds will be used by the company to reinvent the digital gifting experience. Other undisclosed investors also participated in the round.</t>
  </si>
  <si>
    <t>Overlooked Ventures Fund(Overlooked Ventures), Sugar Capital Fund I(Sugar Capital)</t>
  </si>
  <si>
    <t>30339</t>
  </si>
  <si>
    <t>www.govalo.com</t>
  </si>
  <si>
    <t>165751-39T</t>
  </si>
  <si>
    <t>Grantcycle</t>
  </si>
  <si>
    <t>459435-61</t>
  </si>
  <si>
    <t>Elevate Ventures(Cy Megnin)</t>
  </si>
  <si>
    <t>Developer of cross-functional grant management software designed for end-to-end management of grant and contract funding. The company's platform provides a seamless grant cycle from tracking budgets to generating reports and streamlines the grant course by integrating with their accounting software program, enabling non-profit organizations to trace budgets and put together studies.</t>
  </si>
  <si>
    <t>The company raised $500,000 of venture funding from Nelnet Ventures, GrowthX Capital, Solidea Capital and Flywheel Fund on May 25, 2023, putting the company's pre-money valuation at $2.5 million. gBETA and BAMco Enterprises also participated in the round.</t>
  </si>
  <si>
    <t>automation work, grant management solutions, grantor trust services, information tools, management and reporting, management services, reporting firm</t>
  </si>
  <si>
    <t>251798-59P</t>
  </si>
  <si>
    <t>Ansley Fender</t>
  </si>
  <si>
    <t>+1 (812) 625-2999</t>
  </si>
  <si>
    <t>ansley@getatlassolutions.com</t>
  </si>
  <si>
    <t>Ms. Ansley Fender is the Founder and serves as Chief Executive Officer at Grantcycle. She is a graduate of Indiana University and also the founder of Fender Financial Services, a full service bookkeeping and financial consulting firm out of Bloomington, IN that specifically helps early stage startups, non-profits and small businesses.</t>
  </si>
  <si>
    <t>Indiana University, Graduate</t>
  </si>
  <si>
    <t>The company raised $20,000 of Series 1 seed funding from Elevate Ventures on October 1, 2020. The funds will be used to construct fundamental software program for the pilot program.</t>
  </si>
  <si>
    <t>Community Ideation Fund(Elevate Ventures)</t>
  </si>
  <si>
    <t>47404</t>
  </si>
  <si>
    <t>www.grantcycle.com</t>
  </si>
  <si>
    <t>131543-38T</t>
  </si>
  <si>
    <t>Grapevine</t>
  </si>
  <si>
    <t>431555-14</t>
  </si>
  <si>
    <t>Claire Diaz-Ortiz(Claire Diaz-Ortiz), Gaingels, Impact Assets, Integrative Ventures</t>
  </si>
  <si>
    <t>Claire Diaz-Ortiz (clairediazortiz.com), Gaingels (www.gaingels.com), Impact Assets (www.impactassets.org), Integrative Ventures (www.integrative.ventures)</t>
  </si>
  <si>
    <t>Operator of an online charity platform intended for social work. The company's tool makes it easy to donate more strategically with access to expert guidance and philanthropic tools and also allows collective giving groups to get set up and start collecting donations in minutes, enabling donors around the country to direct funds to thousands of nonprofits.</t>
  </si>
  <si>
    <t>The company joined Blackbaud Social Good Startup Program on January 16, 2024. No equity or funding was exchanged as a result of this program. Previously, the company raised $1.85 million of seed funding in a deal led by PJC on August 8, 2023. WTI and 17 other investors also participated in the round. The funds will be used for the expansion of the team and the product.</t>
  </si>
  <si>
    <t>charity fund, donation agency, donation trust, giving platform, money raising platform, online charity</t>
  </si>
  <si>
    <t>223066-99P</t>
  </si>
  <si>
    <t>Emily Rasmussen</t>
  </si>
  <si>
    <t>+1 (917) 345-5544</t>
  </si>
  <si>
    <t>emily@grapevine.org</t>
  </si>
  <si>
    <t>Ms. Emily Rasmussen is a Co-Founder and Serve as CEO at Grapevine (Other Financial Services). She brings 10 years of financing for impact and social enterprise leadership experience to Grapevine. She was the founding Executive Director of NYU's Center for Ballet and the Arts, launched the Lincoln Center at the Movies global media initiative, and developed innovative financing models for impact at Enterprise Solutions to Poverty. Emily has consulted on event cinema for Disney Theatrical Group, taught Creative and Cultural Entrepreneurship at SUNY Purchase, and spent two years developing microfinance and fair trade programs in India. Emily is a member of the LISC Emerging Leaders Council, holds a B.A. from Occidental College in Diplomacy, World Affairs, and Economics and an MBA from Harvard Business School.</t>
  </si>
  <si>
    <t>Harvard Business School, MBA (Master of Business Administration), Occidental College, BA (Bachelor of Arts), Diplomacy</t>
  </si>
  <si>
    <t>The company raised $380,000 of venture funding from ImpactAssets in February 2020. Gaingels, Claire Diaz-Ortiz, and Integrative Ventures and other undisclosed investors also participated in the round. The funding was originally raised in the form of SAFE notes and convertible debt and subsequently converted to equity.</t>
  </si>
  <si>
    <t>Claire Diaz-Ortiz, Gaingels, Impact Assets, Integrative Ventures</t>
  </si>
  <si>
    <t>www.grapevine.org</t>
  </si>
  <si>
    <t>166894-93T</t>
  </si>
  <si>
    <t>Gray Matter Analytics</t>
  </si>
  <si>
    <t>114681-70</t>
  </si>
  <si>
    <t>Cleveland Avenue(Andrea Zopp), How Women Invest</t>
  </si>
  <si>
    <t>Cleveland Avenue (www.clevelandavenue.com), How Women Invest (www.howwomeninvest.com)</t>
  </si>
  <si>
    <t>Operator of data analytics and predictive modeling services platform intended to help companies gain actionable insights into their own and external data. The company's platform offers mind assessments that conduct on-site interviews with leaders of customer functional groups to understand business objectives and data requirements and also provides an analytics-as-a-service model to support the vision of growth-oriented models, enabling financial services and healthcare organizations to get insights into their data and achieve all-round insights.</t>
  </si>
  <si>
    <t>The company raised $8.5 million through a combination of Seed-2 and Seed-3 funding from Cleveland Avenue, and other undisclosed investors on November 3, 2022, putting the company's pre-money valuation at $60 million.</t>
  </si>
  <si>
    <t>Business/Productivity Software, Database Software, Media and Information Services (B2B)*</t>
  </si>
  <si>
    <t>Big Data, TMT</t>
  </si>
  <si>
    <t>abi custom application, advanced analytics, analytics platform, big data architecture, data analysis, data analytics tool, data architecture, data monetization, healthcare data analytics, predictive modeling, vertical application</t>
  </si>
  <si>
    <t>69892-21P</t>
  </si>
  <si>
    <t>Sheila Talton</t>
  </si>
  <si>
    <t>+1 (312) 957-7604</t>
  </si>
  <si>
    <t>stalton@graymatteranalytics.com</t>
  </si>
  <si>
    <t>Ms. Sheila Talton is the Founder and serves as Chief Executive Officer, President &amp; Board Member at Gray Matter Analytics She also serves as Board Member at Wintrust Financial. She is a 30-year veteran in the information technology industry leads Gray Matter Analytics as CEO. She has successfully built consulting practices as an entrepreneur, inside of EDS and within Cisco Systems. She is an executive with experience building management teams and business solutions, helping technology businesses with their global strategies, and driving channel strategies utilizing numerous technology partners. In her previous roles leading professional services organizations and during her Board appointments at Northwestern Memorial Hospital and Wintrust Financial Services, she has been involved in the successful application of big data.</t>
  </si>
  <si>
    <t>Harvard Business School, AMP, 2001, Business, Northern Illinois University, BS (Bachelor of Science), 1980, Marketing &amp; Communication</t>
  </si>
  <si>
    <t>The company raised $14.38 million through a combination of seed and debt funding from How Women Invest, Cleveland Avenue, and other undisclosed investors on December 22, 2021, putting the company's pre-money valuation at $15 million. Out of the total amount, $3.96 million was raised in the form of debt.</t>
  </si>
  <si>
    <t>Cleveland Avenue, How Women Invest</t>
  </si>
  <si>
    <t>Cleveland Avenue State Treasurers Urban Success Fund(Cleveland Avenue), How Women Invest Fund I(How Women Invest)</t>
  </si>
  <si>
    <t>60602</t>
  </si>
  <si>
    <t>www.graymatteranalytics.com</t>
  </si>
  <si>
    <t>Other - $3.97M</t>
  </si>
  <si>
    <t>156214-81T</t>
  </si>
  <si>
    <t>Grayce</t>
  </si>
  <si>
    <t>439158-07</t>
  </si>
  <si>
    <t>Alumni Ventures, BBG Ventures (North America), Black Jays, Brand Foundry Ventures, David Gilboa(David Gilboa), Good Friends, Jeffrey Raider(Jeffrey Raider), Joseph Zwillinger(Joseph Zwillinger), Maveron, Neil Blumenthal(Neil Blumenthal), PeopleTech Partners, Visible Ventures</t>
  </si>
  <si>
    <t>Alumni Ventures (www.av.vc), BBG Ventures (North America) (www.bbgventures.com), Black Jays (www.blackjays.vc), Brand Foundry Ventures (brandfoundry.com), Good Friends (www.goodfriends.com), Maveron (www.maveron.com), PeopleTech Partners (peopletechpartners.com), Visible Ventures (visibleventures.com)</t>
  </si>
  <si>
    <t>Provider of elderly care services intended to support and offer guidance to empower family caregivers. The company focuses on personalized guidance and support for insurance, finances, legal plans, medical care, home care, housing, daily needs, and well-being, enabling families to navigate the needs of aging and vulnerable loved ones.</t>
  </si>
  <si>
    <t>The company raised $11.5 million of Series A venture funding in a deal led by Maveron, Mana Ventures on December 1, 2023, putting the company's pre-money valuation at $24.00 million. Alumni Ventures and 6 other investors also participated in the round. The funds will be used to scale its platform to enhance its employer solution and member experience, as well as enter the payer market.</t>
  </si>
  <si>
    <t>Elder and Disabled Care</t>
  </si>
  <si>
    <t>Application Software, Elder and Disabled Care*, Other Healthcare Technology Systems</t>
  </si>
  <si>
    <t>Digital Health, HealthTech</t>
  </si>
  <si>
    <t>aging care, care support service, caregiver app, elder care guidance, elderly care service, elderly care system, home care services</t>
  </si>
  <si>
    <t>241015-33P</t>
  </si>
  <si>
    <t>Julia Sebastien</t>
  </si>
  <si>
    <t>julia@withgrayce.com</t>
  </si>
  <si>
    <t>Ms. Julia Sebastien is a Co-Founder and serves as Chief Executive Officer at Grayce.</t>
  </si>
  <si>
    <t>The company raised $3.4 million through a combination of Seed and Seed 1 funding in a deal led by Brand Foundry Ventures on June 9, 2020, putting the company's pre-money valuation at $7.5 million. Good Friends, Maveron, BBG Ventures, Black Jays, PeopleTech Partners, Visible Ventures, Alumni Ventures, Neil Blumenthal, David Gilboa, Joey Zwillinger and Jeff Raider also participated in the round.</t>
  </si>
  <si>
    <t>Alumni Ventures, BBG Ventures (North America), Black Jays, Brand Foundry Ventures, David Gilboa, Good Friends, Jeffrey Raider, Joseph Zwillinger, Maveron, Neil Blumenthal, PeopleTech Partners, Visible Ventures</t>
  </si>
  <si>
    <t>Brand Foundry Ventures</t>
  </si>
  <si>
    <t>AVG 2021 Total Access Funds(Alumni Ventures), AVG Social Impact Fund(Alumni Ventures), BBG Ventures III(BBG Ventures (North America)), Maveron 15-1(Maveron)</t>
  </si>
  <si>
    <t>Gunderson Dettmer (Legal Advisor to Company), Silicon Legal Strategy (Legal Advisor to Brand Foundry Ventures, Coleman Cannon JD)</t>
  </si>
  <si>
    <t>Silicon Legal Strategy (Legal Advisor to Brand Foundry Ventures, Coleman Cannon JD)</t>
  </si>
  <si>
    <t>www.withgrayce.com</t>
  </si>
  <si>
    <t>190742-95T</t>
  </si>
  <si>
    <t>Green Room</t>
  </si>
  <si>
    <t>490139-20</t>
  </si>
  <si>
    <t>Alexander Moore(Alexander Moore), Allison Kimball(Allison Kimball), Blue Catalyst Group, Bragiel Brothers(Daniel Bragiel), Chris Stroud(Chris Stroud), Concord CN, Daniel Altmann(Daniel Altmann), Henry Turner(Henry Turner), Impact Assets, Mercury Fund, Phoenix Investment Club, Phoenix Investment Club (San Francisco), Scott Crosby(Scott Crosby), Techstars, The Artemis Fund, Urban Capital Network, Warner Music Group (NAS: WMG)</t>
  </si>
  <si>
    <t>Bragiel Brothers (www.bragielbrothers.com), Impact Assets (www.impactassets.org), Mercury Fund (www.mercuryfund.com), Phoenix Investment Club (www.phoenixclub.co.za), Phoenix Investment Club (San Francisco) (www.phoenixclub.vc), Techstars (www.techstars.com), The Artemis Fund (www.theartemisfund.com), Urban Capital Network (www.urbancapitalnetwork.com), Warner Music Group (NAS: WMG) (www.wmg.com)</t>
  </si>
  <si>
    <t>Developer of business and tour management software intended for touring entertainers. The company's software offers an all-in-one, mobile solution for event scheduling, coordination and finance tracking, enabling local venues and independent artists to save time as well as stay compliant while managing gig payments.</t>
  </si>
  <si>
    <t>The company was in talks to receive seed funding on an undisclosed date. Subsequently, the deal was canceled. Previously, Blue Catalyst Group sold its stake in the company to an undisclosed buyer in May 2023.</t>
  </si>
  <si>
    <t>Business/Productivity Software*, Other Financial Services</t>
  </si>
  <si>
    <t>creator economy, entertainment, gig economy, live music, payment app, payment application platform, payment gateway, tax compliance platform, tax compliance software, tax compliance solutions</t>
  </si>
  <si>
    <t>288199-72P</t>
  </si>
  <si>
    <t>Sophie Randolph</t>
  </si>
  <si>
    <t>Ms. Sophie Randolph founded and served as Chief Executive Officer at Green Room. After graduating, she did a two-year stint in San Francisco before making her way to Texas. She worked for Xola in both San Francisco and Houston helping tour and activity companies get more bookings online. She spent her college years in Cambridge, MA attending Harvard, and living, working, and studying abroad in Haiti and the Dominican Republic. She graduated with her MBA at Rice Jones Graduate School of Business in 2022, a full-time student at Rice's Jones Graduate School of Business.</t>
  </si>
  <si>
    <t>Harvard University, MA (Master of Arts), MBA (Master of Business Administration), 2022</t>
  </si>
  <si>
    <t>The company raised $1.1 million of pre-seed funding in the combination of equity and convertible debt from Warner Music Group, Blue Catalyst Group and Urban Capital Network on March 9, 2022, putting the company's pre-money valuation at $5 million. Bragiel Brothers and 14 other investors also participated in the round. Out of the total amount, $100,000 was raised in the form of convertible debt from ImpactAssets.</t>
  </si>
  <si>
    <t>Alexander Moore, Allison Kimball, Blue Catalyst Group, Bragiel Brothers, Chris Stroud, Concord CN, Daniel Altmann, Henry Turner, Impact Assets, Mercury Fund, Phoenix Investment Club, Phoenix Investment Club (San Francisco), Scott Crosby, The Artemis Fund, Urban Capital Network, Warner Music Group</t>
  </si>
  <si>
    <t>Artemis Female Fund I(The Artemis Fund)</t>
  </si>
  <si>
    <t>77002</t>
  </si>
  <si>
    <t>www.greenroom.app</t>
  </si>
  <si>
    <t>188972-02T</t>
  </si>
  <si>
    <t>Greenscreens.ai</t>
  </si>
  <si>
    <t>443202-04</t>
  </si>
  <si>
    <t>Benjamin Gordon, Cambridge Capital(Benjamin Gordon), Felix Lyubashevskiy(Felix Lyubashevskiy), Flyer One Venture(Vital Laptenok), Jones Capital, Navigate Ventures, Operator Stack, Overton Venture Capital, Red Door Capital Partners, REFASHIOND Ventures, Tiger Global Management(John Curtius)</t>
  </si>
  <si>
    <t>Cambridge Capital (www.cambridgecapital.com), Flyer One Venture (www.flyerone.vc), Jones Capital (www.jones.com), Navigate Ventures (www.navigatevc.com), Operator Stack (www.operator-stack.com), Overton Venture Capital (www.overtonvc.com), Red Door Capital Partners (www.reddoorcp.com), REFASHIOND Ventures (www.refashiond.com), Tiger Global Management (www.tigerglobal.com)</t>
  </si>
  <si>
    <t>Developer of AI-based freight software designed to increase broker margin contribution by measuring and predicting things that matter. The company's software offers immediate benchmarking and market prediction through AI and buys and sells loads based on changing market trends, enabling users to improve operational productivity and reducing the time and uncertainty involved in pricing and booking loads.</t>
  </si>
  <si>
    <t>The company raised $5 million of Series A venture funding in a deal led by Tiger Global Management on November 8, 2022, putting the company's pre-money valuation at an estimated $60 million. Other undisclosed investors also participated in the round.</t>
  </si>
  <si>
    <t>Supply Chain Tech</t>
  </si>
  <si>
    <t>freight market analysis, logistics analytics, logistics marketplace tools, logistics software system, pricing analysis, supply chain management, supply chain planning, transportation management, transportation management app</t>
  </si>
  <si>
    <t>141382-54P</t>
  </si>
  <si>
    <t>Dawn Salvucci-Favier</t>
  </si>
  <si>
    <t>dawn@greenscreens.ai</t>
  </si>
  <si>
    <t>Ms. Dawn Salvucci-Favier serves as Chief Product Officer, Chief Executive Officer &amp; Board Member at Greenscreens.ai. She served as Vice President of Product Management at 3Gtms. She served as President &amp; Chief Operating Officer at Shippers Commonwealth. She is responsible for product lifecycle and strategy management and brings more than 22 years of transportation management industry knowledge to 3GTMS. She joins 3GTMS from RedPrairie where she was senior vice president and general manager for RedPrairie On-Demand and was most recently vice president of global strategy developing the company's global go-to-market strategy for their Transportation Management solution. Prior to RedPrairie, she was president &amp; COO at Shippers Commonwealth Llc, where she had full P&amp;L management responsibilities for the $6 million, a value-added service provider of logistics solutions. She was previously at JDA where her roles included vice president of transportation and logistics solutions; and Manugistcs Inc. She brings extensive 3PL and shipper experience having directed logistics services for NFI Interactive Logistics, and working within the transportation management function at Staples, Inc. and TJ Maxx/The Marmaxx Group.</t>
  </si>
  <si>
    <t>The company raised $5.79 million through a combination of Seed-1 and Seed-2 funding in a deal led by Tiger Global Management on February 17, 2022, putting the company's pre-money valuation at $7.71 million. Cambridge Capital and 9 other investors also participated in the round. The funds will be used to enhance the company's ability to deliver a ground-breaking neutral platform, driven by machine learning, for predictive pricing intelligence as well as revenue and yield optimization.</t>
  </si>
  <si>
    <t>Benjamin Gordon, Cambridge Capital, Felix Lyubashevskiy, Flyer One Venture, Jones Capital, Navigate Ventures, Operator Stack, Overton Venture Capital, Red Door Capital Partners, REFASHIOND Ventures, Tiger Global Management</t>
  </si>
  <si>
    <t>Tiger Global Management(John Curtius)</t>
  </si>
  <si>
    <t>Flyer One Ventures III(Flyer One Venture), Navigate Ventures Fund I(Navigate Ventures), Operator Stack Fund I(Operator Stack), Overton VC Fund I(Overton Venture Capital), Tiger Global Private Investment Partners XV(Tiger Global Management)</t>
  </si>
  <si>
    <t>Gunderson Dettmer (Legal Advisor to Tiger Global Management)</t>
  </si>
  <si>
    <t>Fort Pierce, FL</t>
  </si>
  <si>
    <t>Fort Pierce</t>
  </si>
  <si>
    <t>34950</t>
  </si>
  <si>
    <t>www.greenscreens.ai</t>
  </si>
  <si>
    <t>203526-64T</t>
  </si>
  <si>
    <t>Grist Mill Exchange</t>
  </si>
  <si>
    <t>491392-72</t>
  </si>
  <si>
    <t>Core4ce, First In, Veteran Ventures Capital(Stephen Kiser)</t>
  </si>
  <si>
    <t>Core4ce (www.core4ce.com), First In (www.wearefirstin.com), Veteran Ventures Capital (www.veteranventures.us)</t>
  </si>
  <si>
    <t>Developer of a government marketplace platform designed to connect government customers with commercial data providers. The company's platform offers tools that meet the demanding needs of the United States federal government and its data experts by creating a lucrative new market for companies and does not support commercial clients, enabling clients to have access to the data they need to advance national security.</t>
  </si>
  <si>
    <t>The company raised $5 million of venture funding from Core4ce, First In and Veteran Ventures Capital on April 7, 2022. Other undisclosed investors also participated in the round. Of the total, an undisclosed amount is raised in the form of convertible debt. The funds will be used for the company's rapid growth through business development and strategic contracting support.</t>
  </si>
  <si>
    <t>Database Software*, Government</t>
  </si>
  <si>
    <t>b2b data services, data marketplace, data provider, data provider platform, enterprise resource planning, erp, government marketplace, marketplace platform, vertical application</t>
  </si>
  <si>
    <t>355816-63P</t>
  </si>
  <si>
    <t>Kristin Wood</t>
  </si>
  <si>
    <t>Ms. Kristin Wood served as Venture Partner at First In. She served as Advisor at Thundermark Capital. He served as President at Grist Mill Exchange. He served as Chief Executive Officer at Grist Mill Exchange. She is CEO of Grist Mill Exchange, an innovative intelligence technology company that leverages open source information to make society safer. Kristin has deep experience in the cybersecurity, open source, defense, and intelligence verticals. She is additionally a non-resident Fellow for the Intelligence Project at the Harvard Kennedy School.She is a Central Intelligence Agency veteran, serving 20 years and rising to the position of Deputy Director of the Innovation &amp; Technology Group at the CIA's Open Source Center as part of the Agency's Senior Intelligence Service. Her service career included leadership roles in the Director's area and three Agency directorates, delivering the President's Daily Brief, and standing up the Sherman Kent School's Senior Analyst Program. Prior to Grist Mill Exchange, she also led a consulting firm that developed technological solutions for companies to support US government customers. Kristin graduated with an AB in Political Science from Occidental College.</t>
  </si>
  <si>
    <t>Occidental College, Graduate, Political Science</t>
  </si>
  <si>
    <t>Core4ce, First In, Veteran Ventures Capital</t>
  </si>
  <si>
    <t>First In Ventures Fund I(First In), VVC Veteran Fund I(Veteran Ventures Capital)</t>
  </si>
  <si>
    <t>Alexandria, VA</t>
  </si>
  <si>
    <t>Alexandria</t>
  </si>
  <si>
    <t>22314-3301</t>
  </si>
  <si>
    <t>www.gristmillexchange.com</t>
  </si>
  <si>
    <t>193978-18T</t>
  </si>
  <si>
    <t>Gritty In Pink</t>
  </si>
  <si>
    <t>496453-96</t>
  </si>
  <si>
    <t>Alternative Wealth Partners, Gaingels, Live Nation Entertainment (NYS: LYV), Long Beach Accelerator, Sunstone Management</t>
  </si>
  <si>
    <t>Alternative Wealth Partners (alternativewealthpartners.com), Gaingels (www.gaingels.com), Live Nation Entertainment (NYS: LYV) (www.livenationentertainment.com), Long Beach Accelerator (www.lbaccelerator.org), Sunstone Management (www.sunstoneinvestment.com)</t>
  </si>
  <si>
    <t>Developer of a music platform designed to hire female freelancers, starting with the music industry. The company's platform achieves economic equity across genders, leveraging women's contributions to ultimately reshape the landscape of industries worldwide, enabling female creators to work in the music industry and connect the music industry to a diverse community of female creators and pros looking to be hired.</t>
  </si>
  <si>
    <t>The company raised $1 million of pre-seed funding in a deal led by Live Nation Entertainment on an undisclosed date, putting the company's pre-money valuation at $5 million. Alternative Wealth Partners, Sunstone Management, Gaingels, and Long Beach Accelerator also participated in the round. Previously, the company joined StartOut Growth Lab as part of its Cohort 14 on June 18, 2024.</t>
  </si>
  <si>
    <t>Business/Productivity Software, Entertainment Software, Movies, Music and Entertainment*</t>
  </si>
  <si>
    <t>AudioTech, E-Commerce</t>
  </si>
  <si>
    <t>music collaboration platform, music live streaming, music marketplace, music platform, online networking platform, talent marketplace</t>
  </si>
  <si>
    <t>301231-54P</t>
  </si>
  <si>
    <t>Shira Yevin</t>
  </si>
  <si>
    <t>+1 (917) 715-2013</t>
  </si>
  <si>
    <t>shira@grittyinpink.co</t>
  </si>
  <si>
    <t>Ms. Shira Yevin is the Founder and serves as Chief Executive Officer at Gritty In Pink. She is an Entrepreneur, Artist and Activist. With a background in Communications and Theatre Arts from UPenn, she's been featured in Billboard, Alternative Press, The New York Times, NPR, and Forbes. Her journey began with Shiragirl, disrupting the male-dominated music scene, crashing Vans Warped Tour and founding the Shiragirl Stage, which hosted 300+ female artists. From iconic brands like Pabst Blue Ribbon to launching startups like now-acquired Bev wine, she conquered the beverage industry. She then launched the Gritty In Pink community, fostering gender equality in music. With the 2022 launch of INPINK.com, an online marketplace, with support backing from Live Nation and Melissa Etheridge.</t>
  </si>
  <si>
    <t>The company raised $1 million of pre-seed funding in a deal led by Live Nation Entertainment on an undisclosed date, putting the company's pre-money valuation at $5 million. Alternative Wealth Partners, Sunstone Management, Gaingels, and Long Beach Accelerator also participated in the round.</t>
  </si>
  <si>
    <t>Alternative Wealth Partners, Gaingels, Live Nation Entertainment</t>
  </si>
  <si>
    <t>Long Beach Accelerator, Sunstone Management</t>
  </si>
  <si>
    <t>Live Nation Entertainment (NYS: LYV)</t>
  </si>
  <si>
    <t>North Hollywood, CA</t>
  </si>
  <si>
    <t>North Hollywood</t>
  </si>
  <si>
    <t>91602</t>
  </si>
  <si>
    <t>www.inpink.com</t>
  </si>
  <si>
    <t>194024-98T</t>
  </si>
  <si>
    <t>Groflo</t>
  </si>
  <si>
    <t>496227-07</t>
  </si>
  <si>
    <t>PivotNorth Capital</t>
  </si>
  <si>
    <t>PivotNorth Capital (www.pivotnorth.com)</t>
  </si>
  <si>
    <t>Developer of a discovery platform designed to recognize and support sustainable brands online. The company's portal helps the customer to find scores for hundreds of companies and shop with brands that are more aligned with their values, enabling customers to make responsible buying decisions and have a positive impact.</t>
  </si>
  <si>
    <t>The company raised $1.31 million of venture funding in the form of SAFE notes from PivotNorth Capital and other undisclosed investors on May 6, 2022.</t>
  </si>
  <si>
    <t>E-Commerce</t>
  </si>
  <si>
    <t>discovery platform, discovery site, ethical practice, loyalty and incentive, shopping advice, shopping place, sustainable branding</t>
  </si>
  <si>
    <t>193587-13P</t>
  </si>
  <si>
    <t>Jada McLean</t>
  </si>
  <si>
    <t>+1 (626) 404-3580</t>
  </si>
  <si>
    <t>Ms. Jada McLean is the Founder and serves as Chief Executive Officer &amp; Board Member at Groflo. Ms. McLean Co-Founded and served as Chief Executive Officer at Hurry Home.</t>
  </si>
  <si>
    <t>Duke University, Degree, 2015</t>
  </si>
  <si>
    <t>94112</t>
  </si>
  <si>
    <t>www.joinethically.com</t>
  </si>
  <si>
    <t>Animal husbandry</t>
  </si>
  <si>
    <t>232550-56T</t>
  </si>
  <si>
    <t>Growth Channel</t>
  </si>
  <si>
    <t>455129-20</t>
  </si>
  <si>
    <t>Joseph Chan(Joseph Chan), Manuel Lozano(Manuel Lozano), Punja Global Ventures, Quansight Initiate, Sputnik ATX</t>
  </si>
  <si>
    <t>Punja Global Ventures (pgv.vc), Quansight Initiate (www.qi.ventures), Sputnik ATX (www.sputnikatx.com)</t>
  </si>
  <si>
    <t>Developer of a programmatic advertising platform designed to micro-target niche audiences at scale. The company's platform utilizes artificial intelligence to create detailed customer profiles based on their historical or current location data, optimize campaigns, and measure their impact both online and offline, enabling businesses and brands to enhance their marketing efforts and achieve better return on investment (ROI) on their advertising spend.</t>
  </si>
  <si>
    <t>The company raised $3.5 million of seed+ funding on an undisclosed date, putting the company's pre-money valuation at $20 million.</t>
  </si>
  <si>
    <t>AdTech, Artificial Intelligence &amp; Machine Learning, Marketing Tech, SaaS, TMT</t>
  </si>
  <si>
    <t>artificial intelligence technology, customer profiling, digital marketing platform, generative ai, geolocation data, marketing planning, programmatic advertising</t>
  </si>
  <si>
    <t>248615-47P</t>
  </si>
  <si>
    <t>Maryna Burushkina</t>
  </si>
  <si>
    <t>+1 (737) 240-7150</t>
  </si>
  <si>
    <t>maryna@growthchannel.io</t>
  </si>
  <si>
    <t>Ms. Maryna Burushkina is the Founder and serves as Chief Executive Officer and Board Member at Growth Channel. She has helped hundreds of multinational companies (such as Allianz and Philips) reshape their marketing to drive accelerated growth over the last decade. She is also a Co-Founder of a media holding - 7Marketz Group with 2 successful exits. Now she is building an AI technology to solve marketing inefficiencies using the power of data and micro segmentation.</t>
  </si>
  <si>
    <t>The company raised $255,000 of seed funding from Quansight Initiate, Punja Global Ventures and Sputnik ATX on July 1, 2023, putting the company's pre-money valuation at $9.75 million. Joseph Chan, Manuel Lozano and other undisclosed investors also participated in the round.</t>
  </si>
  <si>
    <t>Joseph Chan, Manuel Lozano, Punja Global Ventures, Quansight Initiate</t>
  </si>
  <si>
    <t>Sputnik ATX</t>
  </si>
  <si>
    <t>Dellenbach Venture Counsel (Legal Advisor to Company, Robert Dellenbach JD), Raiti (Legal Advisor to Company, Hui Liu)</t>
  </si>
  <si>
    <t>www.growthchannel.com</t>
  </si>
  <si>
    <t>165614-77T</t>
  </si>
  <si>
    <t>Gryps</t>
  </si>
  <si>
    <t>443075-14</t>
  </si>
  <si>
    <t>Di-Ann Eisnor(Di-Ann Eisnor), Harvard Undergraduate Capital Partners, Jon Antevy(Jon Antevy), Lars Albright(Lars Albright), LDV Capital(Evan Nisselson), Natalie Diggins(Natalie Diggins), Pear (California)(Mar Hershenson), Plug and Play Tech Center, Primary Venture Partners, Ralph Folz(Ralph Folz), Ron Antevy(Ron Antevy), The Graduate Syndicate(Jeffrey Bussgang)</t>
  </si>
  <si>
    <t>Harvard Undergraduate Capital Partners (www.harvardcap.org), LDV Capital (www.ldv.co), Pear (California) (www.pear.vc), Plug and Play Tech Center (www.plugandplaytechcenter.com), Primary Venture Partners (www.primary.vc), The Graduate Syndicate (www.thegraduatesyndicate.com)</t>
  </si>
  <si>
    <t>Developer of connected intelligence platform designed to access construction data in one place. The company's platform helps in taking delivery of the projects at the end of a construction job and providing all the information that facility owners need to operate, renovate or build future projects through a platform that ingests data from various construction tools, mines the embedded information, then provides operational access through owner-centered workflows, enabling construction companies to be more effective and reduce manual work when managing capital projects.</t>
  </si>
  <si>
    <t>The company raised $6.20 million of seed funding from undisclosed investors on July 7, 2023, putting the company's pre-money valuation at $20 million.</t>
  </si>
  <si>
    <t>Business/Productivity Software*, Vertical Market Software</t>
  </si>
  <si>
    <t>connected intelligence platform, construction data analysis, construction industry product, construction technology, data collection system, intelligence platform service, kms, knowledge management system</t>
  </si>
  <si>
    <t>244578-61P</t>
  </si>
  <si>
    <t>Dareen Salama</t>
  </si>
  <si>
    <t>+1 (217) 819-1509</t>
  </si>
  <si>
    <t>dareen@gryps.io</t>
  </si>
  <si>
    <t>Ms. Dareen Salama is a Co-Founder and serves as Chief Executive Officer &amp; Board Member at Gryps.</t>
  </si>
  <si>
    <t>The company raised $1.5 million of seed funding in a deal led by LDV Capital on February 4, 2021, putting the company's pre-money valuation at $4.5 million. Pear, The Graduate Syndicate, Primary Venture Partners, Plug and Play Tech Center, Harvard Undergraduate Capital Partners, Jon Antevy, Ron Antevy, Lars Albright, Natalie Diggins, Di-Ann Eisnor, Ralph Folz and other undisclosed investors also participated in the round. The funds will be used to support product R&amp;D and hire new employees, particularly engineers.</t>
  </si>
  <si>
    <t>Di-Ann Eisnor, Harvard Undergraduate Capital Partners, Jon Antevy, Lars Albright, LDV Capital, Natalie Diggins, Pear (California), Plug and Play Tech Center, Primary Venture Partners, Ralph Folz, Ron Antevy, The Graduate Syndicate</t>
  </si>
  <si>
    <t>LDV Capital(Evan Nisselson)</t>
  </si>
  <si>
    <t>Pear Ventures I Expansion(Pear (California))</t>
  </si>
  <si>
    <t>Cooley (Legal Advisor to Company), Latham &amp; Watkins (Legal Advisor to LDV Capital, David Concannon JD)</t>
  </si>
  <si>
    <t>Latham &amp; Watkins (Legal Advisor to LDV Capital, David Concannon JD)</t>
  </si>
  <si>
    <t>10463</t>
  </si>
  <si>
    <t>www.gryps.io</t>
  </si>
  <si>
    <t>247448-08T</t>
  </si>
  <si>
    <t>Guardrails AI</t>
  </si>
  <si>
    <t>537804-82</t>
  </si>
  <si>
    <t>M12(Priyanka Mitra), Mentors Fund</t>
  </si>
  <si>
    <t>M12 (www.m12.vc), Mentors Fund (www.mentors.fund)</t>
  </si>
  <si>
    <t>Developer of an open-source library designed to ensure interactions with Large Language Models. The company develops a framework for creating custom validators, orchestration of prompting, verification, re-prompting, a library of commonly used validators for multiple use cases specification language for communicating requirements to llm.</t>
  </si>
  <si>
    <t>The company raised $7.5 million of seed funding in a deal led by SCB 10X and Zetta Venture Partners on February 15, 2024. Bloomberg Beta, FactoryHQ, Pear (California), Github Fund, and Ian Goodfellow also participated in the round. The funds will be used to expand the company's engineering and product teams as well as to continue to advance its products.</t>
  </si>
  <si>
    <t>ai cores, ai interaction technique, ai model, ai technology, artficial intelligence, devops, generative ai, language program, security vulnerability</t>
  </si>
  <si>
    <t>369380-80P</t>
  </si>
  <si>
    <t>Shreya Rajpal</t>
  </si>
  <si>
    <t>shreya@getguardrails.ai</t>
  </si>
  <si>
    <t>Ms. Shreya Rajpal is a Co-Founder &amp; serves as Chief Executive Officer at Guardrails AI.</t>
  </si>
  <si>
    <t>The company raised $9,167 of seed funding from M12 and Mentors Fund on November 6, 2023, putting the company's pre-money valuation at $34.99 million.</t>
  </si>
  <si>
    <t>M12, Mentors Fund</t>
  </si>
  <si>
    <t>DLA Piper (Legal Advisor to M12, Randy Socol JD)</t>
  </si>
  <si>
    <t>94025</t>
  </si>
  <si>
    <t>www.guardrailsai.com</t>
  </si>
  <si>
    <t>174460-60T</t>
  </si>
  <si>
    <t>Guava</t>
  </si>
  <si>
    <t>467901-46</t>
  </si>
  <si>
    <t>Backstage Capital, Precursor Ventures</t>
  </si>
  <si>
    <t>Backstage Capital (www.backstagecapital.com), Precursor Ventures (precursorvc.com)</t>
  </si>
  <si>
    <t>Operator of a digital banking platform designed to cater to the needs of black entrepreneurs and small business owners. The company's platform offers equitable financial products and connections such as access to industry experts, workshops, webinars, and courses, enabling business owners to grow their business and network along with quick mobile fund transfers and build nationwide connections with no hidden fees.</t>
  </si>
  <si>
    <t>The company raised $650,000 of venture funding in a deal led by Laidlaw Scholars Ventures on February 21, 2023. Purple Sage Ventures and Gaingels also participated in this round.</t>
  </si>
  <si>
    <t>banking platform provider, commercial finance, digital bank, digital banking, digital banking software, financial assistance, financial bank holding, financial products, mobile fund transfer</t>
  </si>
  <si>
    <t>265954-42P</t>
  </si>
  <si>
    <t>Kelly Ifill</t>
  </si>
  <si>
    <t>+1 (917) 438-8435</t>
  </si>
  <si>
    <t>kelly@joinguava.com</t>
  </si>
  <si>
    <t>Ms. Kelly Ifill is the Founder &amp; serves as Chief Executive Officer at Guava.</t>
  </si>
  <si>
    <t>The company raised $500,003 of Seed-2 funding from Precursor Ventures and Backstage Capital in June 2021, putting the company's pre-money valuation at $2.5 million.</t>
  </si>
  <si>
    <t>Backstage Capital Accelerator Fund I(Backstage Capital)</t>
  </si>
  <si>
    <t>www.joinguava.com</t>
  </si>
  <si>
    <t>188439-76T</t>
  </si>
  <si>
    <t>Hacware</t>
  </si>
  <si>
    <t>398919-97</t>
  </si>
  <si>
    <t>2.0 Ventures(W.Benson Metcalf), Aura Innovation Fund(Hari Ravichandran), Chai Ventures NYC, Elevate Capital(Nitin Rai), Horan MediaTech Advisors, TiE Silicon Valley</t>
  </si>
  <si>
    <t>2.0 Ventures (2point0ventures.com), Chai Ventures NYC (www.chai-ventures.com), Elevate Capital (www.elevate.vc), Horan MediaTech Advisors (www.horanmediatech.com), TiE Silicon Valley (sv.tie.org)</t>
  </si>
  <si>
    <t>Developer of an artificial intelligence-powered cybersecurity awareness platform designed to protect company employees against phishing attacks. The company's platform is a risk management system that automates intelligent messages to employees to simulate an email hack and offers consultancy and training recommendations on email security, enabling clients to combat hacking and create awareness.</t>
  </si>
  <si>
    <t>The company joined Google for Startups on June 27, 2024 and received $150,000 in the form of grant funding.</t>
  </si>
  <si>
    <t>Network Management Software*, Systems and Information Management</t>
  </si>
  <si>
    <t>Artificial Intelligence &amp; Machine Learning, Big Data, Cybersecurity, SaaS</t>
  </si>
  <si>
    <t>artificial intelligence, machine learning, phishing attack prevention, phishing campaign, phishing system, phishing training, security operations, security risk assessment &amp; management, security risk assessment and management, smart security, smart security product, smart security system</t>
  </si>
  <si>
    <t>218835-28P</t>
  </si>
  <si>
    <t>Tiffany Ricks</t>
  </si>
  <si>
    <t>tiffany@hacware.com</t>
  </si>
  <si>
    <t>Ms. Tiffany Ricks is the Founder of Hacware &amp; also serves as its Chief Executive Officer. In 2019, Mrs. Ricks lead Hacware, Inc. to be recognized as a Rising Star and in 2017, recognized by TechWeek, Inc for its innovative web and application development work in Dallas, Texas. Hacware has been selected by InnoConf to compete in the 7th Annual StartUp of the Year competition. Mrs. Ricks has over 15 years of experience in the software development industry and 9 years as a White Hat Hacker. She has spent her career building software applications for national brands including L3 Technologies, United States Air Force.</t>
  </si>
  <si>
    <t>The company raised $2.3 million of seed funding in a deal led by Elevate Capital on April 11, 2022, putting the company's pre-money valuation at $5 million. Horan MediaTech Advisors, Aura Innovation Fund, 2.0 Ventures, Chai Ventures NYC, and TiE Silicon Valley also participated in the round. The funds will be used for expansion.</t>
  </si>
  <si>
    <t>2.0 Ventures, Aura Innovation Fund, Chai Ventures NYC, Elevate Capital, Horan MediaTech Advisors, TiE Silicon Valley</t>
  </si>
  <si>
    <t>Elevate Capital(Nitin Rai)</t>
  </si>
  <si>
    <t>Elevate Capital Fund II(Elevate Capital)</t>
  </si>
  <si>
    <t>www.hacware.com</t>
  </si>
  <si>
    <t>178532-29T</t>
  </si>
  <si>
    <t>Hanai</t>
  </si>
  <si>
    <t>471661-12</t>
  </si>
  <si>
    <t>Berlin Blockchain, Cradle Fund, European Business University, Galen Growth, KiwiTech, Loyal VC, Technoport</t>
  </si>
  <si>
    <t>Berlin Blockchain (www.berlin.impacthub.net), Cradle Fund (www.cradle.com.my), European Business University (www.ebu.lu), Galen Growth (www.galengrowth.com), KiwiTech (www.kiwitech.com), Loyal VC (www.loyal.vc), Technoport (www.technoport.lu)</t>
  </si>
  <si>
    <t>The company's application bridges healthcare information, identity and inclusion through digital technology and empowers Social Purpose Organizations (SPOs) to promote women's issues through technology while scaling and tracing their impact, enabling women in rural and marginalized communities with to get access to preventive health, safety and wellbeing services that allow them to take better care of themselves.</t>
  </si>
  <si>
    <t>The company raised $10,000 of seed funding from KiwiTech, Galen Growth and Cradle Fund on April 1, 2022. Loyal VC, Technoport, European Business University and Berlin Blockchain also participated in the round.</t>
  </si>
  <si>
    <t>Other Healthcare Services</t>
  </si>
  <si>
    <t>Application Software, Information Services (B2C), Other Healthcare Services*</t>
  </si>
  <si>
    <t>Digital Health, FemTech, Mobile</t>
  </si>
  <si>
    <t>healthcare application, healthcare education, healthcare information, healthcare technology firm, healthcare technology solutions, women health</t>
  </si>
  <si>
    <t>272492-74P</t>
  </si>
  <si>
    <t>Shamala Hinrichsen</t>
  </si>
  <si>
    <t>+1 (628) 264-9634</t>
  </si>
  <si>
    <t>shamala@hanaihealth.com</t>
  </si>
  <si>
    <t>Ms. Shamala Hinrichsen is a Co-Founder and serves as Chief Executive Officer at Hanai.</t>
  </si>
  <si>
    <t>www.hanaihealth.com</t>
  </si>
  <si>
    <t>185550-58T</t>
  </si>
  <si>
    <t>HandsDown</t>
  </si>
  <si>
    <t>489370-24</t>
  </si>
  <si>
    <t>Hula</t>
  </si>
  <si>
    <t>Hula (www.hulalakeside.com)</t>
  </si>
  <si>
    <t>Developer of a social commerce platform designed for moms and new parents to guide them with the products that their child needs. The company's platform offers trusted products, peer-to-peer product discovery, and post-purchase product sharing, providing consumers with word-of-mouth or recommendations from friends and family.</t>
  </si>
  <si>
    <t>The company raised an undisclosed amount of venture funding in the form of convertible debt from Hula, Dudley Fund and Chloe Capital on June 20, 2023. Rich Miller, Dave Wilkens and Minnow Ventures also participated in the round. Previously, the company joined Techstars on January 13, 2023 as a part of Techstars Boulder Accelerator program and received $120,000 in funding.</t>
  </si>
  <si>
    <t>customized content, parent-focused product, product recommendation, recommendations app, social commerce, social commerce application, social commerce platform</t>
  </si>
  <si>
    <t>286172-20P</t>
  </si>
  <si>
    <t>Jenna Sereni</t>
  </si>
  <si>
    <t>Ms. Jenna Sereni founded and served as Chief Executive Officer &amp; Board Member at HandsDown.</t>
  </si>
  <si>
    <t>The company raised $191,000 of venture funding from Hula and other undisclosed investors on December 20, 2021, putting the company's pre-money valuation at $5 million. The amount was originally raised in the form of convertible debt and subsequently got converted into equity.</t>
  </si>
  <si>
    <t>Burlington, VT</t>
  </si>
  <si>
    <t>Vermont</t>
  </si>
  <si>
    <t>05401</t>
  </si>
  <si>
    <t>www.handsdown.shop</t>
  </si>
  <si>
    <t>200243-62T</t>
  </si>
  <si>
    <t>Happied</t>
  </si>
  <si>
    <t>483690-34</t>
  </si>
  <si>
    <t>Alumni Ventures(Catherine Lu), Charlottesville Angel Network(Chris Grant), Daren Cotter(Daren Cotter), HearstLab(Eve Burton), High Street Equity Partners(Mitch Brooks), NWS Holdings (United States), Omnidollar Ventures(Myles Grote), True Ventures, Virginia Venture Partners</t>
  </si>
  <si>
    <t>Alumni Ventures (www.av.vc), Charlottesville Angel Network (www.cvilleangelnetwork.net), HearstLab (www.hearstlab.com), High Street Equity Partners (www.hsep.vc), NWS Holdings (United States) (nwsholdings.com), Omnidollar Ventures (www.omnidollar.io), True Ventures (www.trueventures.com)</t>
  </si>
  <si>
    <t>Operator of an online team building and client engagement platform intended to bring the joy of sharing food and drink together. The company's platform provides a mobile application to book gift kits and personalized experiences for teams and clients to enjoy from anywhere and interact with teams no matter where they are, enabling organizations to create fun and meaningful team events offsite for groups, teams, and fans globally with no stress.</t>
  </si>
  <si>
    <t>Application Software, Media and Information Services (B2B), Social/Platform Software*</t>
  </si>
  <si>
    <t>LOHAS &amp; Wellness, Mobile, SaaS</t>
  </si>
  <si>
    <t>client engagement platform, client engagement services, client engagement tool, fun events, personalized gifting platform, team building platform</t>
  </si>
  <si>
    <t>281062-54P</t>
  </si>
  <si>
    <t>April Johnson</t>
  </si>
  <si>
    <t>april@happied.co</t>
  </si>
  <si>
    <t>Ms. April Johnson is a Co-Founder and serves as Chief Executive Officer at Happied. She is an attorney by trade, serial entrepreneur by head injury, and professional happy hour reviewer by passion. In 2018, she launched Happied, initially a web app that connected foodies and cocktail connoisseurs to happy hour experiences. April reps hard for Inglewood as a native Californian, but calls Washington, DC home after graduating from Georgetown Law and practicing law at corporate firm, Arent Fox. She has been featured on Time, Essence, Newsy, and DC Inno, among others.</t>
  </si>
  <si>
    <t>The company raised $1.6 million of seed funding through a combination of convertible note and equity from Omnidollar Ventures, True Ventures and High Street Equity Partners on August 4, 2022. Alumni Ventures, Virginia Venture Partners, HearstLab, Daren Cotter,NWS Holdings, and Charlottesville Angel Network also participated in the round. The funds will be used by the company to help employers mitigate turnover.</t>
  </si>
  <si>
    <t>Alumni Ventures, Charlottesville Angel Network, Daren Cotter, HearstLab, High Street Equity Partners, NWS Holdings (United States), Omnidollar Ventures, True Ventures, Virginia Venture Partners</t>
  </si>
  <si>
    <t>AVG Seed Fund 5(Alumni Ventures), HSEP Fund I(High Street Equity Partners)</t>
  </si>
  <si>
    <t>www.happied.co</t>
  </si>
  <si>
    <t>188659-45T</t>
  </si>
  <si>
    <t>Happyly</t>
  </si>
  <si>
    <t>491781-43</t>
  </si>
  <si>
    <t>CAV Angels, TechFarms Capital, Virginia Venture Partners(Jennifer O'Daniel)</t>
  </si>
  <si>
    <t>CAV Angels (www.cavangels.com), TechFarms Capital (www.techfarmscapital.com)</t>
  </si>
  <si>
    <t>Operator of a corporate benefits platform intended to empower employees to create work-life balance and develop meaningful connections with their colleagues. The company's proprietary technology provides its customers with curated activities and events personalized to their needs, localized outdoor activities, volunteer opportunities, and custom vacation getaways, enabling organizations to improve employee engagement and retention.</t>
  </si>
  <si>
    <t>The company raised $2 million of seed funding in a deal led by CAV Angels on October 18, 2022. TechFarms Capital and Virginia Venture Partners also participated in the round.</t>
  </si>
  <si>
    <t>Application Software, Business/Productivity Software*, Human Capital Services, Social/Platform Software</t>
  </si>
  <si>
    <t>HR Tech, LOHAS &amp; Wellness, Mobile, SaaS</t>
  </si>
  <si>
    <t>corporate benefit program, employee benefit tools, employee wellbeing, work-life balance, workplace wellbeing platform, workplace wellbeing service</t>
  </si>
  <si>
    <t>291774-79P</t>
  </si>
  <si>
    <t>Caitlin Iseler</t>
  </si>
  <si>
    <t>+1 (202) 870-3278</t>
  </si>
  <si>
    <t>caitliniseler@happyly.com</t>
  </si>
  <si>
    <t>Ms. Caitlin Iseler is a Co-Founder and serves as Chief Executive Officer, Chief People Officer and Board Member at Happyly. Ms.Iseler spent 15 years working in executive search with technology companies, most recently with Korn Ferry. She attended the University of Virginia and was a member of the National &amp; ACC Championship Teams, a gift that keeps giving. Currently, she is studying religious studies and technology at McIntire school of commerce.</t>
  </si>
  <si>
    <t>Degree, Religious Studies and Technology, University of Virginia, Degree</t>
  </si>
  <si>
    <t>CAV Angels, TechFarms Capital, Virginia Venture Partners</t>
  </si>
  <si>
    <t>CAV Angels</t>
  </si>
  <si>
    <t>TechFarms Capital Fund I(TechFarms Capital), Virginia Founders Fund(Virginia Venture Partners)</t>
  </si>
  <si>
    <t>22209</t>
  </si>
  <si>
    <t>www.happyly.com</t>
  </si>
  <si>
    <t>241088-86T</t>
  </si>
  <si>
    <t>Haqean</t>
  </si>
  <si>
    <t>502827-67</t>
  </si>
  <si>
    <t>NextCorps Luminate</t>
  </si>
  <si>
    <t>NextCorps Luminate (www.luminate.org)</t>
  </si>
  <si>
    <t>Developer of data authentication technology designed for industries such as pharma and retail. The company offers protection to products across the supply chain, and also provides fraud prevention, quantum tagging, endpoint security, cross-platform support, and data encryption, enabling pharma manufacturers and hospitals to ensure product safety and efficiency.</t>
  </si>
  <si>
    <t>The company joined PolygonLEAP as a part of first cohort in approximately December 2021.</t>
  </si>
  <si>
    <t>assets authentication, cross platform support, data security, data security platform, embedded software, fraud prevention, identification technology, software products</t>
  </si>
  <si>
    <t>310821-76P</t>
  </si>
  <si>
    <t>Hanaan Hashim</t>
  </si>
  <si>
    <t>hanaan@haqean.com</t>
  </si>
  <si>
    <t>Ms. Hanaan Hashim is a Co-founder and serves as Chief Executive Officer at Haqean.</t>
  </si>
  <si>
    <t>The company raised $20,000 of venture funding from NextCorps Luminate. on August 13, 2020, putting the company's pre-money valuation at $1.98 million.</t>
  </si>
  <si>
    <t>www.haqean.com</t>
  </si>
  <si>
    <t>270481-87T</t>
  </si>
  <si>
    <t>Hardly</t>
  </si>
  <si>
    <t>469249-48</t>
  </si>
  <si>
    <t>Richard King Mellon Foundation</t>
  </si>
  <si>
    <t>Richard King Mellon Foundation (www.rkmf.org)</t>
  </si>
  <si>
    <t>Developer of artificial intelligence-based career platform designed to speed up the job application process. The company's platform offers features such as calendar integration, automated scheduling, and customizable meeting options and helps with building a resume, enabling candidates to apply to jobs and professionals and organizations to efficiently book and conduct meetings.</t>
  </si>
  <si>
    <t>The company raised $250,000 of seed funding from Richard King Mellon Foundation on June 28, 2022.</t>
  </si>
  <si>
    <t>Business/Productivity Software*, Human Capital Services, Information Services (B2C), Other Services (B2C Non-Financial)</t>
  </si>
  <si>
    <t>Artificial Intelligence &amp; Machine Learning, HR Tech</t>
  </si>
  <si>
    <t>career assistance, hiring and placement, hr tech, job matching platform, job seekers protal, scheduling tool</t>
  </si>
  <si>
    <t>267423-76P</t>
  </si>
  <si>
    <t>Allison Braund-Harris</t>
  </si>
  <si>
    <t>+1 (256) 366-9234</t>
  </si>
  <si>
    <t>allison@hardly-work.com</t>
  </si>
  <si>
    <t>Ms. Allison Braund-Harris is a Co-Founder and serves as Chief Executive Officer at Hardly. She firmly believe that when people seek to understand their own motivations and strengths, it leads to empathy for others. She fell in love with organizational behavior classes while getting her MBA at Carnegie Mellon.</t>
  </si>
  <si>
    <t>Carnegie Mellon University, MBA (Master of Business Administration)</t>
  </si>
  <si>
    <t>Crivella Correa (Legal Advisor to Company, Ryan Crivilla)</t>
  </si>
  <si>
    <t>15206</t>
  </si>
  <si>
    <t>hardly-work.com</t>
  </si>
  <si>
    <t>187968-79T</t>
  </si>
  <si>
    <t>Hearth (Electronics (B2C))</t>
  </si>
  <si>
    <t>482285-35</t>
  </si>
  <si>
    <t>Behind Genius Ventures, Cashmere Fund, Female Founders Fund, Jennifer Fleiss(Jennifer Fleiss), Precursor Ventures, Reshma Saujani, Stellation Capital(Peter Boyce)</t>
  </si>
  <si>
    <t>Behind Genius Ventures (www.behindgeniusventures.com), Cashmere Fund (www.thecashmerefund.com), Female Founders Fund (www.femalefoundersfund.com), Precursor Ventures (precursorvc.com), Reshma Saujani (reshmasaujani.com), Stellation Capital (www.stellation.vc)</t>
  </si>
  <si>
    <t>Developer of a digital touchscreen board designed to replace the traditional family bulletin board. The company's board display features automatic calendar syncing and task management, and helps in family management and productivity, enabling families to keep themselves organized and connected in one central location.</t>
  </si>
  <si>
    <t>The company raised $6.98 million of venture funding in a deal led by Precursor Ventures on November 14, 2024. Other undisclosed investors also participated in the round. Out of which $150,000 was raised in the form of SAFE notes. Subsequently SAFE notes was converted into equity.</t>
  </si>
  <si>
    <t>Application Software, Electronics (B2C)*, Other Consumer Durables</t>
  </si>
  <si>
    <t>bulletin board, bulletin board system, digital display, digital display system, organizational tool, task management, task management system</t>
  </si>
  <si>
    <t>278003-71P</t>
  </si>
  <si>
    <t>Mei-Lin Ng</t>
  </si>
  <si>
    <t>+1 (678) 560-3559</t>
  </si>
  <si>
    <t>meilin@hearthdisplay.com</t>
  </si>
  <si>
    <t>Ms. Mei-Lin Ng serves as Co-Founder &amp; Chief Executive Officer at Hearth.</t>
  </si>
  <si>
    <t>The company raised $2.67 million through a combination of Seed-1 and Seed-2 funding from Stellation Capital, Female Founders Fund and Precursor Ventures on July 12, 2022, putting the company's pre-money valuation at $8 million. Cashmere Fund, Behind Genius Ventures, Reshma Saujani and Jenny Fleiss also participated in the round.</t>
  </si>
  <si>
    <t>Behind Genius Ventures, Cashmere Fund, Female Founders Fund, Jennifer Fleiss, Precursor Ventures, Reshma Saujani, Stellation Capital</t>
  </si>
  <si>
    <t>Female Founders Fund II(Female Founders Fund), Stellation Capital I(Stellation Capital)</t>
  </si>
  <si>
    <t>Cooley (Legal Advisor to Female Founders Fund), Gunderson Dettmer (Legal Advisor to Stellation Capital), Perkins Coie (Legal Advisor to Company)</t>
  </si>
  <si>
    <t>Perkins Coie (Legal Advisor to Company)</t>
  </si>
  <si>
    <t>Cooley (Legal Advisor to Female Founders Fund), Gunderson Dettmer (Legal Advisor to Stellation Capital)</t>
  </si>
  <si>
    <t>www.hearthdisplay.com</t>
  </si>
  <si>
    <t>207109-00T</t>
  </si>
  <si>
    <t>Hearth AI</t>
  </si>
  <si>
    <t>512282-26</t>
  </si>
  <si>
    <t>M13, Pear (California), Salesforce Ventures, Sterling Road</t>
  </si>
  <si>
    <t>M13 (www.m13.co), Pear (California) (www.pear.vc), Salesforce Ventures (www.salesforceventures.com), Sterling Road (www.sterlingroad.com)</t>
  </si>
  <si>
    <t>Operator of an artificial intelligence platform intended to provide a co-pilot semantic network. The company's platform offers a follow-up workflow and relationship network and augments one's ability to stay connected by centralizing, enriching, recommending and acting on your network, enabling customers to maintain warm relationships.</t>
  </si>
  <si>
    <t>The company raised an estimated $3.75 million of seed funding from Salesforce Ventures, Sterling Road and Pear on January 5, 2023, putting the company's pre-money valuation at $10 million. M13 also participated in the round.</t>
  </si>
  <si>
    <t>ai platform service, network search engine, platform network, relationship management, relationship management platform, semantic web</t>
  </si>
  <si>
    <t>164629-36P</t>
  </si>
  <si>
    <t>Ashe Magalhaes</t>
  </si>
  <si>
    <t>ashe@hearth.ai</t>
  </si>
  <si>
    <t>Ms. Ashe Magalhaes is the Founder of Hearth AI. Ms. She served as an Investment Analyst at Pear.</t>
  </si>
  <si>
    <t>Stanford University, BS (Bachelor of Science), Computer Science</t>
  </si>
  <si>
    <t>Salesforce Ventures Generative AI Fund(Salesforce Ventures), Sterling Road 2(Sterling Road)</t>
  </si>
  <si>
    <t>www.hearth.ai</t>
  </si>
  <si>
    <t>248648-50T</t>
  </si>
  <si>
    <t>Heeyo</t>
  </si>
  <si>
    <t>550441-00</t>
  </si>
  <si>
    <t>Acorn Pacific Ventures, Amazon Alexa Fund, Charge Ventures, ODDBIRD-, OpenAI Startup Fund, Pear (California)</t>
  </si>
  <si>
    <t>Acorn Pacific Ventures (www.acornpacific.ventures), Charge Ventures (www.charge.vc), ODDBIRD- (www.oddbirdvc.com), OpenAI Startup Fund (www.openai.fund), Pear (California) (www.pear.vc)</t>
  </si>
  <si>
    <t>Developer of an artificial intelligence-based playmates platform designed for kids. The company offers skill-building games and learning activities, like reading books, learning science, playing trivia, or creating their own stories, enabling kids to accomplish their dreams.</t>
  </si>
  <si>
    <t>The company raised $3.5 million of seed funding from the OpenAI Startup Fund, ODD BIRD, Amazon Alexa Fund, and Pear on August 1, 2024. Charge Ventures, Acorn Pacific Ventures, and other undisclosed investors also participated in the round. Out of the total funding, an undisclosed amount is in the form of SAFE notes.</t>
  </si>
  <si>
    <t>Artificial Intelligence &amp; Machine Learning, EdTech, Mobile, SaaS, TMT</t>
  </si>
  <si>
    <t>kids gaming, kids service, learning activities, learning science, play platform, skill-building platform</t>
  </si>
  <si>
    <t>224072-38P</t>
  </si>
  <si>
    <t>Xiaoyin Qu</t>
  </si>
  <si>
    <t>Ms. Xiaoyin Qu is the Founder &amp; serevs as Chief Executive Officer at Heeyo. Ms. Qu founded &amp; served as Chief Executive Officer at Run The World.</t>
  </si>
  <si>
    <t>Wilson Sonsini Goodrich &amp; Rosati (Legal Advisor to Company, Lang Liu JD)</t>
  </si>
  <si>
    <t>www.heeyo.ai</t>
  </si>
  <si>
    <t>173191-33T</t>
  </si>
  <si>
    <t>Hello Divorce</t>
  </si>
  <si>
    <t>466593-49</t>
  </si>
  <si>
    <t>CEAS Investments I(Ronnie Martinez), EquityESQ(Ed Diab), Gaingels, Jack Newton(Jack Newton), Lightbank(Eric Ong), Lisa Stone(Lisa Stone), Northwestern Mutual Future Ventures</t>
  </si>
  <si>
    <t>CEAS Investments I (www.ceasinvestments.com), Gaingels (www.gaingels.com), Lightbank (www.lightbank.com), Northwestern Mutual Future Ventures (venture.northwesternmutual.com/future-ventures.html)</t>
  </si>
  <si>
    <t>Operator of a proprietary platform intended to complete the divorce process exclusively online, complemented by self-service tools and integrated expert help. The company's platform utilizes self-service and assisted tools that guide an individual through the divorce process with a web application powered by artificial intelligence and conditional logic along with providing maneuvering sessions, personalized divorce plans, and strategy sessions with a divorce lawyer, enabling people to access a quicker, equitable and less fear-driven outcome.</t>
  </si>
  <si>
    <t>The company raised $3.5 million of seed funding in a deal led by The Artemis Fund on September 11, 2023, putting the company's pre-money valuation at $8.5 million. Northwestern Mutual Future Ventures, TruStage Ventures, Pitbull Ventures, Lightbank, Chaos Ventures (New York), Moderne Ventures, Alumni Ventures, Litquidity Capital, Jack Newton, Sand Hill Angels and CEAS Investments I also participated in the round. The funds will be used to further expand nationally and dive deeper into the divorce lifecycle, creating tools and services that offer a bridge to financial independence and emotional well-being. Previously, the company raised $3.25 million of seed funding from TruStage Ventures and other undisclosed investors on September 30, 2022.</t>
  </si>
  <si>
    <t>Application Software, Legal Services (B2C), Other Services (B2C Non-Financial)*</t>
  </si>
  <si>
    <t>Artificial Intelligence &amp; Machine Learning, E-Commerce, Legal Tech, SaaS</t>
  </si>
  <si>
    <t>divorce advice, divorce management application, family management, financial advisory planning, legal service platform, online divorce, personalized planning</t>
  </si>
  <si>
    <t>263193-76P</t>
  </si>
  <si>
    <t>Erin Levine</t>
  </si>
  <si>
    <t>+1 (510) 646-1400</t>
  </si>
  <si>
    <t>erin@hellodivorce.com</t>
  </si>
  <si>
    <t>Ms. Erin Levine is a Co-Founder and serves as Chief Executive Officer and Board Member at Hello Divorce. After 16 years as a divorce attorney; Erin knows just how broken, toxic, wildly inefficient and unreasonably expensive the family law system is. Erin set out to revolutionize how consumers interact with the law and provide a kinder, easier and cheaper pathway to divorce. Erin's access to justice work has been recognized by the legal industry and beyond, with awards and recognition from the likes of Women Founders Network, TechCrunch, Vice, Forbes and the American Bar Association.</t>
  </si>
  <si>
    <t>University of California, Santa Barbara, Degree, University of San Francisco, Degree</t>
  </si>
  <si>
    <t>The company raised $2 million of Seed-1 funding in a deal led by CEAS Investments I on July 23, 2021, putting the company's pre-money valuation at $8 million. Northwestern Mutual Future Ventures, Gaingels, Lightbank, EquityESQ, Jack Newton and Lisa Stone also participated in the round. The funds will be used to scale lawful submitting possibilities across the U.S., on products improvement and new articles and products and services to teach people today coming to Good day Divorce's site.</t>
  </si>
  <si>
    <t>CEAS Investments I, EquityESQ, Gaingels, Jack Newton, Lightbank, Lisa Stone, Northwestern Mutual Future Ventures</t>
  </si>
  <si>
    <t>CEAS Investments I(Ronnie Martinez)</t>
  </si>
  <si>
    <t>Alameda, CA</t>
  </si>
  <si>
    <t>Alameda</t>
  </si>
  <si>
    <t>94501</t>
  </si>
  <si>
    <t>www.hellodivorce.com</t>
  </si>
  <si>
    <t>228053-35T</t>
  </si>
  <si>
    <t>Hello Pediatrics</t>
  </si>
  <si>
    <t>530771-86</t>
  </si>
  <si>
    <t>Bridge Ventures (Chicago), Dialectic Capital Management(John Fichthorn), Sequoia Health Strategies(Paul Portsmore)</t>
  </si>
  <si>
    <t>Bridge Ventures (Chicago) (www.bridgeventures.com), Dialectic Capital Management (www.dialecticcapital.com)</t>
  </si>
  <si>
    <t>Provider of a telehealth platform intended for streamlined, patient-centered, telehealth care. The company's platform provides convenient and affordable access to care for children through a video chat with board-certified pediatricians, secure messaging, and detailed summaries to pediatricians, enabling consumers with a valuable resource for convenient and affordable care for their children.</t>
  </si>
  <si>
    <t>The company raised $3 million of Series B venture funding in a deal led by Sequoia Health Strategies and Dialectic Capital Management on July 11, 2023. Bridge Ventures also participated in the round. Other undisclosed investors also participated in the round. The funds will be used to support the addition of child and family integrated behavioral health services, the company's expansion into new states and technology enhancements to improve the customer and provider experience.</t>
  </si>
  <si>
    <t>HealthTech</t>
  </si>
  <si>
    <t>appointment booking platform, clinical care services, pediatric medical care, telehealth services, treatment planning, urgent care</t>
  </si>
  <si>
    <t>301564-27P</t>
  </si>
  <si>
    <t>Lucy Janoyan</t>
  </si>
  <si>
    <t>+1 (855) 576-8745</t>
  </si>
  <si>
    <t>Ms. Lucy Janoyan serves as Co-Chief Executive Officer at Hello Pediatrics. She served as Chief Operating Officer at CHE Behavioral Health Services. Prior to CHE, She served in multiple senior leadership roles for mid-market to large national healthcare organizations such as Kaiser Permanente, Sava Senior Care and Longwood Management Services. As COO, she directs clinical operations, new program and product development, provider and customer experience and support services, as well as marketing and growth initiatives. She brings a unique combination of extensive operations improvement and innovative go-to-market expertise to her work, ensuring CHE's customer success initiatives and continued expansion into all 50 states. She holds a Bachelor of Science degree in Gerontology with emphasis on Information Systems as well as a Master's Degree in Health Administration from the University of Southern California.</t>
  </si>
  <si>
    <t>BS (Bachelor of Science), Gerontology, University of Southern California (USC), Master's, Health Administration</t>
  </si>
  <si>
    <t>Series B</t>
  </si>
  <si>
    <t>Bridge Ventures (Chicago), Dialectic Capital Management, Sequoia Health Strategies</t>
  </si>
  <si>
    <t>Dialectic Capital Management(John Fichthorn), Sequoia Health Strategies(Paul Portsmore)</t>
  </si>
  <si>
    <t>Fairfax, VA</t>
  </si>
  <si>
    <t>Fairfax</t>
  </si>
  <si>
    <t>22033</t>
  </si>
  <si>
    <t>www.hellopediatrics.com</t>
  </si>
  <si>
    <t>164573-02T</t>
  </si>
  <si>
    <t>Hello Ralphie</t>
  </si>
  <si>
    <t>435014-02</t>
  </si>
  <si>
    <t>HearstLab(Eve Burton), WPMC Fund</t>
  </si>
  <si>
    <t>HearstLab (www.hearstlab.com), WPMC Fund (www.wpmc.fund)</t>
  </si>
  <si>
    <t>Developer of an online virtual care platform designed to facilitate remote veterinary checkups. The company's platform connects pet parents with veterinarians for video and chat appointments, and solves queries related to pets digitally, enabling users to access their primary veterinarian or find a different veterinarian who is available for virtual veterinary appointments.</t>
  </si>
  <si>
    <t>The company raised $1 million of seed funding from HearstLab, WPMC Fund, and other undisclosed investors on January 7, 2021. The funds will be used to focus on software and technology expansion as well as key hires in business development and customer experience, focus on improving the experience for pets and their parents, and create an environment where veterinarians can offer exemplary care in a socially distant manner.</t>
  </si>
  <si>
    <t>Mobile, Pet Technology</t>
  </si>
  <si>
    <t>cat grooming, dog care, pet care application, pet health, vet care, veterinarian finder, veterinary care platform</t>
  </si>
  <si>
    <t>229755-52P</t>
  </si>
  <si>
    <t>Felicity Johnson</t>
  </si>
  <si>
    <t>Ms. Felicity Johnson founded and served as Chief Executive Officer at Hello Ralphie.</t>
  </si>
  <si>
    <t>HearstLab, WPMC Fund</t>
  </si>
  <si>
    <t>19103-5932</t>
  </si>
  <si>
    <t>www.helloralphie.com</t>
  </si>
  <si>
    <t>254846-26T</t>
  </si>
  <si>
    <t>Hello World CS</t>
  </si>
  <si>
    <t>465914-17</t>
  </si>
  <si>
    <t>Edovate Capital</t>
  </si>
  <si>
    <t>Edovate Capital (www.edovatecapital.com)</t>
  </si>
  <si>
    <t>Provider of a computer science learning platform intended to equip and empower next-generation innovators. The company's platform offers a rigorous catalog of in-person, project-based learning experiences centered on students mastering concepts in emerging technology fields creating multidisciplinary learning experiences that build leadership skills, enabling educators to focus on applied mathematics, simulation and modeling as a means to solve complex problems.</t>
  </si>
  <si>
    <t>The company raised $2.95 million through a combination of Seed-1 and Seed-2 funding from Edovate Capital and undisclosed investors on March 18, 2024, putting the company's pre-money valuation at $16 million.</t>
  </si>
  <si>
    <t>computer science, computer science program, educational value, leadership program, learning experience, multidisciplinary skills</t>
  </si>
  <si>
    <t>262106-92P</t>
  </si>
  <si>
    <t>Sabina Bharwani</t>
  </si>
  <si>
    <t>+1 (512) 831-7261</t>
  </si>
  <si>
    <t>sbharwani@helloworldcs.org</t>
  </si>
  <si>
    <t>Ms. Sabina Bharwani is a Co-Founder and serves as Chief Executive Officer, President and Board Member at Hello World CS. She serves as Managing Director, Innovation Strategy and Partnerships at Teach for America Director, Education Technology at Teach for America Manager, Teacher Leadership and Development at Teach for America.</t>
  </si>
  <si>
    <t>Harvard University, Master's, 2010, International business and public policy, Rice University, BS (Bachelor of Science), 2007, Public Policy and Mathematics</t>
  </si>
  <si>
    <t>78731</t>
  </si>
  <si>
    <t>www.helloworldcs.org</t>
  </si>
  <si>
    <t>184393-63T</t>
  </si>
  <si>
    <t>HeyLayer</t>
  </si>
  <si>
    <t>484193-89</t>
  </si>
  <si>
    <t>Bitcoin Frontier Fund, Gossamer Capital, Panda Capital (Hong Kong), SBX Capital</t>
  </si>
  <si>
    <t>Bitcoin Frontier Fund (www.btcfrontier.fund), Gossamer Capital (www.gossamercap.com), Panda Capital (Hong Kong) (pandacapital.hk), SBX Capital (www.sbxcapital.co)</t>
  </si>
  <si>
    <t>Developer of crypto mining technology intended to mint NFTs at scale. The company's technology offers API to mint NFTs and allows to buy and sell crypto using regular credit cards and earn royalty payments, enabling investors to stay up-to-date on analytics on sales across their entire collection of cryptocurrencies and NFTs.</t>
  </si>
  <si>
    <t>The company raised $450,000 of pre-seed funding from Panda Capital, SBX Capital and Gossamer Capital on February 1, 2022. Bitcoin Frontier Fund also participated in the round.</t>
  </si>
  <si>
    <t>blockchain industry, blockchain technology, crypto industry, nft management platform, nft mint, web3 technology</t>
  </si>
  <si>
    <t>284358-25P</t>
  </si>
  <si>
    <t>Alla Koretsky</t>
  </si>
  <si>
    <t>+1 (646) 387-5051</t>
  </si>
  <si>
    <t>alla@heylayer.com</t>
  </si>
  <si>
    <t>Ms. Alla Koretsky is a Co-Founder &amp; serves as Chief Executive Officer at Layer (Other Financial Services).</t>
  </si>
  <si>
    <t>BS (Bachelor of Science), 2004, Fashion</t>
  </si>
  <si>
    <t>Gossamer Capital, Panda Capital (Hong Kong), SBX Capital</t>
  </si>
  <si>
    <t>Bitcoin Frontier Fund</t>
  </si>
  <si>
    <t>11235</t>
  </si>
  <si>
    <t>www.heylayer.com</t>
  </si>
  <si>
    <t>190404-28T</t>
  </si>
  <si>
    <t>Hidden Door</t>
  </si>
  <si>
    <t>462382-12</t>
  </si>
  <si>
    <t>Betaworks Ventures(John Borthwick), Brooklyn Bridge Ventures, Daniel Sturman(Daniel Sturman), Homebrew(Charo Gioia), Joshua Schacter(Joshua Schacter), Makers Fund(Jayson Chi), Northzone Ventures(Wendy Xiao)</t>
  </si>
  <si>
    <t>Betaworks Ventures (www.betaworksventures.com), Brooklyn Bridge Ventures (www.brooklynbridge.vc), Homebrew (www.homebrew.co), Makers Fund (www.makersfund.com), Northzone Ventures (www.northzone.com)</t>
  </si>
  <si>
    <t>Developer of an online game platform designed for kids to discover and create stories with AI. The company's platform uses AI and natural language processing that allows users to create personalized characters and take them on adventures across a variety of open story worlds, providing children with storytelling games that are AI and ML-generated.</t>
  </si>
  <si>
    <t>The company raised $7 million of seed funding in a deal led by Makers Fund on July 13, 2022, putting the company's pre-money valuation at $28 million. Northzone Ventures and Betaworks Ventures also participated in the round. The funds will be used to build out the company's team, technology, and product. Previously, the company raised $2 million of pre-seed funding in a deal led by Northzone Ventures on March 16, 2022, putting the company's pre-money valuation at $7 million. Makers Fund and 5 other investors also participated in the round. The funds will be used for creating a social game platform that uses AI to help build narratives allowing players to remix interactive graphic novels and share the results.</t>
  </si>
  <si>
    <t>Artificial Intelligence &amp; Machine Learning, Esports, Gaming</t>
  </si>
  <si>
    <t>game platform, gaming content, generative ai, mobile gaming, natural language processing, role play games platform, social gaming platform</t>
  </si>
  <si>
    <t>42148-81P</t>
  </si>
  <si>
    <t>Hilary Mason</t>
  </si>
  <si>
    <t>hmason@hiddendoor.co</t>
  </si>
  <si>
    <t>Ms. Hilary Mason is a Co-Founder and serves as Chief Executive Officer at Hidden Door. She served as Advisor at DataKind. She was the Founder and served as Chief Executive Officer at Fast Forward Labs. She served as an Advisor at Future Perfect Ventures. She will serve as an advisor to the firm's portfolio companies and assist with evaluating new technologies and investment opportunities. She also serves as Data Scientist in Residence at Accel. Prior to Accel, she served as a chief data scientist for Bitly. She is deeply rooted in the New York technology scene and has been an active member of Mayor Bloomberg's Technology and Innovation Advisory Council since 2011. The advisory council is tasked with findings ways that government can help tech companies and start-ups grow and scale in NY. In 2010, she co-founded HackNY, a non-profit dedicated to creating a path for talented students to join New York's creative technical community through events, education, and prestigious fellowships. Prior to that, she designed statistical models of careers from a resume dataset, for Path101. Additionally, she serves as an advisor to several New York startups including knod.es, collective, MortarData as well as DataKind, a non-profit that brings together leading data scientists with high-impact social organizations. She has served as a mentor to Betaspring, the Providence Rhode Island-based start-up accelerator, and TechStars New York. she earned her BA in Computer Science from Grinnell College. She is presently the Founder and serves as Chief Executive Officer at Fast Forward Labs.</t>
  </si>
  <si>
    <t>Brown University, Degree, Computer Science, Grinnell College, BA (Bachelor of Arts), 2000, Computer Science</t>
  </si>
  <si>
    <t>The company raised $2 million of pre-seed funding in a deal led by Northzone Ventures on March 16, 2022, putting the company's pre-money valuation at $7 million. Makers Fund, Betaworks Ventures, Brooklyn Bridge Ventures, Homebrew, Dan Sturman and Joshua Schacter also participated in the round. The funds will be used for creating a social game platform that uses AI to help build narratives allowing players to remix interactive graphic novels and share the results.</t>
  </si>
  <si>
    <t>Betaworks Ventures, Brooklyn Bridge Ventures, Daniel Sturman, Homebrew, Joshua Schacter, Makers Fund, Northzone Ventures</t>
  </si>
  <si>
    <t>Northzone Ventures(Wendy Xiao)</t>
  </si>
  <si>
    <t>Brooklyn Bridge Ventures Fund III(Brooklyn Bridge Ventures), Homebrew Ventures III(Homebrew), Makers Fund III(Makers Fund), Northzone VIII(Northzone Ventures)</t>
  </si>
  <si>
    <t>Cooley (Legal Advisor to Makers Fund)</t>
  </si>
  <si>
    <t>www.hiddendoor.co</t>
  </si>
  <si>
    <t>183147-94T</t>
  </si>
  <si>
    <t>Highlight (Media and Information Services)</t>
  </si>
  <si>
    <t>433218-07</t>
  </si>
  <si>
    <t>Alexander Lurie(Alexander Lurie), Alumni Ventures(Andrea Funsten), Chestnut Street Ventures, Dorm Room Fund, First Round Capital, FJ Labs, GC Venture Fellows, Hearst Communications, HearstLab, Max Mullen(Max Mullen), Operator Partners, Reform Ventures, Richard Thornton(Richard Thornton), Scribble Ventures(Annelies Gamble), Secocha Ventures, Sixers Innovation Lab, Tom Bernthal(Tom Bernthal), Weiss Tech House</t>
  </si>
  <si>
    <t>Alumni Ventures (www.av.vc), Chestnut Street Ventures (www.chestnutstreetventures.com), Dorm Room Fund (www.dormroomfund.com), First Round Capital (www.firstround.com), FJ Labs (www.fjlabs.com), Hearst Communications (www.hearst.com), HearstLab (www.hearstlab.com), Max Mullen (www.maxmullen.com), Operator Partners (www.operatorpartners.com), Reform Ventures (www.reformventures.com), Scribble Ventures (www.scribble.vc), Secocha Ventures (www.secocha.com), Sixers Innovation Lab (www.sixersinnovationlab.com), Weiss Tech House (weisstech.upenn.edu)</t>
  </si>
  <si>
    <t>Developer of a product intelligence platform designed to facilitate efficient, agile, and scaled at-home product testing. The company's platform provides seamless distribution, data collection, and information from a diverse, vetted community of engaged consumers, enabling brands to collect quality product data at scale.</t>
  </si>
  <si>
    <t>The company raised $22.60 million of Series A-1 and Series A-2 venture funding through a combination of debt and equity on August 23, 2023, putting the company's pre-money valuation at $55.40 million. $19.60 million of Series A-1 and Series A-2 was led by Acre Venture Partners and HearstLab with participation from GS Futures and 11 other investors also participated in the round. $3 million loan was provided by undisclosed lender.</t>
  </si>
  <si>
    <t>concept testing, crm, customer relationship management, ecommerce personalization, market research, market research platform, product data, product intelligence software, product testing platform</t>
  </si>
  <si>
    <t>225212-95P</t>
  </si>
  <si>
    <t>Dana Kim</t>
  </si>
  <si>
    <t>dana@letshighlight.com</t>
  </si>
  <si>
    <t>Ms. Dana Kim is a Co-Founder and serves as Chief Executive Officer and Board Member at Highlight.</t>
  </si>
  <si>
    <t>The company raised $8.2 million through a combination of Seed-1 and Seed-2 in a deal led by First Round Capital on October 27, 2021, putting the company's pre-money valuation at $22 million. Hearst Communications, Rough Draft Ventures, Scribble Ventures, Alumni Ventures, Reform Ventures, Dorm Room Fund, Secocha Ventures, FJ Labs, HearstLab, Operator Partners, Chestnut Street Ventures, Sixers Innovation Lab, Weiss Tech House, Zander Lurie, Maxwell Mullen, Richard Thornton, Tom Bernthal and other undisclosed investors also participated in the round.</t>
  </si>
  <si>
    <t>Alexander Lurie, Alumni Ventures, Chestnut Street Ventures, Dorm Room Fund, First Round Capital, FJ Labs, GC Venture Fellows, Hearst Communications, HearstLab, Max Mullen, Operator Partners, Reform Ventures, Richard Thornton, Scribble Ventures, Secocha Ventures, Sixers Innovation Lab, Tom Bernthal, Weiss Tech House</t>
  </si>
  <si>
    <t>First Round Capital</t>
  </si>
  <si>
    <t>AVG Basecamp 2021(Alumni Ventures), Chestnut Street Ventures 5(Chestnut Street Ventures), First Round Capital VII(First Round Capital), FJ Labs Archangel I(FJ Labs), Scribble Ventures I(Scribble Ventures)</t>
  </si>
  <si>
    <t>10009</t>
  </si>
  <si>
    <t>www.letshighlight.com</t>
  </si>
  <si>
    <t>156385-45T</t>
  </si>
  <si>
    <t>Highlyte</t>
  </si>
  <si>
    <t>434741-86</t>
  </si>
  <si>
    <t>AFI Capital Partners(Chi-Chien Hou), Argonautic Ventures, HALLEY Venture Partners, Poseidon Asset Management</t>
  </si>
  <si>
    <t>AFI Capital Partners (www.aficapitalpartners.com), Argonautic Ventures (www.argonauticventures.com), HALLEY Venture Partners (www.halleyvp.com), Poseidon Asset Management (poseidonassetmanagement.com)</t>
  </si>
  <si>
    <t>Developer of a marketing compliance platform designed to serve advertisements compliantly at scale to new cannabis consumers through influencers. The company's artificial intelligence-driven platform connects social media accounts to scan posts and captions, review compliance reports on each post against state regulations and social media guidelines, and allows to view trend reports to learn regulations and adjust the content strategy, enabling cannabis marketers to reduce marketing compliance risks and create compelling content at scale.</t>
  </si>
  <si>
    <t>The company raised $1 million of seed funding from Argonautic Ventures, Poseidon Asset Management and JourneyOne Ventures on April 25, 2023. Other undisclosed investors also participated in the round. The funds will be used to expand the company's beta launch.</t>
  </si>
  <si>
    <t>Artificial Intelligence &amp; Machine Learning, Cannabis, Marketing Tech, SaaS</t>
  </si>
  <si>
    <t>cannabis marketing, compliance platform, content marketing, marketing compliance, research network, risk reporting, social media compliance</t>
  </si>
  <si>
    <t>229173-85P</t>
  </si>
  <si>
    <t>Courtney Wu</t>
  </si>
  <si>
    <t>+1 (415) 769-8852</t>
  </si>
  <si>
    <t>courtney@highlyte.ai</t>
  </si>
  <si>
    <t>Ms. Courtney Wu is a Co-Founder and serves as Chief Executive Officer and Board Member at Highlyte. She is an accomplished marketing executive with a passion for developing creative marketing strategies for highly regulated, fragmented, and age-restricted products. She was formerly the CMO of Artisans on Fire, a cannabis marketing agency, and was the global lead of the Pro &amp; Celebrity Marketing team at PokerStars where she managed the likes of Rafael Nadal and Ronaldo in brand activation, including TV, commercial, PR, social media and live events. In a former life, she was a health educator and youth civic engagement leader for Planned Parenthood.</t>
  </si>
  <si>
    <t>The company raised $1.84 million of venture funding in a deal led by Poseidon Asset Management on July 26, 2022. AFI Capital Partners, HALLEY Venture Partners and Argonautic Ventures also participated in the round. The funding was originally raised in the form of convertible debt and subsequently got converted into equity.</t>
  </si>
  <si>
    <t>AFI Capital Partners, Argonautic Ventures, HALLEY Venture Partners, Poseidon Asset Management</t>
  </si>
  <si>
    <t>Poseidon Asset Management</t>
  </si>
  <si>
    <t>AFI Capital Partners Fund I(AFI Capital Partners)</t>
  </si>
  <si>
    <t>www.highlyte.ai</t>
  </si>
  <si>
    <t>210163-15T</t>
  </si>
  <si>
    <t>HiNote</t>
  </si>
  <si>
    <t>515648-80</t>
  </si>
  <si>
    <t>Cleo Capital, Marc Benioff(Marc Benioff), Marissa Mayer(Marissa Mayer), Peter Thiel(Peter Thiel), Richard Costolo(Richard Costolo), Sarah Kunst(Sarah Kunst), Short List Capital, Yuri Milner(Yuri Milner)</t>
  </si>
  <si>
    <t>Cleo Capital (www.cleocap.com), Short List Capital (www.shortlistcapital.com)</t>
  </si>
  <si>
    <t>Developer of a self-expression platform designed to send customized messages through messaging apps. The company's platform offers personalized and customizable expressive forms of digitally predesigned templates for all kinds of greetings and messages, from work meeting invitations and thank you notes to informal wedding party planning messages and grocery lists, enabling customers to express themselves through messages with ease.</t>
  </si>
  <si>
    <t>The company raised an undisclosed amount of venture funding in the form of SAFE notes from Impact Assets on September 17, 2024.</t>
  </si>
  <si>
    <t>Application Software, Communication Software*, Other Services (B2C Non-Financial)</t>
  </si>
  <si>
    <t>messaging app, messaging application, mobile messaging, mobile messaging app, personalized messaging tool, predesigned templates</t>
  </si>
  <si>
    <t>326859-58P</t>
  </si>
  <si>
    <t>Alexis Traina</t>
  </si>
  <si>
    <t>+1 (209) 247-0287</t>
  </si>
  <si>
    <t>alexis@hinoteapp.com</t>
  </si>
  <si>
    <t>Ms. Alexis Traina is a Co-Founder and serves as Chief Executive Officer at HiNote App.</t>
  </si>
  <si>
    <t>The company raised $1.9 million of venture funding from Short List Capital, Cleo Capital, and Marissa Mayer on May 8, 2023. Dick Costolo, Marc Benioff, Yuri Milner, Peter Thiel, and Sarah Kunst also participated in the round. The funds will be used to help the company avoid the need to monetize immediately.</t>
  </si>
  <si>
    <t>Cleo Capital, Marc Benioff, Marissa Mayer, Peter Thiel, Richard Costolo, Sarah Kunst, Short List Capital, Yuri Milner</t>
  </si>
  <si>
    <t>www.hinoteapp.com</t>
  </si>
  <si>
    <t>200469-07T</t>
  </si>
  <si>
    <t>Hive Wealth</t>
  </si>
  <si>
    <t>494669-08</t>
  </si>
  <si>
    <t>Black Tech Nation Ventures, SVB Financial Group(Tosh Ernest)</t>
  </si>
  <si>
    <t>Black Tech Nation Ventures (www.btn.vc)</t>
  </si>
  <si>
    <t>Developer of a community-first mobile app designed to help people grow their wealth and legacy. The company's platform helps people connect with communities of financial peers to discuss wealth, share trade insights, and break the money taboo, enabling users to set financial goals, analyze spending patterns, and become experts on their finances.</t>
  </si>
  <si>
    <t>The company raised $3.4 million of seed funding from Black Tech Nation Ventures, and other undisclosed investors on December 14, 2023.</t>
  </si>
  <si>
    <t>Application Software, Financial Software*, Social/Platform Software</t>
  </si>
  <si>
    <t>financial company, financial goals, financial goals management, financial services, investment platform, investment tool, mobile app, social platform, wealthtech</t>
  </si>
  <si>
    <t>262502-11P</t>
  </si>
  <si>
    <t>Yvette Butler</t>
  </si>
  <si>
    <t>+1 (301) 983-1378</t>
  </si>
  <si>
    <t>yvette.butler@voya.com</t>
  </si>
  <si>
    <t>MsYvette S. Butler serves as Board Member at Voya Financial. Yvette S. Butler was appointed a director of Voya Financial, Inc. in April 2021. Ms. Butler is the President of SVB Private Bank &amp; Wealth Management. Prior to joining SVB in June of 2018, Ms. Butler was the Executive Vice President of Capital One Investing since April 2013. She is also a board member and Treasurer of the Washington Area Women's Foundation. Prior to joining Capital One, Ms. Butler served as Managing Director for Wells Fargo Advisors heading up the direct business teams, including WFA Solutions and WellsTrade. Ms. Butler also led investor marketing for E*Trade and launched Merrill Lynch's Financial Advisory Center which later became MerrillEdge. In 2001, she moved to Merrill Lynch as retirement group director. Ms. Butler's early career included Merrill Lynch investment banking, Charles Schwab and McKinsey. She was named to the Washingtonian's prestigious list of Most Powerful Women in Washington in 2017 and was named to Savoy magazines 100 Most Influential Blacks in Corporate America in 2020. Ms. Butler received an MBA from Stanford University's Graduate School of Business and a bachelor's degree in Finance and Management Information Systems from the University of Virginia's McIntire School of Commerce. She is the Founder and serves as Chief Executive Officer and Board Member at Hive Wealth. She serves as Board Member at Synctera.</t>
  </si>
  <si>
    <t>BS (Bachelor of Science), Stanford University, MBA (Master of Business Administration)</t>
  </si>
  <si>
    <t>The company raised $2.4 million of seed funding from Black Tech Nation Ventures, SVB Financial Group and other undisclosed investors on September 6, 2022. The funds will be used by the company for the purpose of application development.</t>
  </si>
  <si>
    <t>Black Tech Nation Ventures, SVB Financial Group</t>
  </si>
  <si>
    <t>Bethesda, MD</t>
  </si>
  <si>
    <t>Bethesda</t>
  </si>
  <si>
    <t>20814</t>
  </si>
  <si>
    <t>www.hivewealth.com</t>
  </si>
  <si>
    <t>245647-36T</t>
  </si>
  <si>
    <t>Home From College</t>
  </si>
  <si>
    <t>472334-68</t>
  </si>
  <si>
    <t>GV(KJ Sidberry), Luana Investments, Michael Kassan(Michael Kassan), PEAK6 Strategic Capital, Pentas Ventures, SuperAngel.Fund</t>
  </si>
  <si>
    <t>GV (www.gv.com), Luana Investments (www.luanainvestments.com), Pentas Ventures (www.pentasventures.com), SuperAngel.Fund (www.superangel.vc)</t>
  </si>
  <si>
    <t>Developer of a digital career development platform designed to build a marketplace bringing companies and students together. The company's platform provides access to an online community geared towards prospective college students and recent graduates and releases aspirational content across various industries of technology, media, marketing, fashion and entrepreneurship, enabling students and companies in career development through facilities of mentorship programs and micro-internships and allows them to create better resumes and get more experience early on in their careers.</t>
  </si>
  <si>
    <t>The company raised $6.87 million of seed funding in a deal led by GV on April 3, 2024, putting the company's pre-money valuation at $21.63 million. PEAK6 Strategic Capital, Pentas Ventures, SuperAngel.Fund, Michael Kassan and Luana Investments also participated in the round.</t>
  </si>
  <si>
    <t>Business/Productivity Software*, Information Services (B2C), Media and Information Services (B2B), Multimedia and Design Software</t>
  </si>
  <si>
    <t>career development, digital hiring platform, digital platform, hiring marketplace, internship platform, job portal</t>
  </si>
  <si>
    <t>274100-50P</t>
  </si>
  <si>
    <t>Julia Haber</t>
  </si>
  <si>
    <t>+1 (203) 505-1728</t>
  </si>
  <si>
    <t>Ms. Julia Haber is a Co-Founder and serves as Chief Executive Officer and Board Member at Home From College.</t>
  </si>
  <si>
    <t>GV, Luana Investments, Michael Kassan, PEAK6 Strategic Capital, Pentas Ventures, SuperAngel.Fund</t>
  </si>
  <si>
    <t>GV(KJ Sidberry)</t>
  </si>
  <si>
    <t>Cooley (Legal Advisor to GV)</t>
  </si>
  <si>
    <t>Portland, OR</t>
  </si>
  <si>
    <t>Portland</t>
  </si>
  <si>
    <t>97209</t>
  </si>
  <si>
    <t>www.homefromcollege.com</t>
  </si>
  <si>
    <t>246061-90T</t>
  </si>
  <si>
    <t>Homeboost</t>
  </si>
  <si>
    <t>540851-32</t>
  </si>
  <si>
    <t>Bronze VC, Gigascale Capital, Incite Ventures (San Francisco)</t>
  </si>
  <si>
    <t>Bronze VC (www.bronze.vc), Gigascale Capital (www.gigascale.com), Incite Ventures (San Francisco) (www.incite.org)</t>
  </si>
  <si>
    <t>Manufacturer of home energy audit assessment kit intended to take control of energy bills. The company's product offers to evaluate the house's insulation, heating and cooling systems, appliances and lighting, enabling users to use less energy and save money.</t>
  </si>
  <si>
    <t>The company raised $4 million of seed funding in a deal led by True Ventures on October 29, 2024. Incite Ventures (San Francisco) and Gigascale Capital also participated in the round. The funds will be used o accelerate customer growth, technological development and expand the team.</t>
  </si>
  <si>
    <t>Electronics (B2C), Other Hardware*</t>
  </si>
  <si>
    <t>CleanTech</t>
  </si>
  <si>
    <t>assessment system, diy home, energy assessment, energy audit, energy bill, home energy</t>
  </si>
  <si>
    <t>87571-90P</t>
  </si>
  <si>
    <t>Selina Tobaccowala</t>
  </si>
  <si>
    <t>stobaccowala@homeboost.com</t>
  </si>
  <si>
    <t>Ms. Selina Tobaccowala is a Co-Founder and serves as Chief Executive Officer at Homeboost. She serves as Board Member and Member of the Compensation Committee at Redfin. She serves as Chief Digital Officer at Openfit. Ms. Tobaccowala also serves as Board Member at Voltus &amp; Lazard Growth Acquisition Corp I and a Venture Partner at Lobby Capital. She has served as Chief Executive Officer and co-founder of Gixo since April 2016 and as President and Chief Technology Officer of SurveyMonkey Inc., an online survey development company, from October 2009 to April 2016. Previously, Ms. Tobaccowala was Senior Vice President of Product and Technology at Ticketmaster Europe and co-founded and served as Vice President of Engineering at Evite, an online social-planning website and a subsidiary of IAC/InterActiveCorp, which Liberty Media Group subsequently acquired. She holds a B.S. in Computer Science from Stanford University.</t>
  </si>
  <si>
    <t>Stanford University, BS (Bachelor of Science), 1998, Computer Science</t>
  </si>
  <si>
    <t>The company raised an estimated $4.15 million of seed funding from Incite Ventures, Bronze VC and Gigascale Capital on May 19, 2023, putting the company's pre-money valuation at $10 million.</t>
  </si>
  <si>
    <t>San Rafael, CA</t>
  </si>
  <si>
    <t>San Rafael</t>
  </si>
  <si>
    <t>94903</t>
  </si>
  <si>
    <t>www.homeboost.com</t>
  </si>
  <si>
    <t>136800-28T</t>
  </si>
  <si>
    <t>Honest Game</t>
  </si>
  <si>
    <t>435300-31</t>
  </si>
  <si>
    <t>LOUD Capital</t>
  </si>
  <si>
    <t>LOUD Capital (www.loud.vc)</t>
  </si>
  <si>
    <t>Developer of student-athlete database platform designed to automate academic eligibility for college sports with verified data. The company's platform tracks and stores the academic progress of high school athletes in real-time, and disseminates it meeting the needs of players, parents, school staff, college coaches, and youth sports clubs, enabling players, colleges, and sports clubs to operate significantly for better outcomes.</t>
  </si>
  <si>
    <t>The company raised $2 million of seed funding from LOUD Capital, Alan Warms, and Reform Ventures on July 27, 2021, putting the company's pre-money valuation at $5 million. Other undisclosed investors also participated in this round. The funds will be used to continue growing and improving the company's technology platform.</t>
  </si>
  <si>
    <t>Esports</t>
  </si>
  <si>
    <t>academic data tracking, college access, data aggregation, high school athletes, social impact, student athletes, student athletes development, student athletes tracker, student community portal</t>
  </si>
  <si>
    <t>230489-92P</t>
  </si>
  <si>
    <t>Kim Michelson</t>
  </si>
  <si>
    <t>+1 (800) 917-9040</t>
  </si>
  <si>
    <t>kim@honestgame.com</t>
  </si>
  <si>
    <t>Ms. Kim Michelson is a Co-Founder and serves as Chief Executive Officer at Honest Game. Her communications career has been a 25-year journey, learning the focus, storytelling and collaborative work necessary when working in leadership roles with companies like PepsiCo and Shell Oil Company. Most recently, Kim was the Executive Director of Beyond Sports Foundation ("BSF"), a unique non-profit that works with high school student-athletes from underserved communities to transform their athletic ability into life opportunities. In her five years as Executive Director, Kim grew BSF from one to three tutoring centers, transformed the brand, diversified funding streams, modernized board governance, procured an Americorps grant and tripled the annual budget. During her tenure, 89% of BSF students matriculated to four-year universities on athletic scholarships. Kim serves on the Advisory Council of the Loyola University Chicago Baumhart Center, a business leadership hub comprised of the foremost leaders in social impact, enterprise and responsibility in Chicago. In 1987, Kim was the first female student-athlete in California to play on male varsity athletic teams, basketball and baseball.</t>
  </si>
  <si>
    <t>Georgetown University, MA (Master of Arts), Global Strategic Communications, University of Missouri, Columbia, BA (Bachelor of Arts), Journalism</t>
  </si>
  <si>
    <t>The company participated in Chicago Bulls Venture Competition and won $50,000 of seed funding from LOUD Capital on March 10, 2020.</t>
  </si>
  <si>
    <t>Evanston, IL</t>
  </si>
  <si>
    <t>Evanston</t>
  </si>
  <si>
    <t>60204</t>
  </si>
  <si>
    <t>honestgame.com</t>
  </si>
  <si>
    <t>135495-01T</t>
  </si>
  <si>
    <t>Honeycomb (Social/Platform Software)</t>
  </si>
  <si>
    <t>434418-94</t>
  </si>
  <si>
    <t>Alex Chung(Alex Chung), Bling Capital(Benjamin Ling), DCM Ventures(Kyle Lui), Deborah Liu(Deborah Liu), K50 Ventures(Katie Shea), Nick Caldwell(Nick Caldwell), Precursor Ventures(Charles Hudson), Stellation Capital(Peter Boyce), The MBA Fund</t>
  </si>
  <si>
    <t>Bling Capital (www.blingcap.com), DCM Ventures (www.dcm.com), K50 Ventures (www.k50ventures.com), Nick Caldwell (nickcaldwell.com), Precursor Ventures (precursorvc.com), Stellation Capital (www.stellation.vc), The MBA Fund (www.thembafund.com)</t>
  </si>
  <si>
    <t>Developer of a private podcast application designed to record life stories. The company's application allows family members to save their life stories of aging loved ones on audio and preserve it for the future generation to listen to them, enabling customers to save memories and stories on voice audio.</t>
  </si>
  <si>
    <t>The company raised $4 million of seed funding from DCM Ventures, K50 Ventures and Bling Capital on December 13, 2021. The MBA Fund and 5 other investors also participated in the round. The funds will be used for hiring, including engineers, who will work in person from its San Mateo office space.</t>
  </si>
  <si>
    <t>Application Software, Social/Platform Software*</t>
  </si>
  <si>
    <t>audio recorder, audio recording apps, family recording software, podcast application, private podcast, software developer</t>
  </si>
  <si>
    <t>228461-32P</t>
  </si>
  <si>
    <t>Amelia Lin</t>
  </si>
  <si>
    <t>+1 (313) 777-8679</t>
  </si>
  <si>
    <t>amelia@trysaga.com</t>
  </si>
  <si>
    <t>Ms. Amelia Lin is a Co-Founder and serves as Chief Executive Officer at Saga. She did her Master of Business Administration ( M.B.A.) from Harvard Business School in 2016 and A.B. in Magna Cum Laude and Physics from Harvard University in 2011.</t>
  </si>
  <si>
    <t>Harvard Business School, MBA (Master of Business Administration), 2016, Harvard University, BA (Bachelor of Arts), 2011, Magna Cum Laude,Physics</t>
  </si>
  <si>
    <t>The company raised $4 million of seed funding from DCM Ventures, K50 Ventures and Bling Capital on December 13, 2021. Precursor Ventures, Stellation Capital, The MBA Fund, Deborah Liu, Alex Chung and Nick Caldwell also participated in the round. The funds will be used for hiring, including engineers, who will work in person from its San Mateo office space.</t>
  </si>
  <si>
    <t>Alex Chung, Bling Capital, DCM Ventures, Deborah Liu, K50 Ventures, Nick Caldwell, Precursor Ventures, Stellation Capital, The MBA Fund</t>
  </si>
  <si>
    <t>A-Fund III(DCM Ventures), Bling Capital Fund II(Bling Capital), Precursor Ventures Opportunity Fund I(Precursor Ventures)</t>
  </si>
  <si>
    <t>94043</t>
  </si>
  <si>
    <t>www.joinhoneycomb.com</t>
  </si>
  <si>
    <t>167776-12T</t>
  </si>
  <si>
    <t>Honeycomb Labs</t>
  </si>
  <si>
    <t>433568-62</t>
  </si>
  <si>
    <t>Albert Ni, Ali Rowghani, April Underwood, Arash Ferdowsi, Designer Fund, First Round Capital, Henry Ward, Jana Messerschmidt, Jess Lee, Joanna Drake, Makinde Adeagbo, Merline Saintil, Moxxie Ventures, Neeraj Arora, Neo (Consulting Services (B2B)), Scott Cannon, Sima Sistani, Sonja Perkins, South Park Commons, Todd Jackson, Vijay Pandurangan(Vijay Pandurangan), Vijaya Gadde, WndrCo</t>
  </si>
  <si>
    <t>Designer Fund (www.designerfund.com), First Round Capital (www.firstround.com), Joanna Drake (www.joannadrakeearl.com), Moxxie Ventures (www.moxxie.vc), Neo (Consulting Services (B2B)) (www.neo.com), South Park Commons (www.southparkcommons.com), WndrCo (www.wndrco.com)</t>
  </si>
  <si>
    <t>Developer of consumer software designed to empower and share the logistics of parenting across communities. The company's platform helps to trust through a novel approach to gathering that makes it magically easy for families to spend time together in real life and virtually, enabling families to share and reduce parenting logistics through collaboration tools.</t>
  </si>
  <si>
    <t>The company raised an undisclosed amount of seed funding from First Round Capital and Olima Ventures on December 10, 2020.</t>
  </si>
  <si>
    <t>collaborative parenting, collaborative parenting technology, consumer software, consumer software developer, easy parenting, parenting community</t>
  </si>
  <si>
    <t>100530-91P</t>
  </si>
  <si>
    <t>Chloe Sladden</t>
  </si>
  <si>
    <t>chloe@honeycomb-labs.com</t>
  </si>
  <si>
    <t>Ms. Chloe Sladden is a Co-Founder and serves as Co-Chief Executive Officer at Honeycomb Labs. Prior to starting Honeycomb, Chloe was among the first 40 employees at Twitter, where she built media partnerships and strategy from the ground up as VP, Media. She is a Co-Founder of #Angels. She advises startups, invests in early-stage companies and is a Board Member of Gannett, the publisher of USA Today and over 100 local media organizations. As an advisor and operator, she focuses on teams &amp; technologies that transform how we experience, share and tell stories and connect to each other in meaningful ways. She advises Meerkat. She has also worked with Twitter. She is an Angel Investor. She was responsible for the quality of Twitter's content across news, music, TV, sports and politics, and ensured that Twitter was indelibly woven into traditional and new media. She has also held various Fortune 1000 and non-profit board roles, including Paid Leave for the US, which seeks to pass a high-quality federal paid leave policy for all families in the US.</t>
  </si>
  <si>
    <t>Stanford Graduate School of Business, MBA (Master of Business Administration), 2002, Stanford University, BA (Bachelor of Arts), 1996, History, Stanford University, MA (Master of Arts), 1997, Anthropology</t>
  </si>
  <si>
    <t>The company raised $3.80 million of seed funding from Designer Fund, Moxxie Ventures and First Round Capital on February 1, 2020, putting the company's pre-money valuation at $15 million. South Park Commons, WndrCo, Neo (Consulting Services (B2B)), Jana Messerschmidt, Vijay Pandurangan, Merline Saintil, Makinde Adeagbo, April Underwood, Joanna Drake Earl, Albert Ni, Scott Cannon, Vijaya Gadde, Ali Rowghani, Sonja Perkins, Sima Sistani, Henry Ward, Jess Lee, Neeraj Arora, Todd Jackson and Arash Ferdowsi also participated in the round.</t>
  </si>
  <si>
    <t>Albert Ni, Ali Rowghani, April Underwood, Arash Ferdowsi, Designer Fund, First Round Capital, Henry Ward, Jana Messerschmidt, Jess Lee, Joanna Drake, Makinde Adeagbo, Merline Saintil, Moxxie Ventures, Neeraj Arora, Neo (Consulting Services (B2B)), Scott Cannon, Sima Sistani, Sonja Perkins, South Park Commons, Todd Jackson, Vijay Pandurangan, Vijaya Gadde, WndrCo</t>
  </si>
  <si>
    <t>Designer Fund II(Designer Fund), First Round Capital VII(First Round Capital), Neo Venture Capital Fund I(Neo (Consulting Services (B2B))), South Park Commons Fund I(South Park Commons)</t>
  </si>
  <si>
    <t>www.honeycomb-labs.com</t>
  </si>
  <si>
    <t>227884-78T</t>
  </si>
  <si>
    <t>Hoop (Business/Productivity Software)</t>
  </si>
  <si>
    <t>530657-83</t>
  </si>
  <si>
    <t>Andrew Dunn(Andrew Dunn), Annie Duke(Annie Duke), Chingona Ventures, Darren Murph(Darren Murph), Divergent Capital (New York), Index Ventures, Jay Simons(Jay Simons), Jiaona Zhang(Jiaona Zhang), Job van der Voort(Job van der Voort), Kristen Habacht(Kristen Habacht), Linda Lian(Linda Lian), Maggie Adhami-Boynton(Maggie Adhami-Boynton), Maria Katris(Maria Katris), Michael Pryor(Michael Pryor), Nikita Miller(Nikita Miller), Origin Ventures, Sean Harper(Sean Harper), Wade Foster(Wade Foster)</t>
  </si>
  <si>
    <t>Annie Duke (annieduke.com), Chingona Ventures (chingona.ventures), Divergent Capital (New York) (www.divergenthq.com), Index Ventures (www.indexventures.com), Origin Ventures (www.originventures.com)</t>
  </si>
  <si>
    <t>Developer of a workflow integration platform designed to centralize tasks across tools and stay on top of all work. The company's platform eliminates the endless distractions, dings, meetings, context switching and notification overload and gets back to the work that matters, enabling business teams to make decisions faster without meetings.</t>
  </si>
  <si>
    <t>The company raised $5 million of seed funding in a deal led by Index Ventures on June 5, 2024. Divergent Capital (New York) and 16 other investors also participated in the round. The funds will be used to deepen Hoop's AI capabilities, expand its platform integrations, and develop collaborative features.</t>
  </si>
  <si>
    <t>decision model, decision tools, distractions remover, integration platform, integration platform developer, task management platform, task management tool, workflow integration</t>
  </si>
  <si>
    <t>125232-49P</t>
  </si>
  <si>
    <t>Stella Garber</t>
  </si>
  <si>
    <t>+1 (212) 279-2335</t>
  </si>
  <si>
    <t>stella@hoop.app</t>
  </si>
  <si>
    <t>Ms. Stella Garber is a Co-Founder and serves as Chief Executive Officer at Hoop. She is a Co-Founder of Gatho. She serves as Senior Advisor at Chingona Ventures. She served as Vice President of Marketing at Trello. She Co-Founded and served as Chief Executive Officer at Matchist. She co-founded Entrepreneurs Unpluggd. She is an Angel Investor.</t>
  </si>
  <si>
    <t>Degree, 2008, Northwestern University, BA (Bachelor of Arts), 2009, Psychology, University of Chicago (Booth), MBA (Master of Business Administration), 2014, Strategy</t>
  </si>
  <si>
    <t>The company raised $5 million of seed funding in a deal led by Index Ventures on June 5, 2024. Divergent Capital (New York), Chingona Ventures, Origin Ventures, Kristen Habacht, Linda Lian, Michael Pryor, Jiaona Zhang, Nikita Miller, Darren Murph, Maggie Adhami-Boynton, Maria Katris, Wade Foster, Job van der Voort, Andy Dunn, Annie Duke, Jay Simons and Sean Harper also participated in the round. The funds will be used to deepen Hoop's AI capabilities, expand its platform integrations, and develop collaborative features.</t>
  </si>
  <si>
    <t>Andrew Dunn, Annie Duke, Chingona Ventures, Darren Murph, Divergent Capital (New York), Index Ventures, Jay Simons, Jiaona Zhang, Job van der Voort, Kristen Habacht, Linda Lian, Maggie Adhami-Boynton, Maria Katris, Michael Pryor, Nikita Miller, Origin Ventures, Sean Harper, Wade Foster</t>
  </si>
  <si>
    <t>www.hoop.app</t>
  </si>
  <si>
    <t>169437-52T</t>
  </si>
  <si>
    <t>Hopara</t>
  </si>
  <si>
    <t>463527-55</t>
  </si>
  <si>
    <t>Glasswing Ventures, Gutbrain Ventures(Robert Davoli), PBJ Capital(Bruce Clarke)</t>
  </si>
  <si>
    <t>Glasswing Ventures (www.glasswing.vc), Gutbrain Ventures (www.gutbrainventures.com), PBJ Capital (pbjcapital.com)</t>
  </si>
  <si>
    <t>Operator of an asset monitoring platform intended to focus on business intelligence and machine learning for efficient results. The company's tool deals with visual exploration and collection of data, discovering new insights at scale to rely on data for strategic and daily activities needs and reducing the time to actionable intelligence, enabling businesses to improve operating performance and defend against disruptors.</t>
  </si>
  <si>
    <t>The company raised $842,247 of seed funding from Gutbrain Ventures, PBJ Capital and Boston Seed Capital on October 23, 2023, putting the company's pre-money valuation at $14.55 million. Koa Labs and Adam Sah also participated in the round.</t>
  </si>
  <si>
    <t>business intelligence, data analytics, data exploration, data visualisation, location analytics, monitoring platform, strategic data</t>
  </si>
  <si>
    <t>160625-71P</t>
  </si>
  <si>
    <t>Kathleen Huber</t>
  </si>
  <si>
    <t>+1 (805) 451-1712</t>
  </si>
  <si>
    <t>kathleen.huber@hopara.io</t>
  </si>
  <si>
    <t>Ms. Kathleen Huber is a Co-Founder &amp; serves as Chief Executive Officer at Hopara. She previously co-founded and served as Chief Executive Officer at Kyrix. She is an experienced entrepreneur, startup founder and advisor, philanthropist, and computer network, specialist. Skilled in Business Development, Venture Capital, Software and Hardware Development, and Competitive Analysis. Strong business development professional with a Bachelor of Science (BS) focused in EECS from MIT.</t>
  </si>
  <si>
    <t>Massachusetts Institute of Technology (MIT), BS (Bachelor of Science), Computer Science and Electrical Engineering</t>
  </si>
  <si>
    <t>The company raised $4.34 million of seed funding from Gutbrain Ventures, PBJ Capital on May 1, 2021, putting the company's pre-money valuation at $9 million. Glasswing Ventures also participated in the round.</t>
  </si>
  <si>
    <t>Glasswing Ventures, Gutbrain Ventures, PBJ Capital</t>
  </si>
  <si>
    <t>Glasswing Ventures(Glasswing Ventures)</t>
  </si>
  <si>
    <t>02118</t>
  </si>
  <si>
    <t>www.hopara.io</t>
  </si>
  <si>
    <t>191672-11T</t>
  </si>
  <si>
    <t>Hot Drops</t>
  </si>
  <si>
    <t>494679-70</t>
  </si>
  <si>
    <t>David Jensen(David Jensen), Michael Terpin(Michael Terpin)</t>
  </si>
  <si>
    <t>Developer of a non-fungible token designed to allow mainstream and adult NFTs to safely coexist on the same platform. The company's software offers equitable access to blockchain and NFT technologies and is focused on developing an age-verified system for purchasing content and enables child protection online and in the NFT space, and with other benefits, enabling fans to connect with next-gen content, exclusive, limited-edition digital collectibles, community, and loyalty rewards.</t>
  </si>
  <si>
    <t>The company raised $2.4 million of seed funding in a deal led by Michael Terpin and David Jensen on April 6, 2022. Other undisclosed investors also participated in the round.</t>
  </si>
  <si>
    <t>creator platform, creators community, diversity and inclusion, empowerment platform, nft marketplace, nft platform, nft platform developer, non-fungible token marketplace, non-fungible token platform</t>
  </si>
  <si>
    <t>297268-03P</t>
  </si>
  <si>
    <t>Ashley Youdan</t>
  </si>
  <si>
    <t>ashley@myhotdrops.com</t>
  </si>
  <si>
    <t>Ms. Ashley Youdan is the Founder and serves as Co-Chief Executive Officer at Hot Drops.</t>
  </si>
  <si>
    <t>David Jensen, Michael Terpin</t>
  </si>
  <si>
    <t>US</t>
  </si>
  <si>
    <t>www.myhotdrops.com</t>
  </si>
  <si>
    <t>171390-43T</t>
  </si>
  <si>
    <t>Howdy</t>
  </si>
  <si>
    <t>465435-64</t>
  </si>
  <si>
    <t>Capital Factory, Cathexis Ventures, Greycroft, J20 Ventures, Kube VC</t>
  </si>
  <si>
    <t>Capital Factory (www.capitalfactory.com), Cathexis Ventures (www.cathexisventures.com), Greycroft (www.greycroft.com), J20 Ventures (www.j20ventures.co), Kube VC (www.kubevc.com)</t>
  </si>
  <si>
    <t>Operator of a hiring company intended to hire engineering talent. The company develops a platform that collects performance data generated by engagement, and happiness, and combines it with their personality data and Spolsky scores, enabling the clients to better match developers that have a range of engineering sophistication.</t>
  </si>
  <si>
    <t>The company raised $18 million of Series A venture funding in a deal led by Greycroft and Obvious Ventures on January 10, 2023, putting the company's pre-money valuation at $80 million. Open Opportunity Fund, SoftBank Investment Advisers, Flucas Ventures, Emles Venture Partners, Capital Factory, Santhi Analytis, Javon Jones and Dominick La Spisa also participated in the round. The funds will be used to grow the company's presence in the U.S. and scale the product.</t>
  </si>
  <si>
    <t>Business/Productivity Software, Human Capital Services*</t>
  </si>
  <si>
    <t>enterprise resource planning, erp, hiring platform, hiring software designer, human capital agency, human capital management, remote talent, staffing agency, technical hiring</t>
  </si>
  <si>
    <t>261407-08P</t>
  </si>
  <si>
    <t>Jacqueline Samira</t>
  </si>
  <si>
    <t>+1 (512) 501-6265</t>
  </si>
  <si>
    <t>jsamira@howdy.com</t>
  </si>
  <si>
    <t>Ms. Jacqueline Samira is the Founder &amp; serves as Chief Executive Officer at Howdy. She has more than 15 years experience driving sales, building great teams and exponentially increasing revenue across a variety of industries. She has a passion for creating processes that promote efficiency, increase revenue, foster employee happiness and drive a human-first culture that puts well-being above all else. Samira previously led sales and operation teams for three different YCombinator companies and, after making those companies lots of money and identifying many inefficiencies, she decided to start Howdy.</t>
  </si>
  <si>
    <t>University of California, Irvine, BS (Bachelor of Science), 2008, Economics</t>
  </si>
  <si>
    <t>The company raised $2.9 million through the combination of debt, Seed-1 and Seed-2 funding from Cathexis Ventures, Greycroft and Kube VC on May 14, 2021, putting the company's pre-money valuation at $17.88 million. J20 Ventures, Capital Factory, and other undisclosed investors also participated in the round. The funds will be used to further enhance the company's operations in Uruguay.</t>
  </si>
  <si>
    <t>Capital Factory Texas Fund(Capital Factory), Greycroft Partners VI(Greycroft)</t>
  </si>
  <si>
    <t>www.howdy.com</t>
  </si>
  <si>
    <t>Other - $0.78M</t>
  </si>
  <si>
    <t>82293-58T</t>
  </si>
  <si>
    <t>Huckleberry (Information Services (B2C))</t>
  </si>
  <si>
    <t>170476-30</t>
  </si>
  <si>
    <t>CSC UpShot Ventures, Everywhere Ventures, Tamarisc Ventures</t>
  </si>
  <si>
    <t>CSC UpShot Ventures (www.csc-upshot.vc), Everywhere Ventures (everywhere.vc), Tamarisc Ventures (www.tamarisc.vc)</t>
  </si>
  <si>
    <t>Developer of an evidence-based program designed to improve sleeping conditions for children. The company's offering includes a mobile application that understands a child's sleep situation by their sleeping patterns for over a week and then suggests an easy-to-follow program, enabling parents to help their kids improve their sleep patterns.</t>
  </si>
  <si>
    <t>The company raised an estimated $12.5 million of Series A venture funding in a deal led by Morningside Group on September 23, 2021, putting the company's pre-money valuation at $47 million. Tamarisc Ventures and 5 other investors also participated in the round. The funds will be used to broaden its data-driven reach in making health and wellness accessible to all families, particularly in developmental areas such as sleep, feeding, and tantrums.</t>
  </si>
  <si>
    <t>Digital Health, LOHAS &amp; Wellness</t>
  </si>
  <si>
    <t>behavioral analysis, pediatric sleep study, sleep pattern analysis, sleep pattern management, sleep pattern statistics, sleeping application</t>
  </si>
  <si>
    <t>157386-07P</t>
  </si>
  <si>
    <t>Jessica Toh</t>
  </si>
  <si>
    <t>jessica@huckleberry-labs.com</t>
  </si>
  <si>
    <t>Ms. Jessica Toh is a Co-Founder and serves as Chief Executive Officer of Huckleberry. She has a triple-major in EECS, Math and Statistics from UC Berkeley. She also has a MBA from Universirt of Cambridge.</t>
  </si>
  <si>
    <t>University of California, Berkeley, Bachelor's, EECS, Mathematics &amp; Statistics, University of Cambridge, MBA (Master of Business Administration)</t>
  </si>
  <si>
    <t>The company raised an estimated $3.4 million through a combination of Seed-1, Seed-2 and Seed-3 funding from Tamarisc Ventures, Everywhere Ventures and CSC UpShot Ventures on June 5, 2020, putting the company's pre-money valuation at $7.6 million.</t>
  </si>
  <si>
    <t>Tamarisc Fund II(Tamarisc Ventures)</t>
  </si>
  <si>
    <t>Irvine, CA</t>
  </si>
  <si>
    <t>Irvine</t>
  </si>
  <si>
    <t>92618</t>
  </si>
  <si>
    <t>www.huckleberrycare.com</t>
  </si>
  <si>
    <t>192666-34T</t>
  </si>
  <si>
    <t>Hue (Media and Information Services (B2B))</t>
  </si>
  <si>
    <t>495042-04</t>
  </si>
  <si>
    <t>Courtyard Ventures, Epakon Capital Management, Fika Ventures(Arteen Arabshahi), Glasswing Ventures, NFX, Phoenix Investment Club (San Francisco), Sequoia Capital, The MBA Fund, Tristan Walker(Tristan Walker), Underscore VC(Richard Dulude)</t>
  </si>
  <si>
    <t>Courtyard Ventures (www.courtyard.vc), Epakon Capital Management (www.epakon.com), Fika Ventures (www.fika.vc), Glasswing Ventures (www.glasswing.vc), NFX (www.nfx.com), Phoenix Investment Club (San Francisco) (www.phoenixclub.vc), Sequoia Capital (www.sequoiacap.com), The MBA Fund (www.thembafund.com), Underscore VC (www.underscore.vc)</t>
  </si>
  <si>
    <t>Operator of a beauty technology platform intended to help e-commerce brands embed user-generated videos on their marketing channels. The company's platform develops shoppable video technology that allows online beauty brands and retailers to build trust with customers and keep them on their website with authentic user-generated content as well as uses an artificial intelligence-powered recommendation engine to offer identification of shoppers' skin tone, type, and beauty preferences, enabling clients to create authentic video, photo and written reviews for their products.</t>
  </si>
  <si>
    <t>The company raised $4.46 million of seed funding in a deal led by Underscore VC and Fika Ventures on April 9, 2024, putting the company's pre-money valuation at $6.5 million. NFX and 7 other investors also participated in the round. The funds will be used for beauty and apparel as well as new partnerships in footwear and accessories, with two footwear pilots already underway. Previously, the company joined Plug and Play Tech Center as a part of Batch 21 on April 4, 2024.</t>
  </si>
  <si>
    <t>Artificial Intelligence &amp; Machine Learning, Beauty, E-Commerce, SaaS</t>
  </si>
  <si>
    <t>beauty brand, beauty products, beauty technology platform, ecommerce personalization, fashion brand, makeup products, shoppable video, skin profiling analysis</t>
  </si>
  <si>
    <t>298292-95P</t>
  </si>
  <si>
    <t>Janvi Shah</t>
  </si>
  <si>
    <t>+1 (510) 364-5095</t>
  </si>
  <si>
    <t>janvi@poweredbyhue.com</t>
  </si>
  <si>
    <t>Ms. Janvi Shah is a Co-Founder and serves as Chief Executive Officer, President &amp; Board Member at Hue Beauty.</t>
  </si>
  <si>
    <t>The company raised $4.46 million of seed funding in a deal led by Underscore VC and Fika Ventures on April 9, 2024, putting the company's pre-money valuation at $6.5 million. NFX, The MBA Fund, Phoenix Investment Club, Glasswing Ventures, Epakon Capital Management, Sequoia Capital, Courtyard Ventures and Tristan Walker also participated in the round. The funds will be used for beauty and apparel as well as new partnerships in footwear and accessories, with two footwear pilots already underway.</t>
  </si>
  <si>
    <t>Courtyard Ventures, Epakon Capital Management, Fika Ventures, Glasswing Ventures, NFX, Phoenix Investment Club (San Francisco), Sequoia Capital, The MBA Fund, Tristan Walker, Underscore VC</t>
  </si>
  <si>
    <t>Fika Ventures(Arteen Arabshahi), Underscore VC(Richard Dulude)</t>
  </si>
  <si>
    <t>Underscore.VC Fund II(Underscore VC)</t>
  </si>
  <si>
    <t>Gunderson Dettmer (Legal Advisor to Underscore VC), Wilson Sonsini Goodrich &amp; Rosati (Legal Advisor to Sequoia Capital)</t>
  </si>
  <si>
    <t>02108</t>
  </si>
  <si>
    <t>www.poweredbyhue.com</t>
  </si>
  <si>
    <t>187392-34T</t>
  </si>
  <si>
    <t>HUG (Business/Productivity Software)</t>
  </si>
  <si>
    <t>490856-59</t>
  </si>
  <si>
    <t>Corner Ventures(Marvin Tien)</t>
  </si>
  <si>
    <t>Corner Ventures (cornerventures.com)</t>
  </si>
  <si>
    <t>Operator of an artist discovery platform intended to help users discover NFT projects and creators in a curated way. The company's NFT platform offers a creator accelerator program that allows them to provide direct support and mentorship to project creators and founders, enabling creators to get access to projects, and educational as well as mentorship programs to create an inclusive crypto community.</t>
  </si>
  <si>
    <t>The company raised $5 million of venture funding in a deal led by Digital (US) on April 12, 2023. NJF Capital and 6 other investors also participated in the round. The funds will be used by the company to accelerate product growth and integrate market leading creator-first commerce features with its existing social curation and discovery tools.</t>
  </si>
  <si>
    <t>Business/Productivity Software*, Information Services (B2C), Other Services (B2C Non-Financial)</t>
  </si>
  <si>
    <t>Cryptocurrency/Blockchain, TMT</t>
  </si>
  <si>
    <t>artist discovery platform, artistic content, creator tech, nft community, nft creation platform, nft creator, nft platform, nft platform and collectibles, nft project, social marketplace, web3 creators, web4</t>
  </si>
  <si>
    <t>48836-98P</t>
  </si>
  <si>
    <t>Randi Zuckerberg</t>
  </si>
  <si>
    <t>+1 (201) 381-1472</t>
  </si>
  <si>
    <t>Ms. Randi Zuckerberg is a Co-Founder and serves as Chief Executive Officer and Board Member at The HUG. She is the Founder &amp; serves as Chief Executive Officer at Zuckerberg Media. She Founded and served as Managing Director at Broadway Beta Ventures. She serves as a General Partner at Surround Ventures. She serves as an Executive at On Air Investments. She serves as a General Partner at Surround Ventures. She serves as an Advisor at OKCoin. She serves as Advisor Pivt. She served as Advisor at XED Beverage Company. She also serves as a General Partner at Surround Ventures. She is a Co-Founding Partner at Sababa Ventures. She serves as a Strategic Advisor at True Tickets. She serves as an Advisor at Patreon. She serves as an Advisor at BabyQuip and Moonfrye. She served as a Board Member at Mozido and Broadway Roulette. She serves as an advisor at Pledgecamp and Curious Addys' Trading Club. She is a former Facebook Marketing Director. She is an entrepreneur, investor, bestselling author, and tech media personality. She is the founder and CEO of Zuckerberg Media, developing technology, content, and live events all with the mission of putting intelligent, tech-savvy, entrepreneurial women and girls at the center of pop culture and media. She serves as a Board Member at Boss Beauties.</t>
  </si>
  <si>
    <t>Harvard University, BA (Bachelor of Arts), 2003, Psychology</t>
  </si>
  <si>
    <t>The company raised $3.77 million through a combination of Seed-A, Seed-B and Seed-C funding from Corner Ventures on October 19, 2021, putting the company's pre-money valuation at $20 million.</t>
  </si>
  <si>
    <t>Corner Ventures</t>
  </si>
  <si>
    <t>Corner Ventures I(Corner Ventures)</t>
  </si>
  <si>
    <t>www.thehug.xyz</t>
  </si>
  <si>
    <t>228804-67T</t>
  </si>
  <si>
    <t>HUMN Capital</t>
  </si>
  <si>
    <t>531318-70</t>
  </si>
  <si>
    <t>Elevate Ventures(Titi Obasanya), GrowthX Capital</t>
  </si>
  <si>
    <t>Elevate Ventures (www.elevateventures.com), GrowthX Capital (www.growthx.com)</t>
  </si>
  <si>
    <t>Developer of an employee retention platform designed to improve manager effectiveness and team productivity. The company gives guidance for how to effectively manage people, especially during times of transition help and focus on their people to ultimately create a happier, more productive, and diverse workplace, enabling managers to focus on their teams and make people management easier.</t>
  </si>
  <si>
    <t>The company joined gBETA as a part of its Fall 2023 program on November 14, 2023. Previosuly, the company raised $60,000 of seed funding from GrowthX Capital and Elevate Ventures on September 26, 2023.</t>
  </si>
  <si>
    <t>ai-powered system, employee retention tools, management development, peer coaching, people management, personalized strategy</t>
  </si>
  <si>
    <t>356812-84P</t>
  </si>
  <si>
    <t>Angela Goldenstein</t>
  </si>
  <si>
    <t>+1 (650) 658-6822</t>
  </si>
  <si>
    <t>angela@humncapital.com</t>
  </si>
  <si>
    <t>Ms. Angela Goldenstein is the Founder and serves as Co-Chief Executive Officer at HUMN Capital.</t>
  </si>
  <si>
    <t>The company raised $60,000 of seed funding from GrowthX Capital and Elevate Ventures on September 26, 2023.</t>
  </si>
  <si>
    <t>Elevate Ventures, GrowthX Capital</t>
  </si>
  <si>
    <t>Elevate Ventures Indiana Seed Fund(Elevate Ventures)</t>
  </si>
  <si>
    <t>www.humncapital.com</t>
  </si>
  <si>
    <t>206269-84T</t>
  </si>
  <si>
    <t>IEP&amp;Me</t>
  </si>
  <si>
    <t>510227-11</t>
  </si>
  <si>
    <t>Black Tech Nation Ventures, Difference Partners, Divergent Investments</t>
  </si>
  <si>
    <t>Black Tech Nation Ventures (www.btn.vc), Difference Partners (www.differencepartners.com), Divergent Investments (www.investdivergent.com)</t>
  </si>
  <si>
    <t>Developer of an online education platform designed to offer individualized learning and advocacy plans. The company's platform provides a self-advocacy curriculum and targeted professional development system to get an entire personalized and individualized learning and feedback on each student's education plan, enabling students, teachers, and families throughout the special education process to create transparency, clarity, and ease.</t>
  </si>
  <si>
    <t>The company joined TELUS Community Safety &amp; Wellness Accelerator as part of cohort 3 on May 18, 2023. No equity or funding was exchanged as a result of this program.</t>
  </si>
  <si>
    <t>cloud access, disability advocacy, edtech app, learning portal, professional development, special education</t>
  </si>
  <si>
    <t>319988-44P</t>
  </si>
  <si>
    <t>Bridgette Leslie</t>
  </si>
  <si>
    <t>+1 (650) 539-9643</t>
  </si>
  <si>
    <t>bridgette@iepandme.com</t>
  </si>
  <si>
    <t>Ms. Bridgette Leslie is a Co-Founder and serves as a Chief Executive Officer at IEP&amp;Me. Bridgette entered the education world in 2011, first through volunteering and assisting teachers before earning her teaching credential in 2013.As a special educator that has worked across grade levels, demographics, and disabilities, Bridgette realized that the way schools have worked for students with different learning styles is just not working.</t>
  </si>
  <si>
    <t>The company raised $775,000 of seed funding from Difference Partners, Black Tech Nation Ventures and Divergent Investments on August 31, 2022. The funds will be used for making differentiation, providing accommodations, deep-diving special education, and communicating with the team significantly easier.</t>
  </si>
  <si>
    <t>www.iepandme.com</t>
  </si>
  <si>
    <t>214840-18T</t>
  </si>
  <si>
    <t>Ignite Reading</t>
  </si>
  <si>
    <t>519333-22</t>
  </si>
  <si>
    <t>Comcast Ventures, Draper Richards Kaplan Foundation, Emergence (Financial Services), Hellman &amp; Friedman, Impact Assets, Kenneth Griffin(Kenneth Griffin), Rethink Capital Partners(Matthew Greenfield), Wing Venture Capital, Zoom Video Communications (NAS: ZM)</t>
  </si>
  <si>
    <t>Comcast Ventures (www.comcastventures.com), Draper Richards Kaplan Foundation (www.drkfoundation.org), Emergence (Financial Services) (www.emcap.com), Hellman &amp; Friedman (www.hf.com), Impact Assets (www.impactassets.org), Rethink Capital Partners (www.rethink-capital.com), Wing Venture Capital (www.wing.vc), Zoom Video Communications (NAS: ZM) (www.zoom.us)</t>
  </si>
  <si>
    <t>Operator of a virtual tutoring intended to teach students who need extra support the foundational reading skills necessary to become confident, fluent readers. The company provides daily, one-to-one, online sessions with an expert reading tutor, using a Science of Reading-based curriculum, specializes in virtual tutoring that helps kids in grades K-8 learn to read through targeted, providing students with a tutoring program that is focused on a high-fidelity implementation of a data-driven, differentiated, and foundational reading skills curriculum.</t>
  </si>
  <si>
    <t>The company raised an estimated $40 million of Series B venture funding in a deal led by Goldman Sachs Alternative Energy Investing Group on February 16, 2024, putting the company's pre-money valuation at $100 million. Owl Ventures, Emerson Collective, College Board, Rethink Capital Partners, and Impact Assets also participated in the round. The funds will be used to expand the company's team of world-class professionals, further enhance its innovative technology platform, and extend its proven literacy program to an increasing number of districts nationwide.</t>
  </si>
  <si>
    <t>edtech company, educational technology platform, educational technology tools, online tutoring, virtual tutoring, virtual tutoring software</t>
  </si>
  <si>
    <t>56630-98P</t>
  </si>
  <si>
    <t>Jessica Sliwerski</t>
  </si>
  <si>
    <t>+1 (707) 653-0781</t>
  </si>
  <si>
    <t>jessica.sliwerski@ignite-reading.com</t>
  </si>
  <si>
    <t>Ms. Jessica Sliwerski is a Co-Founder &amp; serves as Chief Executive Officer at Ignite Reading. Driven by the knowledge that every child can learn to read and that there is a proven way to teach them, She co-founded Ignite Reading to deliver that instruction at scale. Early in her career, she served as assistant principal of Success Academy Charter Schools and a literacy specialist at The Urban Assembly. She co-founded and was chief academic officer and chief product officer of LightSail Education, an adaptive literacy software company, and was CEO of Open Up Resources, a national nonprofit focused on increasing equity in education. Her work has been featured in the documentary films The Lottery and The Right to Read, and she is the author of the children's book Cancer Hates Kisses (Penguin, 2017).</t>
  </si>
  <si>
    <t>Pace University, MA (Master of Arts), 2006, Education, University of California, Los Angeles (UCLA), BA (Bachelor of Arts), 2004, Political Science</t>
  </si>
  <si>
    <t>The company raised $10 million of Series A venture funding in a deal led by Rethink Capital Partners on January 17, 2023, putting the company's pre-money valuation at $17 million. Zoom Video Communications, Comcast Ventures, Hellman &amp; Friedman, Emergence, Wing Venture Capital, Ken Griffin, ImpactAssets and Draper Richards Kaplan Foundation also participated in the round. The funds will be used to grow the company's lesson plans and expand to more schools across the country.</t>
  </si>
  <si>
    <t>Comcast Ventures, Draper Richards Kaplan Foundation, Emergence (Financial Services), Hellman &amp; Friedman, Impact Assets, Kenneth Griffin, Rethink Capital Partners, Wing Venture Capital, Zoom Video Communications</t>
  </si>
  <si>
    <t>Rethink Capital Partners(Matthew Greenfield)</t>
  </si>
  <si>
    <t>Rethink Education III(Rethink Capital Partners)</t>
  </si>
  <si>
    <t>Goodwin Procter (Legal Advisor to Company, Craig Schmitz JD), Silicon Legal Strategy (Legal Advisor to Rethink Capital Partners, Coleman Cannon JD)</t>
  </si>
  <si>
    <t>Goodwin Procter (Legal Advisor to Company, Craig Schmitz JD)</t>
  </si>
  <si>
    <t>Silicon Legal Strategy (Legal Advisor to Rethink Capital Partners, Coleman Cannon JD)</t>
  </si>
  <si>
    <t>94118</t>
  </si>
  <si>
    <t>www.ignite-reading.com</t>
  </si>
  <si>
    <t>183228-76T</t>
  </si>
  <si>
    <t>Ignite Tournaments</t>
  </si>
  <si>
    <t>483725-44</t>
  </si>
  <si>
    <t>Ascensive Asset Management, Illuvium, MoonBoots Capital, Stealth Capital</t>
  </si>
  <si>
    <t>Ascensive Asset Management (www.ascensiveassets.com), Illuvium (www.illuvium.io), MoonBoots Capital (www.moonbootscapital.io), Stealth Capital (www.stealthcap.io)</t>
  </si>
  <si>
    <t>Developer of mobile esports tournament organization and streaming platform designed to facilitate mobile esports tournament organization. The company's platform provides tournament functionality to mobile-compatible games that do not have existing tournament infrastructure, enabling clients to add web-three functionality on top of web-two games.</t>
  </si>
  <si>
    <t>Huobi DeFi Labs and Moon Holdings Fund sold their stake in the company to undisclosed buyers.</t>
  </si>
  <si>
    <t>Business/Productivity Software*, Entertainment Software, Media and Information Services (B2B)</t>
  </si>
  <si>
    <t>Cryptocurrency/Blockchain, Esports, Gaming, Mobile</t>
  </si>
  <si>
    <t>blockchain games, cryptocurrency payment, esports, esports company, gaming access, metaverse and gaming, mobile games, mobile gaming application, tournaments organization, web4</t>
  </si>
  <si>
    <t>281181-25P</t>
  </si>
  <si>
    <t>Krystal Yang</t>
  </si>
  <si>
    <t>krystal@ignitetournaments.com</t>
  </si>
  <si>
    <t>Ms. Krystal Yang is a Co-Founder and serves as Chief Executive Officer at Ignite Tournaments.</t>
  </si>
  <si>
    <t>The company raised $1.1 million of pre-seed funding in a deal led by Ascensive Asset Management on August 1, 2021, putting the company's pre-money valuation at $10 million. Illuvium, MoonBoots Capital and Stealth Capital also participated in the round.</t>
  </si>
  <si>
    <t>Newark, DE</t>
  </si>
  <si>
    <t>19702</t>
  </si>
  <si>
    <t>www.ignitetournaments.com</t>
  </si>
  <si>
    <t>214048-45T</t>
  </si>
  <si>
    <t>Illoominus</t>
  </si>
  <si>
    <t>500580-55</t>
  </si>
  <si>
    <t>Christopher Klaus(Christopher Klaus), Eric Muntz(Eric Muntz), Gray Ventures(Alex Gray), James White(James White), Meghann Erhart(Meghann Erhart), Team Ignite Ventures, VITALIZE Venture Capital</t>
  </si>
  <si>
    <t>Gray Ventures (www.grayventures.com), Team Ignite Ventures (www.teamignite.ventures), VITALIZE Venture Capital (vitalize.vc)</t>
  </si>
  <si>
    <t>Developer of a people insights platform designed for leaders to facilitate diversity, equity, and inclusion efforts. The company's platform provides regular, automated reports and better data for decision-making, it brings together key data across systems of records, recruitment, and engagement, enabling clients to become people-first by learning across their human resources (HR) technology stack and sharing best practices with other people-first organizations.</t>
  </si>
  <si>
    <t>The company raised venture funding from Gray Ventures on an undisclosed date. Previously, the company raised $500,000 of venture funding from Gray Ventures, VITALIZE Venture Capital and James D. White on July 21, 2023. Team Ignite Ventures and other undisclosed investors also participated in the round. Prior to that the company joined Plug and Play Tech Center on July 3, 2023 and received $500,000 in funding. Earlier than that the company raised $500,000 of angel funding from Chris Klaus on June 30, 2023, putting the company's pre-money valuation at $5.5 million.</t>
  </si>
  <si>
    <t>Big Data, HR Tech, SaaS</t>
  </si>
  <si>
    <t>automated reporting, employee engagement, hr technology, recruitment insights, vertical application, workforce analytics, workplace diversity</t>
  </si>
  <si>
    <t>306524-44P</t>
  </si>
  <si>
    <t>Noelle London</t>
  </si>
  <si>
    <t>noelle@illoominus.com</t>
  </si>
  <si>
    <t>Ms. Noelle London is the Founder and serves as Chief Executive Officer at Illoominus.</t>
  </si>
  <si>
    <t>College of Charleston, BS (Bachelor of Science), 2010, Economics, Degree, Master's, 2015</t>
  </si>
  <si>
    <t>The company raised $500,000 of pre-seed funding from Gray Ventures, VITALIZE Venture Capital and Team Ignite Ventures on June 30, 2023, putting the company's pre-money valuation at $5.5 million. Chris Klaus, James D. White, Meghann Erhart and Eric Muntz also participated in the round. The funds will be used to hire tech, data, and sales roles that will be critical to the company's growth.</t>
  </si>
  <si>
    <t>Christopher Klaus, Eric Muntz, Gray Ventures, James White, Meghann Erhart, Team Ignite Ventures, VITALIZE Venture Capital</t>
  </si>
  <si>
    <t>30316</t>
  </si>
  <si>
    <t>www.illoominus.com</t>
  </si>
  <si>
    <t>175519-27T</t>
  </si>
  <si>
    <t>illumex</t>
  </si>
  <si>
    <t>469182-34</t>
  </si>
  <si>
    <t>Ameet Patel(Ameet Patel), Cardumen Capital, Giora Yaron, Jibe Ventures, Moshe Lichtman, Ofir Laor(Ofir Laor), Teramips Technologies, ToDay Ventures</t>
  </si>
  <si>
    <t>Cardumen Capital (www.cardumencapital.com), Jibe Ventures (www.jibevc.com), Teramips Technologies (www.teramips.com), ToDay Ventures (www.today.ventures)</t>
  </si>
  <si>
    <t>Developer of a generative semantic fabric platform designed to unlock the potential of generative AI. The company's generative AI offers data and analytics mapping, interpretation, and governance, with a domain-specific AI engine offers business users a trustworthy, ensuring smooth, governed, and customized organizational LLM, enabling organizations to harness the power of Big Data for decision intelligence while contextualizing organizational knowledge to promote data democratization, trust, and efficient Return on investment.</t>
  </si>
  <si>
    <t>The company raised $13 million of seed funding in a deal led by Samsung Venture Investment, Amdocs Ventures, and Cardumen Capital on June 25, 2024, putting the company's pre-money valuation at an estimated $18.97 million. ToDay Ventures and 6 other investors also participated in the round. Previously, the company joined Bulgarian Expansion Bridge as a part of the 2024 Cohort in 2024.</t>
  </si>
  <si>
    <t>ai automation platform, ai governance, data fabrics, data infrastructure, database management system, deep learning, generative ai, knowledge graphing, llm governance, ontology automation, semantic discovery technology</t>
  </si>
  <si>
    <t>267520-42P</t>
  </si>
  <si>
    <t>Inna Tokarev Sela</t>
  </si>
  <si>
    <t>inna@illumex.ai</t>
  </si>
  <si>
    <t>Ms. Inna Tokarev Sela is the Founder and serves as Chief Executive Officer and Board Member at illumex. Throughout her career leading Data Products and as a data stakeholder, she recognized the oxymoron of our domain despite huge investments in data and analytics, most business decisions are still not based on data or insights. She brings her vast industry and academic experience to solve this conundrum and help data and business teams scale trust-based decision-making. Before embarking on her entrepreneurial journey with Illumex, she was VP of AI at Sisense and Senior Director of Machine Learning at SAP. She led the product and GTM for cloud and machine learning, built AI-driven platforms within the organizations, and established data science departments. She authored several patents on knowledge graphs, natural language, and deep learning, and she is a frequent speaker at leading D&amp;A and AI conferences. She is a graduate of the Stanford MBA executive program and holds an MSc in information systems with neural nets and a BSc in physics and computer science from Tel Aviv University. She has 20 years of experience with graphs and with data and analytics.</t>
  </si>
  <si>
    <t>MBA (Master of Business Administration), Tel Aviv University, BS (Bachelor of Science), Physics and Computer Science, Tel Aviv University, MS (Master of Science), Information Systems</t>
  </si>
  <si>
    <t>The company raised $4.30 million of seed funding from Teramips Technologies, ToDay Ventures and Jibe Ventures on June 8, 2021, putting the company's pre-money valuation at $8 million. Cardumen Capital, Ofir Laor, Ameet Patel, Giora Yaron and Moshe Lichtman also participated in the round.</t>
  </si>
  <si>
    <t>Ameet Patel, Cardumen Capital, Giora Yaron, Jibe Ventures, Moshe Lichtman, Ofir Laor, Teramips Technologies, ToDay Ventures</t>
  </si>
  <si>
    <t>Cardumen Deep Tech Fund I(Cardumen Capital)</t>
  </si>
  <si>
    <t>www.illumex.ai</t>
  </si>
  <si>
    <t>241660-90T</t>
  </si>
  <si>
    <t>Imgproxy</t>
  </si>
  <si>
    <t>535792-33</t>
  </si>
  <si>
    <t>Prospective Technologies Ventures</t>
  </si>
  <si>
    <t>Prospective Technologies Ventures (www.pt-vc.com)</t>
  </si>
  <si>
    <t>Developer of an image processing platform designed for businesses to optimize their images for the web. The company's platform reduces bandwidth usage and save money on hosting costs, uses advanced image processing techniques to ensure that optimized images retain their quality and offers a wide range of features and functionality, enabling businesses to improve their websites in a number of ways.</t>
  </si>
  <si>
    <t>The company raised $115,000 of pre-seed funding in the form of SAFE notes from Prospective Technologies Ventures on an undisclosed date, putting the company's pre-money valuation at $5.89 million.</t>
  </si>
  <si>
    <t>Business/Productivity Software*, Multimedia and Design Software, Network Management Software</t>
  </si>
  <si>
    <t>application security, image processing software, image processing technology, images building, images creation, optimized images solutions, web imaging, web3 security</t>
  </si>
  <si>
    <t>366343-57P</t>
  </si>
  <si>
    <t>Marina Naperstak</t>
  </si>
  <si>
    <t>+1 (302) 803-5428</t>
  </si>
  <si>
    <t>submarina@imgproxy.net</t>
  </si>
  <si>
    <t>Ms. Marina Naperstak is the Founder and serves as Chief Executive Officer at Imgproxy. Before joining Evil Martians, she was a Project Manager at Solver Consulting LLC from an unspecified date in 2019 to 2021. Her longest tenure was at Yandex, where they gained extensive experience as a Product Manager. During their time at Yandex, they led various departments and were responsible for managing key client accounts, negotiating deals with advertising agencies, and developing digital ad products. She also played a significant role in developing and executing advertising campaigns at Yandex. Her employment at Yandex lasted from October 2005 to April 2020. earned a Bachelor's degree in Political Science from the State University - Higher School of Economics from 1999 to 2003. She then pursued a Master's degree in Political Science from the same institution, completing it from 2003 to 2005.</t>
  </si>
  <si>
    <t>Higher School of Economics, Bachelor's, 2003, Political Science, Higher School of Economics, Master's, 2005, Political Science</t>
  </si>
  <si>
    <t>www.imgproxy.net</t>
  </si>
  <si>
    <t>201020-23T</t>
  </si>
  <si>
    <t>ImIn (Business Productivity Software)</t>
  </si>
  <si>
    <t>503145-19</t>
  </si>
  <si>
    <t>Collab Capital(Jewel Burks Solomon)</t>
  </si>
  <si>
    <t>Collab Capital (www.collab.capital)</t>
  </si>
  <si>
    <t>Operator of a hiring platform intended to take a modern approach to employment. The company helps to receive real-time push notifications and offers digital on-demand staffing technology, connecting with top-tier talent, taking on a part-time gig, working seasonally, or settling into a long-term opportunity, enabling organizations to streamline hiring processes by offering an organized system for an easy transition.</t>
  </si>
  <si>
    <t>The company joined Unlock Capital as part of its 2024 National Cohort on September 23, 2024. No equity or funding was exchanged as a result of this program. Previously, the company raised $500,000 of venture funding from undisclosed investors on June 6, 2024.</t>
  </si>
  <si>
    <t>Business/Productivity Software, Human Capital Services*, Other Commercial Services</t>
  </si>
  <si>
    <t>directing messaging, employee scheduling, hiring firm, hiring platform, staffing technology, work schedule, workforce optimization</t>
  </si>
  <si>
    <t>311284-72P</t>
  </si>
  <si>
    <t>Lauren Wilson</t>
  </si>
  <si>
    <t>lwilson@imin2.com</t>
  </si>
  <si>
    <t>Ms. Lauren Wilson is the Founder &amp; serves as Chief Executive Officer and Board Member at ImIn. After graduating from the University of Georgia, she began working as the Chief of Staff for the company. It is here where she identified the missed opportunities for both businesses and employees and created ImIn with the goal to solve known but accepted industry-wide gaps. As a millennial, She is using her expertise and forward thinking to shift the traditional thought processes found in the outsourcing industry. This will allow for flexibility for the workforce and revenue opportunities for companies.</t>
  </si>
  <si>
    <t>University of Georgia, Athens, Degree</t>
  </si>
  <si>
    <t>The company raised $1 million of seed funding in a deal led by Collab Capital on August 3, 2022. Other undisclosed investors also participated in the round. The funds will be used to scale and automate its on-demand employee scheduling app, which has been in its beta stage since June 2021.</t>
  </si>
  <si>
    <t>Collab Capital</t>
  </si>
  <si>
    <t>30313</t>
  </si>
  <si>
    <t>imin2.com</t>
  </si>
  <si>
    <t>184967-11T</t>
  </si>
  <si>
    <t>Immigo</t>
  </si>
  <si>
    <t>464435-56</t>
  </si>
  <si>
    <t>Greylock Energy, Lombardstreet Ventures, MatterScale Ventures, MPG Fund, Reach Capital, Techstars</t>
  </si>
  <si>
    <t>Greylock Energy (www.greylockenergy.com), Lombardstreet Ventures (www.lombardstreet.vc), MatterScale Ventures (www.matterscale.com), MPG Fund (www.mpgfund.com), Reach Capital (www.reachcapital.com), Techstars (www.techstars.com)</t>
  </si>
  <si>
    <t>Developer of an online language learning platform intended to help students gain fluency and confidence in their spoken English. The company's interactive platform leverages small group discussions and AI-powered feedback to provide a comprehensive and engaging language learning experience, enabling students to practice speaking English in small groups and receive AI-powered feedback.</t>
  </si>
  <si>
    <t>The company raised $1.1 million of seed funding from Greylock Energy, Lombardstreet Ventures and Reach Capital on August 1, 2022. MatterScale Ventures, MPG Fund and Techstars also participated in the round. Of the total amount, $150,000 was originally raised in the form of convertible debt and subsequently converted to equity.</t>
  </si>
  <si>
    <t>cohort-based courses, communication skills training, conversational skills, english learning platform, english teacher, live streaming, online classes</t>
  </si>
  <si>
    <t>260069-05P</t>
  </si>
  <si>
    <t>Chelsea Jeon</t>
  </si>
  <si>
    <t>chelsea@immigo.io</t>
  </si>
  <si>
    <t>Ms. Chelsea Jeon is a Co-Founder &amp; serves as Chief Executive Officer at Immigo.</t>
  </si>
  <si>
    <t>Northwestern University, Bachelor's, 2016, Economics</t>
  </si>
  <si>
    <t>Greylock Energy, Lombardstreet Ventures, MatterScale Ventures, MPG Fund, Reach Capital</t>
  </si>
  <si>
    <t>Lombardstreet Ventures II(Lombardstreet Ventures), Reach III(Reach Capital)</t>
  </si>
  <si>
    <t>West Sacramento, CA</t>
  </si>
  <si>
    <t>West Sacramento</t>
  </si>
  <si>
    <t>95691</t>
  </si>
  <si>
    <t>best.immigo.io</t>
  </si>
  <si>
    <t>188747-56T</t>
  </si>
  <si>
    <t>inCitu</t>
  </si>
  <si>
    <t>491737-24</t>
  </si>
  <si>
    <t>at.inc/, CityBldr, Global Futures Group, H/L Ventures, WXR Venture Fund</t>
  </si>
  <si>
    <t>at.inc/ (www.at.inc), CityBldr (www.citybldr.com), Global Futures Group (www.globalfuturesgroup.co), H/L Ventures (www.h-l.vc), WXR Venture Fund (www.wxrfund.com)</t>
  </si>
  <si>
    <t>Developer of an augmented reality-powered platform designed to build the environment through augmented animations, to bring future cities to life. The company's platform offers 3D models of the proposed project on top of the built environment, including visualizing their potential impact while effectively crowdsourcing residents' feedback, enabling clients to imagine what it will look like in the field through mapping technology.</t>
  </si>
  <si>
    <t>The company joined Empire State Development as a part of Pre-seed and Seed Matching Fund Program on July 7, 2023. Previously, the company raised $2 million of seed funding from CityBldr, Global Futures Group and WXR Venture Fund on April 18, 2023. H/L Ventures, at.inc/, New York Ventures, Schmidt Futures, Chet Kittelson, Jerry Hultin and Ziv Paz also participated in the round. The total amount was raised in the form of SAFE Notes, which subsequently got converted to equity.</t>
  </si>
  <si>
    <t>Augmented Reality, Real Estate Technology</t>
  </si>
  <si>
    <t>augmented reality technology, built environment solutions, city planning tools, mapping information, property planning, urban tech</t>
  </si>
  <si>
    <t>Urban Planning Tech</t>
  </si>
  <si>
    <t>291928-69P</t>
  </si>
  <si>
    <t>Dana Chermesh-Reshef</t>
  </si>
  <si>
    <t>+1 (347) 585-8166</t>
  </si>
  <si>
    <t>dana@incitu.us</t>
  </si>
  <si>
    <t>Ms. Dana Chermesh-Reshef is the Founder and serves as Chief Executive Officer at inCitu. She is an architect and a former F15 flight simulator trainer from the Israeli Air Force turned urban data scientist (NYU CUSP '18). In 2020, she was selected to become an Entrepreneur-In-Residence at Schmidt Futures, the public benefit arm of Eric Schmidt, under which she founded inCitu a startup on the mission to bring future cities to life via augmented reality in order to empower residents on the process of urban change. She worked at the NYC Department of City Planning (DCP), her research on the feasibility of Tel-Aviv's city center rezoning was published in "Haaretz" newspaper and she is a frequent lecturer on Smart Cities' next frontier.</t>
  </si>
  <si>
    <t>New York University, Master's, 2018, Urban Data Science</t>
  </si>
  <si>
    <t>The company raised $700,000 of pre-seed funding in the form of SAFE notes from CityBldr, H/L Ventures and at.inc/ on February 1, 2022. Global Futures Group and WXR Venture Fund also participated in the round.</t>
  </si>
  <si>
    <t>www.incitu.us</t>
  </si>
  <si>
    <t>179563-78T</t>
  </si>
  <si>
    <t>Inclusively</t>
  </si>
  <si>
    <t>438451-57</t>
  </si>
  <si>
    <t>Acumen America, Acumen Fund, Charlottesville Angel Network(Seth Chokel), Eudaimonia Capital, Naples Technology Ventures, Purple Sage Ventures, Sorenson Impact Foundation, Tech Square Ventures(Blake Patton), The Pearl Fund</t>
  </si>
  <si>
    <t>Acumen America (acumenamerica.org), Acumen Fund (www.acumen.org), Charlottesville Angel Network (www.cvilleangelnetwork.net), Eudaimonia Capital (eudaimoniacapital.com), Naples Technology Ventures (www.naplestechnologyventures.com), Purple Sage Ventures (www.purplesageventures.com), Sorenson Impact Foundation (www.sorensonimpactfoundation.org), Tech Square Ventures (www.techsquareventures.com), The Pearl Fund (www.thepearl.fund)</t>
  </si>
  <si>
    <t>Developer of a human-first employment platform designed to match work profiles for people with disabilities. The company's platform uses technology to drive authentic inclusion in the workplace and empowers employers with the insights, access, training, and support they need to attract and retain previously hidden talent, enabling employers to retain their employees and people with disabilities to find the ideal position and inclusive company.</t>
  </si>
  <si>
    <t>The company joined The World Economic Forum as a part of its 2024 Technology Pioneer cohort on June 6, 2024. No equity or funding was exchanged as a result of this program.</t>
  </si>
  <si>
    <t>Business/Productivity Software, Human Capital Services*, Information Services (B2C), Media and Information Services (B2B)</t>
  </si>
  <si>
    <t>disability employment services, disability inclusion company, disabled employment, disabled support, enterprise resource planning, erp, human capital management, job matching platform, job searching services</t>
  </si>
  <si>
    <t>239094-91P</t>
  </si>
  <si>
    <t>Charlotte Dales</t>
  </si>
  <si>
    <t>+1 (833) 446-2587</t>
  </si>
  <si>
    <t>charlotte@inclusively.com</t>
  </si>
  <si>
    <t>Ms. Charlotte Dales is a Co-Founder and serves as Chief Executive Officer at Inclusively. She co-founded and served as Board Member at Bottleshot Brew.</t>
  </si>
  <si>
    <t>The company raised $5.5 million through a combination of Seed, and Seed 1 funding from Tech Square Ventures, Naples Technology Ventures, and The Pearl Fund on February 22, 2021, putting the company's pre-money valuation at $10 million. Purple Sage Ventures, Charlottesville Angel Network, Acumen Fund, Eudaimonia Capital, Sorenson Impact Foundation, and, Acumen America also participated in the round.</t>
  </si>
  <si>
    <t>Acumen America, Acumen Fund, Charlottesville Angel Network, Eudaimonia Capital, Naples Technology Ventures, Purple Sage Ventures, Sorenson Impact Foundation, Tech Square Ventures, The Pearl Fund</t>
  </si>
  <si>
    <t>ENGAGE Venture Fund II(Tech Square Ventures), Pearl Fund(The Pearl Fund)</t>
  </si>
  <si>
    <t>63101</t>
  </si>
  <si>
    <t>www.inclusively.com</t>
  </si>
  <si>
    <t>158116-78T</t>
  </si>
  <si>
    <t>Inclusivv</t>
  </si>
  <si>
    <t>327169-99</t>
  </si>
  <si>
    <t>Techstars(Barry Givens), The JumpFund</t>
  </si>
  <si>
    <t>Techstars (www.techstars.com), The JumpFund (www.thejumpfund.com)</t>
  </si>
  <si>
    <t>Developer of a collaboration platform designed to offer a culture of trust, inclusion and respect through meaningful conversations. The company's platform creates a welcoming space for large or small groups to come together either in person or online and builds community through peer-to-peer dialogue and personal storytelling, enabling clients to encourage conversations internally that are safe.</t>
  </si>
  <si>
    <t>The company joined Techstars on December 10, 2021 and received $270,000 in funding.</t>
  </si>
  <si>
    <t>collaboration network, collaboration platform, collaboration tool, conversation software, conversational software, conversations management</t>
  </si>
  <si>
    <t>223161-76P</t>
  </si>
  <si>
    <t>Chelsea Tarnoff</t>
  </si>
  <si>
    <t>Ms. Chelsea Tarnoff serves as Chief Operating Officer at Civic Dinners. Before joining Civic Dinners, Chelsea worked with Teach For America, as Managing Director, Alumni Engagement, where she created and implemented strategy to organize and engage the Metro Atlanta alumni base towards making a positive impact for the education community. She has a background in nonprofit management, working with Teach Plus as the National Research and Evaluation Manager and the T3 Recruitment &amp; Research Coordinator, as well as background in state government, working with the State Charter Schools Commission of Georgia as a Research Assistant. She lives in Atlanta with her husband, two dogs, and new baby girl.</t>
  </si>
  <si>
    <t>The company raised $350,000 of pre-seed funding from The JumpFund and Techstars on April 8, 2020.</t>
  </si>
  <si>
    <t>The JumpFund</t>
  </si>
  <si>
    <t>JumpFund II(The JumpFund)</t>
  </si>
  <si>
    <t>30361</t>
  </si>
  <si>
    <t>www.inclusivv.co</t>
  </si>
  <si>
    <t>272244-07T</t>
  </si>
  <si>
    <t>IndiAide</t>
  </si>
  <si>
    <t>607516-84</t>
  </si>
  <si>
    <t>Developer of a daily task management platform designed to centralize management of important health and personal information. The company's platform improves functional independence and continuity of care for people with medical complexities, cognitive impairments, those who are aging in place, and their families, enabling clients to manage daily tasks and wellbeing for individuals with cognitive impairment.</t>
  </si>
  <si>
    <t>The company raised $50,000 of seed funding from GrowthX Capital and Elevate Ventures on August 6, 2024.</t>
  </si>
  <si>
    <t>Application Software, Business/Productivity Software, Information Services (B2C), Media and Information Services (B2B)*</t>
  </si>
  <si>
    <t>cognitive health, daily task management, health management tool, manage medication, task management, task management app</t>
  </si>
  <si>
    <t>413122-42P</t>
  </si>
  <si>
    <t>Alyssa Antcliff</t>
  </si>
  <si>
    <t>alyssa@indiaide.com</t>
  </si>
  <si>
    <t>Ms. Alyssa Antcliff is a Co-Founder &amp; serves as Chief Executive Officer at IndiAide. is a Speech-Language Pathologist whose skilled expertise in cognitive-communication rehabilitation drives the innovation, research, and design of our products.</t>
  </si>
  <si>
    <t>MS (Master of Science)</t>
  </si>
  <si>
    <t>Fishers, IN</t>
  </si>
  <si>
    <t>Fishers</t>
  </si>
  <si>
    <t>46038</t>
  </si>
  <si>
    <t>www.indiaide.com</t>
  </si>
  <si>
    <t>192590-56T</t>
  </si>
  <si>
    <t>Indicio</t>
  </si>
  <si>
    <t>469083-88</t>
  </si>
  <si>
    <t>37 Angels, Adem Duman(Adem Duman), Alliance of Angels(Mark Taylor), Angel Investment Trust, Anthony and Marilyn Henn Trust, Baptiste Cota(Baptiste Cota), CCW Technology Investments, Cross Ocean Ventures, Dingman Center Angels, Hard Yaka(Greg Kidd), K Street Capital, Liquid Avatar Technologies (CNQ: LQID), NuFund Venture Group, Provider Investment, Roy Avondet(Roy Avondet), SWAN Venture Fund, Swan Venture Group, Tawfique Hamid(Tawfique Hamid)</t>
  </si>
  <si>
    <t>37 Angels (www.37angels.com), Alliance of Angels (www.allianceofangels.com), CCW Technology Investments (www.ccwfinans.com), Cross Ocean Ventures (www.crossoceanfund.com), Hard Yaka (www.hardyaka.com), K Street Capital (www.kstreet.vc), Liquid Avatar Technologies (CNQ: LQID) (www.liquidavatartechnologies.com), NuFund Venture Group (www.nufund.com), Provider Investment (www.providerinvestment.se), SWAN Venture Fund (www.swanventurefund.com), Swan Venture Group (www.swanvg.com)</t>
  </si>
  <si>
    <t>Developer of decentralized identity technology platform intended to help companies create and share verifiable data and expand trusted secure relationships. The company offers existing and efficient data verification systems to any industry and is trusted by customers in travel and hospitality, government, financial services, agriculture, education and other organizations around the world, enabling users to save time and reduce their cumbersome paper-based systems.</t>
  </si>
  <si>
    <t>The company raised $3.10 million of venture funding from Keiretsu Forum Northwest and other undisclosed investors on April 10, 2024.</t>
  </si>
  <si>
    <t>access management, data technology, data verification, decentralized identity, digital credentials management, digital transformation hub, digital wallet developer, identity &amp; access management, identity and access management</t>
  </si>
  <si>
    <t>110185-84P</t>
  </si>
  <si>
    <t>Heather Dahl</t>
  </si>
  <si>
    <t>+1 (202) 507-8125</t>
  </si>
  <si>
    <t>Ms. Heather Dahl is a Co-Founder and serves as Chief Executive Officer &amp; Manager at Cynjatech. She is also Co-Founder and serves as Chief Executive Officer at Indicio.Tech. Prior, she was the executive director of the Sovrin Network, a nonprofit that was the leading early adopter of decentralized identity. Under her leadership, the Sovrin Network and community expanded across the globe. Prior to her work in digital identity, she led research teams at KPMG and at the telecommunications firm Neustar. Developing open source Trusted Digital Ecosystems to verify and exchange high-value information using verifiable credentials. Under her leadership, she has driven the company's growth strategy and overseen its customer expansion and product development, including the launch of Proven, the first complete market product for implementing and scaling open source decentralized identity. She is a long-time champion of privacy-preserving cybersecurity technologies and advises governments and global NGOs on decentralized identity applications. She holds graduate degrees from Columbia and Johns Hopkins and did her undergraduate studies at Willamette.</t>
  </si>
  <si>
    <t>Columbia University, MS (Master of Science), 1998, Journalism, Johns Hopkins University, MBA (Master of Business Administration), 2008, Willamette University, Salem, BS (Bachelor of Science), 1995, Political Science</t>
  </si>
  <si>
    <t>The company raised $3.62 million through a combination of Seed-1 and Seed-2 funding in a deal led by Hard Yaka on April 25, 2022, putting the company's pre-money valuation at $8 million. Liquid Avatar Technologies, Cross Ocean Ventures, Provider Investment, K Street Capital, NuFund, Swan Venture Group, Baptiste Cota, Roy Avondet, Tawfique Hamid, Angel Investment Trust, Anthony and Marilyn Henn Trust, 37 Angels, Dingman Center Angels, Adem Duman, Alliance of Angels, CCW Technology Investments and SWAN Venture Fund also participated in the round. The funds will be used to scale market adoption across industry verticals with a continued focus on finance, healthcare, and travel.</t>
  </si>
  <si>
    <t>37 Angels, Adem Duman, Alliance of Angels, Angel Investment Trust, Anthony and Marilyn Henn Trust, Baptiste Cota, CCW Technology Investments, Cross Ocean Ventures, Dingman Center Angels, Hard Yaka, K Street Capital, Liquid Avatar Technologies, NuFund Venture Group, Provider Investment, Roy Avondet, SWAN Venture Fund, Swan Venture Group, Tawfique Hamid</t>
  </si>
  <si>
    <t>Hard Yaka(Greg Kidd)</t>
  </si>
  <si>
    <t>SWAN Venture Fund III(SWAN Venture Fund)</t>
  </si>
  <si>
    <t>98109</t>
  </si>
  <si>
    <t>www.indicio.tech</t>
  </si>
  <si>
    <t>266816-62T</t>
  </si>
  <si>
    <t>Infactory</t>
  </si>
  <si>
    <t>608504-95</t>
  </si>
  <si>
    <t>A16zScoutFund, Alumni Ventures, Bee Partners, FJ Labs</t>
  </si>
  <si>
    <t>Alumni Ventures (www.av.vc), Bee Partners (www.beepartners.vc), FJ Labs (www.fjlabs.com)</t>
  </si>
  <si>
    <t>Developer of an artificial intelligence search tool designed to build reliable and accurate searches. The company's platform combines quality data partnerships with both traditional and advanced technology, enabling users to obtain clear, precise, and trustworthy answers without unnecessary complications.</t>
  </si>
  <si>
    <t>The company raised $4 million of seed funding in a deal led by Bee Partners on October 8, 2024, putting the company's pre-money valuation at $21 million. A16zScoutFund, Alumni Ventures, and FJ Labs also participated in the round. The funds will be used for expanding the team and ramping up Infactory's go-to-market.</t>
  </si>
  <si>
    <t>Business/Productivity Software, Database Software, Information Services (B2C)*</t>
  </si>
  <si>
    <t>ai search algorithm, contextual search, data integration, data provider, search results, search technology</t>
  </si>
  <si>
    <t>404639-74P</t>
  </si>
  <si>
    <t>Bethany Bongiorno</t>
  </si>
  <si>
    <t>Ms. Bethany Bongiorno is a Co-Founder of Infactory.</t>
  </si>
  <si>
    <t>The company raised $4 million of seed funding in a deal led by Bee Partners on October 8, 2024, putting the company's pre-money valuation at $21 million. A16zScoutFund, Alumni Ventures and FJ Labs also participated in the round. The funds will be used for expanding the team and ramping up Infactory's go-to-market.</t>
  </si>
  <si>
    <t>Bee Partners</t>
  </si>
  <si>
    <t>94111</t>
  </si>
  <si>
    <t>www.infactory.ai</t>
  </si>
  <si>
    <t>271949-59T</t>
  </si>
  <si>
    <t>Infinit (IT Consulting and Outsourcing)</t>
  </si>
  <si>
    <t>656828-65</t>
  </si>
  <si>
    <t>Ashwin Ramachandran, Bankless Ventures, Electric Capital, Faction Ventures, Hashed, Maelstrom (Investor), Michael Egorov(Michael Egorov), Mirana Ventures, Nomad Capital (United States), Presto Labs, Robot Ventures, Selini Capital, Tangent Ventures, Vessel Capital</t>
  </si>
  <si>
    <t>Bankless Ventures (www.bankless.ventures), Electric Capital (www.electriccapital.com), Faction Ventures (www.faction.vc), Hashed (www.hashed.com), Maelstrom (Investor) (maelstrom.fund), Mirana Ventures (www.mirana.xyz), Nomad Capital (United States) (www.nomadcapital.io), Presto Labs (www.prestolabs.io), Robot Ventures (robvc.com), Selini Capital (www.selinicapital.com), Tangent Ventures (www.tangent.ventures), Vessel Capital (vessel.vc)</t>
  </si>
  <si>
    <t>Operator of an abstraction platform intended to provide a smooth service experience for DeFi protocol builders. The company's abstraction layer powers money markets, DEXes, yield protocols, and other DeFi protocols on any chain, enabling users to add new DeFi features in minutes, increasing access and liquidity.</t>
  </si>
  <si>
    <t>The company raised $6 million of venture funding in a deal led by Electric Capital, Mirana Ventures, Maelstrom and Hashed on September 12, 2024. Bankless Ventures and 7 other investors also participated in the round. The funds will be used to enhance the company's infrastructure and provide a smoother service experience for DeFi protocol builders.</t>
  </si>
  <si>
    <t>IT Consulting and Outsourcing*</t>
  </si>
  <si>
    <t>abstraction platform, blockchain infrastructure, cryptocurrency infrastructure, decentralized finance, defi infrastructure, defi protocol, modular architecture, product customization</t>
  </si>
  <si>
    <t>256663-99P</t>
  </si>
  <si>
    <t>Tascha Punyaneramitdee</t>
  </si>
  <si>
    <t>Ms. Tascha Punyaneramitdee is the Founder and serves as Chief Executive Officer at INIT Capital. She is a Co-Founder and serves as Chief Executive Officer at Alpha Venture DAO. She served as an Advisor at Tangent Ventures. She served as the Head of Strategy at Band Protocol. He is a Co-Founder and serves as Chief Executive Officer at Infinit.</t>
  </si>
  <si>
    <t>Harvard Business School, Degree, 2020, Stanford University, Degree, 2010, Chemistry, University of California, Berkeley, BA (Bachelor of Arts), 2016, Economics</t>
  </si>
  <si>
    <t>The company raised $6 million of venture funding in a deal led by Electric Capital, Mirana Ventures, Maelstrom and Hashed on September 12, 2024. Bankless Ventures, Selini Capital, Vessel Capital, Faction Ventures, Nomad Capital, Robot Ventures, Tangent Ventures, Michael Egorov, Ashwin Ramachandran and Presto Labs also participated in the round. The funds will be used to enhance the company's infrastructure and provide a smoother service experience for DeFi protocol builders.</t>
  </si>
  <si>
    <t>Ashwin Ramachandran, Bankless Ventures, Electric Capital, Faction Ventures, Hashed, Maelstrom (Investor), Michael Egorov, Mirana Ventures, Nomad Capital (United States), Presto Labs, Robot Ventures, Selini Capital, Tangent Ventures, Vessel Capital</t>
  </si>
  <si>
    <t>Electric Capital, Hashed, Maelstrom (Investor), Mirana Ventures</t>
  </si>
  <si>
    <t>www.infinit.tech</t>
  </si>
  <si>
    <t>224242-57T</t>
  </si>
  <si>
    <t>Infinite Album</t>
  </si>
  <si>
    <t>186124-51</t>
  </si>
  <si>
    <t>Amy LaMeyer, Kevin Monahan(Kevin Monahan), Xsolla (USA)</t>
  </si>
  <si>
    <t>Xsolla (USA) (xsolla.com)</t>
  </si>
  <si>
    <t>Developer of artificial intelligence-based music application designed to create infinitely generative artificial intelligence music for gamers. The company's music is copyright-safe, game reactive, and for our Twitch streamers, it's also viewer interactive and monetizable with Twitch Bits, enabling gamers to personalize their music through our app for Twitch and through in-game virtual goods stores on all gaming platforms.</t>
  </si>
  <si>
    <t>The company joined NYC Media Lab as part of its Music and AI Challenge on June 22, 2023 and received $5,000 in funding in the form of grant. Concurrently, American Society of Composers and Authors and Publishers (ASCAP) invested in the company.</t>
  </si>
  <si>
    <t>Business/Productivity Software, Entertainment Software, Movies, Music and Entertainment, Multimedia and Design Software*</t>
  </si>
  <si>
    <t>adaptive music, adaptive music application, ai generated music, ai music generation, artificial intelligence, artificial intelligence engine, game developer tools, gaming, gaming development, gaming industry, music application, music creation, music generation platform</t>
  </si>
  <si>
    <t>320253-31P</t>
  </si>
  <si>
    <t>Karen Allen</t>
  </si>
  <si>
    <t>karen@infinitealbum.io</t>
  </si>
  <si>
    <t>Ms. Karen Allen is a Co-Founder &amp; serves as Chief Executive Officer at Infinite Album.</t>
  </si>
  <si>
    <t>Corporate</t>
  </si>
  <si>
    <t>The company raised $250,000 of seed funding from Xsolla (Entertainment Software), Amy LaMeyer and Kevin Monahan in June 2022, putting the company's pre-money valuation at $8.25 million.</t>
  </si>
  <si>
    <t>Amy LaMeyer, Kevin Monahan, Xsolla (USA)</t>
  </si>
  <si>
    <t>www.infinitealbum.io</t>
  </si>
  <si>
    <t>205788-43T</t>
  </si>
  <si>
    <t>Infinite Giving</t>
  </si>
  <si>
    <t>495468-01</t>
  </si>
  <si>
    <t>Alok Deshpande(Alok Deshpande), Araya Mesfin(Araya Mesfin), Ashish Thakur(Ashish Thakur), Atlanta Ventures(David Cummings), Cecil Wright(Cecil Wright), Craig Hyde(Craig Hyde), David Lightburn(David Lightburn), Eric Spett(Eric Spett), James Berryhill(James Berryhill), John Houghton(John Houghton), Kyle Porter(Kyle Porter), Rachel Lockman(Rachel Lockman), Robert Swarthout(Robert Swarthout)</t>
  </si>
  <si>
    <t>Atlanta Ventures (www.atlantaventures.com)</t>
  </si>
  <si>
    <t>Developer of an asset management platform designed to help non-profit organizations grow their asset giving and amplify their good work. The company's platform offers investment strategies, portfolio investment, capital campaigns, reserve funds investment and financial sustainability strategies, enabling investors to invest reserve funds, create and manage endowments and receive stocks easily with software that automates their investment strategy.</t>
  </si>
  <si>
    <t>The company raised $2 million of seed funding in a deal led by Atlanta Ventures, Cubit Capital and Morgan Stanley Inclusive Ventures Lab on October 2, 2024. Crescent Ridge and other undisclosed investors also participated in the round.</t>
  </si>
  <si>
    <t>Asset Management, Financial Software*</t>
  </si>
  <si>
    <t>asset management platform, capital campaign management, endowments management, financial assistance, financial sustainability, investment platform, portfolio investment advisory</t>
  </si>
  <si>
    <t>208895-50P</t>
  </si>
  <si>
    <t>Karen Houghton</t>
  </si>
  <si>
    <t>+1 (404) 751-6649</t>
  </si>
  <si>
    <t>karen@infinitegiving.com</t>
  </si>
  <si>
    <t>Ms. Karen Houghton is a Co-Founder and serves as Chief Executive Officer &amp; Board Member at Infinite Giving. Ms. Houghton served as Vice President at Atlanta Tech Village. Ms. Houghton previously served as a Venture Partner at Atlanta Ventures. Ms. Houghton during her tenure, Village startups collectively raised over $2B, created more than 9,000 jobs, and were a driving force behind the rise of innovation in Atlanta. She also served as a Venture Partner with Atlanta Ventures. Atlanta Ventures invests in entrepreneurs through a startup studio that supports outstanding founders who are building companies from scratch and early-stage investments for startups building software as a service in the southeast. She has been the recipient of the Women In Technology's Woman of the Year Award and ATP's Impact Award in 2019, Berry College's Distinguished Alumni Entrepreneurial Spirit Award in 2020, has been recognized as one of 39 Atlanta Female Leaders to Follow on Social Media and one of Salesforce's 10 Small Business Women Who Inspire. She currently serves on the Board for the Kula Project and Vice-Chair for the Board of Visitors for Berry College. Her experiences have helped her impact thousands of lives for good through job creation, funds raised and increased opportunity.</t>
  </si>
  <si>
    <t>The company raised $500,000 of pre-seed funding from Atlanta Ventures, Kyle Porter and David Lightburn on April 28, 2021. Craig Hyde, Jim Berryhill, Eric Spett, Araya Mesfin, Robert Swarthout, Ashish Thakur, John Houghton, Rachel Lockman, Cecil B. Wright III, Alok Deshpande and other undisclosed investors also participated in the round.</t>
  </si>
  <si>
    <t>Alok Deshpande, Araya Mesfin, Ashish Thakur, Atlanta Ventures, Cecil Wright, Craig Hyde, David Lightburn, Eric Spett, James Berryhill, John Houghton, Kyle Porter, Rachel Lockman, Robert Swarthout</t>
  </si>
  <si>
    <t>30305</t>
  </si>
  <si>
    <t>www.infinitegiving.com</t>
  </si>
  <si>
    <t>186899-77T</t>
  </si>
  <si>
    <t>Influur</t>
  </si>
  <si>
    <t>458683-57</t>
  </si>
  <si>
    <t>Ariadna Thalía(Ariadna Thalía), Cacao Capital, Calle y Poché(Calle y Poché), Claire Diaz-Ortiz, Danna Paola(Danna Paola), Evaluna Montaner(Evaluna Montaner), First Serve Partners, HTwenty, IDC Ventures, Juan Pablo Zurita(Juan Pablo Zurita), Latin World Entertainment, Lex Borrero(Lex Borrero), Loud and Live, Luis Balaguer(Luis Balaguer), Magma Partners, Plug and Play Tech Center, Point72 Ventures, Sofia Vergara(Sofia Vergara), Tommy Mottola(Tommy Mottola)</t>
  </si>
  <si>
    <t>Cacao Capital (www.cacao-capital.com), Claire Diaz-Ortiz (clairediazortiz.com), First Serve Partners (www.firstservepartners.com), HTwenty (htwenty.vc), IDC Ventures (www.idcventures.com), Latin World Entertainment (latinwe.com), Loud and Live (www.loudlive.com), Magma Partners (www.magmapartners.com), Plug and Play Tech Center (www.plugandplaytechcenter.com), Point72 Ventures (www.p72.vc)</t>
  </si>
  <si>
    <t>Developer of an influencer-marketing platform designed to offer a professional network for influencers and brands. The company's platform directly connects influencers, creators, and brands around the world through data analysis and offers campaign management, enabling influencers to monetize their talents and careers to reach untapped markets and large audiences.</t>
  </si>
  <si>
    <t>The company raised $10 million through a combination of Series A-1 and Series A-2 venture funding in a deal led by HTwenty and Point72 Ventures on November 14, 2024, putting the company's pre-money valuation at $26.5 million. Amplifica Capital, Gaingels, IGNIA Partners, VamosVentures, Redwood Ventures and other undisclosed investors also participated in the round. The funds will be used to enhance the company's platform further, enabling influencers to grow their businesses and connect with brands more effectively.</t>
  </si>
  <si>
    <t>brand development, campaign management, content creator platform, customer relationship management, influencer campaign, influencer marketing, marketing campaign, marketing content, social media influencer, social media marketing</t>
  </si>
  <si>
    <t>250360-39P</t>
  </si>
  <si>
    <t>Alessandra Angelini</t>
  </si>
  <si>
    <t>+1 (678) 665-8869</t>
  </si>
  <si>
    <t>alessandra@influur.com</t>
  </si>
  <si>
    <t>Ms. Alessandra Angelini is a Co-Founder and serves as Chief Executive Officer at Influur.</t>
  </si>
  <si>
    <t>The company raised $6.3 million through a combination of Seed, Seed-1, and Seed-2 funding in a deal led by Point72 Ventures on January 10, 2022, putting the company's pre-money valuation at $15 million. Loud and Live, Latin World Entertainment, IDC Ventures, Cacao Capital, HTwenty, Magma Partners, First Serve Partners, Plug and Play Tech Center, Claire Diaz-Ortiz, Sofia Vergara, Luis Balaguer, Lex Borrero, Evaluna Montaner, Juan Pablo Zurita, Danna Paola, Ariadna Thalía, Tommy Mottola and Calle y Poché also participated in the round.</t>
  </si>
  <si>
    <t>Ariadna Thalía, Cacao Capital, Calle y Poché, Claire Diaz-Ortiz, Danna Paola, Evaluna Montaner, First Serve Partners, HTwenty, IDC Ventures, Juan Pablo Zurita, Latin World Entertainment, Lex Borrero, Loud and Live, Luis Balaguer, Magma Partners, Plug and Play Tech Center, Point72 Ventures, Sofia Vergara, Tommy Mottola</t>
  </si>
  <si>
    <t>Point72 Ventures</t>
  </si>
  <si>
    <t>H20 Capital Innovation Fund II(HTwenty), Magma Opportunity SPV 2019(Magma Partners), Point72 Ventures(Point72 Ventures)</t>
  </si>
  <si>
    <t>DLA Piper (Legal Advisor to Point72 Ventures, Charles Torres JD), Gunderson Dettmer (Legal Advisor to Company)</t>
  </si>
  <si>
    <t>DLA Piper (Legal Advisor to Point72 Ventures, Charles Torres JD)</t>
  </si>
  <si>
    <t>www.influur.com</t>
  </si>
  <si>
    <t>194355-10T</t>
  </si>
  <si>
    <t>Ingenii (Business/Productivity Software)</t>
  </si>
  <si>
    <t>496684-54</t>
  </si>
  <si>
    <t>White Shark Management</t>
  </si>
  <si>
    <t>White Shark Management (www.whitesharkmgmt.com)</t>
  </si>
  <si>
    <t>Developer of data analytics platform designed to provide quantum algorithms specific to life sciences, environmental research, pharmaceuticals, and healthcare. The company's platform features the ability to accelerate the adoption of quantum technologies into a business conventional technology, integrating with leading quantum software and service providers to offer a comprehensive suite of quantum resources within its development environment, enabling companies with a robust quantum algorithm with a simplified interface.</t>
  </si>
  <si>
    <t>The company joined Duality Accelerator as part of it's Cohort 3 on July 17, 2023 and received $50,000 in funding. Previously, the company raised $100,882 of equity crowdfunding in the form of SAFE notes via Republic as of May 1, 2023.</t>
  </si>
  <si>
    <t>Automation/Workflow Software, Business/Productivity Software*, Database Software, Software Development Applications</t>
  </si>
  <si>
    <t>data analytics firm, data analytics platform, data analytics tool, quantum platform, quantum solutions, quantum technologies</t>
  </si>
  <si>
    <t>301874-95P</t>
  </si>
  <si>
    <t>Christine Johnson</t>
  </si>
  <si>
    <t>+1 (916) 588-7858</t>
  </si>
  <si>
    <t>christine@ingenii.dev</t>
  </si>
  <si>
    <t>Ms. Christine Johnson is a Co-Founder and serves as Chief Executive Officer at Ingenii (Business/Productivity Software). Her expertise is in bringing disruptive technologies to new markets. Her vision for Ingenii is to solve the world's impossible problems with quantum data science. She believes through this paradigm shifting technology data scientists can gain access to complex models and computational power that was never before possible.</t>
  </si>
  <si>
    <t>The company raised $3 million of pre-seed funding from White Shark Management and other undisclosed investors on February 01, 2022.</t>
  </si>
  <si>
    <t>www.ingenii.io</t>
  </si>
  <si>
    <t>245489-77T</t>
  </si>
  <si>
    <t>Innocuous AI</t>
  </si>
  <si>
    <t>481530-07</t>
  </si>
  <si>
    <t>Grateful Investments</t>
  </si>
  <si>
    <t>Grateful Investments (www.gratefulinvestmentgroup.com)</t>
  </si>
  <si>
    <t>Developer of a business-to-business SaaS platform designed to enhance the productivity of claims adjusters at insurance firms. The company's platform uses AI to help claims personnel at insurance carriers, managing general agents (MGAs) and third-party administrators (TPAs) comply more easily with insurance state regulations through the use of its easy-to-use AI assistant, enabling companies to increase capacity, reduce enterprise risk, reduce fines and litigation costs.</t>
  </si>
  <si>
    <t>The company raised $50,000 of venture funding in the form of SAFE notes from Global Insurance Accelerator on January 10, 2024. The company is being actively tracked by PitchBook.</t>
  </si>
  <si>
    <t>artificial intelligence system, business growth, cloud infrastruture, generative ai, generative ai solution, insurance compliance software, machine learning</t>
  </si>
  <si>
    <t>Product Development</t>
  </si>
  <si>
    <t>299149-57P</t>
  </si>
  <si>
    <t>Noam Rosenberg</t>
  </si>
  <si>
    <t>+1 (646) 631-3180</t>
  </si>
  <si>
    <t>noam@innocuous.ai</t>
  </si>
  <si>
    <t>Mr. Noam Rosenberg is a Co-Founder &amp; serves as Chief Technology Officer &amp; Board Member at Innocuous AI. He has over 10 years of experience in AI and data science. He was the AutoML Lead at Dataloop and built an open-source deep-learning project that outperformed the Google equivalent. He has experience working with multiple AI startups and is active in the AI community.</t>
  </si>
  <si>
    <t>The company raised $37,000 of venture funding in combination of SAFE Notes and Convertible debt from Grateful Investments on December 19, 2022.</t>
  </si>
  <si>
    <t>11211</t>
  </si>
  <si>
    <t>www.innocuous.ai</t>
  </si>
  <si>
    <t>227681-11T</t>
  </si>
  <si>
    <t>InnovationForce</t>
  </si>
  <si>
    <t>530514-46</t>
  </si>
  <si>
    <t>Jason Wild(Jason Wild), Skybridge Technology Group (PINX: SKGO), The Sondergaard Group</t>
  </si>
  <si>
    <t>Skybridge Technology Group (PINX: SKGO) (www.skybridgewireless.com), The Sondergaard Group (www.sondergaardgroup.com)</t>
  </si>
  <si>
    <t>Developer of an artificial intelligence-enabled software-as-a-service platform designed to manage the innovation process. The company's platform offers features for idea submission, evaluation, and workflow management, enabling organizations to improve collaboration, accelerate decision-making, and increase innovation success rates.</t>
  </si>
  <si>
    <t>The company raised $872,500 of pre-seed funding in a deal led by The Sondergaard Group on November 1, 2024. Skybridge Technology Group, Jason Wild and other undisclosed investors also participated in the round.</t>
  </si>
  <si>
    <t>business assessment, collaboration apps, crowdsourcing data, culture of innovation, digital transformation path, innovation management platform, metrics dashboard, program management, workflow management</t>
  </si>
  <si>
    <t>134715-97P</t>
  </si>
  <si>
    <t>Kimberly Getgen</t>
  </si>
  <si>
    <t>+1 (703) 932-2891</t>
  </si>
  <si>
    <t>kim.getgen@innovationforce.io</t>
  </si>
  <si>
    <t>Ms. Kimberly Getgen is a Co-Founder and serves as Chief Executive Officer &amp; Board Member at InnovationForce. She served as Vice President, Marketing at Blue Pillar. Ms. Getgen joined Blue Pillar in 2015 bringing a successful track record as a marketing veteran leading smart energy, cybersecurity and IoT start-ups in the Silicon Valley before returning to the east coast to lead Tollgrade Communications as its vice president of marketing. At Tollgrade, Kim was instrumental in helping the company become recognized as the worldwide leader of smart grid sensor solutions. As a result, in 2014, she was named "Maverick of the Year" by the Stevie® Awards for Women in Business. Previously, Kim was director of product marketing at Echelon Corporation, where she developed a product and partner readiness process that helped to significantly increase revenue and market share during her tenure. Prior to Echelon, Kim worked in the cybersecurity market for nearly 15 years where she served as vice president of marketing for a number of companies including Reconnex, a venture-backed start-up she co-founded, which was later acquired by McAfee. She received her Bachelor of Arts from Wake Forest University and a graduate degree in International Development Studies from Oxford University.</t>
  </si>
  <si>
    <t>University of Oxford, M.Phil (Master of Philosophy), 1998, International Development, Wake Forest University, BA (Bachelor of Arts), 1994, Political Science</t>
  </si>
  <si>
    <t>Jason Wild, Skybridge Technology Group, The Sondergaard Group</t>
  </si>
  <si>
    <t>The Sondergaard Group</t>
  </si>
  <si>
    <t>Hutchison (Legal Advisor to Company)</t>
  </si>
  <si>
    <t>Durham, NC</t>
  </si>
  <si>
    <t>Durham</t>
  </si>
  <si>
    <t>North Carolina</t>
  </si>
  <si>
    <t>27703</t>
  </si>
  <si>
    <t>www.innovationforce.io</t>
  </si>
  <si>
    <t>244979-20T</t>
  </si>
  <si>
    <t>inquirED</t>
  </si>
  <si>
    <t>537974-56</t>
  </si>
  <si>
    <t>A-Street, Reach Capital(Stephen Kupfer)</t>
  </si>
  <si>
    <t>A-Street (www.astreet.com), Reach Capital (www.reachcapital.com)</t>
  </si>
  <si>
    <t>Developer of an inquiry-based social studies curriculum designed to empower students to develop future-ready knowledge and skills. The company provides a social studies curriculum for elementary schools the curriculum is aligned with national standards and includes resources for teachers such as webinars and blog posts, helping them to implement the curriculum effectively, enabling educators to engage students in critical thinking and problem-solving.</t>
  </si>
  <si>
    <t>The company raised $6.16 million through a combination of Series A1, Series A2 and Series A3 venture funding from A-Street, Reach Capital and other undisclosed investors on November 7, 2023, putting the company's pre-money valuation at $40 million.</t>
  </si>
  <si>
    <t>education administration program, literacy skills, online learning, online webinar, professional learning, webinar events</t>
  </si>
  <si>
    <t>369945-82P</t>
  </si>
  <si>
    <t>Shanti Elangovan</t>
  </si>
  <si>
    <t>+1 (312) 521-0397</t>
  </si>
  <si>
    <t>shanti@inquired.org</t>
  </si>
  <si>
    <t>Ms. Shanti Elangovan is a Co-Founder and serves as Chief Executive Officer and Board Member at inquirED. She founded inquirED to help ensure all students, regardless of geography or circumstance, have the opportunity to engage in high-quality inquiry-based learning. As a former elementary school classroom teacher and instructional coach, Shanti believes deeply in high-quality instructional materials that provide both the professional learning and support teachers need to bring inquiry to life in their classrooms. Shanti holds an M.Ed. from Teachers College and an MBA from the University of Iowa.</t>
  </si>
  <si>
    <t>Master's, Education, University of Iowa, MBA (Master of Business Administration)</t>
  </si>
  <si>
    <t>A-Street, Reach Capital</t>
  </si>
  <si>
    <t>A-Street Ventures Fund(A-Street), Reach IV(Reach Capital)</t>
  </si>
  <si>
    <t>60640</t>
  </si>
  <si>
    <t>www.inquired.org</t>
  </si>
  <si>
    <t>247156-48T</t>
  </si>
  <si>
    <t>InScope (Business/Productivity Software)</t>
  </si>
  <si>
    <t>539588-98</t>
  </si>
  <si>
    <t>Better Tomorrow Ventures(Sheel Mohnot), Debbie Clifford(Debbie Clifford), Jake Heller, Justin Coulombe, Kearny Jackson, Lightspeed Venture Partners, Nadia Asoyan, refract ventures, Vipul Ved Prakash</t>
  </si>
  <si>
    <t>Better Tomorrow Ventures (btv.vc), Kearny Jackson (www.kearnyjackson.com), Lightspeed Venture Partners (www.lsvp.com), refract ventures (www.refract.vc)</t>
  </si>
  <si>
    <t>Developer of a financial statement automation platform designed to provide audited financials. The company's platform offers US GAAP financial statements, footnotes, and disclosure checklists generated at the click of a button, enabling clients to maintain their financial sheets.</t>
  </si>
  <si>
    <t>The company raised $4.3 million of seed funding in a deal led by Better Tomorrow Ventures, Lightspeed Venture Partners and refract ventures on June 12, 2024, putting the company's pre-money valuation at $9.58 million. Kearny Jackson and 5 other investors also participated in the round.</t>
  </si>
  <si>
    <t>audit platform, automation platform software, financial books, financial statements audit, online platform, reporting module</t>
  </si>
  <si>
    <t>376694-74P</t>
  </si>
  <si>
    <t>Mary Antony</t>
  </si>
  <si>
    <t>+1 (415) 860-1192</t>
  </si>
  <si>
    <t>mantony@inscopehq.com</t>
  </si>
  <si>
    <t>Ms. Mary Antony is a Co-Founder &amp; serves as Chief Executive Officer at InScope (Business/Productivity Software).</t>
  </si>
  <si>
    <t>The company raised $4.3 million of seed funding in a deal led by Better Tomorrow Ventures , Lightspeed Venture Partners and refract ventures on June 12, 2024, putting the company's pre-money valuation at $9.58 million. Kearny Jackson, Vipul Ved Prakash, Jake Heller, Debbie Clifford, Justin Coulombe and Nadia Asoyan also participated in the round.</t>
  </si>
  <si>
    <t>Better Tomorrow Ventures, Debbie Clifford, Jake Heller, Justin Coulombe, Kearny Jackson, Lightspeed Venture Partners, Nadia Asoyan, refract ventures, Vipul Ved Prakash</t>
  </si>
  <si>
    <t>Better Tomorrow Ventures(Sheel Mohnot), Lightspeed Venture Partners</t>
  </si>
  <si>
    <t>BTV II(Better Tomorrow Ventures)</t>
  </si>
  <si>
    <t>www.inscopehq.com</t>
  </si>
  <si>
    <t>199778-59T</t>
  </si>
  <si>
    <t>Inspace</t>
  </si>
  <si>
    <t>501763-42</t>
  </si>
  <si>
    <t>Atoia Ventures, Flyer One Venture, Joint Journey Intelligent Investments, NRG Ventures(Roman Tyan), Softline Venture Partners, Storied Ventures</t>
  </si>
  <si>
    <t>Atoia Ventures (www.atoia.vc), Flyer One Venture (www.flyerone.vc), Joint Journey Intelligent Investments (jj.capital), NRG Ventures (www.nrgvc.com), Softline Venture Partners (softlinevp.com)</t>
  </si>
  <si>
    <t>Developer of an artificial intelligence-powered workplace platform designed to improve the hybrid work experience for team members. The company's platform easily books workspaces, finds colleagues, and schedules meetings all in real-time, enabling businesses to save expenses on rent and make employees' lives improve the efficiency and effectiveness of the space.</t>
  </si>
  <si>
    <t>The company raised $1 million of seed funding from undisclosed investors on March 1, 2024.</t>
  </si>
  <si>
    <t>ai, desktop booking, enterprise saas platform, meeting rooms management, predictive analytics platform, rooms booking, space management, visitor management, workplace management, workplace productivity</t>
  </si>
  <si>
    <t>309735-73P</t>
  </si>
  <si>
    <t>Elena Beloshapkova</t>
  </si>
  <si>
    <t>+1 (857) 600-6279</t>
  </si>
  <si>
    <t>ceo@inspace.app</t>
  </si>
  <si>
    <t>Ms. Elena Beloshapkova is the Founder and serves as Chief Executive Officer at Inspace. She is business woman of the year, by ernst &amp; young11+ years as a CEO &amp; Founder in companies (up to 100+ employees) 8 patents in technology and design. She has 18+ years in the industry creating the most innovative offices for Fortune 500 companies (750+ projects completed worldwide)</t>
  </si>
  <si>
    <t>The company raised $2.6 million of seed funding from Softline Venture Partners, Storied Ventures and Flyer One Venture on January 10, 2022. NRG Ventures, Joint Journey Intelligent Investments and Atoia Ventures also participated in the round.</t>
  </si>
  <si>
    <t>Atoia Ventures, Flyer One Venture, Joint Journey Intelligent Investments, NRG Ventures, Softline Venture Partners, Storied Ventures</t>
  </si>
  <si>
    <t>NRG Ventures Fund I(NRG Ventures)</t>
  </si>
  <si>
    <t>02210</t>
  </si>
  <si>
    <t>www.inspace.app</t>
  </si>
  <si>
    <t>168096-25T</t>
  </si>
  <si>
    <t>InterPrice</t>
  </si>
  <si>
    <t>462486-16</t>
  </si>
  <si>
    <t>Bowery Capital(Loren Straub), Chaos Ventures (New York)(Justin Smith), Daniel Fine(Daniel Fine), Dash Fund, Drew Moffitt(Drew Moffitt), James Conigliaro(James Conigliaro), Kube VC, Operator Partners</t>
  </si>
  <si>
    <t>Bowery Capital (www.bowerycap.com), Chaos Ventures (New York) (www.chaosvc.com), Dash Fund (www.dashfund.co), Kube VC (www.kubevc.com), Operator Partners (www.operatorpartners.com)</t>
  </si>
  <si>
    <t>Developer of a financial platform designed to simplify the complex world of capital markets for all players involved. The company's platform provides an extensive suite of analytics that empowers organizations to determine optimal financing strategies and organized record-keeping, enabling corporate finance teams to maximize performance and promote better financial outcomes.</t>
  </si>
  <si>
    <t>The company raised $7.30 million of Series A venture funding in a deal led by Nasdaq Ventures and DRW Venture Capital on November 2, 2022, putting the company's pre-money valuation at $28 million. Bowery Capital also participated in the round. The funds will be used to accelerate product development, extend asset coverage and expand its presence in the United States and internationally.</t>
  </si>
  <si>
    <t>capital market, corporate finance, data &amp; analytics, data analytics, data and analytics, enterprise resource planning, erp, financial management system, financial technology company, financing system, financing tools, record-keeping</t>
  </si>
  <si>
    <t>72219-52P</t>
  </si>
  <si>
    <t>Olga Chin</t>
  </si>
  <si>
    <t>olga@interpricetech.com</t>
  </si>
  <si>
    <t>Ms. Olga Chin is the Founder and serves as Chief Executive Officer at InterPrice Technologies. She served as Director at Mitsubishi UFJ Securities International. Previously, she served as a Treasurer, Board Member at Roosevelt Island Day Nursery. She was previously the head of debt capital markets at Loop Capital, following nearly a decade of experience in the debt capital markets coverage role at MUFG.</t>
  </si>
  <si>
    <t>Princeton University, BA (Bachelor of Arts), 2005, Economics &amp; Finance</t>
  </si>
  <si>
    <t>The company raised $2.5 million through the combination of Seed-1, Seed-2 and Seed-3 funding in a deal led by Bowery Capital on March 8, 2021, putting the company's pre-money valuation at $12.5 million. Operator Partners, Dash Fund, Chaos Ventures (New York), Kube VC, Daniel Fine, James Conigliaro, Drew Moffitt and other undisclosed investors also participated in the round.</t>
  </si>
  <si>
    <t>Bowery Capital, Chaos Ventures (New York), Daniel Fine, Dash Fund, Drew Moffitt, James Conigliaro, Kube VC, Operator Partners</t>
  </si>
  <si>
    <t>Bowery Capital(Loren Straub)</t>
  </si>
  <si>
    <t>Bowery Capital II(Bowery Capital), Dash Fund II(Dash Fund)</t>
  </si>
  <si>
    <t>Lowenstein Sandler (Legal Advisor to Company)</t>
  </si>
  <si>
    <t>www.interpricetech.com</t>
  </si>
  <si>
    <t>228849-94T</t>
  </si>
  <si>
    <t>Intrinsic</t>
  </si>
  <si>
    <t>522908-74</t>
  </si>
  <si>
    <t>645 Ventures, Neer Venture Partners, Okta Ventures, Urban Innovation Fund, Y Combinator</t>
  </si>
  <si>
    <t>645 Ventures (www.645ventures.com), Neer Venture Partners (www.neerventurepartners.com), Urban Innovation Fund (www.urbaninnovationfund.com), Y Combinator (www.ycombinator.com)</t>
  </si>
  <si>
    <t>Developer of safety technologies designed to help users in building safe platforms. The company offers testing, detection, observation, and enforcement to maintain quality content communities and monitor brand safety with the help of APIs, enabling users to maintain control over what data is sent to the platform.</t>
  </si>
  <si>
    <t>The company raised $3.1 million of venture funding from Okta Ventures, Neer Venture Partners, and Urban Innovation Fund on May 9, 2023. 645 Ventures and Y Combinator also participated in the round. Previously, the company joined Y Combinator as a part of its Winter 2023 Cohort on March 2, 2023, and received $500,000 in funding. The total amount was originally raised in the form of SAFE notes and subsequently converted to equity.</t>
  </si>
  <si>
    <t>branding value, data quality analysis, data quality solution, observation tools, safety technologies, safety technology developer, trust and safety</t>
  </si>
  <si>
    <t>Trust &amp; Safety Tech</t>
  </si>
  <si>
    <t>342784-27P</t>
  </si>
  <si>
    <t>Karine Mellata</t>
  </si>
  <si>
    <t>+1 (628) 946-9464</t>
  </si>
  <si>
    <t>kmellata@withintrinsic.com</t>
  </si>
  <si>
    <t>Ms. Karine Mellata is a Co-Founder of Intrinsic.</t>
  </si>
  <si>
    <t>The company raised $3.1 million of venture funding from Neer Venture Partners, Okta Ventures, and Urban Innovation Fund on May 9, 2023. 645 Ventures and Y Combinator also participated in the round.</t>
  </si>
  <si>
    <t>645 Ventures, Neer Venture Partners, Okta Ventures, Urban Innovation Fund</t>
  </si>
  <si>
    <t>Okta Ventures I(Okta Ventures)</t>
  </si>
  <si>
    <t>www.withintrinsic.com</t>
  </si>
  <si>
    <t>178764-76T</t>
  </si>
  <si>
    <t>Invisible Universe</t>
  </si>
  <si>
    <t>296512-39</t>
  </si>
  <si>
    <t>75 &amp; Sunny, Aglaé Ventures, Alexis Ohanian(Alexis Ohanian), CASSIUS, Dreamers VC, Gerard Piqué(Gerard Piqué), Green Bay Ventures, Initialized Capital Management, Jennifer Aniston(Jennifer Aniston), Private Ventures Group, Serena Williams(Serena Williams), Seven Seven Six(Alexis Ohanian), Spencer Rascoff(Spencer Rascoff), SV Angel, The Chernin Group</t>
  </si>
  <si>
    <t>75 &amp; Sunny (www.75andsunny.vc), Aglaé Ventures (www.aglaeventures.com), Alexis Ohanian (alexisohanian.com), CASSIUS (www.cassius.vc), Dreamers VC (www.dreamers.vc), Green Bay Ventures (www.greenbayventures.com), Initialized Capital Management (www.initialized.com), Private Ventures Group (www.privateventuresgroup.com), Seven Seven Six (www.sevensevensix.com), SV Angel (www.svangel.com), The Chernin Group (www.tcg.co)</t>
  </si>
  <si>
    <t>Operator of an animation studio intended to create the next household-name animated franchises and produce animated characters on social media. The company engages in creating original cartoon character IP in partnership with celebrities by combining creative talent, animation technology, and software, enabling entertainment users by leveraging the power and reach of social media platforms.</t>
  </si>
  <si>
    <t>The company raised $12 million of Series A venture funding in a deal led by Seven Seven Six on August 11, 2022, putting the company's pre-money valuation at $60 million. Dapper Labs, Niche Capital, and 14 other investors also participated in the round. The funds will be used to launch more animated IPs, expand to new platforms, and further monetize existing franchises.</t>
  </si>
  <si>
    <t>Virtual Reality</t>
  </si>
  <si>
    <t>animation maker, entertainment technology, independent artists, social networking community, virtual reality development, virtual reality production</t>
  </si>
  <si>
    <t>272841-94P</t>
  </si>
  <si>
    <t>Tricia Biggio</t>
  </si>
  <si>
    <t>tricia@invisibleuniverse.com</t>
  </si>
  <si>
    <t>Ms. Tricia Biggio is a Co-Founder &amp; serves as Chief Executive Officer at Invisible Universe.</t>
  </si>
  <si>
    <t>The company raised $8 million through a combination of debt and Seed, Seed-1 and Seed-2 funding from The Chernin Group, 75 &amp; Sunny and Private Ventures Group on August 23, 2021, putting the company's pre-money valuation at $16 million. Green Bay Ventures, Seven Seven Six, Initialized Capital Management, Dreamers VC, CASSIUS, Aglaé Ventures, SV Angel, Gerard Piqué, Spencer Rascoff, Serena Williams, Jennifer Aniston and Alexis Ohanian also participated in the round.</t>
  </si>
  <si>
    <t>75 &amp; Sunny, Aglaé Ventures, Alexis Ohanian, CASSIUS, Dreamers VC, Gerard Piqué, Green Bay Ventures, Initialized Capital Management, Jennifer Aniston, Private Ventures Group, Serena Williams, Seven Seven Six, Spencer Rascoff, SV Angel, The Chernin Group</t>
  </si>
  <si>
    <t>75 &amp; Sunny Ventures I(75 &amp; Sunny), 776 Fund I(Seven Seven Six), Cassius Family (Fund 1)(CASSIUS), Dreamers Fund I(Dreamers VC), Initialized V(Initialized Capital Management)</t>
  </si>
  <si>
    <t>Palm Beach Gardens, FL</t>
  </si>
  <si>
    <t>Palm Beach Gardens</t>
  </si>
  <si>
    <t>www.invisibleuniverse.com</t>
  </si>
  <si>
    <t>Other - $0.48M</t>
  </si>
  <si>
    <t>254490-94T</t>
  </si>
  <si>
    <t>IQ/ID</t>
  </si>
  <si>
    <t>520584-85</t>
  </si>
  <si>
    <t>Alabama Futures Fund, Techstars</t>
  </si>
  <si>
    <t>Alabama Futures Fund (www.alabamafuturesfund.com), Techstars (www.techstars.com)</t>
  </si>
  <si>
    <t>Developer of CRM data extraction tool designed to provide insights into admissions communication. The company's tool compiles multiple data points to give definitive metrics on applicant funnel stages, overlaid with the sentiment, and checks for positive language and dissuades negative behaviors, which impact applicant enrollment, enabling clients to navigate the ever-changing landscape of enrollment management.</t>
  </si>
  <si>
    <t>The company is in the process of raising $400,000 venture funding as of March 28, 2024. Previously, the company raised $800,000 of pre-seed funding from Alabama Futures Fund, Techstars and other undisclosed investors in the form of convertible debt on April 2, 2024. The company is being actively tracked by PitchBook.</t>
  </si>
  <si>
    <t>communication tool, crm application, crm data, data analysis, enrollment management, postsecondary education</t>
  </si>
  <si>
    <t>336544-84P</t>
  </si>
  <si>
    <t>Marie Bigham</t>
  </si>
  <si>
    <t>Ms. Marie Bigham is a Co-Founder and serves as Chief Executive Officer &amp; Board Member at Accelerated Equity Insights.</t>
  </si>
  <si>
    <t>The company raised $800,000 of pre-seed funding from Alabama Futures Fund, Techstars and other undisclosed investors in the form of convertible debt on April 2, 2024.</t>
  </si>
  <si>
    <t>Alabama Futures Fund</t>
  </si>
  <si>
    <t>www.iqid.io</t>
  </si>
  <si>
    <t>Bridge Loan - $0.80M (Convertible)</t>
  </si>
  <si>
    <t>167525-38T</t>
  </si>
  <si>
    <t>Iris (Social/Platform Software)</t>
  </si>
  <si>
    <t>454915-81</t>
  </si>
  <si>
    <t>Adapt Ventures, Cowboy Ventures(Aileen Lee), Dream Machine (San Francisco)(Alexandra Bonatsos), Iman Abuzeid(Iman Abuzeid), Index Ventures(Nina Achadjian), John Sutton(John Sutton), Jonathan Shipman(Jonathan Shipman), Julia Hartz(Julia Hartz), Kevin Hartz(Kevin Hartz), Kevin Lin(Kevin Lin), Sequoia Capital(Jess Lee), Upside Partnership(Kent Goldman), XRM Media</t>
  </si>
  <si>
    <t>Adapt Ventures (www.adaptvc.com), Cowboy Ventures (www.cowboy.vc), Dream Machine (San Francisco) (www.dreammachine.vc), Index Ventures (www.indexventures.com), Sequoia Capital (www.sequoiacap.com), Upside Partnership (www.upsidevc.com), XRM Media (xrmmedia.com)</t>
  </si>
  <si>
    <t>Developer of a beauty app designed to connect beauty enthusiasts and provide personalized recommendations. The company's platform is a community-driven space where users can share experiences, discover new trends, and get personalized beauty recommendations, enabling beauty enthusiasts to find the right products and build a community they can trust.</t>
  </si>
  <si>
    <t>The company raised $3.5 million of seed funding in a deal led by Sequoia Capital on February 26, 2021. Cowboy Ventures, and 11 other undisclosed investors also participated in the round. The funds will be used to build out the company's iOS consumer app to complement its dedicated streaming app for creators, and to hire engineering talent.</t>
  </si>
  <si>
    <t>Information Services (B2C), Social Content, Social/Platform Software*</t>
  </si>
  <si>
    <t>Beauty, Mobile</t>
  </si>
  <si>
    <t>beauty bags, beauty community, discovery platform, loyalty and incentive, online beauty, questions survey, streaming media</t>
  </si>
  <si>
    <t>248151-61P</t>
  </si>
  <si>
    <t>Jennifer Qian</t>
  </si>
  <si>
    <t>jenny@newness.com</t>
  </si>
  <si>
    <t>Ms. Jennifer Qian is a Co-Founder and serves as Chief Executive Officer at Newness. She serves as an Advisor at Upside Partnership.</t>
  </si>
  <si>
    <t>University of Texas, Austin, Master's, 2010, Administration and Public Accountant</t>
  </si>
  <si>
    <t>The company raised $3.5 million of seed funding in a deal led by Sequoia Capital on February 26, 2021. Cowboy Ventures, Upside Partnership, Dream Machine, Index Ventures, Adapt Ventures, XRM Media, Kevin Lin, Jonathan Shipman, John Sutton, Julia Hartz, Iman Abuzeid and Kevin Hartz also participated in the round. The funds will be used to build out the company's iOS consumer app to complement its dedicated streaming app for creators, and to hire engineering talent.</t>
  </si>
  <si>
    <t>Adapt Ventures, Cowboy Ventures, Dream Machine (San Francisco), Iman Abuzeid, Index Ventures, John Sutton, Jonathan Shipman, Julia Hartz, Kevin Hartz, Kevin Lin, Sequoia Capital, Upside Partnership, XRM Media</t>
  </si>
  <si>
    <t>Sequoia Capital(Jess Lee)</t>
  </si>
  <si>
    <t>Cowboy Capital Fund III(Cowboy Ventures), Upside Partnership II(Upside Partnership)</t>
  </si>
  <si>
    <t>www.getiris.app</t>
  </si>
  <si>
    <t>156273-58T</t>
  </si>
  <si>
    <t>IrisAgent</t>
  </si>
  <si>
    <t>439240-60</t>
  </si>
  <si>
    <t>Daniel Scheinman(Daniel Scheinman), Engineering Capital, Neotribe Ventures(Aditya Singh)</t>
  </si>
  <si>
    <t>Engineering Capital (www.engineeringcapital.com), Neotribe Ventures (www.neotribe.vc)</t>
  </si>
  <si>
    <t>Operator of an AI-powered customer support automation platform intended to help businesses reduce resolution time, respond automatically to tickets, and enhance internal communications. The company's platform offers features such as automatic tag generation, and proactive customer support, and discovers similar tickets along with machine learning and natural language processing to provide unique insights, providing companies with reduced response time, improving customer satisfaction scores, and decreasing case volume.</t>
  </si>
  <si>
    <t>The company raised $4 million of seed funding from Engineering Capital, Neotribe Ventures and Dan Scheinman on July 21, 2020, putting the company's pre-money valuation at $8.5 million.</t>
  </si>
  <si>
    <t>customer data insights, customer support operations, data analysis tool, machine learning insights, natural language technology, operational improvement analysis, product failure analysis</t>
  </si>
  <si>
    <t>241124-14P</t>
  </si>
  <si>
    <t>Palak Bhatia</t>
  </si>
  <si>
    <t>+1 (617) 249-3312</t>
  </si>
  <si>
    <t>Ms. Palak Bhatia is the Founder &amp; serves as Chief Executive Officer at IrisAgent.</t>
  </si>
  <si>
    <t>Daniel Scheinman, Engineering Capital, Neotribe Ventures</t>
  </si>
  <si>
    <t>Engineering Capital Fund II(Engineering Capital)</t>
  </si>
  <si>
    <t>www.irisagent.com</t>
  </si>
  <si>
    <t>133276-33T</t>
  </si>
  <si>
    <t>Iron Fish</t>
  </si>
  <si>
    <t>224235-19</t>
  </si>
  <si>
    <t>A.Capital Ventures, Balaji Srinivisan(Balaji Srinivisan), Elad Gil(Elad Gil), Electric Capital, MetaStable</t>
  </si>
  <si>
    <t>A.Capital Ventures (www.acapital.com), Elad Gil (www.eladgil.com), Electric Capital (www.electriccapital.com), MetaStable (www.metastablecapital.com)</t>
  </si>
  <si>
    <t>Developer of cryptocurrency designed to make private blockchain networks accessible and global. The company's platform offers privacy on every transaction with a fast syncing technique and a clear path to assist low-resource clients such as phones and websites, enabling users to preserve the concept of cash in a fully digital world.</t>
  </si>
  <si>
    <t>MetaStable sold a stake in the company to an undisclosed buyer.</t>
  </si>
  <si>
    <t>blockchain network, crypto coins, cryptocurrency developer, digital finance, financial service provider, financial services firm, private blockchain, private cryptocurrency</t>
  </si>
  <si>
    <t>224740-00P</t>
  </si>
  <si>
    <t>Elena Nadolinski</t>
  </si>
  <si>
    <t>elena@ironfish.network</t>
  </si>
  <si>
    <t>Ms. Elena Nadolinski is the Founder &amp; serves as Chief Executive Officer at Iron Fish.</t>
  </si>
  <si>
    <t>The company raised $4.48 million of seed funding from Electric Capital, A.Capital Ventures and Elad Gil on March 5, 2020, putting the company's pre-money valuation at $25 million. MetaStable and Balaji Srinivisan also participated in the round.</t>
  </si>
  <si>
    <t>A.Capital Ventures, Balaji Srinivisan, Elad Gil, Electric Capital, MetaStable</t>
  </si>
  <si>
    <t>A. Capital Partners III(A.Capital Ventures), Electric Capital Venture Fund II(Electric Capital)</t>
  </si>
  <si>
    <t>Gunderson Dettmer (Legal Advisor to Electric Capital), Latham &amp; Watkins (Legal Advisor to Elad Gil, Benjamin Potter JD)</t>
  </si>
  <si>
    <t>www.ironfish.network</t>
  </si>
  <si>
    <t>232556-59T</t>
  </si>
  <si>
    <t>Irys Insurtech</t>
  </si>
  <si>
    <t>522431-83</t>
  </si>
  <si>
    <t>BrokerTech Ventures, Cofounders Capital, Markd(Ward Parker Beauchamp), MTech Capital, RevTech Labs Capital</t>
  </si>
  <si>
    <t>BrokerTech Ventures (www.brokertechventures.com), Cofounders Capital (www.cofounderscapital.com), Markd (markd.vc), MTech Capital (www.mtechcapital.com), RevTech Labs Capital (www.rtl.capital)</t>
  </si>
  <si>
    <t>Developer of an insurance management software designed to leverage technology to enhance human connections. The company's software offers features like open and public API, workflow automation, direct carrier integrations, and a powerful AI engine, human-centric, modular, relationship-focused insurance
management system, enabling agencies and brokerages to manage and build new relationships with their customers and improve customer retention rates.</t>
  </si>
  <si>
    <t>The company raised $5 million of Seed-1 funding from Markd on July 9, 2024, putting the company's pre-money valuation at $30 million. Deepwork Capital also participated in this round.</t>
  </si>
  <si>
    <t>Business/Productivity Software*, Other Insurance</t>
  </si>
  <si>
    <t>customer engagement, insurance distribution, insurance management, insurance management software, insurance management system, workflow automation</t>
  </si>
  <si>
    <t>341402-32P</t>
  </si>
  <si>
    <t>Margeaux Giles</t>
  </si>
  <si>
    <t>+1 (813) 438-6380</t>
  </si>
  <si>
    <t>Ms. Margeaux Giles is a Co-Founder and serves as Chief Executive Officer at Irys Insurtech. She serves as a Chief Technology Officer at OIG Insurance.</t>
  </si>
  <si>
    <t>Degree, Mass Communications, University of South Florida, Degree, Mass Communications</t>
  </si>
  <si>
    <t>The company raised $3.5 million through a combination of Seed-2 and Seed-3 funding in a deal led by Markd on October 18, 2023, putting the company's pre-money valuation at $10 million. Cofounders Capital, MTech Capital, RevTech Labs Capital, and BrokerTech Ventures also participated in the round. The funds will be used to fuel the scaling of the platform and implementation team, thereby providing the industry a much-needed escape route from the confines of traditional systems.</t>
  </si>
  <si>
    <t>Cofounders Capital, Markd, MTech Capital, RevTech Labs Capital</t>
  </si>
  <si>
    <t>BrokerTech Ventures</t>
  </si>
  <si>
    <t>33606</t>
  </si>
  <si>
    <t>www.iryscloud.com</t>
  </si>
  <si>
    <t>248714-47T</t>
  </si>
  <si>
    <t>IXIS</t>
  </si>
  <si>
    <t>550879-21</t>
  </si>
  <si>
    <t>Dudley Fund, FreshTracks Capital</t>
  </si>
  <si>
    <t>Dudley Fund (www.dudleyfund.com), FreshTracks Capital (www.freshtrackscap.com)</t>
  </si>
  <si>
    <t>Developer of business intelligence socialization platform designed to build new ideas, stronger teams, and better cultures with dynamic collaboration. The company's platform leverages data science and technology to spark collaboration and conversation, creating a true data culture with data-sharing tools, composable insights, dynamic transparency, and centralized updates, enabling clients to use data to frame challenges, and measure success from every team and every level of the company.</t>
  </si>
  <si>
    <t>The company raised $5 million of Series 2 venture funding from Dudley Fund and FreshTracks Capital on November 21, 2023. Previously , the company raised $250,000 of debt financing on January 9, 2023.</t>
  </si>
  <si>
    <t>Business/Productivity Software*, IT Consulting and Outsourcing</t>
  </si>
  <si>
    <t>Artificial Intelligence &amp; Machine Learning, Big Data</t>
  </si>
  <si>
    <t>analytics platform, business intelligence, business intelligence platform, data analytics, data challenge, data science, decision tools, insights data, machine intelligence</t>
  </si>
  <si>
    <t>379308-97P</t>
  </si>
  <si>
    <t>Dani Giandomenico</t>
  </si>
  <si>
    <t>+1 (855) 845-0065</t>
  </si>
  <si>
    <t>dgiandomenico@ixisdigital.com</t>
  </si>
  <si>
    <t>Ms. Dani Giandomenico is the Founder and serves as Chief Executive Officer at IXIS. She is responsible for the strategic direction of the company, ensuring our client engagements track along established targets and that our business strategy remains nimble and responsive to an ever-evolving market. Her client experience spans diverse industries such as automotive, luxury retail, technology, CPG, and financial services. With nearly 20 years in data and marketing strategy to her credit, Dani has led campaigns for the world's leading brands and corporations including Google, Audi of America, BMW, Kia Motors of America, Chobani, Morgan Stanley, Samsonite, TUMI, Mattel, FTD, Home Depot, Karl Lagerfeld, TOM FORD International, Bulgari, Eileen Fisher, and Cole Haan.</t>
  </si>
  <si>
    <t>The company raised $5 million of Series 2 venture funding from Dudley Fund and FreshTracks Capital on November 21, 2023.</t>
  </si>
  <si>
    <t>FreshTracks Green Mountain Fund(FreshTracks Capital)</t>
  </si>
  <si>
    <t>www.ixisdigital.com</t>
  </si>
  <si>
    <t>248286-79T</t>
  </si>
  <si>
    <t>IYOTAH Solutions</t>
  </si>
  <si>
    <t>437002-75</t>
  </si>
  <si>
    <t>Innova Memphis</t>
  </si>
  <si>
    <t>Innova Memphis (www.innovamemphis.com)</t>
  </si>
  <si>
    <t>Developer of transformational software designed to pull data from all farm sources into one place. The company's platform integrates data from multiple sources using raw data, spreadsheets, legacy, and modern farm management systems, IoT, and wearables, and enables data sharing, enabling users to secure the data in the cloud and then overlay it to provide livestock operations.</t>
  </si>
  <si>
    <t>The company raised $3.14 million through a combination of Series A, and Series A-1 venture funding led by Innova Memphis and other undisclosed investors on May 15, 2024, putting the company's pre-money valuation at $10 million.</t>
  </si>
  <si>
    <t>AgTech, Artificial Intelligence &amp; Machine Learning, Internet of Things</t>
  </si>
  <si>
    <t>agtech company, agtech platform, animal ag, animal agriculture, animal protein, data sharing app, data transformation, livestock &amp; land animal tech, livestock and land animal tech, livestock operations</t>
  </si>
  <si>
    <t>235095-67P</t>
  </si>
  <si>
    <t>Kari Spaan</t>
  </si>
  <si>
    <t>+1 (720) 780-1788</t>
  </si>
  <si>
    <t>kari.spaan@iyotah.com</t>
  </si>
  <si>
    <t>Ms. Kari Spaan is a Co-Founder and serves as Chief Executive Officer at IYOTAH Solutions.</t>
  </si>
  <si>
    <t>South Dakota State University, BS (Bachelor of Science), South Dakota State University, MS (Master of Science)</t>
  </si>
  <si>
    <t>Innova Ag Innovation Fund VI(Innova Memphis)</t>
  </si>
  <si>
    <t>Polsinelli (Legal Advisor to Company, Christopher Simpson JD)</t>
  </si>
  <si>
    <t>Westminster, CO</t>
  </si>
  <si>
    <t>Westminster</t>
  </si>
  <si>
    <t>80030</t>
  </si>
  <si>
    <t>www.iyotah.com</t>
  </si>
  <si>
    <t>157920-13T</t>
  </si>
  <si>
    <t>Jam</t>
  </si>
  <si>
    <t>442755-10</t>
  </si>
  <si>
    <t>Andrew Miklas(Andrew Miklas), BoxGroup, Dane Knecht(Dane Knecht), James Allworth(James Allworth), Jamie Wilkinson(Jamie Wilkinson), Jason Warner(Jason Warner), Josh Elman(Josh Elman), Matthew Prince(Matthew Prince), Sahil Lavingia(Sahil Lavingia), Union Square Ventures, Version One Ventures, Village Global</t>
  </si>
  <si>
    <t>BoxGroup (www.boxgroup.com), Jamie Wilkinson (jamiedubs.com), Sahil Lavingia (sahillavingia.com), Union Square Ventures (www.usv.com), Version One Ventures (www.versionone.vc), Village Global (www.villageglobal.vc)</t>
  </si>
  <si>
    <t>Developer of a collaboration platform designed to improve the operational efficiency of software developers and designers. The company's tool turns any product or website into a collaborative document to add comments, facilitate discussions and create and manage tasks, enabling businesses to track underlying issues and make suggestions conveniently.</t>
  </si>
  <si>
    <t>The company raised $8.9 million of Series A venture funding in a deal led by GGV Capital U.S. on February 4, 2024. Figma Ventures, Guillermo Rauch, Suhail Doshi, Paul Yacoubian, Claire Vo Lawless, Austen Allred, Burst Capital, Cassidy Williams, Sandeep Jain, and Amanda Kleha also participated in the round.</t>
  </si>
  <si>
    <t>Business/Productivity Software, Internet Software*</t>
  </si>
  <si>
    <t>CloudTech &amp; DevOps</t>
  </si>
  <si>
    <t>collaboration tool, developer collaboration, developer platform, developer tools, task management, team collaboration, work collaboration software</t>
  </si>
  <si>
    <t>187134-31P</t>
  </si>
  <si>
    <t>Dani Grant</t>
  </si>
  <si>
    <t>dani@jam.dev</t>
  </si>
  <si>
    <t>Ms. Dani Grant is a Co-Founder and serves as Chief Executive Officer at Jam. She comes from the Product Strategy team Cloudflare, where she was a part of growing the IPv6 internet, helping provide DNS service to the F-Root server, and launching the fastest DNS resolver, 1.1.1.1. She also served as an analyst at Union Square Ventures. Before Cloudflare, Dani was an intern on BuzzFeed's product team, designed infographics for Young &amp; Rubicam, spent time on the Ogilvy team in Shanghai, China, and flew to Bhutan with Matternet to use drones to transport medical supplies.</t>
  </si>
  <si>
    <t>New York University, Bachelor's, 2014</t>
  </si>
  <si>
    <t>The company raised $3.5 million of seed funding in a deal led by Union Square Ventures on October 20, 2020. Version One Ventures, BoxGroup, Village Global, Jason Warner, Matthew Prince, Sahil Lavingia, Josh Elman, Andrew Miklas, Jamie Wilkinson, Dane Knecht and James Allworth also participated in the round.</t>
  </si>
  <si>
    <t>Andrew Miklas, BoxGroup, Dane Knecht, James Allworth, Jamie Wilkinson, Jason Warner, Josh Elman, Matthew Prince, Sahil Lavingia, Union Square Ventures, Version One Ventures, Village Global</t>
  </si>
  <si>
    <t>Union Square Ventures</t>
  </si>
  <si>
    <t>BoxGroup Four(BoxGroup), USV 2016(Union Square Ventures), Version One Ventures Fund III(Version One Ventures), Village Global Fund(Village Global)</t>
  </si>
  <si>
    <t>www.jam.dev</t>
  </si>
  <si>
    <t>180405-37T</t>
  </si>
  <si>
    <t>Jemi</t>
  </si>
  <si>
    <t>438328-18</t>
  </si>
  <si>
    <t>East West Ventures, General Catalyst, Kleiner Perkins, Liquid 2 Ventures, Niche Capital (San Francisco), The MBA Fund</t>
  </si>
  <si>
    <t>East West Ventures (www.ewventures.co), General Catalyst (www.generalcatalyst.com), Kleiner Perkins (www.kleinerperkins.com), Liquid 2 Ventures (www.liquid2.vc), Niche Capital (San Francisco) (www.niche-cap.com), The MBA Fund (www.thembafund.com)</t>
  </si>
  <si>
    <t>Operator of a no-code website and store builder intended to build an e-commerce website in minutes. The company allows users to use drag and drop site builder feature to create websites and stores, enabling businesses to sell their goods with ease.</t>
  </si>
  <si>
    <t>The company raised $2 million of venture funding from East West Ventures, The MBA Fund, and General Catalyst on January 1, 2021. Kleiner Perkins, Niche Capital, and Liquid 2 Ventures also participated in the round. Previously, The company joined Gold House Ventures in 2021, and received $250,000 in funding. The funding was originally raised in the form of SAFE notes and subsequently converted to equity. Prior to that, the company joined Y Combinator on August 25, 2020, and received $150,000 in funding. The funding was originally raised in the form of SAFE notes and subsequently converted to equity.</t>
  </si>
  <si>
    <t>Business/Productivity Software, Information Services (B2C), Internet Software*, Publishing</t>
  </si>
  <si>
    <t>E-Commerce, TMT</t>
  </si>
  <si>
    <t>ecommerce website, internet publishing, internet retail stores, internet retailing platform, online entrepreneurship, store builder, website builder</t>
  </si>
  <si>
    <t>241824-88P</t>
  </si>
  <si>
    <t>Annie Hwang</t>
  </si>
  <si>
    <t>Ms. Annie Hwang co-founded &amp; served as Co-Chief Executive Officer at Jemi.</t>
  </si>
  <si>
    <t>Harvard University, Master's, 2018, Computer Science</t>
  </si>
  <si>
    <t>The company raised $2 million of venture funding from East West Ventures, The MBA Fund, Niche Capital, and General Catalyst on January 1, 2021. Kleiner Perkins and Liquid 2 Ventures also participated in the round.</t>
  </si>
  <si>
    <t>www.jemi.so</t>
  </si>
  <si>
    <t>192026-80T</t>
  </si>
  <si>
    <t>June Care</t>
  </si>
  <si>
    <t>491726-44</t>
  </si>
  <si>
    <t>AirAngels, Brynn Putnam(Brynn Putnam), Caterina Fake(Caterina Fake), Craft Ventures(Jeff Fluhr), Evan Sharp(Evan Sharp), Jeffrey Weiner(Jeffrey Weiner), Max Mullen(Max Mullen)</t>
  </si>
  <si>
    <t>AirAngels (airangels.co), Caterina Fake (www.caterina.net), Craft Ventures (www.craftventures.com), Max Mullen (www.maxmullen.com)</t>
  </si>
  <si>
    <t>Provider of childcare catering services intended to connect families who need childcare with stay-at-home parents who can care for their kids. The company matches working parents with stay-at-home parents who can help with childcare, enabling parents to get help with their children while also getting access to income by joining to help others.</t>
  </si>
  <si>
    <t>The company raised an undisclosed amount of venture funding from Roo Capital in approximately March 2024.</t>
  </si>
  <si>
    <t>child care environment, child care mom, child care provision, child care services, child care workers, childcare service provider, consumer services</t>
  </si>
  <si>
    <t>291699-01P</t>
  </si>
  <si>
    <t>Gretchen Salyer</t>
  </si>
  <si>
    <t>+1 (650) 944-2729</t>
  </si>
  <si>
    <t>gretchen@junecare.co</t>
  </si>
  <si>
    <t>Ms. Gretchen Salyer is the Founder &amp; serves as Chief Executive Officer at June Care.</t>
  </si>
  <si>
    <t>The company raised $3.6 million of seed funding from Craft Ventures, AirAngels and Evan Sharp on November 1, 2021. Maxwell Mullen, Brynn Putnam, Jeff Weiner and Caterina Fake also participated in the round.</t>
  </si>
  <si>
    <t>AirAngels, Brynn Putnam, Caterina Fake, Craft Ventures, Evan Sharp, Jeffrey Weiner, Max Mullen</t>
  </si>
  <si>
    <t>Los Altos, CA</t>
  </si>
  <si>
    <t>Los Altos</t>
  </si>
  <si>
    <t>94024</t>
  </si>
  <si>
    <t>www.junecare.co</t>
  </si>
  <si>
    <t>194919-49T</t>
  </si>
  <si>
    <t>Jupiter Exchange</t>
  </si>
  <si>
    <t>497451-52</t>
  </si>
  <si>
    <t>White Hilt Capital(David Mazaheri)</t>
  </si>
  <si>
    <t>White Hilt Capital (www.whitehilt.com)</t>
  </si>
  <si>
    <t>Operator of alternative asset exchange intended to provide fractional ownership of iconic and luxury assets. The company leverages the Non-Fungible Token (NFT) technology to create digital ownership of real-world assets and trading of fractional ownership on its exchange, enabling clients to deal in multiple asset collections, including sneakers, art, cars and pop culture, in a real-time price basis.</t>
  </si>
  <si>
    <t>The company raised $5 million of seed funding in a deal led by White Hilt Capital on May 26, 2022. Other undisclosed investors also participated in the round. The funds will be used to expand operations and support development.</t>
  </si>
  <si>
    <t>alternative asset, alternative asset exchange, blockchain exchange, digital ownership, fractional ownership platform, nft platform, nft technology</t>
  </si>
  <si>
    <t>302887-63P</t>
  </si>
  <si>
    <t>Loren Mahler</t>
  </si>
  <si>
    <t>Ms. Loren Mahler served as Chief Executive Officer and Strategic Advisor at Jupiter Exchange.</t>
  </si>
  <si>
    <t>Georgetown University, Master's, Communications and Public Policy, Princeton University, Degree, Sociology and Latin American Studies</t>
  </si>
  <si>
    <t>White Hilt Capital</t>
  </si>
  <si>
    <t>10022</t>
  </si>
  <si>
    <t>www.jupiterexchange.com</t>
  </si>
  <si>
    <t>187568-29T</t>
  </si>
  <si>
    <t>Kahilla</t>
  </si>
  <si>
    <t>490952-53</t>
  </si>
  <si>
    <t>Bread &amp; Butter Ventures(Mary Grove), Matchstick Ventures(Nathaniel Zola), Varsity Financial Group</t>
  </si>
  <si>
    <t>Bread &amp; Butter Ventures (www.breadandbutterventures.com), Matchstick Ventures (www.matchstick.vc), Varsity Financial Group (thevarsityfinancialgroup.com)</t>
  </si>
  <si>
    <t>Developer of a digital platform intended to provide equitable access to effective leadership development. The company's platform provides a supportive community for ambitious women by combining best-in-class, diverse coaches and curated content, helping members become more confident and informed, enabling companies to increase their profitability while achieving equity and transformational behavior change through leadership development.</t>
  </si>
  <si>
    <t>The company raised $1.90 million of seed funding in a deal led by Matchstick Ventures and Bread &amp; Butter Ventures on January 12, 2022, putting the company's pre-money valuation at $3 million. Varsity Financial Group also participated in the round.</t>
  </si>
  <si>
    <t>Consulting Services (B2B)</t>
  </si>
  <si>
    <t>Application Software, Consulting Services (B2B)*, Educational and Training Services (B2C)</t>
  </si>
  <si>
    <t>Industrials, TMT</t>
  </si>
  <si>
    <t>achieving equity, effective leadership, leadership development, leadership development platform, leadership development service, leadership development solutions</t>
  </si>
  <si>
    <t>289697-41P</t>
  </si>
  <si>
    <t>Kimberly Havens</t>
  </si>
  <si>
    <t>+1 (415) 513-2896</t>
  </si>
  <si>
    <t>kim@kahilla.com</t>
  </si>
  <si>
    <t>Ms. Kimberly Havens is a Co-Founder and serves as Co-Chief Executive Officer, Co-President and Board Member at Kahilla.</t>
  </si>
  <si>
    <t>Middlebury College, BA (Bachelor of Arts) Honors, 1999, Environmental Studies</t>
  </si>
  <si>
    <t>Bread &amp; Butter Ventures, Matchstick Ventures, Varsity Financial Group</t>
  </si>
  <si>
    <t>Bread &amp; Butter Ventures(Mary Grove), Matchstick Ventures(Nathaniel Zola)</t>
  </si>
  <si>
    <t>Bread &amp; Butter Ventures Fund III(Bread &amp; Butter Ventures), Matchstick Ventures Fund III(Matchstick Ventures)</t>
  </si>
  <si>
    <t>Fredrikson (Legal Advisor to Matchstick Ventures)</t>
  </si>
  <si>
    <t>Ketchum, ID</t>
  </si>
  <si>
    <t>Ketchum</t>
  </si>
  <si>
    <t>83340</t>
  </si>
  <si>
    <t>www.kahilla.com</t>
  </si>
  <si>
    <t>167525-92T</t>
  </si>
  <si>
    <t>Kai XR</t>
  </si>
  <si>
    <t>300240-28</t>
  </si>
  <si>
    <t>Coralus, Ethan Monreal-Jackson(Ethan Monreal-Jackson), Kapor Capital, Pipeline Angels(Jasmyn Pizzimbono), Scout Fund</t>
  </si>
  <si>
    <t>Coralus (coralus.world), Kapor Capital (www.kaporcapital.com), Pipeline Angels (www.pipelineangels.com), Scout Fund (www.scoutfund.com)</t>
  </si>
  <si>
    <t>Operator of a virtual reality platform designed to create inclusive and accessible mixed-reality spaces. The company's platform leverages virtual reality to deliver culturally relevant learning opportunities, enabling users to create inclusive virtual reality classrooms and field trips for kids.</t>
  </si>
  <si>
    <t>The company graduated gener8tor as part of its Bronze Valley Investment Accelerator Spring 2024 on April 26, 2024 and received funding.</t>
  </si>
  <si>
    <t>Augmented Reality, EdTech, Virtual Reality</t>
  </si>
  <si>
    <t>digital divide, digital learning platform, education app, education services, learning resources, virtual reality education platform</t>
  </si>
  <si>
    <t>211174-93P</t>
  </si>
  <si>
    <t>Kai Frazier</t>
  </si>
  <si>
    <t>+1 (510) 993-0993</t>
  </si>
  <si>
    <t>kai@kaixr.com</t>
  </si>
  <si>
    <t>Ms. Kai Frazier is the Founder and serves as Chief Executive Officer &amp; Chairman at Kai XR.</t>
  </si>
  <si>
    <t>The company raised $530,000 of pre-seed funding in a deal led by Kapor Capital on June 16, 2021. Scout Fund, Ethan Monreal-Jackson, Pipeline Angels and SheEO also participated in the round.</t>
  </si>
  <si>
    <t>Coralus, Ethan Monreal-Jackson, Kapor Capital, Pipeline Angels, Scout Fund</t>
  </si>
  <si>
    <t>Kapor Capital</t>
  </si>
  <si>
    <t>Kapor Capital Fund III(Kapor Capital)</t>
  </si>
  <si>
    <t>www.kaixr.com</t>
  </si>
  <si>
    <t>208019-35T</t>
  </si>
  <si>
    <t>Kalder</t>
  </si>
  <si>
    <t>513047-89</t>
  </si>
  <si>
    <t>8VC, Accel, Alyssa Fanelli, e2vc, Eclipse Laboratories, Formus Capital, Human Capital, INDIGO Fund, Irene Wu(Irene Wu), Meltem Demirors(Meltem Demirors), Metamatic Group, Paribu Ventures, Sara Du(Sara Du), Soma Capital, Sunflower Fund (Miami), William Papper(William Papper), YADAY</t>
  </si>
  <si>
    <t>8VC (www.8vc.com), Accel (www.accel.com), e2vc (www.e2.vc), Eclipse Laboratories (www.eclipselaboratories.com), Formus Capital (www.formuscap.com), Human Capital (www.human.capital), INDIGO Fund (www.indigo.fund), Metamatic Group (www.metamatic.co), Paribu Ventures (ventures.paribu.com), Soma Capital (somacap.com), Sunflower Fund (Miami) (www.picksunflowers.com), YADAY (www.yaday.vc)</t>
  </si>
  <si>
    <t>Developer of unified network platform intended to offer co-branded cards and loyalty rewards for leading brands, sports teams, and retailers. The company's platform provides customer relationship management to power collaborations, launch advocacy campaigns to turn customers into influencers, create exclusive tiers, track in-person and online engagement data, and reward customers on-chain, enabling brands to increase their customer engagement and business growth efficiently.</t>
  </si>
  <si>
    <t>The company raised $10.5 million of seed funding in a deal led by Javelin Venture Partners on November 19, 2024. 8VC and 7 other investors also participated in the round. The funds will be used to expand operations and the company's development efforts.</t>
  </si>
  <si>
    <t>FinTech, Marketing Tech, SaaS</t>
  </si>
  <si>
    <t>business model, customer loyalty and reward, fintech saas, loyalty rewards service, payment acceptance application, rewards data, shopping cashbacks</t>
  </si>
  <si>
    <t>323034-94P</t>
  </si>
  <si>
    <t>Gökçe Güven</t>
  </si>
  <si>
    <t>+1 (929) 600-7081</t>
  </si>
  <si>
    <t>gokce@kalder.xyz</t>
  </si>
  <si>
    <t>Ms. Gökçe Güven is the Founder and serves as Chief Executive Officer at Kalder.</t>
  </si>
  <si>
    <t>The company raised $3 million of pre-seed funding led by 500 Global on November 9, 2022. Eclipse Laboratories, Accel, 8VC, Human Capital, Soma Capital, Metamatic Group, Paribu Ventures, Formus Capital, Sunflower Fund, Irene Wu, Meltem Demirors, Alyssa Fanelli, Sara Du, Will Papper, YADAY, and INDIGO Fund also participated in the round.</t>
  </si>
  <si>
    <t>8VC, Accel, Alyssa Fanelli, e2vc, Eclipse Laboratories, Formus Capital, Human Capital, INDIGO Fund, Irene Wu, Meltem Demirors, Metamatic Group, Paribu Ventures, Sara Du, Soma Capital, Sunflower Fund (Miami), William Papper, YADAY</t>
  </si>
  <si>
    <t>500 Emerging Europe fund II(e2vc), 8VC Entrepreneurs Fund IV(8VC), Accel XV(Accel), NTV II(Human Capital), Soma Capital Fund III(Soma Capital)</t>
  </si>
  <si>
    <t>www.kalder.co</t>
  </si>
  <si>
    <t>188461-72T</t>
  </si>
  <si>
    <t>Kale</t>
  </si>
  <si>
    <t>491455-00</t>
  </si>
  <si>
    <t>Forerunner Ventures, Pear (California)</t>
  </si>
  <si>
    <t>Forerunner Ventures (www.forerunnerventures.com), Pear (California) (www.pear.vc)</t>
  </si>
  <si>
    <t>Developer of media platform designed to empower creators to translate their social value into economic value. The company offers an algorithm that identifies brands' super fans, based on their purchasing history and their social activity, and pays these customers directly for posting about them, enabling brands to connect with its loyal customers and rewards creators.</t>
  </si>
  <si>
    <t>The company raised $3.75 million of seed funding from Pear and Forerunner Ventures on October 16, 2021.</t>
  </si>
  <si>
    <t>branding value, content creator, creators economy, creators platform, marketing solutions, marketing technology</t>
  </si>
  <si>
    <t>291412-72P</t>
  </si>
  <si>
    <t>Isha Patel</t>
  </si>
  <si>
    <t>isha@kalecard.com</t>
  </si>
  <si>
    <t>Ms. Isha Patel is a Co-Founder &amp; serves as Chief Executive Officer at Kale.</t>
  </si>
  <si>
    <t>Forerunner Partners V(Forerunner Ventures), Pear Ventures I Expansion(Pear (California))</t>
  </si>
  <si>
    <t>www.kalecard.com</t>
  </si>
  <si>
    <t>170333-47T</t>
  </si>
  <si>
    <t>Kanary (Network Management Software)</t>
  </si>
  <si>
    <t>461796-67</t>
  </si>
  <si>
    <t>2048 Ventures, Brian Stoner(Brian Stoner), Elizabeth Wessel(Elizabeth Wessel), First Star Ventures(Drew Volpe), Lofty Ventures(Christopher Deutsch), Tom Preston-Werner(Tom Preston-Werner)</t>
  </si>
  <si>
    <t>2048 Ventures (www.2048.vc), First Star Ventures (www.firststar.vc), Lofty Ventures (www.loftyventures.com)</t>
  </si>
  <si>
    <t>Developer of an online privacy platform designed to remove private information once it is discovered. The company's platform actively monitors websites for personal information and removes it from any website that is at risk, enabling individuals to protect their digital identity.</t>
  </si>
  <si>
    <t>The company raised $895,000 of seed funding in a deal led by 2048 Ventures on June 16, 2021. First Star Ventures, Lofty Ventures, Tom Preston-Werner, Liz Wessel and Brian Stoner also participated in the round.</t>
  </si>
  <si>
    <t>Application Software, Network Management Software*</t>
  </si>
  <si>
    <t>data analytics, data compliance, data privacy, data privacy &amp; compliance, data privacy and compliance, data security, email protection, email protection services, information protection, information security, information security service</t>
  </si>
  <si>
    <t>254184-94P</t>
  </si>
  <si>
    <t>Rachel Vrabec</t>
  </si>
  <si>
    <t>rachel@thekanary.com</t>
  </si>
  <si>
    <t>Ms. Rachel Vrabec is the Founder and serves as Chief Executive Officer at Kanary. She attended Northwestern University.</t>
  </si>
  <si>
    <t>Northwestern University, BA (Bachelor of Arts)</t>
  </si>
  <si>
    <t>2048 Ventures, Brian Stoner, Elizabeth Wessel, First Star Ventures, Lofty Ventures, Tom Preston-Werner</t>
  </si>
  <si>
    <t>2048 Ventures</t>
  </si>
  <si>
    <t>First Star Venture Fund II(First Star Ventures)</t>
  </si>
  <si>
    <t>60614</t>
  </si>
  <si>
    <t>www.kanary.com</t>
  </si>
  <si>
    <t>274580-83T</t>
  </si>
  <si>
    <t>Karnā</t>
  </si>
  <si>
    <t>690998-05</t>
  </si>
  <si>
    <t>500 Global (500.co)</t>
  </si>
  <si>
    <t>Developer of a deepfake detection artificial intelligence tool intended to bring trust back into online conversations. The company's tool can detect deepfakes in
real time using proprietary enterprise-level risk scores, user pre-authentication, and patented hyperspectral and biometric audio/video algorithms, enabling
businesses to protect their business conversations by detecting and stopping deepfakes infiltration.</t>
  </si>
  <si>
    <t>The company raised $400,000 of seed funding in a combination of convertible debt and SAFE notes from 500 Global and other undisclosed investors on August 5, 2024</t>
  </si>
  <si>
    <t>biometric algorithm, cyber support, cybersecurity ai, deepfake detection, detection tool, privacy protection, threat detection</t>
  </si>
  <si>
    <t>Pre-venture, Venture Capital</t>
  </si>
  <si>
    <t>249301-72P</t>
  </si>
  <si>
    <t>Rajashree Baskaran</t>
  </si>
  <si>
    <t>+1 (971) 214-6466</t>
  </si>
  <si>
    <t>Ms. Rajashree Baskaran is a Co-Founder and serves as Chief Executive Officer, President &amp; Board Member at Karnā. She serves as a Venture Partner at Social Impact Capital. She is the Principal of Raji Baskaran LLC, which delivers IOT and sensor-enabled systems solutions from hardware to machine learning and services layers. She is an Advisor to emerging high-growth startups and investors in Europe, Asia, and the US - focusing on sensor fusion, IOT, AI Acceleration, and AgTech. Previously, She spent 15 years at Intel Corporation, where she led sophisticated engineering efforts as Principal Engineer and Director of Sensor Solutions and, subsequently, the Director, Pathfinding Lead, Hardware, and Software Co-Optimization. She is the inventor of 35+ patents, author of 25+ refereed publications, Hall of Fames Inductee at the 2017 SEMI MEMS and Sensors Industry Group, and a frequent panelist and keynote speaker at industry events. She holds an MS, in MEMS Microelectromechanical Systems from Cornell and a Ph.D. from UC Santa Barbara.</t>
  </si>
  <si>
    <t>Cornell University, MS (Master of Science), MEMS, Indian Institute of Technology, Madras, Bachelor's, University of California, Santa Barbara, Ph.D. (Doctor of Philosophy)</t>
  </si>
  <si>
    <t>97214</t>
  </si>
  <si>
    <t>www.projectkarna.com</t>
  </si>
  <si>
    <t>189409-69T</t>
  </si>
  <si>
    <t>Khyria</t>
  </si>
  <si>
    <t>492741-64</t>
  </si>
  <si>
    <t>R/GA Ventures, Velocity Partner</t>
  </si>
  <si>
    <t>R/GA Ventures (ventures.rga.com), Velocity Partner (www.velocitypartners.vc)</t>
  </si>
  <si>
    <t>Developer of a digital health platform designed to empower women in midlife and beyond to rule their bodies and life. The company's platform employs proprietary algorithms, continuous objective, and user-generated data, enabling women to gain a better understanding of their bodies while empowering them, enabling women to manage their personal health and wellness.</t>
  </si>
  <si>
    <t>The company raised $750,000 of venture funding from Velocity Partner and R/GA Ventures on December 21, 2021.</t>
  </si>
  <si>
    <t>Application Software, Clinics/Outpatient Services, Information Services (B2C)*, Other Services (B2C Non-Financial)</t>
  </si>
  <si>
    <t>Digital Health, FemTech, LOHAS &amp; Wellness, Mobile</t>
  </si>
  <si>
    <t>health tracker app, personal health app, women empowering platform, women empowerment, women engagement, women health</t>
  </si>
  <si>
    <t>240759-37P</t>
  </si>
  <si>
    <t>Maria Arvanitidou</t>
  </si>
  <si>
    <t>Ms. Maria Arvanitidou co-founded and served as Advisor at Chronicles. She is a Co-Founder and serves as Chief Executive Officer at Khyria. She co-founded The Sanguine Lab. Previously, she served as advisor at Sentio Solutions. She has 10 years of experience in the healthcare industry including as Director of Population Health for Optum International at UHG with responsibility for product &amp; solutions, project delivery, and strategic growth planning across several geographies and as a Managing Consultant at Deloitte's strategy practice, advising health systems, payers, governments, innovators, and hospitals. She holds an MPharm and an MSc in Health Policy &amp; Economics from LSE and LSHTM.</t>
  </si>
  <si>
    <t>London School of Economics and Political Science, M.Pharm (Master of Pharmacy), Health Economics, Management and Policy, London School of Hygiene and Tropical Medicine, MS (Master of Science), Health Economics, Management and Policy</t>
  </si>
  <si>
    <t>Dover, DE</t>
  </si>
  <si>
    <t>Dover</t>
  </si>
  <si>
    <t>19901</t>
  </si>
  <si>
    <t>www.khyria.com</t>
  </si>
  <si>
    <t>247295-08T</t>
  </si>
  <si>
    <t>Kidsy</t>
  </si>
  <si>
    <t>535158-37</t>
  </si>
  <si>
    <t>Everywhere Ventures, Hustle Fund, Impellent Ventures(David Brown), Jason Robins(Jason Robins), Jennifer Fleiss(Jennifer Fleiss), Mike Salguero(Mike Salguero), Reilly Brennan(Reilly Brennan), Responsibly Ventures, Sanuk Tandon(Sanuk Tandon), Y Combinator</t>
  </si>
  <si>
    <t>Everywhere Ventures (everywhere.vc), Hustle Fund (www.hustlefund.vc), Impellent Ventures (www.impellent.vc), Responsibly Ventures (www.responsibly.vc), Y Combinator (www.ycombinator.com)</t>
  </si>
  <si>
    <t>Operator of an off-price, e-commerce company intended to sell liquidated baby and kid's items from leading brands and retailers. The company's platform offers a wide range of baby products including toys, car seats, strollers, beds, and infant gear, enabling parents to get the necessary products for their children at deep discounts.</t>
  </si>
  <si>
    <t>The company raised $1 million of pre-seed funding in a deal led by Impellent Ventures on March 28, 2024. Everywhere Ventures and 8 other investors also participated in the round. The funds will be used to provide discounted kids products and drive sustainability.</t>
  </si>
  <si>
    <t>Application Software, Media and Information Services (B2B), Other Services (B2C Non-Financial)*</t>
  </si>
  <si>
    <t>baby product firm, baby product platform, baby product retail, baby products seller, ecommerce retailer, online marketplace firm, online marketplace service</t>
  </si>
  <si>
    <t>364111-03P</t>
  </si>
  <si>
    <t>Shraysi Tandon</t>
  </si>
  <si>
    <t>+1 (312) 964-8348</t>
  </si>
  <si>
    <t>shraysi@kidsy.co</t>
  </si>
  <si>
    <t>Ms. Shraysi Tandon is a Co-Founder and serves as Chief Executive Officer at Kidsy. She is a former business journalist and news anchor who worked at Bloomberg TV and ABC News.</t>
  </si>
  <si>
    <t>The company raised $1 million of pre-seed funding in a deal led by Impellent Ventures on March 28, 2024. Everywhere Ventures, Responsibly Ventures, Hustle Fund, Y Combinator, Sanuk Tandon, Reilly Brennan, Mike Salguero, Jason Robins and Jenny Fleiss also participated in the round. The funds will be used to provide discounted kids products and drive sustainability.</t>
  </si>
  <si>
    <t>Everywhere Ventures, Hustle Fund, Impellent Ventures, Jason Robins, Jennifer Fleiss, Mike Salguero, Reilly Brennan, Responsibly Ventures, Sanuk Tandon, Y Combinator</t>
  </si>
  <si>
    <t>Impellent Ventures(David Brown)</t>
  </si>
  <si>
    <t>Everywhere Ventures II(Everywhere Ventures), Hustle Fund III(Hustle Fund), Impellent Ventures II(Impellent Ventures)</t>
  </si>
  <si>
    <t>www.kidsy.co</t>
  </si>
  <si>
    <t>140986-27T</t>
  </si>
  <si>
    <t>Kikoff</t>
  </si>
  <si>
    <t>434261-17</t>
  </si>
  <si>
    <t>Abstract Ventures, Coatue Management, Core Innovation Capital, Female Founders Fund, Foundation Capital, Lightspeed Venture Partners(Ansaf Kareem), Notable Capital(Hans Tung)</t>
  </si>
  <si>
    <t>Abstract Ventures (abstract.vc), Coatue Management (www.coatue.com), Core Innovation Capital (www.corevc.com), Female Founders Fund (www.femalefoundersfund.com), Foundation Capital (www.foundationcapital.com), Lightspeed Venture Partners (www.lsvp.com), Notable Capital (notablecap.com)</t>
  </si>
  <si>
    <t>Developer of a personal finance platform designed to maximize credit. The company's platform offers tools to demonstrate creditworthiness without the need for a bank account, card, or credit score and offers loans to kick off payment history to start building credit, enabling users to get a fair, effective, and simple pathway to meet their financial goals.</t>
  </si>
  <si>
    <t>The company raised $30 million of venture funding in a deal led by GGV Capital on June 10, 2021, putting the company's pre-money valuation at $145 million. Portage Ventures, and 6 other investors also participated in the round. Previously, the company raised $12.5 million of Series A venture funding from Coatue Management, Female Founders Fund and Core Innovation Capital on July 21, 2020, putting the company's pre-money valuation at $30 million. Abstract Ventures and 3 other investors also participated in the round.</t>
  </si>
  <si>
    <t>Consumer Finance, Financial Software*, Other Financial Services</t>
  </si>
  <si>
    <t>credit worthiness, creditworthiness evaluation, financial credit, financial system, financial tool, fintech company, personal financial management, wealthtech</t>
  </si>
  <si>
    <t>61071-04P</t>
  </si>
  <si>
    <t>Cynthia Chen</t>
  </si>
  <si>
    <t>+1 (415) 361-4040</t>
  </si>
  <si>
    <t>cynthia@kikoff.com</t>
  </si>
  <si>
    <t>Ms. Cynthia Chen is a Co-Founder and serves as Chief Executive Officer at Kikoff. She is a Co-Founder and also serves as Chief Revenue Officer at Figure Technologies. ShePreviously, she served as Chief Risk Officer at LendingHome. She was Head of Risk at On Deck (NYSE: ONDK). Before that she held major leadership roles at CapitalOne and Deloitte. She also serves as advisory or venture partner in several VC firms. Ms. Chen holds a Master degree in Mathematics of Finance and a Bachelor degree of Economics &amp; Operations from Columbia University.</t>
  </si>
  <si>
    <t>Columbia University, Bachelor's, Economics and Operations Research, Columbia University, Master's, Mathematics and Finance</t>
  </si>
  <si>
    <t>The company raised $12.5 million of Series A venture funding from Coatue Management, Female Founders Fund and Core Innovation Capital on July 21, 2020, putting the company's pre-money valuation at $30 million. Abstract Ventures, Lightspeed Venture Partners, Foundation Capital and GGV Capital US also participated in the round.</t>
  </si>
  <si>
    <t>Abstract Ventures, Coatue Management, Core Innovation Capital, Female Founders Fund, Foundation Capital, Lightspeed Venture Partners, Notable Capital</t>
  </si>
  <si>
    <t>Abstract Ventures Fund I(Abstract Ventures), Core Innovation Capital II(Core Innovation Capital), Female Founders Fund II(Female Founders Fund), Foundation Capital VII(Foundation Capital), GGV Discovery Fund II(Notable Capital), Lightspeed Venture Partners XI(Lightspeed Venture Partners)</t>
  </si>
  <si>
    <t>Fenwick &amp; West (Legal Advisor to Company, Michael Esquivel JD)</t>
  </si>
  <si>
    <t>www.kikoff.com</t>
  </si>
  <si>
    <t>139503-61T</t>
  </si>
  <si>
    <t>Kindest</t>
  </si>
  <si>
    <t>434171-53</t>
  </si>
  <si>
    <t>Alumni Ventures(Matthew Scott), Basecamp Fund, Ben Lewis(Ben Lewis), Charles Hudson(Charles Hudson), Christina Melas-Kyriazi, Credo Ventures, Daniel Schryer(Daniel Schryer), Jes Wolfe(Jes Wolfe), Kumara Gowrappan, Precursor Ventures, Sean Rad(Sean Rad), Verissimo Ventures</t>
  </si>
  <si>
    <t>Alumni Ventures (www.av.vc), Basecamp Fund (www.basecampfund.com), Charles Hudson (www.charleshudson.net), Credo Ventures (www.credoventures.com), Precursor Ventures (precursorvc.com), Verissimo Ventures (verissimo.vc)</t>
  </si>
  <si>
    <t>Developer of an online fundraising platform designed to power and simplify philanthropic giving. The company's platform allows people to donate money and get involved in activities that benefit important causes for humanity or the local community to bridge the gap between non-profit organizations and donors by creating a social sphere where they all can engage and get recognition, enabling non-profit organizations to elevate their fundraising with easy-to-create donor-friendly pages and essential transaction reports that empower them to engage effectively with their donors.</t>
  </si>
  <si>
    <t>Credo Ventures sold its stake in the company to an undisclosed buyer in November 2023.</t>
  </si>
  <si>
    <t>Business/Productivity Software*, Financial Software, Other Financial Services, Social/Platform Software</t>
  </si>
  <si>
    <t>FinTech, Marketing Tech</t>
  </si>
  <si>
    <t>crowdfunding platform, crowdfunding platform provider, crowdfunding platform service, fundraising app, fundraising platform service, social welfare services</t>
  </si>
  <si>
    <t>55186-57P</t>
  </si>
  <si>
    <t>Denise Wang-Kline</t>
  </si>
  <si>
    <t>+1 (415) 320-2288</t>
  </si>
  <si>
    <t>denise@kindest.com</t>
  </si>
  <si>
    <t>Ms. Denise Wang-Kline serves as Chief Executive Officer at Kindest. She serves as Vice President, Development at Boys &amp; Girls Clubs of San Francisco Endowment Trust. As a member of BGCSF's Executive Team, Denise works closely with President Rob Connolly and the senior team to create strategic initiatives and partnerships for the organization. Previously, Denise worked as Director of Development for Bridge the Gap College Prep, where she was responsible for building the organization's Development Department, which included developing its major gifts strategy and creating a sustainable annual fundraising event. Prior to that, she was a Trustee at Marin Country Day School and The Urban School of San Francisco, where she served on the Capital Campaigns of both schools and chaired the Development Committee for The Urban School of SF. Denise received a Bachelor of Science degree in Hotel &amp; Restaurant Administration from Florida State University. Denise currently serves on the Board of the San Francisco Education Fund and is chairwoman of the Development Committee and member of the Board Governance Committee.</t>
  </si>
  <si>
    <t>Florida State University, Tallahassee, BS (Bachelor of Science), 1984, Hotel and Restaurant Administration</t>
  </si>
  <si>
    <t>The company raised $2.25 million of seed funding in a deal led by Precursor Ventures and Credo Ventures on July 1, 2020, putting the company's pre-money valuation at $5.5 million. Basecamp Fund, Verissimo Ventures, Alumni Ventures, Sean Rad, Dan Schryer, Ben Lewis, Christina Melas-Kyriazi, Jes Wolfe, Charles Hudson and Guru Gowrapppan also participated in the round.</t>
  </si>
  <si>
    <t>Alumni Ventures, Basecamp Fund, Ben Lewis, Charles Hudson, Christina Melas-Kyriazi, Credo Ventures, Daniel Schryer, Jes Wolfe, Kumara Gowrappan, Precursor Ventures, Sean Rad, Verissimo Ventures</t>
  </si>
  <si>
    <t>Credo Ventures, Precursor Ventures</t>
  </si>
  <si>
    <t>AVG Basecamp 2020(Basecamp Fund), AVG Select Fund(Alumni Ventures), AVG Women's Fund(Alumni Ventures), Credo Stage II(Credo Ventures), Precursor Ventures III(Precursor Ventures), Verissimo Ventures Fund 1(Verissimo Ventures)</t>
  </si>
  <si>
    <t>Cytowski &amp; Partners (Legal Advisor to Credo Ventures, Tytus Cytowski JD)</t>
  </si>
  <si>
    <t>Tiburon, CA</t>
  </si>
  <si>
    <t>Tiburon</t>
  </si>
  <si>
    <t>94920</t>
  </si>
  <si>
    <t>www.kindest.com</t>
  </si>
  <si>
    <t>203349-52T</t>
  </si>
  <si>
    <t>Kloopify</t>
  </si>
  <si>
    <t>492763-78</t>
  </si>
  <si>
    <t>Black Tech Nation Ventures, Everywhere Ventures, Hypothesis Studio, Innovation Works, KohFounders</t>
  </si>
  <si>
    <t>Black Tech Nation Ventures (www.btn.vc), Everywhere Ventures (everywhere.vc), Hypothesis Studio (www.hypothesis.studio), Innovation Works (www.innovationworks.org), KohFounders (www.kohfounders.com)</t>
  </si>
  <si>
    <t>Developer of a holistic platform designed to track, reduce, and report the supply chain's global carbon footprint. The company's platform revolutionizes procurement measures, reports, and understands their environmental emissions from a holistic overview across the enterprise down to a single category, enabling organizations to achieve their sustainability goals.</t>
  </si>
  <si>
    <t>The company raised $1.5 million of seed funding in a deal led by Black Tech Nation Ventures on November 11, 2022, putting the company's pre-money valuation at $5 million. Everywhere Ventures, Hypothesis Studio, Innovation Works, and KohFounders also participated in the round.</t>
  </si>
  <si>
    <t>CleanTech, Climate Tech, LOHAS &amp; Wellness</t>
  </si>
  <si>
    <t>carbon accounting, carbon analytics, carbon tech, carbon technology, environmental impact, holistic platform, purchasing process, suppliers' sustainability, sustainability performance, sustainable procurement</t>
  </si>
  <si>
    <t>293594-41P</t>
  </si>
  <si>
    <t>Daniela Osio</t>
  </si>
  <si>
    <t>daniela@kloopify.com</t>
  </si>
  <si>
    <t>Ms. Daniela Osio is a Co-Founder and serves as Chief Executive Officer at Kloopify.</t>
  </si>
  <si>
    <t>Black Tech Nation Ventures</t>
  </si>
  <si>
    <t>Black Tech Nation Ventures 1(Black Tech Nation Ventures), Hypothesis Studio I(Hypothesis Studio), Innovation Investment Fund(Innovation Works)</t>
  </si>
  <si>
    <t>www.kloopify.com</t>
  </si>
  <si>
    <t>164479-15T</t>
  </si>
  <si>
    <t>Knac</t>
  </si>
  <si>
    <t>223652-62</t>
  </si>
  <si>
    <t>Chloe Capital, Daniel Chait(Daniel Chait), Right Side Capital Management</t>
  </si>
  <si>
    <t>Chloe Capital (www.chloecapital.com), Right Side Capital Management (www.rightsidecapital.com)</t>
  </si>
  <si>
    <t>Operator of a recruitment platform intended to track and manage applicants. The company's platform uses data to remove bias in the application process while improving the candidate experience, enabling businesses to engage, attract, hire, and retain diverse talent and candidates to develop their careers.</t>
  </si>
  <si>
    <t>The company joined Advanced Technology Development Center on an undisclosed date.</t>
  </si>
  <si>
    <t>applicant tracking software, hiring needs, interviewing platform, recruiting platform, recruitment software, recruitment tech, screening platform</t>
  </si>
  <si>
    <t>176990-05P</t>
  </si>
  <si>
    <t>Ariel Lopez</t>
  </si>
  <si>
    <t>+1 (347) 264-6533</t>
  </si>
  <si>
    <t>ariel@knac.io</t>
  </si>
  <si>
    <t>Ms. Ariel Lopez is a Co-Founder &amp; serves as Chief Executive Officer at Knac. She is a former tech recruiter turned career coach and now entrepreneur that's deeply passionate about the future of work and making the job search more humane. With over a decade of recruiting experience, She had the privilege to help some of the biggest brands in the world build great teams. She worked with thousands of marketing, advertising, and tech professionals to help them grow in their careers and find lucrative opportunities.</t>
  </si>
  <si>
    <t>The company raised $500,000 of venture funding from Right Side Capital Management, Chloe Capital and Daniel Chait in 2020.</t>
  </si>
  <si>
    <t>Chloe Capital, Daniel Chait, Right Side Capital Management</t>
  </si>
  <si>
    <t>Chloe Capital Fund I(Chloe Capital), RSCM Fund IV(Right Side Capital Management)</t>
  </si>
  <si>
    <t>30303</t>
  </si>
  <si>
    <t>www.knac.io</t>
  </si>
  <si>
    <t>257227-12T</t>
  </si>
  <si>
    <t>Knomee</t>
  </si>
  <si>
    <t>528259-15</t>
  </si>
  <si>
    <t>Audaz Capital(Ebetuel Pallares)</t>
  </si>
  <si>
    <t>Audaz Capital (www.audaz.capital)</t>
  </si>
  <si>
    <t>Operator of a wealth management platform intended to support users with the right financial decisions. The company's platform develops, documents, and manages financial identity to surface information at the right time by empowering personal financial authenticity, enabling users to understand and manage their financial wealth.</t>
  </si>
  <si>
    <t>The company raised $500,000 of venture funding from Audaz Capital and other undisclosed investors on April 10, 2024, putting the company's pre-money valuation at $4.5 million.</t>
  </si>
  <si>
    <t>financial decisions making, financial identity compliance, financial knowledge, financial services, fintech platform, fintech platform developer</t>
  </si>
  <si>
    <t>348848-11P</t>
  </si>
  <si>
    <t>Marla Sofer</t>
  </si>
  <si>
    <t>msofer@knomeeapp.com</t>
  </si>
  <si>
    <t>Ms. Marla Sofer serves is the Founder and serves as Chief Executive Officer at Knomee.</t>
  </si>
  <si>
    <t>Audaz Capital</t>
  </si>
  <si>
    <t>Audaz Capital Fund I(Audaz Capital)</t>
  </si>
  <si>
    <t>www.knomee.com</t>
  </si>
  <si>
    <t>209061-28T</t>
  </si>
  <si>
    <t>Knowtex</t>
  </si>
  <si>
    <t>502720-12</t>
  </si>
  <si>
    <t>CapitalX, DG Daiwa Ventures, Exceptional Capital, Fundament, Oasis Capital (United States), Pioneer Fund, Soma Capital, South Miami Capital, StartX (US), Team Ignite Ventures, Y Combinator</t>
  </si>
  <si>
    <t>CapitalX (www.capitalx.company), DG Daiwa Ventures (www.dg-daiwa-v.com), Exceptional Capital (www.exceptionalcap.com), Fundament (www.fundament.gg), Oasis Capital (United States) (oasiscap.vc), Pioneer Fund (www.pioneerfund.vc), Soma Capital (somacap.com), South Miami Capital (www.somicap.com), StartX (US) (web.startx.com), Team Ignite Ventures (www.teamignite.ventures), Y Combinator (www.ycombinator.com)</t>
  </si>
  <si>
    <t>The company's platform leverages AI (artificial intelligence) and voice technology to capture conversations, analyze them to identify relevant medical information, and create detailed visit notes with billing code suggestions and order entry, enabling healthcare professionals to automate administrative work.</t>
  </si>
  <si>
    <t>The company joined Endless Frontier Labs as a part of 2023-2024 in 2024. Previously, the company joined Texas Medical Center as a part of TMCi Healthtech Accelerator in 2024. Prior to that, the company joined AWS Startups on an undisclosed date.</t>
  </si>
  <si>
    <t>Business/Productivity Software*, Other Healthcare Technology Systems</t>
  </si>
  <si>
    <t>artificial intelligence, coding and billing services, documentation automation, documentation services, enablement platform, health technology product, machine learning, medical assistant, operational efficiency, voice</t>
  </si>
  <si>
    <t>310134-07P</t>
  </si>
  <si>
    <t>Caroline Zhang</t>
  </si>
  <si>
    <t>caroline@knowtex.ai</t>
  </si>
  <si>
    <t>Ms. Caroline Zhang is a Co-Founder and serves as Chief Executive Officer at Knowtex. She worked in biomedical research at the Salk Institute of Biological Studies, investment banking at Morgan Stanley, and software engineering at a global telecommunications company. She graduated from Stanford University with her master's degree in Computer Science (concentration in AI), and an undergraduate degree in Economics with a minor in International Relations</t>
  </si>
  <si>
    <t>Stanford University, Bachelor's, Economics, Stanford University, Master's, Computer Science</t>
  </si>
  <si>
    <t>The company raised $2 million of venture funding from Soma Capital, Oasis Capital, and Exceptional Capital on October 13, 2022, putting the company's pre-money valuation at $18 million. StartX, DG Daiwa Ventures, CapitalX, Fundament, South Miami Capital, Team Ignite Ventures, Pioneer Fund, and Y Combinator also participated in the round.</t>
  </si>
  <si>
    <t>CapitalX, DG Daiwa Ventures, Exceptional Capital, Fundament, Oasis Capital (United States), Pioneer Fund, Soma Capital, South Miami Capital, StartX (US), Team Ignite Ventures</t>
  </si>
  <si>
    <t>DG Lab Fund II(DG Daiwa Ventures), Pioneer Alumni Fund 2022(Pioneer Fund), Pioneer Fund II(Pioneer Fund)</t>
  </si>
  <si>
    <t>www.knowtex.ai</t>
  </si>
  <si>
    <t>241906-06T</t>
  </si>
  <si>
    <t>Kobalt Labs</t>
  </si>
  <si>
    <t>533004-40</t>
  </si>
  <si>
    <t>8vdX, Ali Rowghani(Ali Rowghani), Andreessen Horowitz, Benjamin Bryant(Benjamin Bryant), Christopher Golda(Christopher Golda), Coughdrop Capital, Eric Migicovsky(Eric Migicovsky), GoodFinch, Hatcher+, Justin Berka(Justin Berka), Kevin Moore(Kevin Moore), Mitali Pattnaik(Mitali Pattnaik), OneValley Ventures, Orange Collective, Pioneer Fund, Roosh Ventures, Samvit Ramadurgam(Samvit Ramadurgam), TD Epoch, Y Combinator</t>
  </si>
  <si>
    <t>8vdX (www.8vdx.com), Andreessen Horowitz (www.a16z.com), Christopher Golda (christophergolda.com), Coughdrop Capital (www.coughdropcapital.com), GoodFinch (www.goodfinch.com), Hatcher+ (hq.hatcher.com), Kevin Moore (www.agileangel.com), OneValley Ventures (onevalleyventures.com), Orange Collective (www.orangecollective.vc), Pioneer Fund (www.pioneerfund.vc), Roosh Ventures (www.roosh.vc), TD Epoch (www.eipny.com), Y Combinator (www.ycombinator.com)</t>
  </si>
  <si>
    <t>Developer of data protection platform designed to make large language models private and secure. The company's platform leverages AI (artificial intelligence)-powered privacy operations tooling to help simplify the process of tracking privacy requirements through the entire product lifecycle (from design to delivery and reporting) and auto-suggests custom engineering solutions to mitigate any surfaced risks based on historical company architecture and privacy reporting, enabling businesses to protect their data from unauthorized access.</t>
  </si>
  <si>
    <t>The company raised $1.53 million of seed funding from 8vdX, Pioneer Fund and Coughdrop Capital on October 1, 2023, putting the company's pre-money valuation at $16.47 million. OneValley Ventures, Andreessen Horowitz, Roosh Ventures, Hatcher+, Y Combinator, Kevin Moore, Mitali Pattnaik, Yan Michalevsky, Arun Saigal, Justin Berka, Zi Liu, Christopher Golda, Benjamin Bryant, Eric Migicovsky, Samvit Ramadurgam, Ali Rowghani, GoodFinch, TD Epoch and Orange Collective also participated in the round.</t>
  </si>
  <si>
    <t>ai cores, ai protection, application security, artificial intelligence, compliance data, compliance policy, data privacy, data protection, data security, generative ai, generative ai solution, privacy review, sensitive data</t>
  </si>
  <si>
    <t>358550-20P</t>
  </si>
  <si>
    <t>Kalyani Ramadurgam</t>
  </si>
  <si>
    <t>Ms. Kalyani Ramadurgam is a Co-Founder &amp; serves as Chief Executive Officer at Kobalt Labs. She previously conducted AI research at Stanford, built financial security products at Apple, and built health data analysis tools used by governments of 13 countries at Zenysis. She graduated from Stanford with her MS in Computer Science (concentration in AI), and her BS in Computer Science (AI) with a minor in Human Rights.</t>
  </si>
  <si>
    <t>BS (Bachelor of Science), Computer Science / AI, MS (Master of Science), Computer Science / AI, Stanford University, Graduate</t>
  </si>
  <si>
    <t>8vdX, Ali Rowghani, Andreessen Horowitz, Benjamin Bryant, Christopher Golda, Coughdrop Capital, Eric Migicovsky, GoodFinch, Hatcher+, Justin Berka, Kevin Moore, Mitali Pattnaik, OneValley Ventures, Orange Collective, Pioneer Fund, Roosh Ventures, Samvit Ramadurgam, TD Epoch</t>
  </si>
  <si>
    <t>a16z Scout Fund(Andreessen Horowitz), Pioneer Fund II(Pioneer Fund)</t>
  </si>
  <si>
    <t>www.kobaltlabs.com</t>
  </si>
  <si>
    <t>161129-71T</t>
  </si>
  <si>
    <t>Koda Health</t>
  </si>
  <si>
    <t>439419-25</t>
  </si>
  <si>
    <t>CRCM Ventures, Matt Miller(Matt Miller), Techstars</t>
  </si>
  <si>
    <t>CRCM Ventures (www.crcmventures.com), Techstars (www.techstars.com)</t>
  </si>
  <si>
    <t>Developer of a digital care-planning platform designed to streamline and digitize conversations with patients about medical care preferences. The company's platform uses artificial intelligence to ask patients questions about their quality of life preferences, power of attorney to make healthcare decisions and emergency contacts that can be shared with doctors, attorneys and loved ones, enabling healthcare providers to have access to the information they need to know when patients are unable to make decisions for themselves in a clinical setting.</t>
  </si>
  <si>
    <t>The company raised an undisclosed amount of seed funding in a deal led by Ecliptic Capital on May 28, 2024. Memorial Hermann Foundation, AARP and Texas Medical Center also participated in the round. The funds will be used to maintain the quality that our clients expect at new and unprecedented scales.</t>
  </si>
  <si>
    <t>Application Software, Enterprise Systems (Healthcare)*</t>
  </si>
  <si>
    <t>care planning management, care planning platform, medical care service, medical intervention software, patient education company, patient education platform, patient education service</t>
  </si>
  <si>
    <t>241857-46P</t>
  </si>
  <si>
    <t>Tatiana Fofanova</t>
  </si>
  <si>
    <t>+1 (469) 583-0533</t>
  </si>
  <si>
    <t>tatianaf@kodahealthcare.com</t>
  </si>
  <si>
    <t>Dr. Tatiana Fofanova is a Co-Founder &amp; serves as Chief Executive Officer at Koda Health. Dr. Fofanova earned her Doctorate in Molecular Medicine at Baylor College of Medicine in Houston, Texas. In addition to her experience in clinical research, she has been a long-time educator and advocate for vulnerable communities throughout Houston. She also dedicated four years to conducting clinical research in a population with incurable diseases at Texas Children's Hospital, which included the legally complex aspects around the issue of medical consent. Her deeply rooted passion for equity in healthcare led Dr. Fofanova to co-found Koda in the spring of 2020.</t>
  </si>
  <si>
    <t>Baylor College of Medicine, Ph.D. (Doctor of Philosophy), Molecular Medicine</t>
  </si>
  <si>
    <t>The company raised $575,000 of seed funding in a deal led by CRCM Ventures on September 1, 2020. Techstars, Michael Donaldson and Matt Miller also participated in the round.</t>
  </si>
  <si>
    <t>CRCM Ventures, Matt Miller</t>
  </si>
  <si>
    <t>CRCM Ventures</t>
  </si>
  <si>
    <t>CRCM Opportunity Fund III(CRCM Ventures)</t>
  </si>
  <si>
    <t>77266</t>
  </si>
  <si>
    <t>www.kodahealthcare.com</t>
  </si>
  <si>
    <t>158497-75T</t>
  </si>
  <si>
    <t>Kojo (Business/Productivity Software)</t>
  </si>
  <si>
    <t>234144-01</t>
  </si>
  <si>
    <t>8VC(Alex Kolicich), 9Yards Capital, Abstract Ventures, BoxGroup, Charles Songhurst(Charles Songhurst), Human Capital, Index Ventures, Kevin Hartz(Kevin Hartz), Lee Linden(Lee Linden), LeFrak, Lerner Enterprises, Manta Ray Ventures, Nicolas Berggruen(Nicolas Berggruen), Suffolk Technologies, Tishman Speyer Properties</t>
  </si>
  <si>
    <t>8VC (www.8vc.com), 9Yards Capital (9yards.vc), Abstract Ventures (abstract.vc), BoxGroup (www.boxgroup.com), Human Capital (www.human.capital), Index Ventures (www.indexventures.com), LeFrak (www.lefrak.com), Lerner Enterprises (www.lerner.com), Manta Ray Ventures (mantaray.vc), Suffolk Technologies (suffolktech.com), Tishman Speyer Properties (www.tishmanspeyer.com)</t>
  </si>
  <si>
    <t>Developer of a cloud-based construction management software designed to help contractors in materials management and procurement. The company's software streamlines materials management to improve profitability by bringing together the field, procurement and distributors onto the platform, simplifying the supply chain by automating the process of ordering and tracking materials, enabling contractors to get their materials on-site and on time.</t>
  </si>
  <si>
    <t>The company raised an undisclosed amount of Series A venture funding in a deal led by 8VC on December 27, 2023. Gaingels and other undisclosed investors also participated in the round.</t>
  </si>
  <si>
    <t>Climate Tech, Construction Technology, SaaS, Supply Chain Tech</t>
  </si>
  <si>
    <t>commercial building management, construction management software, construction management software system, enterprise supply chain management, materials management, materials management software, process automation, procurement and sourcing, scm, supply chain management</t>
  </si>
  <si>
    <t>130140-73P</t>
  </si>
  <si>
    <t>Maria Rioumine</t>
  </si>
  <si>
    <t>+1 (909) 276-7347</t>
  </si>
  <si>
    <t>mrioumine@helloagora.com</t>
  </si>
  <si>
    <t>Ms. Maria Rioumine is a Co-Founder and serves as Chief Executive Officer at Agora. She serves as an Advisor at Wispr Flow. Previously, she served as Investor at 8VC. Maria graduated from the University of Oxford. She served as President at Oxford Union. She has a degree in Philosophy, Politics and Economics.</t>
  </si>
  <si>
    <t>University of Oxford, BA (Bachelor of Arts), 2014, Philosophy, Politics &amp; Economics</t>
  </si>
  <si>
    <t>The company raised $7 million of Series A venture funding in a deal led by 8VC on October 30, 2020, putting the company's pre-money valuation at $17 million. Abstract Ventures, 9Yards Capital, LeFrak and 11 other investors also participated in the round. The company will use the funding to make the materials supply chain for commercial trade contractors more efficient.</t>
  </si>
  <si>
    <t>8VC, 9Yards Capital, Abstract Ventures, BoxGroup, Charles Songhurst, Human Capital, Index Ventures, Kevin Hartz, Lee Linden, LeFrak, Lerner Enterprises, Manta Ray Ventures, Nicolas Berggruen, Suffolk Technologies, Tishman Speyer Properties</t>
  </si>
  <si>
    <t>8VC(Alex Kolicich)</t>
  </si>
  <si>
    <t>Abstract Ventures Fund II(Abstract Ventures), BoxGroup Four(BoxGroup), Index Ventures X(Index Ventures), NTV II(Human Capital)</t>
  </si>
  <si>
    <t>Reitler Kailas &amp; Rosenblatt (Legal Advisor to Tishman Speyer Properties)</t>
  </si>
  <si>
    <t>www.usekojo.com</t>
  </si>
  <si>
    <t>200339-56T</t>
  </si>
  <si>
    <t>Koop (Social/Platform Software)</t>
  </si>
  <si>
    <t>493896-16</t>
  </si>
  <si>
    <t>0xmons, 1Confirmation(Nicholas Tomaino), Alliance DAO, Ambush Capital, Balaji Srinivasan, Cooper Turley(Cooper Turley), Daedalus Angels, Day One Ventures, DCFGod(DCFGod DCFGod), Ethereal Ventures, Liu Jiang(Liu Jiang), Palm Tree Crew Crypto, Palm Tree Crew Investments, Pear (California), Spice Capital, Variant (Brooklyn), Volt Capital</t>
  </si>
  <si>
    <t>0xmons (www.0xmons.xyz), 1Confirmation (www.1confirmation.com), Alliance DAO (www.alliance.xyz), Ambush Capital (www.ambush.capital), Balaji Srinivasan (balajis.com), Daedalus Angels (www.daedalus.gg), Day One Ventures (dayoneventures.com), Ethereal Ventures (www.etherealventures.com), Palm Tree Crew Crypto (ptccrypto.xyz), Palm Tree Crew Investments (www.ptc-holdings.com), Pear (California) (www.pear.vc), Spice Capital (www.spicecapital.xyz), Variant (Brooklyn) (variant.fund), Volt Capital (www.volt.capital)</t>
  </si>
  <si>
    <t>Developer of a digital wallet application designed to collect coins and NFT inside of a shared treasury. The company's application allows users to invest in their community and build together with friends that are backed by a treasury created from an NFT collection or membership pass that allows them to become the viewers, users, and builders of the group, enabling members to move and explore their community.</t>
  </si>
  <si>
    <t>The company raised $6.19 million of seed funding in a deal led by Variant Fund and 1Confirmation on October 13, 2022. DCFGod, 0xmons, Palm Tree Crew Crypto, Spice Capital, Pear, Palm Tree Crew Investments, Day One Ventures, Ethereal Ventures, Volt Capital, Alliance DAO, Cooper Turley, Balaji Srinivasan, Liu Jiang, Daedalus Angels, 1Confirmation, and Ambush Capital also participated in the round.</t>
  </si>
  <si>
    <t>Financial Software, Other Financial Services, Social/Platform Software*</t>
  </si>
  <si>
    <t>blockchain mining, crypto content and social, digital asset token, digital coins, digital wallet application, financial software tools, nft collection, web4</t>
  </si>
  <si>
    <t>0xmons, 1Confirmation, Alliance DAO, Ambush Capital, Balaji Srinivasan, Cooper Turley, Daedalus Angels, Day One Ventures, DCFGod, Ethereal Ventures, Liu Jiang, Palm Tree Crew Crypto, Palm Tree Crew Investments, Pear (California), Spice Capital, Variant (Brooklyn), Volt Capital</t>
  </si>
  <si>
    <t>1Confirmation(Nicholas Tomaino), Variant (Brooklyn)</t>
  </si>
  <si>
    <t>www.koop.xyz</t>
  </si>
  <si>
    <t>129497-05T</t>
  </si>
  <si>
    <t>Kraftful</t>
  </si>
  <si>
    <t>279546-94</t>
  </si>
  <si>
    <t>Brighter Capital(Yun-Fang Juan), Cleo Capital, Danny Olinsky(Danny Olinsky), Evelyn Gillie(Evelyn Gillie), F7 Ventures, Google Assistant Investment, Julia Collins(Julia Collins), Leadout Capital, Lukas Biewald(Lukas Biewald), Manu Sharma(Manu Sharma), Nathana Sharma(Nathana Sharma), Nicolas Pinto, Precursor Ventures, Y Combinator(Michael Seibel)</t>
  </si>
  <si>
    <t>Brighter Capital (www.brightercapital.com), Cleo Capital (www.cleocap.com), F7 Ventures (www.f7ventures.com), Leadout Capital (www.leadoutcapital.com), Precursor Ventures (precursorvc.com), Y Combinator (www.ycombinator.com)</t>
  </si>
  <si>
    <t>Developer of an artificial intelligence-based co-pilot platform intended to offer digital interfaces to make easy-to-use smart home devices. The company's platform offers cloud functionalities, push notifications and analytics on usage to help ensure device health and allows control of devices like smart lights, thermostat models and security platforms, enabling clients to provide users with a unified interface device controller for all of their smart home devices.</t>
  </si>
  <si>
    <t>The company raised venture funding from Sunset Ventures (Los Angeles) on an undisclosed date.</t>
  </si>
  <si>
    <t>Business/Productivity Software*, IT Consulting and Outsourcing, Media and Information Services (B2B)</t>
  </si>
  <si>
    <t>analytics cloud, connected buildings, device controllers, home application, home devices management, iot device, mobile applications, smart home, smart home device</t>
  </si>
  <si>
    <t>209580-49P</t>
  </si>
  <si>
    <t>Yana Welinder</t>
  </si>
  <si>
    <t>+1 (415) 234-0701</t>
  </si>
  <si>
    <t>yana@kraftful.com</t>
  </si>
  <si>
    <t>Ms. Yana Welinder is a Co-Founder and serves as President, Chief Executive Officer &amp; Board Member at Kraftful.</t>
  </si>
  <si>
    <t>The company raised $1 million of seed funding from Google Assistant Investment, Cleo Capital and F7 Ventures on January 24, 2020. Brighter Capital, Precursor Ventures, Leadout Capital, Y Combinator, 7 individual investors and other undisclosed investors also participated in the round.</t>
  </si>
  <si>
    <t>Brighter Capital, Cleo Capital, Danny Olinsky, Evelyn Gillie, F7 Ventures, Google Assistant Investment, Julia Collins, Leadout Capital, Lukas Biewald, Manu Sharma, Nathana Sharma, Nicolas Pinto, Precursor Ventures</t>
  </si>
  <si>
    <t>Cleo Capital Fund I(Cleo Capital), F7 Ventures Fund I(F7 Ventures), Precursor Ventures Opportunity Fund I(Precursor Ventures), Y Combinator Fund III(Y Combinator)</t>
  </si>
  <si>
    <t>www.kraftful.com</t>
  </si>
  <si>
    <t>160458-49T</t>
  </si>
  <si>
    <t>Krikey.ai</t>
  </si>
  <si>
    <t>439066-45</t>
  </si>
  <si>
    <t>Jio(Akash Ambani), Thirty Five Ventures</t>
  </si>
  <si>
    <t>Jio (www.jio.com), Thirty Five Ventures (35v.tv)</t>
  </si>
  <si>
    <t>Operator of an animation company intended to shorten the time to generate animated characters. The company's tool helps to generate 3D animations that the user can share on social media or export into any video editing or game engine tool to edit, helping creators to generate various animations that are more interactive.</t>
  </si>
  <si>
    <t>The company joined AWS Startups as a part of its AWS generative AI program in May 2024.</t>
  </si>
  <si>
    <t>Augmented Reality, Gaming, Mobile</t>
  </si>
  <si>
    <t>3d animation, 3d avatar creation, 3d character design, ai character, animation maker, animation tool, entertainment providers, gaming content, gaming developer, gaming publisher, gaming studio, web games</t>
  </si>
  <si>
    <t>240715-72P</t>
  </si>
  <si>
    <t>Jhanvi Shriram</t>
  </si>
  <si>
    <t>+1 (650) 257-0835</t>
  </si>
  <si>
    <t>js@krikey.com</t>
  </si>
  <si>
    <t>Ms. Jhanvi Shriram is a Co-Founder and serves as Chief Executive Officer at Krikey.</t>
  </si>
  <si>
    <t>The company raised $22 million of Series A venture funding in a deal led by Jio on December 2, 2020, putting the company's pre-money valuation at $40 million. Thirty Five Ventures and other undisclosed investors also participated in the round.</t>
  </si>
  <si>
    <t>Jio, Thirty Five Ventures</t>
  </si>
  <si>
    <t>Jio(Akash Ambani)</t>
  </si>
  <si>
    <t>www.krikey.ai</t>
  </si>
  <si>
    <t>Card, board, or roulette games, Electric digital data processing</t>
  </si>
  <si>
    <t>200996-47T</t>
  </si>
  <si>
    <t>KweliTV</t>
  </si>
  <si>
    <t>458022-07</t>
  </si>
  <si>
    <t>New Media Ventures</t>
  </si>
  <si>
    <t>New Media Ventures (www.newmediaventures.org)</t>
  </si>
  <si>
    <t>Developer of an interactive streaming platform intended to celebrate black stories from the United States and globally. The company's platform offers independent films and movies, original docuseries, kid's shows, news and educational content for people, enabling filmmakers and journalists to share their stories and truths with the world.</t>
  </si>
  <si>
    <t>The company joined Andreessen Horowitz as a part of its Talent x Opportunity Fall 2023 Cohort on September 6, 2023 and received $175,000 in funding in the form of SAFE Notes.</t>
  </si>
  <si>
    <t>Entertainment Software*, Movies, Music and Entertainment</t>
  </si>
  <si>
    <t>film creation, on demand content, on demand content platform, streaming platform operator, video streaming, video streaming tools</t>
  </si>
  <si>
    <t>249020-20P</t>
  </si>
  <si>
    <t>Deshuna Spencer</t>
  </si>
  <si>
    <t>+1 (888) 981-1989</t>
  </si>
  <si>
    <t>deshuna@kweli.tv</t>
  </si>
  <si>
    <t>Ms. Deshuna Spencer is the Founder &amp; serves as Chief Executive Officer at KweliTV.</t>
  </si>
  <si>
    <t>Degree</t>
  </si>
  <si>
    <t>The company raised $100,000 of seed funding from New Media Ventures and other undisclosed investors in April 2021.</t>
  </si>
  <si>
    <t>20007</t>
  </si>
  <si>
    <t>www.kweli.tv</t>
  </si>
  <si>
    <t>172076-23T</t>
  </si>
  <si>
    <t>Kyros AI</t>
  </si>
  <si>
    <t>465946-03</t>
  </si>
  <si>
    <t>Amino Capital(Huican Zhu), Sierra Ventures(Ben Yu)</t>
  </si>
  <si>
    <t>Amino Capital (www.aminocapital.com), Sierra Ventures (www.sierraventures.com)</t>
  </si>
  <si>
    <t>Developer of a digital education platform designed to guide students in college preparation and the college application process. The company's platform aims to democratize the college preparation process and make it accessible to every student and offers affordable and accessible content, project management, and productivity tools to support high school students, enabling students to avail themselves of the help of the online community.</t>
  </si>
  <si>
    <t>The company joined Village Capital as a part of IBM Hyper Protect Accelerator, Class of 2022 on October 6, 2022.</t>
  </si>
  <si>
    <t>ai automation platform, ai platform, college preparation, digital education, digital education tool, online community, project management</t>
  </si>
  <si>
    <t>128274-04P</t>
  </si>
  <si>
    <t>Rebecca Ye</t>
  </si>
  <si>
    <t>+1 (650) 684-8678</t>
  </si>
  <si>
    <t>rye@kyros.ai</t>
  </si>
  <si>
    <t>Ms. Rebecca Ye is a Co-Founder and serves as Chief Executive Officer at Kyros. She co-founded and served as Chief Operating Officer at Xcalar. She was one of the founding members of Google's Cloud Platform. She spent more than five years at Google building the early partner ecosystem and launched the global Partner Program with a few hundred partners. She helped conceive and execute the partner strategy for worldwide launches of Google App Engine, Google BigQuery, Google Cloud Bigtable, and Google Cloud Dataproc. Prior to Google, Rebecca was one of the top sales managers at Oracle where she was consecutively awarded the "Most Valued Player" for three years. She holds MASc and MBA degrees from The University of British Columbia.</t>
  </si>
  <si>
    <t>University of British Columbia, MAS (Master of Applied Science), Engineering, University of British Columbia, MBA (Master of Business Administration), Business Administration, Zhejiang University (Zheda), BAS (Bachelor of Applied Science), Engineering</t>
  </si>
  <si>
    <t>The company raised $2.3 million of seed funding from Sierra Ventures, Amino Capital and other undisclosed investors on March 31, 2021.</t>
  </si>
  <si>
    <t>Amino Capital, Sierra Ventures</t>
  </si>
  <si>
    <t>www.kyros.ai</t>
  </si>
  <si>
    <t>158570-29T</t>
  </si>
  <si>
    <t>Labby</t>
  </si>
  <si>
    <t>264643-93</t>
  </si>
  <si>
    <t>AgriTech Capital (US)(Aidan Connolly), Semapa Next</t>
  </si>
  <si>
    <t>AgriTech Capital (US) (www.agritechcapital.com), Semapa Next (www.semapanext.com)</t>
  </si>
  <si>
    <t>Developer of an artificial intelligence-enabled optical sensing technology designed for testing raw milk on the farm. The company's advanced mobile spectroscopy uses light scattering, absorption, and fluorescence to determine milk composition simultaneously, as well as offers counterfeit detection, and quality control, and provides virtual brewmaster, enabling farmers and dairy processors to make informed decisions with accurate tests for milk composition.</t>
  </si>
  <si>
    <t>The company joined NextCorps Luminate. on May 10, 2023 and received $50,000 in funding. Previously, the The company joined Grow NY in 2022 and received $250,000 in grant funding. Prior to that, the company joined Luminate NY Accelerator's 6th Cohort on March 13, 2023 and received $100,000 in funding in the form of convertible debt.</t>
  </si>
  <si>
    <t>Business/Productivity Software, Electronic Equipment and Instruments*, Media and Information Services (B2B)</t>
  </si>
  <si>
    <t>AgTech, Artificial Intelligence &amp; Machine Learning, FoodTech</t>
  </si>
  <si>
    <t>ag biotech, agriculture technology, animal biotech, animal biotechnology, foodtech ai, industrial iot, milk testing, optical sensing, optical sensing application, optical sensing system, optical sensing technology, precision livestock technology</t>
  </si>
  <si>
    <t>AI in Foodtech</t>
  </si>
  <si>
    <t>207637-21P</t>
  </si>
  <si>
    <t>Julia Somerdin</t>
  </si>
  <si>
    <t>+1 (781) 801-8971</t>
  </si>
  <si>
    <t>julia@labbyinc.com</t>
  </si>
  <si>
    <t>Ms. Julia Somerdin is a Co-Founder and serves as Chief Executive Officer &amp; Board Member at Labby. She leads Labby in the areas of fundraising, sales, and marketing, go-to-market. Julia brings over 20 years of hybrid experience encompassing deep tech, business, tech sales, and product development in both startup and fortune 500 companies in IoT, wireless and smart healthcare sectors. She studied at MIT and also holds an MBA and a BS in EE.</t>
  </si>
  <si>
    <t>BS (Bachelor of Science), Electrical Engineering, Massachusetts Institute of Technology, MBA (Master of Business Administration), Electrical Engineering</t>
  </si>
  <si>
    <t>The company raised $480,000 of seed funding from Semapa Next and AgriTech Capital (US) on November 18, 2020, putting the company's pre-money valuation at $5.5 million. The funds will be used to develop the company's products, including the next generation of its handheld solution and in-line sensing integration unit which will be piloted by a handful of dairy farms in North America before the end of the year as well as to build out its operations and expand the team.</t>
  </si>
  <si>
    <t>AgriTech Capital (US), Semapa Next</t>
  </si>
  <si>
    <t>www.labbyinc.com</t>
  </si>
  <si>
    <t>Investigating or analysing materials by determining their chemical or physical properties</t>
  </si>
  <si>
    <t>248859-64T</t>
  </si>
  <si>
    <t>Lago (Business/Productivity Software)</t>
  </si>
  <si>
    <t>465681-79</t>
  </si>
  <si>
    <t>Addition(Lee Fixel), Amaury Sepulchre(Amaury Sepulchre), Arthur Waller(Arthur Waller), Clément Delangue(Clément Delangue), Elena Verna(Elena Verna), Erika Batista(Erika Batista), Evgenia Plotnikova(Evgenia Plotnikova), Firestreak Ventures(Walter Kortschak), FirstMark Capital, Graham Neray(Graham Neray), Ian Hogarth(Ian Hogarth), Jonathan Widawski(Jonathan Widawski), Jorge Ortiz(Jorge Ortiz), Julien Codorniou(Julien Codorniou), Kamil Mouhid(Kamil Mouhid), Kima Ventures, Meghan Gill(Meghan Gill), New Wave VC, Philippe Teixeira da Mota(Philippe Teixeira da Mota), Romain Huet(Romain Huet), Script Capital (United States), SignalFire, Y Combinator</t>
  </si>
  <si>
    <t>Addition (www.addition.com), Firestreak Ventures (www.firestreak.com), FirstMark Capital (www.firstmark.com), Ian Hogarth (ianhogarth.com), Kima Ventures (www.kimaventures.com), New Wave VC (www.newwave.vc), Script Capital (United States) (www.script.capital), SignalFire (www.signalfire.com), Y Combinator (www.ycombinator.com)</t>
  </si>
  <si>
    <t>Developer an open-source metering and usage-based billing platform intended to offer self-hosted and cloud, scalable, and modular architecture for metering and usage-based billing. The company's platform offers a solution intended to automate billing from simple to complex subscriptions, usage computations, billing cycles, dates, and currencies, enabling businesses to extract, transform, and take action on data, without engineers.</t>
  </si>
  <si>
    <t>The company raised $22 million through a combination of debt and Series A venture funding in a deal led by FirstMark Capital on March 14, 2024, putting the company's pre-money valuation at $54.91 million. New Wave, and 21 other investors also participated in the round.</t>
  </si>
  <si>
    <t>billing automation, billing platform, billing platform developer, billing software, devops, invoicing platform, invoicing software, invoicing software service, invoicing software suite, open source, open source coding, open source platform</t>
  </si>
  <si>
    <t>283815-82P</t>
  </si>
  <si>
    <t>Anh-Tho Chuong</t>
  </si>
  <si>
    <t>anhtho@getlago.com</t>
  </si>
  <si>
    <t>Ms. Anh-Tho Chuong is a Co-Founder and serves as Board Member, Chief Executive Officer &amp; President at Lago.</t>
  </si>
  <si>
    <t>The company raised $22 million through a combination of debt and Series A venture funding in a deal led by FirstMark Capital on March 14, 2024, putting the company's pre-money valuation at $54.91 million. New Wave, Firestreak Ventures, SignalFire (Private Equity), Script Capital (United States), Addition, Kima Ventures, Y Combinator, Julien Codorniou, Meghan Gill, Romain Huet, Clément Delangue, Arthur Waller, Erika Batista, Jonathan Widawski, Amaury Sepulchre, Evgenia Plotnikova, Jorge Ortiz, Philippe Teixeira da Mota, Ian Hogarth, Elena Verna, Graham Neray and Kamil Mouhid also participated in the round.</t>
  </si>
  <si>
    <t>Addition, Amaury Sepulchre, Arthur Waller, Clément Delangue, Elena Verna, Erika Batista, Evgenia Plotnikova, Firestreak Ventures, FirstMark Capital, Graham Neray, Ian Hogarth, Jonathan Widawski, Jorge Ortiz, Julien Codorniou, Kamil Mouhid, Kima Ventures, Meghan Gill, New Wave VC, Philippe Teixeira da Mota, Romain Huet, Script Capital (United States), SignalFire</t>
  </si>
  <si>
    <t>FirstMark Capital</t>
  </si>
  <si>
    <t>122 West Ventures II(Script Capital (United States))</t>
  </si>
  <si>
    <t>Gunderson Dettmer (Legal Advisor to Company), Orrick (Legal Advisor to New Wave VC)</t>
  </si>
  <si>
    <t>Orrick (Legal Advisor to New Wave VC)</t>
  </si>
  <si>
    <t>www.getlago.com</t>
  </si>
  <si>
    <t>Other - $1.91M</t>
  </si>
  <si>
    <t>191294-47T</t>
  </si>
  <si>
    <t>lakeFS</t>
  </si>
  <si>
    <t>470831-05</t>
  </si>
  <si>
    <t>Norwest Venture Partners, Zeev Ventures</t>
  </si>
  <si>
    <t>Norwest Venture Partners (www.nvp.com), Zeev Ventures (www.zeevventures.com)</t>
  </si>
  <si>
    <t>Developer of an open-source data version control platform intended to save resources and time in managing numerous clones of the entire data lake. The company enables zero-copy development or test isolated environments, continuous quality validation, atomic rollback on bad data, reproducibility, and more, enabling clients and developers to increase data quality and reduce the cost of errors.</t>
  </si>
  <si>
    <t>The company raised $23 million of Series A venture funding in a deal led by Dell Technologies Capital, Norwest Venture Partners, and Zeev Ventures on July 28, 2021. Animoca Brands, SkyVision Capital and other undisclosed investors also participated in the round. The funds will be used by the company to accelerate the development and adoption of the innovative solution designed for any enterprise data team tasked with managing petabytes or more of data in one shared system.</t>
  </si>
  <si>
    <t>data engineering, data engineering services, data infrastructure, data processing tool, data quality tools, data scientists, data store, devops, open source data, open source portal</t>
  </si>
  <si>
    <t>270491-23P</t>
  </si>
  <si>
    <t>Einat Orr</t>
  </si>
  <si>
    <t>+972 (0)52 488 8583</t>
  </si>
  <si>
    <t>einat.orr@treeverse.io</t>
  </si>
  <si>
    <t>Ms. Einat Orr is a Co-Founder &amp; serves as Chief Executive Officer at Treeverse.</t>
  </si>
  <si>
    <t>The company raised $8 million of seed funding from Norwest Venture Partners and Zeev Ventures in January 2020.</t>
  </si>
  <si>
    <t>Norwest Venture Partners XVI(Norwest Venture Partners)</t>
  </si>
  <si>
    <t>www.lakefs.io</t>
  </si>
  <si>
    <t>256015-36T</t>
  </si>
  <si>
    <t>Lamini</t>
  </si>
  <si>
    <t>507138-94</t>
  </si>
  <si>
    <t>Aglaé Ventures, AMD Ventures, Amplify Partners(Michael Dauber), Andrej Karpathy(Andrej Karpathy), Andrew Ng(Andrew Ng), Anthony Schiller(Anthony Schiller), Artisanal Ventures, Bernard Arnault(Bernard Arnault), Drew Houston(Drew Houston), Dylan Field(Dylan Field), First Round Capital(Todd Jackson), In-Q-Tel, Lip-Bu Tan(Lip-Bu Tan), Pierre Lamond, Rsquared, Sarah Guo(Sarah Guo)</t>
  </si>
  <si>
    <t>Aglaé Ventures (www.aglaeventures.com), AMD Ventures (www.amdventures.com), Amplify Partners (www.amplifypartners.com), Artisanal Ventures (www.artisanalv.com), First Round Capital (www.firstround.com), In-Q-Tel (www.iqt.org), Rsquared (riskandreturn.org)</t>
  </si>
  <si>
    <t>Developer of a large language model engine designed to build prototypes based on the data. The company helps engineering teams outperform general-purpose LLM through reinforcement learning from human feedback and fine-tuning their data, enabling businesses to charge their AI applications by putting their data to work with artificial intelligence.</t>
  </si>
  <si>
    <t>The company raised $24.83 million through a combination of Series A, Series A-1, and Series A2 venture funding in a deal led by Amplify Partners on April 1, 2024, putting the company's pre-money valuation at $100 million. In-Q-Tel, AMD Ventures, First Round Capital, Artisanal Ventures, Rsquared, Andrej Karpathy, Bernard Arnault &amp; family, Pierre Lamond, Sarah Guo, Dylan Field, Lip-Bu Tan, Anthony Schiller, Drew Houston, and Andrew Ng also participated in the round. The funds will be used to accelerate development into deeper technical optimizations and expand our team to offer enterprises the strategic support they need at scale. Recently, the company joined Plug and Play Tech Center as part of its Batch 13 on April 4, 2024.</t>
  </si>
  <si>
    <t>ai application, ai cores, artificial intelligence engine, data management tool, development application, generative ai, llm engine, llm tools, model development</t>
  </si>
  <si>
    <t>320693-95P</t>
  </si>
  <si>
    <t>Sharon Zhou</t>
  </si>
  <si>
    <t>+1 (650) 272-4468</t>
  </si>
  <si>
    <t>sharon@powerml.co</t>
  </si>
  <si>
    <t>Ms. Sharon Zhou is a Co-Founder &amp; serves as Chief Executive Officer at Lamini. Ms. Sharon Zhou is a Co-Founder and serves as Chief Executive Officer at PowerML. Sharon's dream is to make technology that is so complex it feels like magic, like generative AI, extremely usable and accessible by everyone. Sharon was previously a faculty member at Stanford University, where she published award-winning machine learning research and created one of Coursera's largest classes, Generative Adversarial Networks, teaching over 80,000 students. One step in demystifying generative AI. She also received her PhD at Stanford in generative AI, under Dr. Andrew Ng, and has been an AI advisor to key AI policymakers in Washington D.C. Sharon is featured in MIT Technology Review's 35 Under 35. Prior to her doctorate, she was a product manager at Google and also (fun fact) the first to major in Classics and Computer Science in Harvard University's history.</t>
  </si>
  <si>
    <t>Ph.D. (Doctor of Philosophy), generative AI</t>
  </si>
  <si>
    <t>The company raised $24.83 million through a combination of Series A, Series A-1, and Series A2 venture funding in a deal led by Amplify Partners on April 1, 2024, putting the company's pre-money valuation at $100 million. In-Q-Tel, AMD Ventures, First Round Capital, Artisanal Ventures, Rsquared, Andrej Karpathy, Bernard Arnault &amp; family, Pierre Lamond, Sarah Guo, Dylan Field, Lip-Bu Tan, Anthony Schiller, Drew Houston, and Andrew Ng also participated in the round. The funds will be used to accelerate development into deeper technical optimizations and expand our team to offer enterprises the strategic support they need at scale.</t>
  </si>
  <si>
    <t>Aglaé Ventures, AMD Ventures, Amplify Partners, Andrej Karpathy, Andrew Ng, Anthony Schiller, Artisanal Ventures, Bernard Arnault, Drew Houston, Dylan Field, First Round Capital, In-Q-Tel, Lip-Bu Tan, Pierre Lamond, Rsquared, Sarah Guo</t>
  </si>
  <si>
    <t>Amplify Partners(Michael Dauber)</t>
  </si>
  <si>
    <t>Artisanal Ventures I(Artisanal Ventures), InQTel Fund(In-Q-Tel)</t>
  </si>
  <si>
    <t>www.lamini.ai</t>
  </si>
  <si>
    <t>167420-26T</t>
  </si>
  <si>
    <t>Landing (Social Content)</t>
  </si>
  <si>
    <t>439176-25</t>
  </si>
  <si>
    <t>Cowboy Ventures(Aileen Lee), Dara Treseder(Dara Treseder), Designer Fund, Gaingels, Manish Chandra, Progression Fund, Tidepool Labs, Tracy Sun(Tracy Sun), Unshackled Ventures</t>
  </si>
  <si>
    <t>Cowboy Ventures (www.cowboy.vc), Designer Fund (www.designerfund.com), Gaingels (www.gaingels.com), Progression Fund (www.progression.fund), Tidepool Labs (www.tidepoollabs.com), Unshackled Ventures (www.unshackledvc.com)</t>
  </si>
  <si>
    <t>Developer of a social media platform designed for creativity, curation, and community. The company's platform lets users discover, remix, create and connect over fully shoppable mood boards and allows them to select products from the marketplace, enabling customers to have a platform to design, furnish and set up their home.</t>
  </si>
  <si>
    <t>The company raised $2.5 million of seed funding in a deal led by Cowboy Ventures on February 25, 2021, putting the company's pre-money valuation at $6 million. Unshackled Ventures, Designer Fund, Progression Fund, Tidepool Labs, Gaingels, Manish Chandra, Dara Treseder and Tracy Sun also participated in the round.</t>
  </si>
  <si>
    <t>Multimedia and Design Software, Social Content*, Social/Platform Software</t>
  </si>
  <si>
    <t>E-Commerce, Mobile, SaaS, TMT</t>
  </si>
  <si>
    <t>community space, online catalog, online community, online design platform, online design tool, social commerce application</t>
  </si>
  <si>
    <t>240981-40P</t>
  </si>
  <si>
    <t>Eleanor Buckingham</t>
  </si>
  <si>
    <t>eleanor.buckingham@thelandinghome.com</t>
  </si>
  <si>
    <t>Ms. Eleanor Buckingham is a Co-Founder and serves as Chief Executive Officer at The Landing (Multimedia and Design Software).</t>
  </si>
  <si>
    <t>Stanford Graduate School of Business, Degree</t>
  </si>
  <si>
    <t>Cowboy Ventures, Dara Treseder, Designer Fund, Gaingels, Manish Chandra, Progression Fund, Tidepool Labs, Tracy Sun, Unshackled Ventures</t>
  </si>
  <si>
    <t>Cowboy Ventures(Aileen Lee)</t>
  </si>
  <si>
    <t>Cowboy Capital Fund III(Cowboy Ventures), Designer Fund II(Designer Fund), Unshackled Fund I(Unshackled Ventures)</t>
  </si>
  <si>
    <t>Fenwick &amp; West (Legal Advisor to Company), Silicon Legal Strategy (Legal Advisor to Cowboy Ventures, Coleman Cannon JD)</t>
  </si>
  <si>
    <t>www.landing.space</t>
  </si>
  <si>
    <t>169023-43T</t>
  </si>
  <si>
    <t>Language I/O</t>
  </si>
  <si>
    <t>225244-81</t>
  </si>
  <si>
    <t>Breakthrough 307, Golden Seeds, Raptor Group</t>
  </si>
  <si>
    <t>Breakthrough 307 (www.breakthrough307.com), Golden Seeds (www.goldenseeds.com), Raptor Group (www.raptorgroup.com)</t>
  </si>
  <si>
    <t>Developer of communication software designed to allow support teams to communicate with customers in any language. The company's software uses human and machine translation to automate the translation of customer support content such as questions, emails, and chats within CRMs, enabling monolingual customer support agents to chat, email, and otherwise engage in real-time with customers in various languages.</t>
  </si>
  <si>
    <t>The company raised $5.00 million of Series A2 venture funding in a deal led by Gutbrain Ventures on July 22, 2024, putting the company's pre-money valuation at $49 million. Raptor Group, Omega Venture Partners, PBJ Capital, Joint Effects, and Wyoming Venture Capital also participated in the round. The funds will be used to continue GTM successes while simultaneously funding R&amp;D efforts in the LIO and multilingual chatbot space.</t>
  </si>
  <si>
    <t>analytics platform, chat translation, crm, customer communication, customer relationship management, customer service chat, customer service software, customer support software, language support, language technology, natural language technology, translation software, unstructured data analytics</t>
  </si>
  <si>
    <t>179297-20P</t>
  </si>
  <si>
    <t>Heather Shoemaker</t>
  </si>
  <si>
    <t>+1 (307) 773-7990</t>
  </si>
  <si>
    <t>heather.shoemaker@languageio.com</t>
  </si>
  <si>
    <t>Ms. Heather Shoemaker is a Co-Founder, Co-Owner and serves as Chief Executive Officer at Language I/O. She holds a bachelor's degree in Latin American Studies and a master's from CU college of engineering at Boulder. Heather has worked as a software developer for large companies and startups. She was director of globalization for Pearson Education. In 2010, she and a former colleague built Language I/O, a software product that enables monolingual agents to support customers in over 100 languages. Language I/O boasts clients such as LinkedIn and iRobot.</t>
  </si>
  <si>
    <t>Bachelor's, Latin American Studies, Master's, Engineering</t>
  </si>
  <si>
    <t>The company raised $500,001 of Seed-1 funding from Raptor Group, Golden Seeds and Breakthrough 307 on October 1, 2020, putting the company's pre-money valuation at $4.5 million. Other undisclosed investors also participated in the round.</t>
  </si>
  <si>
    <t>Breakthrough 307 Fund I(Breakthrough 307), Golden Seeds Venture Fund(Golden Seeds)</t>
  </si>
  <si>
    <t>Cheyenne, WY</t>
  </si>
  <si>
    <t>Cheyenne</t>
  </si>
  <si>
    <t>Wyoming</t>
  </si>
  <si>
    <t>82001</t>
  </si>
  <si>
    <t>www.languageio.com</t>
  </si>
  <si>
    <t>120194-29T</t>
  </si>
  <si>
    <t>Laudable</t>
  </si>
  <si>
    <t>268394-14</t>
  </si>
  <si>
    <t>Allen Gannett, Angela Santurbano(Angela Santurbano), Atlanta Ventures(David Cummings), Chad Byers(Chad Byers), Craft Ventures(Michael Tam), Dan Wright(Dan Wright), Greycroft, John Stewart(John Stewart), Jon Runyan(Jon Runyan), Joseph Payne(Joseph Payne), Kyle Porter(Kyle Porter), Max Greenwald, Nikhil Mehta(Nikhil Mehta), Pete Kazanjy(Pete Kazanjy), Ryan Carlson(Ryan Carlson), Ryan Neu(Ryan Neu), Thomas DiVittorio(Thomas DiVittorio), Tom Manahan(Tom Manahan), Y Combinator</t>
  </si>
  <si>
    <t>Allen Gannett (allen.xyz), Atlanta Ventures (www.atlantaventures.com), Craft Ventures (www.craftventures.com), Greycroft (www.greycroft.com), Y Combinator (www.ycombinator.com)</t>
  </si>
  <si>
    <t>Provider of customer testimonial recording services intended to help turn recordings into marketing content. The company shares a link on behalf of the client to customers for them to share their experience which is recorded with the help of supplies sent to them, enabling clients to get high-quality video remotely, quickly, and affordably.</t>
  </si>
  <si>
    <t>The company raised $2.95 million of seed funding in the form of SAFE notes from Craft Ventures, Atlanta Ventures, and Greycroft on October 7, 2021. Y Combinator and 15 other investors also participated in the round.</t>
  </si>
  <si>
    <t>Business/Productivity Software, Media and Information Services (B2B)*, Other Commercial Services</t>
  </si>
  <si>
    <t>customer experience data, marketing and advertising, marketing assistance, marketing channel, media service, video creator, video recording</t>
  </si>
  <si>
    <t>92032-93P</t>
  </si>
  <si>
    <t>Angela Ferrante</t>
  </si>
  <si>
    <t>+1 (310) 658-9779</t>
  </si>
  <si>
    <t>angela@getlaudable.com</t>
  </si>
  <si>
    <t>Ms. Angela Ferrante is the Founder and serves as President, Board Member &amp; Chief Executive Officer at Laudable. Ms. Angela Ferrante is the Founder and serves as President, Board Member &amp; Chief Executive Officer at Salon Betty. She was a Co-Founder and served as Chief Marketing Officer at Sparkfund. She has a deep track record in the energy efficiency and renewable energy industry, with over seven years of experience in marketing, strategic partnership development, and finance. She brings significant expertise in go-to-market strategy and execution. At Energi, Angela was the founding member of the alternative energy group where she co-developed a new warranty insurance product to guarantee savings on retrofit projects and led ongoing strategic relations.</t>
  </si>
  <si>
    <t>University of Southern California (USC), BS (Bachelor of Science), 2007, Business Administration</t>
  </si>
  <si>
    <t>The company raised $2.95 million of seed funding in the form of SAFE notes from Craft Ventures, Atlanta Ventures, and Greycroft on October 7, 2021. Y Combinator, Kyle Porter, Joe Payne, Tom Manahan, Nick Mehta, Ryan Neu, Dan Wright, Jon Runyan, Ryan Carlson, Chad Byers, Pete Kazanjy, Allen Gannett, John Stewart, Tom Divittorio, Max Greenwald, and Angela Santurbano also participated in the round.</t>
  </si>
  <si>
    <t>Allen Gannett, Angela Santurbano, Atlanta Ventures, Chad Byers, Craft Ventures, Dan Wright, Greycroft, John Stewart, Jon Runyan, Joseph Payne, Kyle Porter, Max Greenwald, Nikhil Mehta, Pete Kazanjy, Ryan Carlson, Ryan Neu, Thomas DiVittorio, Tom Manahan</t>
  </si>
  <si>
    <t>Greycroft Partners VI(Greycroft)</t>
  </si>
  <si>
    <t>www.laudable.com</t>
  </si>
  <si>
    <t>232495-66T</t>
  </si>
  <si>
    <t>Lava (New York)</t>
  </si>
  <si>
    <t>532497-88</t>
  </si>
  <si>
    <t>Neo (Consulting Services (B2B)) (www.neo.com)</t>
  </si>
  <si>
    <t>Provider of branding discovering services intended to convert shoppers into creators at the point of sale. The company uses (Artificial Intelligence) AI to provide vetted creators with incentives for content, enabling media users to help scale their creator program without the manual work.</t>
  </si>
  <si>
    <t>The company raised $625,000 of venture funding in a deal led by Neo on July 1, 2023. Other undisclosed investors also participated in the round.</t>
  </si>
  <si>
    <t>Artificial Intelligence &amp; Machine Learning, Mobile, Mobile Commerce</t>
  </si>
  <si>
    <t>brand ambassador management, brand partnership, fashion adviser, influencers connecting platform, organic marketing, retailer network</t>
  </si>
  <si>
    <t>357458-68P</t>
  </si>
  <si>
    <t>Amber Linz</t>
  </si>
  <si>
    <t>amber@zipr.shop</t>
  </si>
  <si>
    <t>Ms. Amber Linz is a Co-Founder &amp; serves as Chief Executive Officer at Lava (New York).</t>
  </si>
  <si>
    <t>Degree, 2018, Mathematics, Tel Aviv University, Degree, 2019, Entrepreneurship and Business, University of Sydney, Degree, 2022, Design Computing</t>
  </si>
  <si>
    <t>Silicon Legal Strategy (Legal Advisor to Neo (Consulting Services (B2B)), Gaurav Mathur JD)</t>
  </si>
  <si>
    <t>www.uselava.com</t>
  </si>
  <si>
    <t>204651-01T</t>
  </si>
  <si>
    <t>LaWow</t>
  </si>
  <si>
    <t>509354-83</t>
  </si>
  <si>
    <t>Dant Ventures</t>
  </si>
  <si>
    <t>Dant Ventures (www.dantventures.com)</t>
  </si>
  <si>
    <t>Operator of a search engine designed to search words or phrases and find results based on a crowdsourced search. The company's engine offers a platform that will be a news source for journalists, researchers, employees, stock investors, and anyone else seeking an unaltered source of information without commentary or opinion and only the facts, enabling users to get their required information.</t>
  </si>
  <si>
    <t>The company raised $1.75 million of venture funding from Dant Ventures on August 1, 2022, putting the company's pre-money valuation at $35 million. The funds will be used to scale company's operations.</t>
  </si>
  <si>
    <t>Internet Software, Media and Information Services (B2B)*</t>
  </si>
  <si>
    <t>court records search, legal platform, search algorithm, search company, search engine, search platform</t>
  </si>
  <si>
    <t>317319-58P</t>
  </si>
  <si>
    <t>Anderson Zou</t>
  </si>
  <si>
    <t>+1 (949) 295-5932</t>
  </si>
  <si>
    <t>anderson.zou@lawow.org</t>
  </si>
  <si>
    <t>Mr. Anderson Zou serves as Co-Chief Executive Officer and Chief Technology Officer at LaWow.</t>
  </si>
  <si>
    <t>Las Vegas, NV</t>
  </si>
  <si>
    <t>Las Vegas</t>
  </si>
  <si>
    <t>Nevada</t>
  </si>
  <si>
    <t>89120</t>
  </si>
  <si>
    <t>www.lawow.org</t>
  </si>
  <si>
    <t>240934-51T</t>
  </si>
  <si>
    <t>Layer Metrics</t>
  </si>
  <si>
    <t>462671-29</t>
  </si>
  <si>
    <t>Excell Partners, Launch NY, New York Ventures, NextCorps Luminate</t>
  </si>
  <si>
    <t>Excell Partners (www.excellny.com), Launch NY (www.launchny.org), NextCorps Luminate (www.luminate.org)</t>
  </si>
  <si>
    <t>Developer of an optical monitoring technology designed to focus on quality control for third-dimensional metal additive manufacturing. The company's technology delivers an optical hardware sensor system that monitors and detects flaws during the manufacturing process and captures an amalgam of real-time synchronized data to deliver confidence in the build-integrity of third-dimensional metal printed parts, enabling clients to take corrective action while the part is being printed fuelling rapid growth.</t>
  </si>
  <si>
    <t>The company raised $400,000 of venture funding from Launch NY, Excell Partners and NextCorps Luminate. on August 24, 2023.</t>
  </si>
  <si>
    <t>Electronic Equipment and Instruments, Industrial Supplies and Parts, Other Commercial Services*</t>
  </si>
  <si>
    <t>3d metal, hardware sensors, instrument manufacturer, optical monitoring technology, quality control, sensor system</t>
  </si>
  <si>
    <t>256236-58P</t>
  </si>
  <si>
    <t>Clare Murphy</t>
  </si>
  <si>
    <t>clare@layermetricsinc.com</t>
  </si>
  <si>
    <t>Ms. Clare Murphy is a Co-Founder and Owner and serves as Chief Executive Officer and President at Layer Metrics.</t>
  </si>
  <si>
    <t>The company raised $400,000 of venture funding from Launch NY, Excell Partners and NextCorps Luminate. on August 24, 2023. New York Ventures also participated in this round.</t>
  </si>
  <si>
    <t>Excell Partners, Launch NY, New York Ventures</t>
  </si>
  <si>
    <t>14604</t>
  </si>
  <si>
    <t>www.layermetricsinc.com</t>
  </si>
  <si>
    <t>Bridge Loan - $0.05M (Convertible)</t>
  </si>
  <si>
    <t>Measurement of intensity, velocity, spectral content, polarisation, phase or pulse characteristics of infrared, visible or ultraviolet light</t>
  </si>
  <si>
    <t>262846-72T</t>
  </si>
  <si>
    <t>Layer3</t>
  </si>
  <si>
    <t>481952-53</t>
  </si>
  <si>
    <t>6th Man Ventures, Amber Group, Antonio Martinez(Antonio Martinez), Balaji Srinivasan, Bitpanda, Derek Walkush(Derek Walkush), Electric Capital, Felix Feng(Felix Feng), Fredrik Haga(Fredrik Haga), GD1, Greenfield Capital(Claude Donzé), Immutable, Jai Bhavnani, Jill Carlson(Jill Carlson), Jordan Momtazi(Jordan Momtazi), Kain Warick(Kain Warick), King River Capital, Kinjal Shah(Kinjal Shah), Lattice Capital, Lattice Capital Partners, LeadBlock Partners, Mats Olsen(Mats Olsen), Mirana Ventures, Nicholas Emmons(Nicholas Emmons), ParaFi Capital(Benjamin Forman), Red Beard Ventures, Richard Chen(Richard Chen), Sandeep Nailwal, Scott Keto(Scott Keto), Stateless Ventures, Third Prime, Tioga Capital, Tony Sheng(Tony Sheng)</t>
  </si>
  <si>
    <t>6th Man Ventures (www.6thman.ventures), Amber Group (www.ambergroup.io), Balaji Srinivasan (balajis.com), Bitpanda (www.bitpanda.com), Electric Capital (www.electriccapital.com), GD1 (www.gd1.vc), Greenfield Capital (greenfield.xyz), Immutable (www.immutable.com), King River Capital (www.kingriver.co), Lattice Capital (www.lattice.fund), Lattice Capital Partners (www.lattice-cp.com), LeadBlock Partners (leadblockpartners.com), Mirana Ventures (www.mirana.xyz), ParaFi Capital (www.parafi.com), Red Beard Ventures (redbeard.ventures), Stateless Ventures (www.stateless.vc), Third Prime (www.thirdprime.vc), Tioga Capital (tiogacap.com)</t>
  </si>
  <si>
    <t>Developer of cryptocurrency infrastructure platform designed to provide tools for decentralized autonomous organizations. The company's platform offers an autonomous ecosystem expansion that provides interoperable identity and amplified incentives, enabling users to get exposure to new communities, earn rewards, and access multichain liquidity.</t>
  </si>
  <si>
    <t>The company raised $20.58 million of Series A venture funding in a deal led by ParaFi Capital and Greenfield Capital on September 20, 2024, putting the company's pre-money valuation at $61.51 million. Amber Group and 30 other investors also participated in the round. The funds will be used to grow the company's team, expand its presence in the Asia-Pacific region, and enhance its platform for more personalized user experiences.for more personalized user experiences.</t>
  </si>
  <si>
    <t>blockchain setup, crypto marketplace, cryptocurrency coins, cryptocurrency technology, decentralized autonomous organization, decentralized token, game developer tools, gaming development, governance tokens</t>
  </si>
  <si>
    <t>DAOs</t>
  </si>
  <si>
    <t>277011-55P</t>
  </si>
  <si>
    <t>Dariya Khojasteh</t>
  </si>
  <si>
    <t>+1 (843) 909-3233</t>
  </si>
  <si>
    <t>dariya@layer3.xyz</t>
  </si>
  <si>
    <t>Ms. Dariya Khojasteh is a Co-Founder and serves as Chief Executive Officer and Board Member at Layer3.</t>
  </si>
  <si>
    <t>University of Southern California (USC), BS (Bachelor of Science), University of Southern California (USC), MS (Master of Science)</t>
  </si>
  <si>
    <t>The company raised $20.58 million of Series A venture funding in a deal led by ParaFi Capital and Greenfield Capital on September 20, 2024, putting the company's pre-money valuation at $61.51 million. Amber Group, Immutable, Bitpanda, Lattice Capital Partners, 6th Man Ventures, Red Beard Ventures, Third Prime, King River Capital, Lattice Capital, Mirana Ventures, Electric Capital, LeadBlock Partners, Stateless Ventures, GD1, Sandeep Nailwal, Fredrik Haga, Jill Carlson, Richard Chen, Scott Keto, Antonio Martinez, Derek Walkush, Mats Olsen, Kinjal Shah, Jordan Momtazi, Tony Sheng, Nick Emmons, Felix Feng, Balaji Srinivasan, Kain Warick, Jai Bhavnani and Tioga Capital also participated in the round. The funds will be used to grow the company's team, expand its presence in the Asia-Pacific region, and enhance its platform for more personalized user experiences.</t>
  </si>
  <si>
    <t>6th Man Ventures, Amber Group, Antonio Martinez, Balaji Srinivasan, Bitpanda, Derek Walkush, Electric Capital, Felix Feng, Fredrik Haga, GD1, Greenfield Capital, Immutable, Jai Bhavnani, Jill Carlson, Jordan Momtazi, Kain Warick, King River Capital, Kinjal Shah, Lattice Capital, Lattice Capital Partners, LeadBlock Partners, Mats Olsen, Mirana Ventures, Nicholas Emmons, ParaFi Capital, Red Beard Ventures, Richard Chen, Sandeep Nailwal, Scott Keto, Stateless Ventures, Third Prime, Tioga Capital, Tony Sheng</t>
  </si>
  <si>
    <t>Greenfield Capital(Claude Donzé), ParaFi Capital(Benjamin Forman)</t>
  </si>
  <si>
    <t>Electric Capital Venture Fund II(Electric Capital), LeadBlock Bitpanda Ventures(LeadBlock Partners)</t>
  </si>
  <si>
    <t>Gunderson Dettmer (Legal Advisor to Electric Capital), Orrick (Legal Advisor to Company, Joseph Perkins)</t>
  </si>
  <si>
    <t>Orrick (Legal Advisor to Company, Joseph Perkins)</t>
  </si>
  <si>
    <t>Gunderson Dettmer (Legal Advisor to Electric Capital)</t>
  </si>
  <si>
    <t>Saint Peters, MO</t>
  </si>
  <si>
    <t>Saint Peters</t>
  </si>
  <si>
    <t>63376</t>
  </si>
  <si>
    <t>www.layer3.xyz</t>
  </si>
  <si>
    <t>177216-94T</t>
  </si>
  <si>
    <t>Learnfully</t>
  </si>
  <si>
    <t>470776-24</t>
  </si>
  <si>
    <t>Divergent Investments(Amol Deshpande), Figure Eight Investments(Diana Anthony), Goodwater Capital, Incite Ventures (San Francisco)(Swati Mylavarapu), Learn Capital, LearnStart, Speedwagon Capital Partners</t>
  </si>
  <si>
    <t>Divergent Investments (www.investdivergent.com), Figure Eight Investments (www.figure8.vc), Goodwater Capital (www.goodwatercap.com), Incite Ventures (San Francisco) (www.incite.org), Learn Capital (www.learn.vc), LearnStart (www.learnstart.vc), Speedwagon Capital Partners (www.speedwagoncapital.com)</t>
  </si>
  <si>
    <t>Developer of an artificial intelligence-driven content platform designed for neurodiverse learners' learning needs. The company's platform offers an analytic engine that takes information, responses, and measurable impressions to create and maintain each user's profile, and also goals and progress are displayed clearly, enabling learners to achieve their goals with fewer delays, frustration, and cost.</t>
  </si>
  <si>
    <t>The company joined LEGO Foundation as a part of the Play For All Accelerator on April 14, 2022. Previously, the company raised $1.25 million of seed funding from Figure Eight Investments, Goodwater Capital, and Incite Ventures on December 9, 2021. LearnStart and 3 other investors also participated in the round. The funds will be used to expand operations and its business reach.</t>
  </si>
  <si>
    <t>cognitive science technology, educational content, k-12 education, knowledge-based platform, online learning system, personalized learning, special educators</t>
  </si>
  <si>
    <t>270300-97P</t>
  </si>
  <si>
    <t>Letha McLaren</t>
  </si>
  <si>
    <t>Ms. Letha McLaren co-founded &amp; served as Advisor and Board Member at Learnfully. She served as Chief Executive Officer at Learnfully.</t>
  </si>
  <si>
    <t>The company raised $1.25 million of seed funding from Figure Eight Investments, Goodwater Capital, and Incite Ventures on December 9, 2021. LearnStart, Learn Capital, Speedwagon Capital Partners and Divergent Investments also participated in the round. The funds will be used to expand operations and its business reach.</t>
  </si>
  <si>
    <t>Divergent Investments, Figure Eight Investments, Goodwater Capital, Incite Ventures (San Francisco), Learn Capital, LearnStart, Speedwagon Capital Partners</t>
  </si>
  <si>
    <t>Goodwater Capital II(Goodwater Capital)</t>
  </si>
  <si>
    <t>Gunderson Law Firm (Legal Advisor to Company)</t>
  </si>
  <si>
    <t>www.learnfully.com</t>
  </si>
  <si>
    <t>253746-01T</t>
  </si>
  <si>
    <t>Let's Get Set</t>
  </si>
  <si>
    <t>492678-82</t>
  </si>
  <si>
    <t>Village Capital, Volunteers of America</t>
  </si>
  <si>
    <t>Village Capital (www.vilcap.com), Volunteers of America (voa.org)</t>
  </si>
  <si>
    <t>Operator of a fintech company intended to help new parents match with tax prep and get the support they need during tax time. The company assists parents at tax time claim their tax credits that go unclaimed each year and then using them to reach a savings goal, enabling users to plan their finances and have financial stability.</t>
  </si>
  <si>
    <t>The company raised $150,000 of venture funding in the form of SAFE notes from Volunteers of America and Village Capital on May 18, 2023.</t>
  </si>
  <si>
    <t>financial planning, financial stability, fintech company, personal financial management, savings plan, tax credit, tax platform</t>
  </si>
  <si>
    <t>314211-61P</t>
  </si>
  <si>
    <t>Clare Herceg</t>
  </si>
  <si>
    <t>+1 (469) 300-1084</t>
  </si>
  <si>
    <t>clare@letsgetset.co</t>
  </si>
  <si>
    <t>Ms. Clare Herceg is the Founder and serves as Chief Executive Officer at Let's Get Set.</t>
  </si>
  <si>
    <t>MIT (Sloan), Degree</t>
  </si>
  <si>
    <t>Volunteers of America</t>
  </si>
  <si>
    <t>Village Capital</t>
  </si>
  <si>
    <t>Financial Health Innovation Fund(Village Capital)</t>
  </si>
  <si>
    <t>94158</t>
  </si>
  <si>
    <t>www.letsgetset.co</t>
  </si>
  <si>
    <t>196697-53T</t>
  </si>
  <si>
    <t>Leviti</t>
  </si>
  <si>
    <t>499856-41</t>
  </si>
  <si>
    <t>Resolute Ventures, Salesforce Ventures</t>
  </si>
  <si>
    <t>Resolute Ventures (www.resolute.vc), Salesforce Ventures (www.salesforceventures.com)</t>
  </si>
  <si>
    <t>Developer of a corporate events marketplace intended to curate virtual and hybrid events for business engagements. The company specializes in planning micro events and provides a platform that powers fast, high-quality events with vetted event experiences and resources, helping firms ro connect while also automating tedious logistics.</t>
  </si>
  <si>
    <t>The company raised $3.22 million of venture through a combination of debt and equity on June 17, 2022, putting the company's pre-money valuation at $7 million. $3.10 million of Seed-1 and Seed-2 funding was raised from Resolute Ventures, Salesforce Ventures, and undisclosed investors. A $0.11 million loan was provided by undisclosed lenders.</t>
  </si>
  <si>
    <t>business engagement, corporate events, event management, event marketplace, marketplace search, marketplace service</t>
  </si>
  <si>
    <t>305965-63P</t>
  </si>
  <si>
    <t>Neda Mansoorian</t>
  </si>
  <si>
    <t>+1 (408) 455-7244</t>
  </si>
  <si>
    <t>neda@leviti.io</t>
  </si>
  <si>
    <t>Ms. Neda Mansoorian is a Co-Founder &amp; serves as Chief Executive Officer &amp; Board Member at Leviti.</t>
  </si>
  <si>
    <t>Santa Clara University, JD (Doctor of Law), 1999, Law, University of California, Berkeley, BA (Bachelor of Arts), 1994, Political Science</t>
  </si>
  <si>
    <t>The company raised $3.22 million of venture through a combination of debt and equity on June 17, 2022, putting the company's pre-money valuation at $7 million. $3.10 million of Seed-1 and Seed-2 funding was raised from Resolute Ventures, Salesforce Ventures, and undisclosed investors. A $0.11 million loan was provided by undisclosed lender.</t>
  </si>
  <si>
    <t>Resolute III(Resolute Ventures)</t>
  </si>
  <si>
    <t>Campbell, CA</t>
  </si>
  <si>
    <t>Campbell</t>
  </si>
  <si>
    <t>95008</t>
  </si>
  <si>
    <t>www.leviti.io</t>
  </si>
  <si>
    <t>Other - $0.11M</t>
  </si>
  <si>
    <t>182699-74T</t>
  </si>
  <si>
    <t>Levro</t>
  </si>
  <si>
    <t>483347-53</t>
  </si>
  <si>
    <t>Electric Ant, Frontline Ventures, Kintxo Cortés(Kintxo Cortés), Mentors Fund, Moonfire, Palrecha Capital, Phoenix Investment Club (San Francisco), Side Door Ventures</t>
  </si>
  <si>
    <t>Electric Ant (www.electricant.xyz), Frontline Ventures (www.frontline.vc), Mentors Fund (www.mentors.fund), Moonfire (www.moonfire.com), Palrecha Capital (www.palrecha.com), Phoenix Investment Club (San Francisco) (www.phoenixclub.vc), Side Door Ventures (www.sdv.vc)</t>
  </si>
  <si>
    <t>Developer of a business banking platform designed to help companies expand overseas. The company's platform specializes in allowing businesses to hold, convert, pay in, and payout multiple currencies using one account as a part of the global financial infrastructure by optimizing for cost, speed, and compliance, enabling businesses to work with customers, pay suppliers, hold currencies, and operate in different currencies around the world and also simplify and automate their payments at scale.</t>
  </si>
  <si>
    <t>The company raised $25,000 of seed funding from Side Door Ventures, Phoenix Investment Club, and Mentors Fund on September 14, 2021. Moonfire and 4 other investors also participated in the round.</t>
  </si>
  <si>
    <t>bank account, business banking, cross-border payments, enterprise payment, financial infrastructure, financial technology, fx, global financial platform, international business, modern banking, multicurrency platform, multicurrency swap, overseas business, payment</t>
  </si>
  <si>
    <t>61954-12P</t>
  </si>
  <si>
    <t>Cathryn Han</t>
  </si>
  <si>
    <t>cathy@42debut.com</t>
  </si>
  <si>
    <t>Ms. Cathryn Han is a Co-Founder &amp; serves as Chairman at 42 Technologies. Ms. Cathryn Han is a Co-Founder &amp; serves as Chief Executive Officer at Levro. She served as Chief Executive Officer at 42 technologies. She was the Category Development at Procter &amp; Gamble.</t>
  </si>
  <si>
    <t>University of British Columbia, Degree, Finance, University of Waterloo, Degree</t>
  </si>
  <si>
    <t>The company raised $25,000 of seed funding from Side Door Ventures, Phoenix Investment Club, and Mentors Fund on September 14, 2021. Moonfire, Frontline Ventures, Electric Ant, Palrecha Capital, and Kintxo Cortes also participated in the round.</t>
  </si>
  <si>
    <t>Electric Ant, Frontline Ventures, Kintxo Cortés, Mentors Fund, Moonfire, Palrecha Capital, Phoenix Investment Club (San Francisco), Side Door Ventures</t>
  </si>
  <si>
    <t>www.levro.com</t>
  </si>
  <si>
    <t>267640-21T</t>
  </si>
  <si>
    <t>Levvy</t>
  </si>
  <si>
    <t>607570-93</t>
  </si>
  <si>
    <t>K5 Global</t>
  </si>
  <si>
    <t>K5 Global (www.k5global.com)</t>
  </si>
  <si>
    <t>Developer of a work management platform designed to support outsourced teams of any size across accounting and business services. The company's platform specializes in building institutional knowledge, creating consistency with standardized workflows, visualizing work, eliminating tedious tasks, connecting teams, and tracking real-time progress and team capacity, helping businesses and employees easily manage at-risk tasks, approvals, and dependencies to ensure the work gets done.</t>
  </si>
  <si>
    <t>The company is in the process of raising $2 million of Series 1 venture funding from K5 Global on August 3, 2024, putting the company's pre-money valuation at $7 million.</t>
  </si>
  <si>
    <t>Business/Productivity Software*, Other Business Products and Services, Other Financial Services</t>
  </si>
  <si>
    <t>practice management, work management, work management platform, work management tool, workflow management, workflow management company</t>
  </si>
  <si>
    <t>402743-71P</t>
  </si>
  <si>
    <t>Jeanne Hardy</t>
  </si>
  <si>
    <t>+1 (917) 860-8309</t>
  </si>
  <si>
    <t>jeanne@levvy.com</t>
  </si>
  <si>
    <t>Ms. Jeanne Hardy is the Founder and serves as Chief Executive Officer at Levvy. She built her career around helping business owners unlock new levels of growth. While growing her own firm, Creative Business Inc., and working with many professional services clients for many years, She saw growing firms tripping over their tech and delivering a sub-par client experience as a result. She couldn't find a tool that met the unique needs of professional services firms, so she built Levvy.</t>
  </si>
  <si>
    <t>Orrick (Legal Advisor to K5 Global)</t>
  </si>
  <si>
    <t>www.levvy.com</t>
  </si>
  <si>
    <t>157723-66T</t>
  </si>
  <si>
    <t>Lido (Business/Productivity Software)</t>
  </si>
  <si>
    <t>437795-83</t>
  </si>
  <si>
    <t>BoxGroup, F7 Ventures, Global Founders Capital(Donald Stalter), Great Oaks Venture Capital, NextView Ventures</t>
  </si>
  <si>
    <t>BoxGroup (www.boxgroup.com), F7 Ventures (www.f7ventures.com), Global Founders Capital (www.globalfounderscapital.com), Great Oaks Venture Capital (www.greatoaksvc.com), NextView Ventures (www.nextview.vc)</t>
  </si>
  <si>
    <t>Developer of a data analysis platform designed to gather data from multiple sources and create custom reports. The company's platform imports and syncs all business data in a connected spreadsheet and then helps build custom reports, dashboards and apps directly from the sheet without coding, enabling businesses to analyze and make data-driven decisions faster.</t>
  </si>
  <si>
    <t>The company raised $5 million of venture funding from Valor Equity Partners, Reshape Ventures and Pareto Holdings in June 2022.</t>
  </si>
  <si>
    <t>Automation/Workflow Software, Business/Productivity Software, Database Software*</t>
  </si>
  <si>
    <t>analytics software, custom reporting, custom reporting software, data analysis service, data gathering, data industry, email and authoring, kms, knowledge management system, spreadsheet tools</t>
  </si>
  <si>
    <t>165361-42P</t>
  </si>
  <si>
    <t>Mary Tung</t>
  </si>
  <si>
    <t>mtung@lido.app</t>
  </si>
  <si>
    <t>Ms. Mary Tung is the Founder &amp; serves as Chief Executive Officer at Lido (Business/Productivity Software). Ms. Mary Tung served as Associate at Centerbridge Partners. Mary joined Centerbridge in 2016. Prior to joining Centerbridge, Mary was an Analyst in the Restructuring Group at The Blackstone Group L.P.</t>
  </si>
  <si>
    <t>Duke University, BA (Bachelor of Arts), 2014, Arts and History</t>
  </si>
  <si>
    <t>The company raised $2.8 million of venture funding from F7 Ventures, Global Founders Capital, Great Oaks Venture Capital and BoxGroup on January 29, 2020. NextView Ventures and other undisclosed investors also participated in the round.</t>
  </si>
  <si>
    <t>BoxGroup, F7 Ventures, Global Founders Capital, Great Oaks Venture Capital, NextView Ventures</t>
  </si>
  <si>
    <t>BoxGroup Four(BoxGroup), F7 Ventures Fund I(F7 Ventures), NextView Ventures III(NextView Ventures), Three Oaks Venture Fund(Great Oaks Venture Capital)</t>
  </si>
  <si>
    <t>www.lido.app</t>
  </si>
  <si>
    <t>188351-56T</t>
  </si>
  <si>
    <t>LifeWeb 360</t>
  </si>
  <si>
    <t>437463-46</t>
  </si>
  <si>
    <t>KID Venture Capital, Prota Ventures</t>
  </si>
  <si>
    <t>KID Venture Capital (www.kidventurecapital.com), Prota Ventures (www.protaventures.com)</t>
  </si>
  <si>
    <t>Developer of an online memorial scrapbook designed for family and friends to remember loved ones. The company's online scrapbook uses a memorial tool to collect unlimited photos, stories, and video links and effortlessly curate a multidimensional celebration of a life lived, enabling organizations and individuals to keep memories alive and preserve their relationships with those who lived those memories.</t>
  </si>
  <si>
    <t>The company joined Blackbaud Social Good Startup Program as a part of Blackbaud's Tech Accelerator July 2024 Cohort on July 23, 2024. No equity or funding was exchanged as a result of this program.</t>
  </si>
  <si>
    <t>collaborative storytelling platform, end-of-life planning, funeral online, online scrapbook, scrapbook, scrapbook tools</t>
  </si>
  <si>
    <t>143271-46P</t>
  </si>
  <si>
    <t>Ali Briggs</t>
  </si>
  <si>
    <t>+1 (708) 320-1084</t>
  </si>
  <si>
    <t>abriggs@lifeweb360.com</t>
  </si>
  <si>
    <t>Ms. Ali Briggs is a Co-Founder and serves as Chief Executive Officer at LifeWeb 360. She served as an Corporate Strategy Associate Manager at Pepsico. Previously, she served as a Senior Consultant at Oliver Wyman.</t>
  </si>
  <si>
    <t>Case Western Reserve University, BA (Bachelor of Arts), 2011, Management, Case Western Reserve University, BS (Bachelor of Science), 2011, Management, Degree, 2009, International/Global Studies, Universitat de Barcelona, Degree, 2010, Marketing</t>
  </si>
  <si>
    <t>The company raised $200,000 of pre-seed funding from KID Venture Capital and Prota Ventures in December 2021.</t>
  </si>
  <si>
    <t>www.lifeweb360.com</t>
  </si>
  <si>
    <t>221040-82T</t>
  </si>
  <si>
    <t>Lightning Law</t>
  </si>
  <si>
    <t>438057-37</t>
  </si>
  <si>
    <t>End Poverty. Make Trillions.(Darryl Finkton)</t>
  </si>
  <si>
    <t>End Poverty. Make Trillions. (endpovertymaketrillions.com)</t>
  </si>
  <si>
    <t>Operator of a legal software company intended to make the legal system efficient and accessible. The company accelerates and simplifies the deposition process by prioritizing the needs and workflow of court reporters as well as guarantees safe links, security, and encryption at all access points and identity verification for all third-party attendees, enabling clients to enjoy fast scheduling and seamless video conferencing without giving any unnecessary fee.</t>
  </si>
  <si>
    <t>The company raised $300,000 of venture funding in the form of SAFE notes from undisclosed investors on January 26, 2024.</t>
  </si>
  <si>
    <t>Business/Productivity Software*, Legal Services (B2B), Other Commercial Services</t>
  </si>
  <si>
    <t>deposition streaming, law technology, legal software service, legal solution, remote deposition, remote deposition technology, transcripts management</t>
  </si>
  <si>
    <t>237968-74P</t>
  </si>
  <si>
    <t>Alisa Brodkowitz</t>
  </si>
  <si>
    <t>+1 (206) 657-7378</t>
  </si>
  <si>
    <t>alisa@lightning.law</t>
  </si>
  <si>
    <t>Ms. Alisa Brodkowitz serves as Chief Executive Officer and Board Member at Lightning Law. Alisa is a trial attorney with over 20 years of experience. She has tried complex cases in multiple jurisdictions and litigated internationally. Her cases have been profiled by Le Monde, CNN and the Wall Street Journal. She is the past president of King County Washington Women Lawyers and of the Aviation Section of the American Association of Justice. Frustrated with the limited tools available to take remote depositions or present witnesses remotely at trial Alisa founded Lightning Law to provide a solution to these problems. Along the way, she found that by innovating in the area of remote testimony she could help increase access to justice and empower court reporters.. Lightning law blends her goals of remote litigation, equitable treatment of court reporters, and low-cost entry into a system that benefits all parties.</t>
  </si>
  <si>
    <t>The company raised $1 million of seed funding in a deal led by End Poverty. Make Trillions. on August 5, 2021. Other undisclosed investors also participated in the round. Out of the total funding $50,000 was originally raised in the form of SAFE notes and subsequently converted into equity. The funds will be used to accelerate development of its platform.</t>
  </si>
  <si>
    <t>End Poverty. Make Trillions.</t>
  </si>
  <si>
    <t>Carefree, AZ</t>
  </si>
  <si>
    <t>Carefree</t>
  </si>
  <si>
    <t>85377</t>
  </si>
  <si>
    <t>www.lightning.law</t>
  </si>
  <si>
    <t>120487-24T</t>
  </si>
  <si>
    <t>Lili (Financial Software)</t>
  </si>
  <si>
    <t>268586-83</t>
  </si>
  <si>
    <t>AltaIR Capital(Igor Ryabenkiy), Foundation Capital(Angus Davis), Group 11(Dovi Frances), Primary Venture Partners, Torch Capital</t>
  </si>
  <si>
    <t>AltaIR Capital (www.altair.vc), Foundation Capital (www.foundationcapital.com), Group 11 (group11.vc), Primary Venture Partners (www.primary.vc), Torch Capital (www.torchcapital.vc)</t>
  </si>
  <si>
    <t>Developer of a digital banking application designed for the financial needs of small businesses. The company's application generates automatic spending reports and smart insights with intuitive expense tracking and tax reporting, along with offering cash-back rewards on everyday spending, enabling freelancers to stay in control of their finances while saving time and money.</t>
  </si>
  <si>
    <t>The company raised $55 million of Series B venture funding in a deal led by Group 11 on April 22, 2021, putting the company's pre-money valuation at $210 million. AltaIR Capital and 5 others investors also participated in the round. Previously, the company raised $15 million of Series A venture funding in a deal led by Group 11 on October 7, 2020, putting the company's pre-money valuation at $40 million. Foundation Capital and 6 other investors also participated in the round.</t>
  </si>
  <si>
    <t>Application Software, Financial Software*, Other Commercial Banks, Other Financial Services</t>
  </si>
  <si>
    <t>accounting software, banking services, commercial finance, digital banking, digital banking app, digital banking process, enterprise resource planning, erp, financial management system, internet banking, mobile banking service, neobanking platform, tax saving tools</t>
  </si>
  <si>
    <t>207124-84P</t>
  </si>
  <si>
    <t>Lilac David</t>
  </si>
  <si>
    <t>+1 (855) 545-4380</t>
  </si>
  <si>
    <t>lilac@lili.co</t>
  </si>
  <si>
    <t>Ms. Lilac David is a Co-Founder and serves as Board Member and Chief Executive Officer at Lili.</t>
  </si>
  <si>
    <t>The company raised $10 million of Seed 1 and Seed 2 funding in a deal led by Group 11 on June 3, 2020. Foundation Capital, AltaIR Capital, Primary Venture Partners, and Torch Capital also participated in the round.</t>
  </si>
  <si>
    <t>AltaIR Capital, Foundation Capital, Group 11, Primary Venture Partners, Torch Capital</t>
  </si>
  <si>
    <t>Group 11(Dovi Frances)</t>
  </si>
  <si>
    <t>AltaIR Growth Venture(AltaIR Capital), Foundation Capital IX(Foundation Capital), Group 11 Fund V(Group 11), PVP Fund II(Primary Venture Partners), Torch Capital I(Torch Capital)</t>
  </si>
  <si>
    <t>10014</t>
  </si>
  <si>
    <t>www.lili.co</t>
  </si>
  <si>
    <t>243467-29T</t>
  </si>
  <si>
    <t>Lilo (Business/Productivity Software)</t>
  </si>
  <si>
    <t>538116-76</t>
  </si>
  <si>
    <t>Add Ventures, Burst Capital, Empire State Development, New York Ventures, Nido Ventures, Precursor Ventures</t>
  </si>
  <si>
    <t>Add Ventures (www.addventures.vc), Burst Capital (www.burst.llc), Empire State Development (www.esd.ny.gov), Nido Ventures (www.nido.ventures), Precursor Ventures (precursorvc.com)</t>
  </si>
  <si>
    <t>Operator of a purchasing platform intended to onboard vendors, find new vendors, order in one place, and pay digitally. The company's platform specializes in providing a marketplace to purchase all hotel supplies, enabling hotel owners to spend more time taking care of their guests, and less time procuring supplies.</t>
  </si>
  <si>
    <t>The company raised $610,000 of pre-seed funding in the form of SAFE notes in a deal led by Precursor Ventures on January 30, 2024. New York Ventures, Burst Capital, Add Ventures, Nido Ventures, and Empire State Development also participated in the round.</t>
  </si>
  <si>
    <t>digital platform, hotel management, hotel supplies, marketplace search, online store, procurement team, purchasing platform</t>
  </si>
  <si>
    <t>370677-16P</t>
  </si>
  <si>
    <t>Javier Kopaitic</t>
  </si>
  <si>
    <t>+1 (862) 283-2147</t>
  </si>
  <si>
    <t>Mr. Javier Kopaitic is a Co-Founder and serves as Chief Operating Officer at Lilo.</t>
  </si>
  <si>
    <t>Burst Capital Fund II(Burst Capital), Nido Ventures Fund I(Nido Ventures), NY Ventures Pre Seed and Seed Matching Fund Program(New York Ventures)</t>
  </si>
  <si>
    <t>lilohotelsupplies.com</t>
  </si>
  <si>
    <t>257312-08T</t>
  </si>
  <si>
    <t>LINGO</t>
  </si>
  <si>
    <t>594327-88</t>
  </si>
  <si>
    <t>1863 Ventures, Joy Johnson(Joy Johnson), Pinnacle Private Ventures(Ronald McCurry), Sequoia Capital</t>
  </si>
  <si>
    <t>1863 Ventures (www.1863.fund), Sequoia Capital (www.sequoiacap.com)</t>
  </si>
  <si>
    <t>Operator of an educational platform intended to offer products to build confidence and problem-solving skills through hands-on projects. The company's platform helps build engineering projects, learn to code, innovate, and explore STEM modules, enabling students to discover and experience fun and hands-on projects that ignite curiosity and learning.</t>
  </si>
  <si>
    <t>The company raised $2.5 million of seed funding in a deal led by Pinnacle Private Ventures on November 5, 2024. Sequoia Capital, 1863 Ventures and Dr. Joy Johnson also participated in the round. The funds will be used to expand adoption of the company's hands-on, project-based coding kits, and curriculum, which include lessons for students aged 13 and up in fields such as artificial intelligence, space systems and environmental monitoring.</t>
  </si>
  <si>
    <t>coding project, educational kits, educational projects, engineering projects, gamified learning, hands on learning, learning ecosystem, problem solving, skills development, stem learning, technology games</t>
  </si>
  <si>
    <t>241548-67P</t>
  </si>
  <si>
    <t>Aisha Bowe</t>
  </si>
  <si>
    <t>+1 (703) 884-2121</t>
  </si>
  <si>
    <t>aisha@stemboard.com</t>
  </si>
  <si>
    <t>Ms. Aisha Bowe is the Founder and serves as Chief Executive Officer at STEMBoard. Aisha Bowe is a former NASA rocket scientist, a global motivational speaker, and the founder and CEO of STEM Board. A member of the National Society of Black Engineers (NSBE) and the American Institute of Aeronautics and Astronautics (AIAA), Aisha has earned numerous awards for her dedication to technical excellence and the principles of diversity and opportunity. She holds a B.S.E in Aerospace Engineering and an M. Eng. in Space Systems Engineering from the University of Michigan, and sits on the university's Aerospace Department Industry Advisory Board.</t>
  </si>
  <si>
    <t>University of Michigan, Ann Arbor, Bachelor's, Aerospace Engineering, University of Michigan, Ann Arbor, ME (Master of Engineering), Space Systems Engineering</t>
  </si>
  <si>
    <t>1863 Ventures, Joy Johnson, Pinnacle Private Ventures, Sequoia Capital</t>
  </si>
  <si>
    <t>Pinnacle Private Ventures(Ronald McCurry)</t>
  </si>
  <si>
    <t>22201</t>
  </si>
  <si>
    <t>www.stemlingo.com</t>
  </si>
  <si>
    <t>206565-58T</t>
  </si>
  <si>
    <t>Lirvana Labs</t>
  </si>
  <si>
    <t>510437-17</t>
  </si>
  <si>
    <t>Chingona Ventures, Kapor Capital</t>
  </si>
  <si>
    <t>Chingona Ventures (chingona.ventures), Kapor Capital (www.kaporcapital.com)</t>
  </si>
  <si>
    <t>Operator of an educational app-based platform intended to make teaching accessible to everyone. The company's app utilizes machine learning and conversational AI to guide, encourage, and provide a co-viewing experience that optimizes learning outcomes, enabling students to get social-emotional learning, English literacy, and math reasoning skills in early childhood and elementary years.</t>
  </si>
  <si>
    <t>The company raised $5.3 million of venture funding in a deal led by Kapor Capital, Chingona Ventures, and Transcend Capital Partners on April 4, 2024. Innovation and Technology Fund also participated in the round. The funds will be used to expand the company's flagship product and to pursue efficacy studies with research institutions plus further its partnerships with pilot schools and non-governmental organizations (NGOs).</t>
  </si>
  <si>
    <t>Artificial Intelligence &amp; Machine Learning, Big Data, EdTech</t>
  </si>
  <si>
    <t>children educational, consumer data analytics, education application, education platform, elementary schooling, learning platform, social emotional learning, vertical application</t>
  </si>
  <si>
    <t>87293-98P</t>
  </si>
  <si>
    <t>Clement Pang</t>
  </si>
  <si>
    <t>+1 (650) 427-1000</t>
  </si>
  <si>
    <t>Mr. Clement Pang is a Co-Founder and serves as Co-Chief Executive Officer, President &amp; Board Member at Lirvana Labs. Mr. Clement Pang also serves as Advisor at NetSpring. Mr. Pang Co-Founded and served as Chief Architect at Wavefront. He serves as Board Member at Junzi.</t>
  </si>
  <si>
    <t>Degree, 2003, Rice University, BS (Bachelor of Science), 2007, Computer Science &amp; Electrical Engineerin</t>
  </si>
  <si>
    <t>The company raised $3.03 million of seed funding from Kapor Capital and Chingona Ventures on October 10, 2022, putting the company's pre-money valuation at $6 million.</t>
  </si>
  <si>
    <t>Orrick (Legal Advisor to Kapor Capital)</t>
  </si>
  <si>
    <t>www.yeticonfettikids.com</t>
  </si>
  <si>
    <t>197158-96T</t>
  </si>
  <si>
    <t>Lithos Carbon</t>
  </si>
  <si>
    <t>500747-59</t>
  </si>
  <si>
    <t>Bain Capital, Bain Capital Ventures, BCP Capital, Carbon Drawdown Initiative, Carbon Removal Partners, Cavallo Ventures(Brett Morris), Climate Capital, Fall Line Capital, Greylock(Michael Duboe), Kayak Ventures, Sequoia Capital, Union Square Ventures(Albert Wenger)</t>
  </si>
  <si>
    <t>Bain Capital (www.baincapital.com), Bain Capital Ventures (www.baincapitalventures.com), Carbon Drawdown Initiative (www.carbon-drawdown.de), Carbon Removal Partners (www.carbonremoval.partners), Cavallo Ventures (www.cavallovc.com), Climate Capital (www.climatecapital.co), Fall Line Capital (www.fall-line-capital.com), Greylock (www.greylock.com), Kayak Ventures (www.kayak.ventures), Sequoia Capital (www.sequoiacap.com), Union Square Ventures (www.usv.com)</t>
  </si>
  <si>
    <t>Developer of isotope dilution technology designed for cost-effective verification of carbon removal in soil. The company's technology uses novel soil models and machine learning methods to accelerate mineral weathering by spreading basalt on croplands to increase dissolved inorganic carbon with eventual storage as ocean carbonates, enabling farmers to maximize carbon dioxide removal while boosting crop growth.</t>
  </si>
  <si>
    <t>The company raised $6 million of Series A seed funding in the form of SAFE notes in a deal led by Bain Capital, BCP Capital, and Union Square Ventures on May 18, 2024. Cavallo Ventures, Fall Line Capital, Bain Capital Ventures, Climate Capital, Sequoia Capital, Kayak Ventures, Carbon Removal Partners, and Carbon Drawdown Initiative also participated in the round.</t>
  </si>
  <si>
    <t>Business/Productivity Software, Environmental Services (B2B)*, Other Agriculture</t>
  </si>
  <si>
    <t>AgTech, CleanTech, Impact Investing</t>
  </si>
  <si>
    <t>ag biotech, agricultural analysis, agricultural biotech, agriculture, agriculture technology, basalt solutions, carbon dioxide removal, carbon processing, carbon removal, cleantech business, crop growth, isotopes technology, plant biotech, plant biotechnology</t>
  </si>
  <si>
    <t>306821-44P</t>
  </si>
  <si>
    <t>Mary Yap</t>
  </si>
  <si>
    <t>mary@lithoscarbon.com</t>
  </si>
  <si>
    <t>Ms. Mary Yap is a Co-Founder and serves as Chief Executive Officer and Board Member at Lithos. She spent more than 6 years scaling early-stage startups, and her family are generational farmers in Taiwan. She studied geology and planetary science at Yale, where she conducted award-winning scientific and urban research on the climate crisis.</t>
  </si>
  <si>
    <t>Yale University, Degree, Geology and Planetary Science</t>
  </si>
  <si>
    <t>Bain Capital, Bain Capital Ventures, BCP Capital, Carbon Drawdown Initiative, Carbon Removal Partners, Cavallo Ventures, Climate Capital, Fall Line Capital, Greylock, Kayak Ventures, Sequoia Capital, Union Square Ventures</t>
  </si>
  <si>
    <t>Bain Capital, BCP Capital, Greylock(Michael Duboe), Union Square Ventures(Albert Wenger)</t>
  </si>
  <si>
    <t>Greylock XVI(Greylock), USV Climate 2021(Union Square Ventures)</t>
  </si>
  <si>
    <t>Gunderson Dettmer (Legal Advisor to Union Square Ventures), Wilson Sonsini Goodrich &amp; Rosati (Legal Advisor to Sequoia Capital)</t>
  </si>
  <si>
    <t>98004-6813</t>
  </si>
  <si>
    <t>www.lithoscarbon.com</t>
  </si>
  <si>
    <t>190725-67T</t>
  </si>
  <si>
    <t>Littlebird Connected Care</t>
  </si>
  <si>
    <t>493999-21</t>
  </si>
  <si>
    <t>Braxton Carter(Braxton Carter), Christian Jaag, Hanif Joshaghani(Hanif Joshaghani), Startup Haven</t>
  </si>
  <si>
    <t>Startup Haven (startuphaven.com)</t>
  </si>
  <si>
    <t>Developer of a digital health device designed to track children's activity and reduce the risk for parents, and caregivers, and improve long-term health outcomes. The company's device tracks and monitor the location, activity level, sleep, heart rate, and temperature of kids and send a timeline with photos, quick status reports, and an assessment of the child's mood to the caregiver, enabling parents to keep a check of their children's wellbeing and safety with ease.</t>
  </si>
  <si>
    <t>The company raised an undisclosed amount of venture funding from Scale Good Fund in July 2023.</t>
  </si>
  <si>
    <t>Application Software, Electronics (B2C)*</t>
  </si>
  <si>
    <t>Advanced Manufacturing, LOHAS &amp; Wellness, Mobile, SaaS, Wearables &amp; Quantified Self</t>
  </si>
  <si>
    <t>care facilities, child care management, digital health, digital health platform, health technology platform, social emotional learning, subscription application, wearable device</t>
  </si>
  <si>
    <t>295529-68P</t>
  </si>
  <si>
    <t>Monica Plath</t>
  </si>
  <si>
    <t>+1 (206) 395-8000</t>
  </si>
  <si>
    <t>monica@littlebird.care</t>
  </si>
  <si>
    <t>Ms. Monica Plath is a Co-Founder and serves as Chief Executive Officer at Littlebird Connected Care.</t>
  </si>
  <si>
    <t>University of Washington, Seattle, Degree</t>
  </si>
  <si>
    <t>The company raised $2 million of seed funding from Startup Haven, Hanif Joshaghani and J. Braxton Carter on October 15, 2021, putting the company's pre-money valuation at $18 million. Christian Jaag also participated in the round.</t>
  </si>
  <si>
    <t>Braxton Carter, Christian Jaag, Hanif Joshaghani, Startup Haven</t>
  </si>
  <si>
    <t>98101</t>
  </si>
  <si>
    <t>www.littlebird.care</t>
  </si>
  <si>
    <t>Buttons, pins, buckles, slide fasteners, or the like, Diagnosis, Information and communication technology [ict] specially adapted for administrative, commercial, financial, managerial or supervisory purposes</t>
  </si>
  <si>
    <t>203606-11T</t>
  </si>
  <si>
    <t>LivNow</t>
  </si>
  <si>
    <t>506878-75</t>
  </si>
  <si>
    <t>AARP, LongJump</t>
  </si>
  <si>
    <t>AARP (www.aarp.org), LongJump (www.longjump.vc)</t>
  </si>
  <si>
    <t>Provider of relocation services for residents intended to deliver residents to belong to a retirement community. The company assists adults and their families navigate the relocation process to transition from their homes into senior living communities with ease, enabling clients to receive the best value and service for all their relocation-related needs.</t>
  </si>
  <si>
    <t>The company joined AgeTech Collaborative Accelerator on September 1, 2023 and received $50,000 in funding.</t>
  </si>
  <si>
    <t>relocation agency, relocation company, relocation management, relocation moving, relocation package, relocation services</t>
  </si>
  <si>
    <t>315800-92P</t>
  </si>
  <si>
    <t>Maureen Longoria</t>
  </si>
  <si>
    <t>+1 (708) 927-1616</t>
  </si>
  <si>
    <t>mlongoria@livnowrelocation.com</t>
  </si>
  <si>
    <t>Ms. Maureen Longoria is a Co-Founder and serves as Chief Executive Officer at LivNow. She has worked for several large Relocation Management Companies and Global Van Lines during her career. She is a Certified Relocation Professional (CRP), a Global Mobility Specialist (GMS) and has earned a FIDI Diploma from the FIDI Global Alliance. She has held roles on numerous boards and committees including the Chicago Relocation Council, HRMAC (Human Resource Management Association of Chicago) Interest Groups, ERC Worldwide Planning Committee, ERC Worldwide Charitable Foundation, and been a volunteer at BEDS Homeless Shelter for over 20 years.</t>
  </si>
  <si>
    <t>The company raised $100,000 of seed funding from AARP and LongJump on August 30, 2022.</t>
  </si>
  <si>
    <t>Glen Ellyn, IL</t>
  </si>
  <si>
    <t>Glen Ellyn</t>
  </si>
  <si>
    <t>60137</t>
  </si>
  <si>
    <t>www.livnowrelocation.com</t>
  </si>
  <si>
    <t>195230-71T</t>
  </si>
  <si>
    <t>LoadStop</t>
  </si>
  <si>
    <t>466108-03</t>
  </si>
  <si>
    <t>SV Tech Ventures, Worldwide Capital</t>
  </si>
  <si>
    <t>SV Tech Ventures (www.svtechventures.com), Worldwide Capital (www.worldwidecapital.com)</t>
  </si>
  <si>
    <t>Developer of a digital carrier platform designed to transform and automate fleet operations. The company's AI-based platform helps automate freight matching, operational workflows, and visibility in a single window, create multiple fleet plans based on freight markets, load types, load preferences, seasons, and driver cycles, schedule based on real-time events, and automatically send bids, providing businesses with digital transformation and improved productivity.</t>
  </si>
  <si>
    <t>The company raised an undisclosed amount of venture funding from The Riverside Company in approximately March 2024.</t>
  </si>
  <si>
    <t>digital platform, fleet data, fleet management, freight industry, scm, supply chain management, trucking industry, trucking software, trucking software system, trucking solutions, trucking tools</t>
  </si>
  <si>
    <t>119500-66P</t>
  </si>
  <si>
    <t>Raza Ali</t>
  </si>
  <si>
    <t>+1 (866) 965-6237</t>
  </si>
  <si>
    <t>rk@loadstop.com</t>
  </si>
  <si>
    <t>Ms. Raza Ali is a Co-Founder and serves as Chief Executive Officer and Chief Technology Officer at LoadStop. She Co-Founded and served as Chief Executive Officer at CourseEasy.</t>
  </si>
  <si>
    <t>The company raised $1 million of seed funding in a deal led by Worldwide Capital in June 1, 2020. SV Tech Ventures also participated in the round.</t>
  </si>
  <si>
    <t>Worldwide Capital</t>
  </si>
  <si>
    <t>SV Tech Fund III(SV Tech Ventures)</t>
  </si>
  <si>
    <t>92620</t>
  </si>
  <si>
    <t>www.loadstop.com</t>
  </si>
  <si>
    <t>183958-84T</t>
  </si>
  <si>
    <t>LoanSense</t>
  </si>
  <si>
    <t>469973-44</t>
  </si>
  <si>
    <t>Avalanche VC, BAMco Enterprises, The American Family Insurance Institute for Corporate and Social Impact</t>
  </si>
  <si>
    <t>Avalanche VC (www.avalanche.vc), BAMco Enterprises (www.bamco.enterprises), The American Family Insurance Institute for Corporate and Social Impact (www.amfaminstitute.com)</t>
  </si>
  <si>
    <t>Operator of a debt management platform intended to help borrowers reduce debt and achieve the dream of homeownership. The company's platform guides to set up goals and personalize plans to improve the debt-to-income ratio through advisory and monthly payment calculations, enabling borrowers to access financial planning, student loan servicing, and closing mortgages.</t>
  </si>
  <si>
    <t>The company raised an undisclosed amount of venture funding from Rethink Capital Partners in February 2024.</t>
  </si>
  <si>
    <t>alternative lending, debt advisory, financial advisor, mortgage debt, repayment services, retail and marketplace lending, retail lending, student loan, student loan repayment</t>
  </si>
  <si>
    <t>269037-64P</t>
  </si>
  <si>
    <t>Catalina Kaiyoorawongs</t>
  </si>
  <si>
    <t>+1 (734) 203-7640</t>
  </si>
  <si>
    <t>catalina@myloansense.com</t>
  </si>
  <si>
    <t>Ms. Catalina Kaiyoorawongs is a Co-Founder and serves as Chief Executive Officer and Board Member at LoanSense.</t>
  </si>
  <si>
    <t>The company raised $1.55 million of seed funding in the form of SAFE notes from Avalanche VC, The American Family Insurance Institute for Corporate and Social Impact and BAMco Enterprises on December 30, 2021.</t>
  </si>
  <si>
    <t>Avalanche VC Fund I(Avalanche VC)</t>
  </si>
  <si>
    <t>Michael Best &amp; Friedrich (Legal Advisor to The American Family Insurance Institute for Corporate and Social Impact, Nicholas Herdrich)</t>
  </si>
  <si>
    <t>Ypsilanti, MI</t>
  </si>
  <si>
    <t>Ypsilanti</t>
  </si>
  <si>
    <t>48197</t>
  </si>
  <si>
    <t>www.myloansense.com</t>
  </si>
  <si>
    <t>210853-99T</t>
  </si>
  <si>
    <t>Lobus</t>
  </si>
  <si>
    <t>266703-94</t>
  </si>
  <si>
    <t>8VC, Boost VC, Franklin Templeton (NYS: BEN), Upside Partnership, Weekend Fund</t>
  </si>
  <si>
    <t>8VC (www.8vc.com), Boost VC (www.boost.vc), Franklin Templeton (NYS: BEN) (www.franklinresources.com), Upside Partnership (www.upsidevc.com), Weekend Fund (weekend.fund)</t>
  </si>
  <si>
    <t>Operator of an art management platform intended to help art owners manage their digital assets. The company's platform provides reports and news of artists, industry news, art financials, and financial management tools with an artist-centric marketplace, enabling clients to easily manage the value and decision-making necessary for their business.</t>
  </si>
  <si>
    <t>The company raised an undisclosed amount of venture funding from Rosecliff Venture Partners in approximately April 2022.</t>
  </si>
  <si>
    <t>art information, art management system, art trade, art trading software, art work, asset management operations, investment platform, investment tool, wealthtech</t>
  </si>
  <si>
    <t>Art Trading Platforms</t>
  </si>
  <si>
    <t>206706-79P</t>
  </si>
  <si>
    <t>Lori Hotz</t>
  </si>
  <si>
    <t>+1 (650) 743-8062</t>
  </si>
  <si>
    <t>lori@lobus.io</t>
  </si>
  <si>
    <t>Ms. Lori Hotz is a Co-Founder &amp; serves as Chief Executive Officer of Lobus.</t>
  </si>
  <si>
    <t>The company raised an estimated $4.90 million through a combination of Seed-1 and Seed funding from Weekend Fund, Upside Partnership and 8VC on April 7, 2020, putting the company's pre-money valuation at $10.1 million. Boost VC and Franklin Templeton also participated in the round.</t>
  </si>
  <si>
    <t>8VC, Boost VC, Franklin Templeton, Upside Partnership, Weekend Fund</t>
  </si>
  <si>
    <t>10065</t>
  </si>
  <si>
    <t>www.lobus.io</t>
  </si>
  <si>
    <t>201607-39T</t>
  </si>
  <si>
    <t>LocalAway</t>
  </si>
  <si>
    <t>501672-07</t>
  </si>
  <si>
    <t>Builders + Backers(Mych Richardson), Crosscut Ventures, First Row Partners, Graham &amp; Walker, Samantha Keys, Singularity Capital</t>
  </si>
  <si>
    <t>Builders + Backers (www.buildersandbackers.com), Crosscut Ventures (www.crosscut.vc), First Row Partners (www.firstrowpartners.vc), Graham &amp; Walker (www.grahamwalker.com), Singularity Capital (singularitycapital.us)</t>
  </si>
  <si>
    <t>Operator of a social fashion marketplace intended to provide a curated shopping experience from influencers. The company collaborates with local boutiques, stylists, designers, and brands to create a real-time influencer-driven e-commerce marketplace, enabling customers to chat with fashion influencers in real time and discover real dress codes from the streets, local brand reviews, and live shopping experiences.</t>
  </si>
  <si>
    <t>The company raised an estimated $1.08 million of venture funding from MGV Capital Group, Mark Lambert, and Jane Tran on February 14, 2023. RevTech Ventures and other undisclosed investors also participated in the round. Previously, the company raised $500,000 of Series 2 venture funding from Graham &amp; Walker, Crosscut Ventures and First Row Partners on December 16, 2022, putting the company's pre-money valuation at $4.5 million. Singularity Capital, Builders + Backers and Samantha Fernandez Keys also participated in the round.</t>
  </si>
  <si>
    <t>Information Services (B2C), Media and Information Services (B2B)*, Social Content, Social/Platform Software</t>
  </si>
  <si>
    <t>ecommerce marketplace, fashion market, fashion marketplace, influencer campaign, live shopping experience, local branding, shopping advice, social commerce tools, social marketplace</t>
  </si>
  <si>
    <t>309561-22P</t>
  </si>
  <si>
    <t>Julia Peter</t>
  </si>
  <si>
    <t>+1 (415) 926-9734</t>
  </si>
  <si>
    <t>jpeter@localaway.com</t>
  </si>
  <si>
    <t>Ms. Julia Peter is a Co-Founder and serves as Chief Executive Officer at LocalAway.</t>
  </si>
  <si>
    <t>Arizona State University, BA (Bachelor of Arts), 2004, Political Science, Law, BFA (Bachelor of Fine Arts), 2009, Interactive Media, Design, Stanford University, Degree</t>
  </si>
  <si>
    <t>The company raised $500,000 of Series 2 venture funding from Graham &amp; Walker, Crosscut Ventures and First Row Partners on December 16, 2022, putting the company's pre-money valuation at $4.5 million. Singularity Capital, Builders + Backers and Samantha Fernandez Keys also participated in the round.</t>
  </si>
  <si>
    <t>Builders + Backers, Crosscut Ventures, First Row Partners, Graham &amp; Walker, Samantha Keys, Singularity Capital</t>
  </si>
  <si>
    <t>Finck &amp; Miller LLP (Legal Advisor to Company, Kevin Finck JD)</t>
  </si>
  <si>
    <t>78735</t>
  </si>
  <si>
    <t>www.localaway.com</t>
  </si>
  <si>
    <t>250595-92T</t>
  </si>
  <si>
    <t>Locker (Social/Platform Software)</t>
  </si>
  <si>
    <t>483639-94</t>
  </si>
  <si>
    <t>Wonder Ventures</t>
  </si>
  <si>
    <t>Wonder Ventures (www.wondervc.com)</t>
  </si>
  <si>
    <t>Developer of a website extension and social shopping platform intended to help customers organize their online shopping favorites and essentials in one place. The company's platform helps to organize all the fashion collections that were saved based on occasion or style, share those collections with friends and even recommend those perfect pieces to a friend when shopping online, enabling users to revolutionize their online shopping by saving their favorites across hundreds of brand websites.</t>
  </si>
  <si>
    <t>The company raised $2.5 million of seed funding from Wonder Ventures and other undisclosed investors in approximately January 2024.</t>
  </si>
  <si>
    <t>online social shopping, social shopping app, social shopping platform, social shopping software, web extensions, website extensions</t>
  </si>
  <si>
    <t>281061-73P</t>
  </si>
  <si>
    <t>Kristine Locker</t>
  </si>
  <si>
    <t>+1 (818) 956-8800</t>
  </si>
  <si>
    <t>kristine@wantlocker.com</t>
  </si>
  <si>
    <t>Ms. Kristine Locker is the Founder and serves as Chief Executive Officer at Locker (Social/Platform Software).</t>
  </si>
  <si>
    <t>Glendale, CA</t>
  </si>
  <si>
    <t>Glendale</t>
  </si>
  <si>
    <t>91207</t>
  </si>
  <si>
    <t>www.wantlocker.com</t>
  </si>
  <si>
    <t>172699-48T</t>
  </si>
  <si>
    <t>LoCo Plus</t>
  </si>
  <si>
    <t>465649-93</t>
  </si>
  <si>
    <t>Southbox Capital</t>
  </si>
  <si>
    <t>Southbox Capital (southboxcapital.com)</t>
  </si>
  <si>
    <t>Operator of a video streaming and distribution platform intended for local filmmakers and video artists to publish and monetize their videos. The company's platform offers viewers short-form and long-form, locally sourced, originally produced content ranging from films, lifestyle series and music videos, enabling creators to get direct viewership and licensing opportunities.</t>
  </si>
  <si>
    <t>The company raised $450,000 of pre-seed funding from Southbox Capital and other undisclosed investors on August 1, 2021, putting the company's pre-money valuation at $4.05 million.</t>
  </si>
  <si>
    <t>Entertainment Software*, Information Services (B2C), Media and Information Services (B2B), Movies, Music and Entertainment</t>
  </si>
  <si>
    <t>AudioTech, Cryptocurrency/Blockchain</t>
  </si>
  <si>
    <t>content creation &amp; distribution, creator economy, media entertainment, streaming network, streaming platform, video platform</t>
  </si>
  <si>
    <t>261543-70P</t>
  </si>
  <si>
    <t>Kate Atwood</t>
  </si>
  <si>
    <t>+1 (404) 578-8248</t>
  </si>
  <si>
    <t>kate@locoplus.network</t>
  </si>
  <si>
    <t>Ms. Kate Atwood is a Co-Founder &amp; serves as Chief Executive Officer at LoCo+.</t>
  </si>
  <si>
    <t>30312</t>
  </si>
  <si>
    <t>www.golocoplus.com</t>
  </si>
  <si>
    <t>277646-41T</t>
  </si>
  <si>
    <t>Locus Lock</t>
  </si>
  <si>
    <t>528692-41</t>
  </si>
  <si>
    <t>ff Venture Capital</t>
  </si>
  <si>
    <t>ff Venture Capital (www.ffvc.com)</t>
  </si>
  <si>
    <t>Developer of intelligent software-defined GNSS receiver technology designed to deliver centimeter-accurate real-time positioning for commercial and military use. The company specializes in capturing precise heading that can be used for positioning, navigation, and timing, and offers advanced signal situational awareness, anti-spoofing, and interference technology, enabling users to allow for centimeter-resolution location data.</t>
  </si>
  <si>
    <t>The company raised $1.07 million of venture funding from Jolt VC, AIN Ventures and Aurelia Foundry on November 15, 2024, putting the company's pre-money valuation at $10 million. CreationsVC, Techstars and University of Texas also participated in the round.</t>
  </si>
  <si>
    <t>Business/Productivity Software, Electronic Equipment and Instruments*, Other Hardware</t>
  </si>
  <si>
    <t>global positioning system, gps software, inertial measurement unit, interference technology, positioning technology, precise positioning, radio frequency, real time data, real time positioning, system integration</t>
  </si>
  <si>
    <t>362014-48P</t>
  </si>
  <si>
    <t>Hailey Nichols</t>
  </si>
  <si>
    <t>hailey@locuslock.com</t>
  </si>
  <si>
    <t>Ms. Hailey Nichols is the Founder and serves as Chief Executive Officer at Locus Lock. She is a nationally recognized entrepreneur with a robust technical engineering background. Her work has taken this next-generation technology built in the research laboratory to commercial applications that rely on high-fidelity positioning solutions. She was awarded the Malcolm Milburn Endowed Scholarship and the inaugural Launch Texas Fellowship for her research and work on Locus Lock. She's been recognized by Aviation Week Network's 20 Twenties and Austin Inno's 25 under 25 for her outstanding contributions to the aerospace and tech community. She received her M.S.E. in Aerospace Engineering with a Space Tech Entrepreneurship specialization from the University of Texas at Austin in 2022. She received her B.S. in Aerospace Engineering with an Aerospace Information Technology specialization from MIT in 2019.</t>
  </si>
  <si>
    <t>Massachusetts Institute of Technology (MIT), BS (Bachelor of Science), 2019, Aerospace Engineering, University of Texas, Austin, MS (Master of Science), 2022, Aerospace Engineering</t>
  </si>
  <si>
    <t>The company raised $100,000 of venture funding from ff Venture Capital on January 31, 2024, putting the company's pre-money valuation at $10 million.</t>
  </si>
  <si>
    <t>Boulder, CO</t>
  </si>
  <si>
    <t>Boulder</t>
  </si>
  <si>
    <t>80301</t>
  </si>
  <si>
    <t>www.locuslock.com</t>
  </si>
  <si>
    <t>159978-07T</t>
  </si>
  <si>
    <t>Logica (Financial Software)</t>
  </si>
  <si>
    <t>454285-18</t>
  </si>
  <si>
    <t>Invest Nebraska, Maverick Venture Fund</t>
  </si>
  <si>
    <t>Invest Nebraska (www.investnebraska.com), Maverick Venture Fund (www.maverickventurefund.com)</t>
  </si>
  <si>
    <t>Developer of financial modeling software designed to collaborate finance teams with the entire organization securely and efficiently. The company's software provides financial planning, scenario analysis, dynamic planning, budgeting, and forecasting and offers transparent, controlled reporting and consolidation for management, investors, and other stakeholders, enabling businesses to make decisions by creating and comparing multiple scenarios.</t>
  </si>
  <si>
    <t>The company raised $1 million of Series 1 venture funding in the combination of SAFE notes and equity from Open Opportunity Fund, Proven Ventures, and Tribe Capital on April 9, 2021. Invest Nebraska, Nelnet Ventures, and other undisclosed investors also participated in the round. Out of the total amount, $100,000 was raised in the form of SAFE notes.</t>
  </si>
  <si>
    <t>analysis platform, financial modeling platform, financial modeling tools, financial modelling framework, reporting making, scenario analysis</t>
  </si>
  <si>
    <t>246644-38P</t>
  </si>
  <si>
    <t>Carissa Castro</t>
  </si>
  <si>
    <t>carissa.castro@logica.cloud</t>
  </si>
  <si>
    <t>Ms. Carissa Castro is a Co-Founder and serves as Chief Executive Officer at Logica (Financial Software).</t>
  </si>
  <si>
    <t>University of Nebraska, Lincoln, BS (Bachelor of Science), 2008, Chemical Engineering</t>
  </si>
  <si>
    <t>The company raised $50,000 of venture funding from Invest Nebraska, Maverick Venture Fund, and other undislcosed investors on June 18, 2020.</t>
  </si>
  <si>
    <t>www.logica.cloud</t>
  </si>
  <si>
    <t>261334-72T</t>
  </si>
  <si>
    <t>Lokum</t>
  </si>
  <si>
    <t>538273-18</t>
  </si>
  <si>
    <t>Aileen Allen(Aileen Allen), Matt Miller(Matt Miller), South Loop Ventures, Techstars</t>
  </si>
  <si>
    <t>South Loop Ventures (www.southloop.vc), Techstars (www.techstars.com)</t>
  </si>
  <si>
    <t>Developer of a mobile matchmaking platform intended to convert the recruitment process to a matchmaking process and to connect the right provider with the right practice. The company's platform creates a convenient, non-intrusive, modern marketplace to connect clinicians and employers who need their services, enabling nurse anesthesiology providers to view jobs, credential with multiple facilities, join local talent pools, and book excellent CRNA locum jobs</t>
  </si>
  <si>
    <t>The company raised $700,000 of seed funding from South Loop Ventures, Techstars and Aileen Allen on June 4, 2024. Matt Miller also participated in the round. The funds will be used toward further development of the technology. Previously, the company joined Google for Startups as a part of its Black Founders Accelerator program in 2024.</t>
  </si>
  <si>
    <t>HealthTech, Mobile, SaaS</t>
  </si>
  <si>
    <t>crna locum, healthcare job search, healthcare partner, healthcare recruitment, healthcare staffing, matchmaking platform, recruitment app, software company</t>
  </si>
  <si>
    <t>371124-91P</t>
  </si>
  <si>
    <t>Ayoade Ademuyewo</t>
  </si>
  <si>
    <t>+1 (210) 692-4485</t>
  </si>
  <si>
    <t>ayoade.ademuyewo@lokumapp.com</t>
  </si>
  <si>
    <t>Ms. Ayoade Ademuyewo is the Founder &amp; serves as Chief Executive Officer at Lokum. She is an experienced independent contractor in anesthesiology. She has served as a healthcare provider her entire adult life, after training in the prestigious Texas Medical Center in Houston, and still practices as a CRNA in facilities throughout Texas. After experiencing firsthand the challenges that clinicians and healthcare facilities face, she started asking questions, Lokum App was the answer. She loves solving problems with enthusiastic people, finding innovative solutions, and creating an engaging experience for others. She leveraged her interests and skills to assemble an enthusiastic team of talented developers and operational staff to create the first version of Lokum App which launched in App Stores in March 2023.</t>
  </si>
  <si>
    <t>Doctoral Degree, 2018, Nurse Anesthetist, University of Texas, Arlington, Bachelor's, 2012, Registered Nursing/Registered Nurse</t>
  </si>
  <si>
    <t>The company raised $700,000 of seed funding from South Loop Ventures, Techstars and Aileen Allen on June 4, 2024. Matt Miller also participated in the round. The funds will be used toward further development of the technology.</t>
  </si>
  <si>
    <t>Aileen Allen, Matt Miller, South Loop Ventures</t>
  </si>
  <si>
    <t>77074</t>
  </si>
  <si>
    <t>www.lokumapp.com</t>
  </si>
  <si>
    <t>191224-54T</t>
  </si>
  <si>
    <t>Loop Crypto</t>
  </si>
  <si>
    <t>494048-62</t>
  </si>
  <si>
    <t>A.Capital Ventures, Alchemy Ventures (California), Alex Disney(Alex Disney), Alex Svanevik(Alex Svanevik), Allan Niemerg(Allan Niemerg), Andreessen Horowitz, Archetype (venture firm), Bradley Kam(Bradley Kam), CoinList, Fos Finance, Imran Khan(Imran Khan), John Zannos(John Zannos), Lauren Stephanian(Lauren Stephanian), Maex Ament(Maex Ament), Michelle Fang(Michelle Fang), Pat Doyle(Pat Doyle), Paul Veradittakit(Paul Veradittakit), Reverie financial services, Shivangi Gandhi(Shivangi Gandhi), Spenser Huang(Spenser Huang), Terri Burns(Terri Burns)</t>
  </si>
  <si>
    <t>A.Capital Ventures (www.acapital.com), Andreessen Horowitz (www.a16z.com), Archetype (venture firm) (www.archetype.fund), CoinList (www.coinlist.co), Fos Finance (www.fos.finance), Reverie financial services (www.reverie.ooo)</t>
  </si>
  <si>
    <t>Operator of an online payment platform intended to simplify crypto transactions. The company offers a crypto payment gateway loop to facilitate autopay for non-custodial wallets which is based on a web3 native non-custodial payment processor, enabling clients to use an efficient payment method whichis safe and secure in a web3 world.</t>
  </si>
  <si>
    <t>The company raised $4.01 million of seed funding from Alchemy Ventures (California), Reverie and Andreessen Horowitz on March 23, 2022, putting the company's pre-money valuation at $20 million. A.Capital Ventures and 17 other investors also participated in the round.</t>
  </si>
  <si>
    <t>autopayment facility, crypto based payment, crypto payment gateway, crypto payment service, crypto payment system, online payment platform</t>
  </si>
  <si>
    <t>296464-33P</t>
  </si>
  <si>
    <t>Eleni Steinman</t>
  </si>
  <si>
    <t>+1 (954) 557-4342</t>
  </si>
  <si>
    <t>eleni@loopcrypto.xyz</t>
  </si>
  <si>
    <t>Ms. Eleni Steinman is a Co-Founder and serves as Chief Executive Officer &amp; Board Member at Loop Crypto.</t>
  </si>
  <si>
    <t>The company raised $4.01 million of seed funding from Alchemy Ventures (California), Reverie and Andreessen Horowitz on March 23, 2022, putting the company's pre-money valuation at $20 million. A.Capital Ventures, Archetype (venture firm), Fos Finance, Paul Veradittakit, Imran Khan, Alexander Svanevik, Lauren Stephanian, Alex Disney, Brad Kam, Allan Niemerg, Pat Doyle, John Zannos, Maex Ament, Shivangi Gandhi, Terri Burns, Michelle Fang, Spenser Huang and CoinList also participated in the round.</t>
  </si>
  <si>
    <t>A.Capital Ventures, Alchemy Ventures (California), Alex Disney, Alex Svanevik, Allan Niemerg, Andreessen Horowitz, Archetype (venture firm), Bradley Kam, CoinList, Fos Finance, Imran Khan, John Zannos, Lauren Stephanian, Maex Ament, Michelle Fang, Pat Doyle, Paul Veradittakit, Reverie financial services, Shivangi Gandhi, Spenser Huang, Terri Burns</t>
  </si>
  <si>
    <t>A. Capital Partners III(A.Capital Ventures), Andreessen Horowitz Fund VII(Andreessen Horowitz)</t>
  </si>
  <si>
    <t>Gunderson Dettmer (Legal Advisor to Andreessen Horowitz), Morse (Legal Advisor to Company, Michael Jabbawy JD)</t>
  </si>
  <si>
    <t>Morse (Legal Advisor to Company, Michael Jabbawy JD)</t>
  </si>
  <si>
    <t>www.loopcrypto.xyz</t>
  </si>
  <si>
    <t>221284-00T</t>
  </si>
  <si>
    <t>Looped Solutions</t>
  </si>
  <si>
    <t>434746-90</t>
  </si>
  <si>
    <t>Developer of a social application designed to connect patients with their loved ones during health-related experiences. The company's platform offers secure social communication channels for all age groups and helps to create a photo gallery in order to send photos of love and support, enabling users to stay connected during the most important life-changing moments.</t>
  </si>
  <si>
    <t>The company raised $663,283 of venture funding in the form of convertible debt and equity from LifeX Ventures and Mastersfund on May 6, 2024.</t>
  </si>
  <si>
    <t>Application Software, Communication Software*, Other Healthcare Technology Systems, Social/Platform Software</t>
  </si>
  <si>
    <t>communication control, group messaging app, messaging platform, messaging platform developer, messaging platform provider, social care, social communication, social impact</t>
  </si>
  <si>
    <t>229188-88P</t>
  </si>
  <si>
    <t>Kara Wasser</t>
  </si>
  <si>
    <t>+1 (844) 394-4398</t>
  </si>
  <si>
    <t>kw@babyarrivalmonitor.com</t>
  </si>
  <si>
    <t>Ms. Kara Wasser is the Founder and also serves as its Chief Executive Officer at OhanaLink Technologies. Her professional portfolio expands over more than a decade in the financial industry as a leader and producer, nearly ten years in real estate lending as a mortgage loan officer, and six years in financial services management with a regional bank. After her own personal experiences with the challenges and frustrations with the lack of clear communication in the healthcare setting, she set out to create a solution. In 2017 she founded Dub Diversified, LLC, where she created the concept and design for OhanaLink Baby - an app to help expectant mothers and their support person to bridge communication gaps between patients, their families, and healthcare providers. She solely built the business from idea to prototype, to a native mobile app that is now ready to enter the market. In January of 2019, Kara left her full-time corporate role to become a relentless entrepreneur pursuing her vision - which is to take a product from concept to market. Kara completed a master's degree in Leadership and Professional Development from Duquesne University in Pittsburgh, Pennsylvania, and a bachelor's degree in Communication Studies.</t>
  </si>
  <si>
    <t>Bachelor's, Communication Studies, Duquesne University, Master's</t>
  </si>
  <si>
    <t>The company raised $332,500 of venture funding from Ben Franklin Technology Partner of Southeastern Pennsylvania in approximately January 2020.</t>
  </si>
  <si>
    <t>Hermitage, PA</t>
  </si>
  <si>
    <t>Hermitage</t>
  </si>
  <si>
    <t>16148</t>
  </si>
  <si>
    <t>www.ohanalink.com</t>
  </si>
  <si>
    <t>207443-98T</t>
  </si>
  <si>
    <t>Loopr</t>
  </si>
  <si>
    <t>497376-19</t>
  </si>
  <si>
    <t>Alliance of Angels, Bryant Hayward(Bryant Hayward), Keiretsu Capital, Keiretsu Forum, North West Quadrant Ventures, Plug and Play Tech Center, Singularity Capital, Stellar Ventures, Swan Venture Group</t>
  </si>
  <si>
    <t>Alliance of Angels (www.allianceofangels.com), Keiretsu Capital (www.keiretsucapital.com), Keiretsu Forum (www.keiretsuforum.com), North West Quadrant Ventures (www.nwqventures.com), Plug and Play Tech Center (www.plugandplaytechcenter.com), Singularity Capital (singularitycapital.us), Stellar Ventures (svc.vc), Swan Venture Group (www.swanvg.com)</t>
  </si>
  <si>
    <t>Developer of artificial intelligence-based automation platform designed for quality inspection in manufacturing. The company provides a no-code, cross-function, and cross-industry platform for businesses to adopt pre-built AI and decrease the time, money, and inconsistency of inspection processes such as defect detection and assembly verification, enabling businesses to address workforce challenges.</t>
  </si>
  <si>
    <t>The company raised an undisclosed amount of venture funding from Tacoma Venture Fund (TVF) in 2024.</t>
  </si>
  <si>
    <t>Advanced Manufacturing, Artificial Intelligence &amp; Machine Learning, Big Data, Manufacturing, SaaS</t>
  </si>
  <si>
    <t>ai model, ai platform technology, ai solutions, business automation, computer vision, customized model, farm management software, workflow software tools</t>
  </si>
  <si>
    <t>302642-83P</t>
  </si>
  <si>
    <t>Priyansha Bagaria</t>
  </si>
  <si>
    <t>+1 (206) 774-0808</t>
  </si>
  <si>
    <t>Ms. Priyansha Bagaria is the Founder and serves as Chief Executive Officer, President &amp; Board Member at Loopr AI. She has worked on a global scale in the varied fields of data science, computer science, and business administration. Her expertise has a unique amalgamation of core tech knowledge of deep learning and management of complex cloud migration platforms.</t>
  </si>
  <si>
    <t>BE (Bachelor of Engineering), 2013, Computer Science, Degree, 2019, Nyenrode Business University, MBA (Master of Business Administration), 2016, International Business, S.P. Jain Institute of Management &amp; Research, Degree, 2015, Business Administration, Management</t>
  </si>
  <si>
    <t>The company raised $1.35 million of Series 1 venture funding from Stellar Ventures, Swan Venture Group, and Keiretsu Capital in June 2023, putting the company's pre-money valuation at $9.5 million. Singularity Capital, Keiretsu Forum, Plug and Play Tech Center, Bryant Hayward, Alliance of Angels, and North West Quadrant Ventures also participated in the round. Of the total amount, $1.28 million was originally raised in the form of convertible debt and subsequently converted to equity.</t>
  </si>
  <si>
    <t>Alliance of Angels, Bryant Hayward, Keiretsu Capital, Keiretsu Forum, North West Quadrant Ventures, Plug and Play Tech Center, Singularity Capital, Stellar Ventures, Swan Venture Group</t>
  </si>
  <si>
    <t>Keiretsu Capital Co-Investment &amp; Opportunity Fund V(Keiretsu Capital), SWAN HNW Fund 1(Swan Venture Group), V-Tech I(Singularity Capital)</t>
  </si>
  <si>
    <t>www.loopr.ai</t>
  </si>
  <si>
    <t>182700-64T</t>
  </si>
  <si>
    <t>Loup</t>
  </si>
  <si>
    <t>483343-57</t>
  </si>
  <si>
    <t>Alanna Gregory(Alanna Gregory), Bin Zhao(Bin Zhao), Gradient Ventures(Wen-Wen Lam), Jack Xie(Jack Xie), Kevin Lin(Kevin Lin), Race Capital(Edith Yeung), Ran Makavy(Ran Makavy), SLVC</t>
  </si>
  <si>
    <t>Gradient Ventures (www.gradient.com), Race Capital (www.race.capital), SLVC (www.slvcap.com)</t>
  </si>
  <si>
    <t>Developer of a video marketing platform designed to personalize recommendations for maximum conversion. The company democratizes the secret sauce of the platforms to make shopping more personalized, interactive, and effective for brands, consumers, and creators, enabling customers to get interactive videos by personalizing user shopping journey.</t>
  </si>
  <si>
    <t>The company raised $6.2 million of seed funding in a deal led by Race Capital and Gradient Ventures on October 29, 2021. SLVC and other investors also participated in the round. The funds will be used to launch an eCommerce customer engagement and revenue platform and hire more AI and ML engineers to expand the company's product offerings.</t>
  </si>
  <si>
    <t>crm, customer relationship management, digital showroom, ecommerce personalization, interactive video content, live shopping experience, live video shopping tool, social commerce tools, video marketing platform</t>
  </si>
  <si>
    <t>52717-87P</t>
  </si>
  <si>
    <t>Frost Li</t>
  </si>
  <si>
    <t>frost@socialchat.ai</t>
  </si>
  <si>
    <t>Ms. Frost Li is the Founder and serves as Chief Executive Officer at Social Chat. She is an angel investor.</t>
  </si>
  <si>
    <t>National Taiwan University, BE (Bachelor of Engineering), 2009, Electrical Engineering, University of Michigan, Ann Arbor, MS (Master of Science), 2010, Computer Science &amp; Engineering</t>
  </si>
  <si>
    <t>The company raised $6.2 million of seed funding in a deal led by Race Capital and Gradient Ventures on October 29, 2021. SLVC, Kevin Lin, Tony Zhao, Ran Makavy, Jack Xie, Alanna Gregory, and other undisclosed investors also participated in the round. The funds will be used to launch an eCommerce customer engagement and revenue platform and hire more AI and ML engineers to expand the company's product offerings.</t>
  </si>
  <si>
    <t>Alanna Gregory, Bin Zhao, Gradient Ventures, Jack Xie, Kevin Lin, Race Capital, Ran Makavy, SLVC</t>
  </si>
  <si>
    <t>Gradient Ventures(Wen-Wen Lam), Race Capital(Edith Yeung)</t>
  </si>
  <si>
    <t>Race Capital I(Race Capital)</t>
  </si>
  <si>
    <t>Taylor Wessing (Legal Advisor to Gradient Ventures, Ian Moore), Wilson Sonsini Goodrich &amp; Rosati (Legal Advisor to Company)</t>
  </si>
  <si>
    <t>Taylor Wessing (Legal Advisor to Gradient Ventures, Ian Moore)</t>
  </si>
  <si>
    <t>San Francsico, CA</t>
  </si>
  <si>
    <t>San Francsico</t>
  </si>
  <si>
    <t>www.loup.ai</t>
  </si>
  <si>
    <t>107711-83T</t>
  </si>
  <si>
    <t>Loupe (Entertainment Software)</t>
  </si>
  <si>
    <t>229453-75</t>
  </si>
  <si>
    <t>Goal Ventures, Grit Capital Partners(Michael Flannery), Michael Perlis, Randall Batinkoff, Rebel Venture Fund, Redwood Partners(Michael Flannery), Sound Media Ventures(Shachar Oren), University of Nevada, Las Vegas Foundation</t>
  </si>
  <si>
    <t>Goal Ventures (www.goalventurepartners.com), Grit Capital Partners (www.grit.vc), Rebel Venture Fund (www.rebelventurefund.com), Redwood Partners (www.redwoodpartners.com), Sound Media Ventures (soundmedia.vc)</t>
  </si>
  <si>
    <t>Developer of a visual content streaming platform designed to serve artists around the globe. The company's platform offers an art player that continuously streams hi-res artwork from around the world as well as provides a marketplace that gives selected fine art prints and artist original works, enabling artists to get discovered by global audiences via a continuous, immersive display of artwork on television and other connected screens.</t>
  </si>
  <si>
    <t>The company raised $1 million of seed funding in the form of convertible debt from Grit Capital Partners and other undisclosed investors on June 20, 2024.</t>
  </si>
  <si>
    <t>Entertainment Software*, Media and Information Services (B2B), Other Commercial Services</t>
  </si>
  <si>
    <t>AudioTech, E-Commerce, SaaS</t>
  </si>
  <si>
    <t>art gallery, content streaming company, content streaming platform, digital art, digital media, online music platform, streaming platform, visual content</t>
  </si>
  <si>
    <t>187924-06P</t>
  </si>
  <si>
    <t>Dot Bustelo</t>
  </si>
  <si>
    <t>+1 (646) 729-9019</t>
  </si>
  <si>
    <t>dot@loupeart.com</t>
  </si>
  <si>
    <t>Ms. Dot Bustelo is the Founder &amp; served as Chief Executive Officer at Loupe (Entertainment Software).</t>
  </si>
  <si>
    <t>The company raised $405,002 of Seed funding from Rebel Venture Fund, Sound Media Ventures and Grit Capital Partners on September 1, 2020, putting the company's pre-money valuation at $4.5 million. Goal Ventures, Redwood Partners, Michael Perlis, Randall Batinkoff, University of Nevada and Las Vegas Foundation also participated in the round.</t>
  </si>
  <si>
    <t>Goal Ventures, Grit Capital Partners, Michael Perlis, Randall Batinkoff, Rebel Venture Fund, Redwood Partners, Sound Media Ventures, University of Nevada, Las Vegas Foundation</t>
  </si>
  <si>
    <t>Goal Venture Partners I(Goal Ventures), Grit Capital Seed 1(Grit Capital Partners), Sound Media Ventures Fund I(Sound Media Ventures)</t>
  </si>
  <si>
    <t>Bennett Thrasher (Advisor: General to Company, Christopher Benner), Hutchison (Legal Advisor to Company, Scott Bryant JD)</t>
  </si>
  <si>
    <t>30326</t>
  </si>
  <si>
    <t>loupeart.com</t>
  </si>
  <si>
    <t>188431-75T</t>
  </si>
  <si>
    <t>Lovewick</t>
  </si>
  <si>
    <t>491608-09</t>
  </si>
  <si>
    <t>Corazon Group(Sam Yagan), Gaingels, Leadout Capital, Tinder</t>
  </si>
  <si>
    <t>Corazon Group (www.corazon.com), Gaingels (www.gaingels.com), Leadout Capital (www.leadoutcapital.com), Tinder (www.tinder.com)</t>
  </si>
  <si>
    <t>Developer of a relationship application designed to offer dating ideas for couples. The company's platform provides personalized question games, topics of mutual likes for communication, and other activities for couples, enabling couples to set their relationship goals, modify behaviors, help learn about each other and guide people in relationships to cultivate understanding, appreciation, and novelty.</t>
  </si>
  <si>
    <t>The company raised $1 million of pre-seed funding in a deal led by Tinder, OkCupid, and Corazon Capital on February 14, 2022. Leadout Capital and Gaingels also participated in the round. The funds will be used to grow the team, make technology investments, and increase the audience they serve.</t>
  </si>
  <si>
    <t>app-based platform, communication platform, couples app, dating app, relationship app, relationship platform</t>
  </si>
  <si>
    <t>291353-05P</t>
  </si>
  <si>
    <t>Alison Maggioncalda</t>
  </si>
  <si>
    <t>Ms. Alison Maggioncalda is the Founder &amp; serves as Chief Executive Officer at Lovewick.</t>
  </si>
  <si>
    <t>Graduate, 2014</t>
  </si>
  <si>
    <t>The company raised $1 million of pre-seed funding in a deal led by Tinder,OkCupid and Corazon Capital on February 14, 2022. Leadout Capital and Gaingels also participated in the round. The funds will be used to grow the team, make technology investments, and increase the audience they serve.</t>
  </si>
  <si>
    <t>Corazon Group, Gaingels, Leadout Capital, Tinder</t>
  </si>
  <si>
    <t>Corazon Group(Sam Yagan), Tinder</t>
  </si>
  <si>
    <t>Corazon Capital III(Corazon Group)</t>
  </si>
  <si>
    <t>Montpac (Legal Advisor to Company)</t>
  </si>
  <si>
    <t>www.lovewick.com</t>
  </si>
  <si>
    <t>221396-14T</t>
  </si>
  <si>
    <t>Luca (Business/Productivity Software)</t>
  </si>
  <si>
    <t>515845-81</t>
  </si>
  <si>
    <t>Karman Ventures, Menlo Ventures, Soma Capital, Y Combinator</t>
  </si>
  <si>
    <t>Karman Ventures (www.karman.vc), Menlo Ventures (www.menlovc.com), Soma Capital (somacap.com), Y Combinator (www.ycombinator.com)</t>
  </si>
  <si>
    <t>Developer of an artificial intelligence-powered co-pilot designed for enterprise retailers to identify revenue and profit headroom, make recommendations for price adjustments, and save time in the process. The company's platform offers a flexible tool that empowers operators to find a pricing strategy that works for their business goals, offers smart pricing recommendations, and offers machine learning-based customer price elasticities to target precise margin and revenue outcomes for businesses, enabling businesses to have a platform that assists with revenue optimization.</t>
  </si>
  <si>
    <t>The company raised $2.5 million of seed funding in a deal led by Menlo Ventures on April 28, 2023. Soma Capital, Karman Ventures, Y Combinator and other undisclosed investors also participated in the round. The funds will be used toward expanding Luca's engineering and data science teams.</t>
  </si>
  <si>
    <t>market intelligence, price management, promotion management, retail technology, revenue optimization, software development</t>
  </si>
  <si>
    <t>327165-13P</t>
  </si>
  <si>
    <t>Tanvi Surti</t>
  </si>
  <si>
    <t>tanvi@askluca.com</t>
  </si>
  <si>
    <t>Ms. Tanvi Surti is a Co-Founder and serves as Chief Executive Officer at Luca.</t>
  </si>
  <si>
    <t>Karman Ventures, Menlo Ventures, Soma Capital</t>
  </si>
  <si>
    <t>Menlo Ventures</t>
  </si>
  <si>
    <t>GSK Stockmann (Legal Advisor to Company, Katy Ritzmann JD), Silicon Legal Strategy (Legal Advisor to Company, Coleman Cannon JD)</t>
  </si>
  <si>
    <t>www.askluca.com</t>
  </si>
  <si>
    <t>249163-93T</t>
  </si>
  <si>
    <t>Lucia</t>
  </si>
  <si>
    <t>509267-17</t>
  </si>
  <si>
    <t>JHH vc, VITALIZE Venture Capital</t>
  </si>
  <si>
    <t>JHH vc (www.jhh.vc), VITALIZE Venture Capital (vitalize.vc)</t>
  </si>
  <si>
    <t>Operator of a freelance marketplace company intended to connect hospitality businesses with skilled freelancers. The company specializes in unlocking talent, streamlining the workflow, trip research, admin support, and social media, enabling customers to connect and get opportunities in ongoing projects and the travel ecosystem.</t>
  </si>
  <si>
    <t>The company joined Plug and Play Tech Center as a part of Batch 17 on April 4, 2024. No equity or funding was exchanged as a result of this program.</t>
  </si>
  <si>
    <t>Application Software, Business/Productivity Software, Media and Information Services (B2B)*</t>
  </si>
  <si>
    <t>freelancers marketplace, freelancers platform, hospitality network, outsourcing marketplace, remote workers outsourcing, travel professional platform</t>
  </si>
  <si>
    <t>317096-02P</t>
  </si>
  <si>
    <t>Grace McBride</t>
  </si>
  <si>
    <t>+1 (631) 745-2772</t>
  </si>
  <si>
    <t>grace@letslucia.com</t>
  </si>
  <si>
    <t>Ms. Grace McBride is the Founder and serves as Chief Executive Officer &amp; Board Member at Lucia.</t>
  </si>
  <si>
    <t>The company raised $430,000 of seed funding from VITALIZE Venture Capital and JHH vc on January 10, 2024.</t>
  </si>
  <si>
    <t>VITALIZE Angels(VITALIZE Venture Capital)</t>
  </si>
  <si>
    <t>Lake Grove, NY</t>
  </si>
  <si>
    <t>Lake Grove</t>
  </si>
  <si>
    <t>11755</t>
  </si>
  <si>
    <t>letslucia.com</t>
  </si>
  <si>
    <t>179495-47T</t>
  </si>
  <si>
    <t>Lucky Sweater</t>
  </si>
  <si>
    <t>467107-39</t>
  </si>
  <si>
    <t>Allison Allen(Allison Allen), Amasia, Blaine Light(Blaine Light), Bloom Equity Partners, Bo Ren(Bo Ren), John Kim(John Kim), Keiki Capital, Nu Dao(Nu Dao), On Deck, Precursor Ventures, Ramanan Raghavendran(Ramanan Raghavendran), Russ Heddleston(Russ Heddleston)</t>
  </si>
  <si>
    <t>Amasia (www.amasia.vc), Bloom Equity Partners (www.bloomequitypartners.com), Keiki Capital (www.keikicapital.com), On Deck (www.beondeck.com), Precursor Ventures (precursorvc.com)</t>
  </si>
  <si>
    <t>Operator of an online community clothing swap platform designed to explore different styles, discover independent designers and try things with the slow fashion community. The company's shared slow fashion wardrobe offers brands that are already known and to discover sustainable makers, size-inclusive labels and designers who are also members of the community, enabling users to connect through online groups to trade items and share advice and inspiration.</t>
  </si>
  <si>
    <t>The company raised $750,000 of seed funding from Keiki Capital, Amasia and Precursor Ventures on September 16, 2022. On Deck and 7other undisclosed investors also participated in the round.</t>
  </si>
  <si>
    <t>Application Software, Information Services (B2C)*, Other Services (B2C Non-Financial)</t>
  </si>
  <si>
    <t>community platform, marketplace and community, online community application, online community platform, secondhand apparel, secondhand goods and product</t>
  </si>
  <si>
    <t>265002-13P</t>
  </si>
  <si>
    <t>Carley Lake</t>
  </si>
  <si>
    <t>carley@isthmusapp.com</t>
  </si>
  <si>
    <t>Ms. Carly Lake is a Co-Founder and serves as Chief Executive Officer and Board Member at Lucky Sweater. She's also the founder and editor of the sustainable fashion site Thoughtful Flamingo, named one of Eluxe Magazine's 11 eco-friendly blogs to follow. Prior to founding Isthmus, she was one of the first 500 employees at Uber, co-launched Uber Eats, and led Uber's global safety marketing and initiatives. She started her career as a digital strategist at Ogilvy for SC Johnson, Ford, Kimberly Clark, and Jim Beam.</t>
  </si>
  <si>
    <t>Northwestern University, BS (Bachelor of Science), 2012, International Studies, Journalism</t>
  </si>
  <si>
    <t>The company raised $750,000 of seed funding from Keiki Capital, Amasia and Precursor Ventures on September 16, 2022. On Deck, Allison Allen, Bloom Equity Partners, Russ Heddleston, John Kim, Ramanan Raghavendran, Blaine Light, Nu Dao and Bo Ren also participated in the round.</t>
  </si>
  <si>
    <t>Allison Allen, Amasia, Blaine Light, Bloom Equity Partners, Bo Ren, John Kim, Keiki Capital, Nu Dao, On Deck, Precursor Ventures, Ramanan Raghavendran, Russ Heddleston</t>
  </si>
  <si>
    <t>Amasia Fund II(Amasia), Keiki Venture Fund I(Keiki Capital), Precursor Ventures Opportunity Fund I(Precursor Ventures)</t>
  </si>
  <si>
    <t>Perkins Coie (Legal Advisor to Company), Silicon Legal Strategy (Legal Advisor to Company)</t>
  </si>
  <si>
    <t>Studio City, CA</t>
  </si>
  <si>
    <t>Studio City</t>
  </si>
  <si>
    <t>91604</t>
  </si>
  <si>
    <t>www.luckysweater.com</t>
  </si>
  <si>
    <t>188057-71T</t>
  </si>
  <si>
    <t>Ludo.</t>
  </si>
  <si>
    <t>491148-28</t>
  </si>
  <si>
    <t>Empty Set Group, Female Founders Fund, Forerunner Ventures, Harlem Capital, Human Ventures, Red Beard Ventures</t>
  </si>
  <si>
    <t>Empty Set Group (www.emptysetgroup.com), Female Founders Fund (www.femalefoundersfund.com), Forerunner Ventures (www.forerunnerventures.com), Harlem Capital (harlem.capital), Human Ventures (www.human.vc), Red Beard Ventures (redbeard.ventures)</t>
  </si>
  <si>
    <t>Developer of rewards software designed for white-label loyalty programs on the blockchain. The company's platform offers cryptocurrency to connect the wallet, enabling clients to receive rewards that will be sent in real-time after confirming the transaction on Metaverse.</t>
  </si>
  <si>
    <t>The company raised $4.15 million of seed funding in a deal led by Human Ventures on April 12, 2022. Female Founders Fund, Forerunner Ventures, Harlem Capital, Red Beard Ventures and Empty Set Group also participated in the round. Previously, the company received GBP 29,898 of grant funding from Innovate UK in January 2022.</t>
  </si>
  <si>
    <t>blockchain data, cryptocurrency and blockchain, labels loyalty, loyal holder, loyalty and incentive, loyalty program, metaverse hub, rewards software, social engagement</t>
  </si>
  <si>
    <t>290607-13P</t>
  </si>
  <si>
    <t>Renee Russo</t>
  </si>
  <si>
    <t>rrusso@tryludo.com</t>
  </si>
  <si>
    <t>Ms. Renee Russo is a Co-Founder and serves as Co-Chief Executive Officer at Glow Labs (Financial Software).</t>
  </si>
  <si>
    <t>Binghamton University (SUNY), Bachelor's, Computer Science</t>
  </si>
  <si>
    <t>The company raised $4.15 million of seed funding in a deal led by Human Ventures on April 12, 2022. Female Founders Fund, Forerunner Ventures, Harlem Capital, Red Beard Ventures and Empty Set Group also participated in the round.</t>
  </si>
  <si>
    <t>Human Ventures</t>
  </si>
  <si>
    <t>Harlem Capital Partners Venture Fund II(Harlem Capital), Human Ventures Fund I(Human Ventures)</t>
  </si>
  <si>
    <t>www.tryludo.com</t>
  </si>
  <si>
    <t>192902-14T</t>
  </si>
  <si>
    <t>Mad Realities</t>
  </si>
  <si>
    <t>495741-34</t>
  </si>
  <si>
    <t>11:11 Media(Paris Hilton), Adar Zango(Adar Zango), Alex Adelman(Alex Adelman), Alex Zhang(Alex Zhang), Breck stoghill(Breck stoghill), Electric Ant, Long Journey Ventures, Maveron, Paradigm (Crypto Fund), Patrick McCormick(Patrick McCormick), Rex Woodbury(Rex Woodbury), Rob Hayes(Rob Hayes), Selby Drummond(Selby Drummond), Tanthai Tanthai(Tanthai Tanthai), Trevor McFedries(Trevor McFedries), William Papper(William Papper)</t>
  </si>
  <si>
    <t>11:11 Media (www.parishilton.com), Electric Ant (www.electricant.xyz), Long Journey Ventures (www.longjourney.vc), Maveron (www.maveron.com), Paradigm (Crypto Fund) (www.paradigm.xyz)</t>
  </si>
  <si>
    <t>Developer of a decentralized media platform designed to let viewers own and co-create TV shows based on non-fungible tokens. The company's platform is an interactive and community-voted reality TV channel where people can participate in TV and decide what gets funded and distributed, enabling audiences and creatives to own the network and influence the shows.</t>
  </si>
  <si>
    <t>The company raised $6 million through a combination of Seed-1 and Seed-2 funding in a deal led by Paradigm on April 25, 2022, putting the company's pre-money valuation at $17 million. 11:11 Media and 14 other investors also participated in the round. The funds will be used to hire engineers to build out the platform and grow the core team.</t>
  </si>
  <si>
    <t>Financial Software, Movies, Music and Entertainment*, Other Financial Services</t>
  </si>
  <si>
    <t>crypto content and social, crypto platform, decentralized media, decentralized platform, nft platform, reality tv, web3 platform, web4</t>
  </si>
  <si>
    <t>299445-85P</t>
  </si>
  <si>
    <t>Devin Lewtan</t>
  </si>
  <si>
    <t>+1 (917) 810-3314</t>
  </si>
  <si>
    <t>devin@madrealities.xyz</t>
  </si>
  <si>
    <t>Ms. Devin Lewtan is a Co-Founder and serves as Co-Chief Executive Officer at Mad Realities.</t>
  </si>
  <si>
    <t>The company raised $6 million through a combination of Seed-1 and Seed-2 funding in a deal led by Paradigm on April 25, 2022, putting the company's pre-money valuation at $17 million. 11:11 Media, Maveron, Long Journey Ventures, Electric Ant, Breck stoghill, Rob Hayes, Rex Woodbury, Tanthai Pongstien, Packy McCormick, Alex Adelman, Adar Zango, Selby Drummond, Trevor McFedries, Alex Zhang and Will Papper also participated in the round.</t>
  </si>
  <si>
    <t>11:11 Media, Adar Zango, Alex Adelman, Alex Zhang, Breck stoghill, Electric Ant, Long Journey Ventures, Maveron, Paradigm (Crypto Fund), Patrick McCormick, Rex Woodbury, Rob Hayes, Selby Drummond, Tanthai Tanthai, Trevor McFedries, William Papper</t>
  </si>
  <si>
    <t>Paradigm (Crypto Fund)</t>
  </si>
  <si>
    <t>Gunderson Dettmer (Legal Advisor to Paradigm (Crypto Fund))</t>
  </si>
  <si>
    <t>Belmont, CA</t>
  </si>
  <si>
    <t>Belmont</t>
  </si>
  <si>
    <t>94002</t>
  </si>
  <si>
    <t>www.madrealities.tv</t>
  </si>
  <si>
    <t>168894-73T</t>
  </si>
  <si>
    <t>MagicBell</t>
  </si>
  <si>
    <t>459013-51</t>
  </si>
  <si>
    <t>BlueLotus Ventures, Brighter Capital, Cherry Ventures(Sophia Bendz), Christian Reber(Christian Reber-Prevot), Connect Ventures (UK), Magma Partners, Marie Outtier(Marie Outtier), Nicolas Dessaigne(Nicolas Dessaigne)</t>
  </si>
  <si>
    <t>BlueLotus Ventures (www.bluelotus.vc), Brighter Capital (www.brightercapital.com), Cherry Ventures (www.cherry.vc), Connect Ventures (UK) (www.connectventures.co), Magma Partners (www.magmapartners.com)</t>
  </si>
  <si>
    <t>Developer of a real-time notification platform designed to help businesses improve their user experience with smart notifications. The company's platform facilitates a variety of tools allowing sending notifications to their users in real-time across multiple channels, including email, push notifications, and SMS, enabling clients to focus on the company's core business logic.</t>
  </si>
  <si>
    <t>The company raised $2.5 million of seed funding from Connect Ventures on October 31, 2021. Previously, the company raised $1.9 million of seed funding in a deal led by Cherry Ventures on April 29, 2021. Brighter Capital and 6 other investors also participated in the round.</t>
  </si>
  <si>
    <t>api tool, multichannel system, notification management, notification software, performance analytics, real time communication, web push notifications</t>
  </si>
  <si>
    <t>250820-11P</t>
  </si>
  <si>
    <t>Hana Mohan</t>
  </si>
  <si>
    <t>hana@magicbell.io</t>
  </si>
  <si>
    <t>Ms. Hana Mohan is a Co-Founder and serves as Chief Executive Officer at MagicBell. She is a Co-Founder of SupportBee.</t>
  </si>
  <si>
    <t>The company raised $1.9 million of seed funding in a deal led by Cherry Ventures on April 29, 2021. Brighter Capital, Connect Ventures, Blue Lotus Ventures, Magma Partners, Nicolas Dessaigne, Marie Outtier and Christian Reber also participated in the round.</t>
  </si>
  <si>
    <t>BlueLotus Ventures, Brighter Capital, Cherry Ventures, Christian Reber, Connect Ventures (UK), Magma Partners, Marie Outtier, Nicolas Dessaigne</t>
  </si>
  <si>
    <t>Cherry Ventures(Sophia Bendz)</t>
  </si>
  <si>
    <t>Cherry Ventures Fund III(Cherry Ventures), Connect Ventures Fund II(Connect Ventures (UK)), Magma Opportunity SPV 2019(Magma Partners)</t>
  </si>
  <si>
    <t>www.magicbell.com</t>
  </si>
  <si>
    <t>184224-16T</t>
  </si>
  <si>
    <t>Maglev Aero</t>
  </si>
  <si>
    <t>454661-74</t>
  </si>
  <si>
    <t>Breakthrough Energy(Carmichael Roberts), Grit Capital Partners, Material Impact Fund(Carmichael Roberts), Moai Capital, Stage 1 Ventures</t>
  </si>
  <si>
    <t>Breakthrough Energy (breakthroughenergy.org), Grit Capital Partners (www.grit.vc), Material Impact Fund (www.materialimpact.com), Moai Capital (www.moai.vc), Stage 1 Ventures (www.stage1ventures.com)</t>
  </si>
  <si>
    <t>Developer of eVTOL (electric vertical take-off and landing) aircraft management platform designed to optimize mobility and connectivity. The company's platform helps in the deployment of high-performance and ultra-quiet vertical flight systems, enabling clients to improve urban air mobility systems.</t>
  </si>
  <si>
    <t>The company raised $14.33 million of venture funding from Material Impact Fund, Moai Capital, and Grit Capital Partners on February 9, 2024, putting the company's pre-money valuation at $17.44 million. Breakthrough Energy, Stage 1 Ventures, and other undisclosed investors also participated in the round. Recently, the company joined the MassRobotics Resident Program on an undisclosed date.</t>
  </si>
  <si>
    <t>Commercial Products</t>
  </si>
  <si>
    <t>Aerospace and Defense</t>
  </si>
  <si>
    <t>Aerospace and Defense*, Business/Productivity Software, Other Hardware</t>
  </si>
  <si>
    <t>Artificial Intelligence &amp; Machine Learning, Climate Tech, Mobility Tech</t>
  </si>
  <si>
    <t>advances air mobility, aerospace components solution, aircraft design, aircraft maintenance software, aircraft management business, aircraft technology, autonomous machine, autonomous vehicle, electric aircraft, evtol passenger aircraft</t>
  </si>
  <si>
    <t>Air Taxis</t>
  </si>
  <si>
    <t>247563-64P</t>
  </si>
  <si>
    <t>Ian Randall</t>
  </si>
  <si>
    <t>+1 (508) 505-4191</t>
  </si>
  <si>
    <t>ian@maglevaero.com</t>
  </si>
  <si>
    <t>Mr. Ian Randall is a Co-Founder &amp; serves as President, Chief Executive Officer &amp; Board Member at Maglev Aero.</t>
  </si>
  <si>
    <t>Purdue University, West Lafayette, BS (Bachelor of Science), Astronautical Engineering</t>
  </si>
  <si>
    <t>The company raised $14.33 million of venture funding from Material Impact Fund, Moai Capital and Grit Capital Partners on February 9, 2024, putting the company's pre-money valuation at $17.44 million. Breakthrough Energy, Stage 1 Ventures and other undisclosed investors also participated in the round.</t>
  </si>
  <si>
    <t>Breakthrough Energy, Grit Capital Partners, Material Impact Fund, Moai Capital, Stage 1 Ventures</t>
  </si>
  <si>
    <t>Material Impact Fund II(Material Impact Fund)</t>
  </si>
  <si>
    <t>Hopkinton, MA</t>
  </si>
  <si>
    <t>Hopkinton</t>
  </si>
  <si>
    <t>01748</t>
  </si>
  <si>
    <t>maglevaero.com</t>
  </si>
  <si>
    <t>179762-23T</t>
  </si>
  <si>
    <t>Magpie</t>
  </si>
  <si>
    <t>459169-66</t>
  </si>
  <si>
    <t>Aperture Venture Capital, Aria Emiko (Investment), Elevate Ventures, Ideaship, Neman Ventures, Rogue Women</t>
  </si>
  <si>
    <t>Aperture Venture Capital (www.aperturevc.com), Aria Emiko (Investment) (www.ariaemiko.com), Elevate Ventures (www.elevateventures.com), Ideaship (www.ideashipfund.com), Neman Ventures (www.shaneneman.com), Rogue Women (www.roguewmn.com)</t>
  </si>
  <si>
    <t>Developer of a digital portfolio management platform designed to explore and provide the live value of luxury goods and collectibles. The company's platform offers access to proprietary sales, inventory, and customer data, filling the space between retail and investment apps to offer everything clients need for effective collectibles ownership, all in one place, enabling customers to enjoy everything from sneakers to handbags to baseball cards.</t>
  </si>
  <si>
    <t>The company raised $50,000 of venture funding from Aria Emiko (Investment), Aperture Venture Capital, Rogue Women and Ideaship, Neman Ventures on February 6, 2024.</t>
  </si>
  <si>
    <t>advisortech, digital portfolio, ecommerce application, ecommerce platform, ecommerce software, fraud prevention, identity &amp; access management, identity and access management, management platform, portfolio valuation, vertical saas, wealthtech</t>
  </si>
  <si>
    <t>251159-95P</t>
  </si>
  <si>
    <t>Kathryn Harrison</t>
  </si>
  <si>
    <t>kathryn@magpiecollectibles.com</t>
  </si>
  <si>
    <t>Ms. Kathryn Harrison is a Co-Founder and serves as Chief Executive Officer at Magpie.</t>
  </si>
  <si>
    <t>University of Pennsylvania, MA (Master of Arts), 2012, Finance and Corporate Management, University of Pennsylvania (Wharton), MBA (Master of Business Administration), 2012, International Studies</t>
  </si>
  <si>
    <t>AVC 2021 Fund(Aperture Venture Capital), Rogue Women's Fund II(Rogue Women)</t>
  </si>
  <si>
    <t>www.magpiecollectibles.com</t>
  </si>
  <si>
    <t>176612-23T</t>
  </si>
  <si>
    <t>MajorBoost</t>
  </si>
  <si>
    <t>470062-81</t>
  </si>
  <si>
    <t>Allen Institute For Artificial Intelligence, WRF Capital</t>
  </si>
  <si>
    <t>Allen Institute For Artificial Intelligence (www.allenai.org), WRF Capital (www.wrfseattle.org)</t>
  </si>
  <si>
    <t>Developer of patient communication technology designed to simplify the link between healthcare providers and payers. The company helps with insurance questions, eligibility checks, and claim calls while eliminating phone mazes and hold music, enabling companies to reduce patient wait time and helping hospitals focus on their core services.</t>
  </si>
  <si>
    <t>The company raised an undisclosed amount of seed funding from Hike Ventures and Plug and Play Tech Center on April 21, 2022. Previously, the company joined AI2 Incubator on April 6, 2022.</t>
  </si>
  <si>
    <t>Artificial Intelligence &amp; Machine Learning, FinTech, InsurTech, SaaS</t>
  </si>
  <si>
    <t>calling service, communication management, communication model, insurance help, patient communication, voice ai</t>
  </si>
  <si>
    <t>269227-09P</t>
  </si>
  <si>
    <t>Lekshmi Venu</t>
  </si>
  <si>
    <t>lekshmi@majorboost.com</t>
  </si>
  <si>
    <t>Ms. Lekshmi Venu is a Co-Founder and serves as Chief Executive Officer at MajorBoost.</t>
  </si>
  <si>
    <t>The company raised $350,000 of seed funding in a deal led by Allen Institute For Artificial Intelligence on July 15, 2021. WRF Capital also participated in the round.</t>
  </si>
  <si>
    <t>Allen Institute For Artificial Intelligence</t>
  </si>
  <si>
    <t>98006</t>
  </si>
  <si>
    <t>www.majorboost.com</t>
  </si>
  <si>
    <t>139352-41T</t>
  </si>
  <si>
    <t>Manatee</t>
  </si>
  <si>
    <t>339792-40</t>
  </si>
  <si>
    <t>Danish Munir(Danish Munir), Grand Ventures(Tim Streit), Jonathan Weiner(Jonathan Weiner), Luke Leninger(Luke Leninger), SpringTime Ventures, Telosity(Faye Sahai), The American Family Insurance Institute for Corporate and Social Impact</t>
  </si>
  <si>
    <t>Grand Ventures (www.grandvcp.com), SpringTime Ventures (www.springtimeventures.com), Telosity (telosity.co), The American Family Insurance Institute for Corporate and Social Impact (www.amfaminstitute.com)</t>
  </si>
  <si>
    <t>Operator of a virtual mental health company intended to deepen the connection between today's families. The company's platform offers a virtual care model that includes family and child therapy, parent coaching, group sessions, daily activities, goals, and exercises, enabling parents to make mental health part of their family's day-to-day life.</t>
  </si>
  <si>
    <t>The company raised $5.00 million of seed funding from Techstars and other undisclosed investors on June 3, 2024.</t>
  </si>
  <si>
    <t>Application Software, Clinics/Outpatient Services*, Information Services (B2C), Social/Platform Software</t>
  </si>
  <si>
    <t>behavioral health, child therapy services, family connection platform, family therapy, mental health tech, mental health treatment, mental wellness, telatherapy, telehealth, therapy app</t>
  </si>
  <si>
    <t>Mental Health Tech</t>
  </si>
  <si>
    <t>215833-96P</t>
  </si>
  <si>
    <t>Damayanti Dipayana</t>
  </si>
  <si>
    <t>+1 (213) 558-4348</t>
  </si>
  <si>
    <t>dama@getmanatee.com</t>
  </si>
  <si>
    <t>Ms. Damayanti Dipayana is a Co-Founder &amp; serves as Chief Executive Officer and Board Member at Manatee. She has over 10 years of tech start-up experience and has built and lead large teams globally.</t>
  </si>
  <si>
    <t>BA (Bachelor of Arts), 2010, Banking &amp; Marketing, Degree, 2009, Ethics, Philosophy, History, Sociology, Degree, 2009, Marketing, Spanish</t>
  </si>
  <si>
    <t>The company raised $1.74 million of Seed funding in a deal led by Grand Ventures on July 8, 2020, putting the company's pre-money valuation at $4 million. SpringTime Ventures, Telosity, Danish Munir, Luke Leninger, Jonathan Weiner, The American Family Insurance Institute for Corporate and Social Impact and other undisclosed investors also participated in the round.</t>
  </si>
  <si>
    <t>Danish Munir, Grand Ventures, Jonathan Weiner, Luke Leninger, SpringTime Ventures, Telosity, The American Family Insurance Institute for Corporate and Social Impact</t>
  </si>
  <si>
    <t>Grand Ventures(Tim Streit)</t>
  </si>
  <si>
    <t>Grand Ventures Fund I(Grand Ventures), SpringTime Ventures Fund I(SpringTime Ventures), Telosity(Telosity)</t>
  </si>
  <si>
    <t>Michael Best &amp; Friedrich (Legal Advisor to The American Family Insurance Institute for Corporate and Social Impact, Nicholas Herdrich), Orrick (Legal Advisor to Company)</t>
  </si>
  <si>
    <t>80207</t>
  </si>
  <si>
    <t>www.getmanatee.com</t>
  </si>
  <si>
    <t>188692-66T</t>
  </si>
  <si>
    <t>Mappy (Business/Productivity Software)</t>
  </si>
  <si>
    <t>484438-24</t>
  </si>
  <si>
    <t>Blue Startups, Hatcher+, MGV(Marc Schroeder), Scout Ventures</t>
  </si>
  <si>
    <t>Blue Startups (www.bluestartups.com), Hatcher+ (hq.hatcher.com), MGV (www.mgv.vc), Scout Ventures (www.scout.vc)</t>
  </si>
  <si>
    <t>Developer of mobile applications and data analytics platforms designed to offer analysis and socialization of geospatial movement. The company enhances guest experience with amenity search, turn-by-turn navigation, and connecting people with group location sharing on interactive two-dimensional and three-dimensional maps, and also offers an application to help snow enthusiasts explore resorts, helping users plan their route and navigate their journey with turn-by-turn directions.</t>
  </si>
  <si>
    <t>The company raised $1.23 million of seed funding from Scout Ventures, Maschmeyer Group Ventures and Hatcher+ on June 30, 2023, putting the company's pre-money valuation at $4 million. Blue Startups also participated in the round.</t>
  </si>
  <si>
    <t>data analytics, developer tools, mapping app, mobile application, navigation app, navigation product</t>
  </si>
  <si>
    <t>283712-05P</t>
  </si>
  <si>
    <t>Karyn Nolan</t>
  </si>
  <si>
    <t>+1 (808) 556-2919</t>
  </si>
  <si>
    <t>Ms. Karyn Nolan is a Co-Founder &amp; serves as Chief Executive Officer &amp; Board Member at Mappy.</t>
  </si>
  <si>
    <t>Blue Startups, Hatcher+, MGV, Scout Ventures</t>
  </si>
  <si>
    <t>Scout Ventures Fund III(Scout Ventures)</t>
  </si>
  <si>
    <t>Honolulu, HI</t>
  </si>
  <si>
    <t>Honolulu</t>
  </si>
  <si>
    <t>Hawaii</t>
  </si>
  <si>
    <t>96816</t>
  </si>
  <si>
    <t>www.bemappy.io</t>
  </si>
  <si>
    <t>165066-49T</t>
  </si>
  <si>
    <t>Maro</t>
  </si>
  <si>
    <t>458778-07</t>
  </si>
  <si>
    <t>Copper Wire Ventures, Winterpoint Capital</t>
  </si>
  <si>
    <t>Copper Wire Ventures (www.copperwire.ventures), Winterpoint Capital (www.winterpointcapital.com)</t>
  </si>
  <si>
    <t>Developer of an information tech platform designed to spread awareness about reproductive and mental health. The company's platform leverages digital media and data for good to prevent avoidable, public health crises and to support early intervention and risk detection starting with school-based mental health screening and triaged interventions, enabling clients to partner with schools and districts to support student success through screening and family engagement.</t>
  </si>
  <si>
    <t>The company raised an undisclosed amount of seed funding from Everywhere Ventures on September 30, 2024. Previously, the company joined Wireless Foundation on August 13, 2024. No equity or funding was exchanged as a result of this program.</t>
  </si>
  <si>
    <t>child development technologies, digital health platform, family engagement, health information, mental health awareness, mental health screening</t>
  </si>
  <si>
    <t>250697-80P</t>
  </si>
  <si>
    <t>Kenzie Butera Davis</t>
  </si>
  <si>
    <t>Ms. Kenzie Butera is a Co-Founder and serves as Chief Executive Officer at Maro.</t>
  </si>
  <si>
    <t>University of Tennessee, Knoxville, Degree</t>
  </si>
  <si>
    <t>The company raised $500,000 of seed funding from Winterpoint Capital and Copper Wire Ventures in 2020.</t>
  </si>
  <si>
    <t>Chattanooga, TN</t>
  </si>
  <si>
    <t>Chattanooga</t>
  </si>
  <si>
    <t>37402</t>
  </si>
  <si>
    <t>www.meetmaro.com</t>
  </si>
  <si>
    <t>186941-44T</t>
  </si>
  <si>
    <t>Mavi.io</t>
  </si>
  <si>
    <t>490234-78</t>
  </si>
  <si>
    <t>Plug and Play Tech Center, REFASHIOND Ventures, Schottenstein Family Capital</t>
  </si>
  <si>
    <t>Plug and Play Tech Center (www.plugandplaytechcenter.com), REFASHIOND Ventures (www.refashiond.com), Schottenstein Family Capital (www.schottycapital.com)</t>
  </si>
  <si>
    <t>Developer of an in-car commerce software designed for the retail marketplace for curated shopping for the dashboard of cars. The company's software provides a location-based in-car shopping platform, en-route snack, and pharmacy pick-up services, and knowledge-based hotel booking services, enabling customers to shop and avail themselves of a range of commerce services from the dashboard of cars.</t>
  </si>
  <si>
    <t>The company is in the process of raising $3 million of seed funding in a deal led by Govo Venture Partners as of February 15, 2024. REFASHIOND Ventures and Plug and Play Tech Center also participated in the round. Previously, the company raised $530,000 of seed funding from undisclosed investors on January 2, 2024. The funding was raised initially in the form of SAFE notes and subsequently converted into equity. The company is being actively tracked by PitchBook.</t>
  </si>
  <si>
    <t>E-Commerce, FoodTech, Mobile, Restaurant Technology, SaaS</t>
  </si>
  <si>
    <t>automotive shopping, b2b2c insurtech company, car retail service, connected car, curbside pickup, curbside service, ecommerce channel, food ordering application, food tech, restaurant technology</t>
  </si>
  <si>
    <t>104795-56P</t>
  </si>
  <si>
    <t>Cynthia Hollen</t>
  </si>
  <si>
    <t>+1 (917) 723-5654</t>
  </si>
  <si>
    <t>cynthia@mavi.io</t>
  </si>
  <si>
    <t>Ms. Cynthia Hollen is a Co-Founder &amp; serves as Chief Executive Officer at Mavi.io. She also serves as Chief Financial Officer at Canvas Media Studios. She previously served as Chief Executive Officer at Luxury Trading Club. She Co-founded and led Social Extract. She holds a MBA in Marketing from The Wharton School and Bachelor's in Computer Science, English from Barnard College.</t>
  </si>
  <si>
    <t>Barnard College, Bachelor's, 1986, Computer Science, English, University of Pennsylvania (Wharton), MBA (Master of Business Administration), 1994, Marketing</t>
  </si>
  <si>
    <t>The company raised $1.75 million of seed funding in the form of SAFE notes from REFASHIOND Ventures, Plug and Play Tech Center and Schottenstein Family Capital on January 18, 2022, putting the company's pre-money valuation at $10 million. Family offices also participated in this round.</t>
  </si>
  <si>
    <t>33132</t>
  </si>
  <si>
    <t>www.mavi.io</t>
  </si>
  <si>
    <t>201076-84T</t>
  </si>
  <si>
    <t>Maxwell (Omaha)</t>
  </si>
  <si>
    <t>465690-70</t>
  </si>
  <si>
    <t>Husker Venture Fund, Invest Nebraska, Techstars</t>
  </si>
  <si>
    <t>Invest Nebraska (www.investnebraska.com), Techstars (www.techstars.com)</t>
  </si>
  <si>
    <t>Developer of work-life management application designed for healthcare employers to prioritize their team's well-being and retain employees. The company's application allows employers to provide their workforces with a monthly lifestyle benefits budget, or ad-hoc rewards/recognition, that puts the choice in their hands and creates a connection, enabling companies to leverage artificial intelligence, behavioral science, and a consumer-brand approach to treat employees as customers of the workplace.</t>
  </si>
  <si>
    <t>The company joined Google for Startups on an undisclosed date and received $150,000 funding in the form of grant.</t>
  </si>
  <si>
    <t>Business/Productivity Software*, Human Capital Services, Media and Information Services (B2B), Other Hardware</t>
  </si>
  <si>
    <t>artificial intelligence engine, employee data, employee retention, hr saas, lifestyle needs, mobile -based app, productivity software system, work management software, work management system</t>
  </si>
  <si>
    <t>261543-79P</t>
  </si>
  <si>
    <t>Adriana Basulto</t>
  </si>
  <si>
    <t>+1 (402) 540-7830</t>
  </si>
  <si>
    <t>adriana.cisneros@maxwell.app</t>
  </si>
  <si>
    <t>Ms. Adriana Basulto is a Co-Founder and serves as Chief Executive Officer &amp; Chief Human Resources Officer at Maxwell.</t>
  </si>
  <si>
    <t>The company raised $500,000 of Series 1 venture funding from Husker Venture Fund, Invest Nebraska and NMotion on July 31, 2022, putting the company's pre-money valuation at $3 million. Techstars also participated in the round.</t>
  </si>
  <si>
    <t>www.maxwell.app</t>
  </si>
  <si>
    <t>179816-05T</t>
  </si>
  <si>
    <t>MEandMine</t>
  </si>
  <si>
    <t>472538-17</t>
  </si>
  <si>
    <t>Amazon Smbhav Venture Fund, KBS Angels, Magic Bridge Foundation, Smart Capital(Izik Noy), Wistron (TAI: 3231)</t>
  </si>
  <si>
    <t>Amazon Smbhav Venture Fund (www.asvf.in), Smart Capital (smartcapitalmgmt.com), Wistron (TAI: 3231) (www.wistron.com)</t>
  </si>
  <si>
    <t>Developer of educational games designed to make social-emotional learning accessible to every child and family. The company offers interactive learning tools and its learning plan is customized to support your kid's development needs, meeting them where they are, enabling teachers and parents to help their children in their intellectual and emotional development.</t>
  </si>
  <si>
    <t>The company raised $4.5 million of Series 2 seed funding in a deal led by K5 Global on May 31, 2024, putting the company's pre-money valuation at $10.5 million. Claritas Capital also participated in the round. Claritas Capital and other undisclosed investors also participated in the round.</t>
  </si>
  <si>
    <t>Education and Training Services (B2B), Educational and Training Services (B2C), Educational Software*, Information Services (B2C)</t>
  </si>
  <si>
    <t>EdTech, Gaming</t>
  </si>
  <si>
    <t>child development, children growth, education tool, educational games, gaming content, gaming platform, kids games, kids interaction, mental health, self improvement skills, social-emotional learning</t>
  </si>
  <si>
    <t>274669-21P</t>
  </si>
  <si>
    <t>Elinor Huang</t>
  </si>
  <si>
    <t>+1 (608) 338-5324</t>
  </si>
  <si>
    <t>elinor@meandmine.com</t>
  </si>
  <si>
    <t>Ms. Elinor Huang is a Co-Founder and serves as Chief Executive Officer at MEandMine.</t>
  </si>
  <si>
    <t>The company raised an estimated $3 million of Seed funding in a deal led by Wistron on July 29, 2021, putting the company's pre-money valuation at $7 million. Smart Capital, Amazon Smbhav Venture Fund, KBS Angels, Magic Bridge Foundation and other undisclosed investors also participated in the round.</t>
  </si>
  <si>
    <t>KBS Angels, Magic Bridge Foundation, Smart Capital, Wistron</t>
  </si>
  <si>
    <t>Wistron (TAI: 3231)</t>
  </si>
  <si>
    <t>Amazon Smbhav Venture Fund(Amazon Smbhav Venture Fund)</t>
  </si>
  <si>
    <t>DLA Piper (Legal Advisor to Company, Jennifer Lee JD)</t>
  </si>
  <si>
    <t>94041</t>
  </si>
  <si>
    <t>www.meandmine.com</t>
  </si>
  <si>
    <t>255166-48T</t>
  </si>
  <si>
    <t>MeBeBot</t>
  </si>
  <si>
    <t>433115-38</t>
  </si>
  <si>
    <t>Team Ignite Ventures</t>
  </si>
  <si>
    <t>Team Ignite Ventures (www.teamignite.ventures)</t>
  </si>
  <si>
    <t>Developer of a virtual assistant application intended to assist employee queries. The company's application provides the ability to offer answers from its knowledge base or custom content and uses artificial intelligence to learn the frequently used words, enabling employees to get their questions answered without having to wait for superiors at any time and anywhere and assist the human resource in the automated recruitment process.</t>
  </si>
  <si>
    <t>The company raised $225,000 of venture funding from Team Ignite Ventures on December 1, 2022.</t>
  </si>
  <si>
    <t>ai platform service, ai platform technology, chatbot assistant, digital employee experience, digital transformation, employee engagement, hr chatbot, intelligent virtual agent, virtual assistant software, work automation tools</t>
  </si>
  <si>
    <t>224921-80P</t>
  </si>
  <si>
    <t>Beth White</t>
  </si>
  <si>
    <t>+1 (726) 999-0151</t>
  </si>
  <si>
    <t>beth.white@mebebot.com</t>
  </si>
  <si>
    <t>Ms. Beth White is the Founder and serves as Chief Executive Officer at MeBeBot.</t>
  </si>
  <si>
    <t>78704</t>
  </si>
  <si>
    <t>www.mebebot.com</t>
  </si>
  <si>
    <t>Bridge Loan - $0.23M (Convertible)</t>
  </si>
  <si>
    <t>133110-55T</t>
  </si>
  <si>
    <t>MedHaul</t>
  </si>
  <si>
    <t>181585-36</t>
  </si>
  <si>
    <t>Impact Assets, Innova Memphis(Jan Bouten), Launch Tennessee, Morgan Stanley (NYS: MS), Reform Ventures, StartUp Health</t>
  </si>
  <si>
    <t>Impact Assets (www.impactassets.org), Innova Memphis (www.innovamemphis.com), Launch Tennessee (launchtn.org), Morgan Stanley (NYS: MS) (www.morganstanley.com), Reform Ventures (www.reformventures.com), StartUp Health (www.startuphealth.com)</t>
  </si>
  <si>
    <t>Operator of a cloud-based patient transportation management platform intended to address and eliminate transportation barriers in distressed and rural communities. The company's platform is a two-sided marketplace, connecting hospitals and clinics to quality transporting providers in communities and offers a single place, for healthcare providers to schedule and manage rides for any patient, enabling patients to easily access safe and reliable transportation.</t>
  </si>
  <si>
    <t>Transportation</t>
  </si>
  <si>
    <t>Automotive</t>
  </si>
  <si>
    <t>Application Software, Automotive*, Other Healthcare Services</t>
  </si>
  <si>
    <t>Mobility Tech, SaaS</t>
  </si>
  <si>
    <t>clinicians workflow, healthcare transportation, healthcare transportation services, information technology, patient transportation management, population health, transportation management, transportation software</t>
  </si>
  <si>
    <t>164074-06P</t>
  </si>
  <si>
    <t>Erica Plybeah</t>
  </si>
  <si>
    <t>+1 (662) 374-3560</t>
  </si>
  <si>
    <t>erica@gomedhaul.com</t>
  </si>
  <si>
    <t>Ms. Erica Plybeah is the Founder and serves as Chief Executive Officer, Board Member and President at MedHaul.</t>
  </si>
  <si>
    <t>The company raised $300,000 of Seed funding from Launch Tennessee, Reform Ventures and StartUp Health on November 2 , 2020, putting the company's pre-money valuation at $5 million. Innova Memphis, Morgan Stanley and ImpactAssets also participated in the round.</t>
  </si>
  <si>
    <t>Impact Assets, Launch Tennessee, Morgan Stanley, Reform Ventures, StartUp Health</t>
  </si>
  <si>
    <t>Innova Fund III(Innova Memphis), LaunchTennessee Impact Fund(Launch Tennessee), North Haven Tactical Value Fund(Morgan Stanley), StartUp Health Transformer Fund II(StartUp Health)</t>
  </si>
  <si>
    <t>Memphis, TN</t>
  </si>
  <si>
    <t>Memphis</t>
  </si>
  <si>
    <t>38103</t>
  </si>
  <si>
    <t>www.gomedhaul.com</t>
  </si>
  <si>
    <t>179135-11T</t>
  </si>
  <si>
    <t>Medley (Educational and Training Services)</t>
  </si>
  <si>
    <t>361868-95</t>
  </si>
  <si>
    <t>Aglaé Ventures, Andreessen Horowitz(Anne Lee Skates), Ciara Wilson(Ciara Wilson), Damien Dwin(Damien Dwin), Dara Treseder(Dara Treseder), Foundation Capital, Jennifer Rubio(Jennifer Rubio), Sanyin Siang(Sanyin Siang), Tim Armstrong(Tim Armstrong)</t>
  </si>
  <si>
    <t>Aglaé Ventures (www.aglaeventures.com), Andreessen Horowitz (www.a16z.com), Foundation Capital (www.foundationcapital.com)</t>
  </si>
  <si>
    <t>Developer of a training platform intended to help young professionals to improve their skills. The company's platform offers membership for curious, growth-minded people who want a structured, social, and accessible way to invest in themselves and gain the skills needed to bring out their authentic selves to work, enabling members to get a space to learn and grow with others.</t>
  </si>
  <si>
    <t>The company raised an undisclosed amount of seed funding from Zeal Capital Partners in 2024.</t>
  </si>
  <si>
    <t>digital learning, learning community, online learning, skills development, training platform, upskilling courses</t>
  </si>
  <si>
    <t>244665-82P</t>
  </si>
  <si>
    <t>Edith Taylor</t>
  </si>
  <si>
    <t>+1 (646) 927-5511</t>
  </si>
  <si>
    <t>jtaylor@withmedley.com</t>
  </si>
  <si>
    <t>Ms. Edith Taylor is a Co-Founder and serves as Chief Executive Officer, President &amp; Board Member at Medley. Edith's purpose is to create teams and groups where people can be their true selves. She co-founded Medley because, throughout her life, she's felt the power that comes from being part of a team, and felt the void when it's missing. Prior to founding Medley, Edith worked in media as Chief of Staff at Mic and was a consultant at the Boston Consulting Group. She received her AB from Harvard College and her MBA from Harvard Business School, where she was a Baker Scholar.</t>
  </si>
  <si>
    <t>Harvard Business School, MBA (Master of Business Administration), Harvard University, BA (Bachelor of Arts)</t>
  </si>
  <si>
    <t>The company raised $4.92 million of seed funding in a deal led by Andreessen Horowitz on August 27, 2021, putting the company's pre-money valuation at $10 million. Foundation Capital, Aglaé Ventures, Ciara Wilson, Dara Treseder, Sanyin Siang, Jen Rubio, Tim Armstrong and Damien Dwin also participated in the round.</t>
  </si>
  <si>
    <t>Aglaé Ventures, Andreessen Horowitz, Ciara Wilson, Damien Dwin, Dara Treseder, Foundation Capital, Jennifer Rubio, Sanyin Siang, Tim Armstrong</t>
  </si>
  <si>
    <t>Andreessen Horowitz(Anne Lee Skates)</t>
  </si>
  <si>
    <t>Foundation Capital Leadership Fund II(Foundation Capital)</t>
  </si>
  <si>
    <t>Choate (Legal Advisor to Andreessen Horowitz, Tobin Sullivan JD)</t>
  </si>
  <si>
    <t>www.withmedley.com</t>
  </si>
  <si>
    <t>221374-36T</t>
  </si>
  <si>
    <t>Meeno</t>
  </si>
  <si>
    <t>525645-73</t>
  </si>
  <si>
    <t>AI Fund(Andrew Ng), André Heinz(André Heinz), Balance Pilot Capital(Charles Campbell Roberts), Build Collective, Eileen Burbidge(Eileen Burbidge), James Lanzone, Joseph Zadeh(Joseph Zadeh), Megan Bell(Megan Bell), Peter Rojas(Peter Rojas), Sequoia Capital</t>
  </si>
  <si>
    <t>AI Fund (www.aifund.ai), Build Collective (www.buildc.com), Peter Rojas (roj.as), Sequoia Capital (www.sequoiacap.com)</t>
  </si>
  <si>
    <t>Developer of relationship mentoring platform intended for people those seeking to improve their close relationships. The company's platform utilizes AI to provide personalized feedback and guidance on various aspects of relationships, enabling users to develop stronger social connections and enhance their overall well-being.</t>
  </si>
  <si>
    <t>The company raised $3.9 million through a combination of Seed 1, and Seed 2 funding in a deal led by AI Fund and Sequoia Capital on September 26, 2023, putting the company's pre-money valuation at $10 million. Megan Jones Bell, Build Collective and 6 other investors participated in the round.</t>
  </si>
  <si>
    <t>Application Software*, Information Services (B2C), Social Content</t>
  </si>
  <si>
    <t>artifical intellegence, generative ai, human connection, mental health, mobile apps, relationship coaching, relationship coaching services, social media</t>
  </si>
  <si>
    <t>345359-26P</t>
  </si>
  <si>
    <t>Renate Nyborg</t>
  </si>
  <si>
    <t>Ms. Renate Nyborg is the Founder and serves as Chief Executive Officer at Meeno.</t>
  </si>
  <si>
    <t>The company raised $3.9 million through a combination of Seed 1, and Seed 2 funding in a deal led by AI Fund and Sequoia Capital on September 26, 2023, putting the company's pre-money valuation at $10 million. Megan Jones Bell, Jim Lanzone, Eileen Burbidge, André Heinz, Build Collective, Peter Rojas, Joe Zadeh and Balance Pilot Capital also participated in the round.</t>
  </si>
  <si>
    <t>AI Fund, André Heinz, Balance Pilot Capital, Build Collective, Eileen Burbidge, James Lanzone, Joseph Zadeh, Megan Bell, Peter Rojas, Sequoia Capital</t>
  </si>
  <si>
    <t>AI Fund(Andrew Ng), Sequoia Capital</t>
  </si>
  <si>
    <t>Cooley (Legal Advisor to Sequoia Capital), Goodwin Procter (Legal Advisor to Company, Nathan Hagler JD)</t>
  </si>
  <si>
    <t>Goodwin Procter (Legal Advisor to Company, Nathan Hagler JD)</t>
  </si>
  <si>
    <t>Cooley (Legal Advisor to Sequoia Capital)</t>
  </si>
  <si>
    <t>meeno.com</t>
  </si>
  <si>
    <t>180802-36T</t>
  </si>
  <si>
    <t>Meili</t>
  </si>
  <si>
    <t>481841-20</t>
  </si>
  <si>
    <t>Newlab, Plug and Play Tech Center, Runway Startup Postdoc</t>
  </si>
  <si>
    <t>Newlab (www.newlab.com), Plug and Play Tech Center (www.plugandplaytechcenter.com), Runway Startup Postdoc (tech.cornell.edu/programs/phd/startup-postdocs)</t>
  </si>
  <si>
    <t>Developer of an enterprise management platform designed for bridging compliance and safety initiatives across an organization. The company's platform specializes in the automation of critical documentation, keeps track of team and third parties, and simplifies complex insights, enabling clients to make informed and expedited decisions.</t>
  </si>
  <si>
    <t>The company raised $2.5 million of Seed 1 funding from HearstLab, Chingona Ventures and Female Founders Fund on September 1, 2023, putting the company's pre-money valuation at $6.5 million. Other undisclosed investors also participated in the round.</t>
  </si>
  <si>
    <t>compliance system, comprehensive database, computer vision, digital platform, fragmented data, process automation, real time reporting, risk mitigation</t>
  </si>
  <si>
    <t>276672-61P</t>
  </si>
  <si>
    <t>John DeFelice</t>
  </si>
  <si>
    <t>john@meilitechnologies.com</t>
  </si>
  <si>
    <t>Mr. John DeFelice is a Co-Founder and serves as Chief Operating Officer at Meili Technologies.</t>
  </si>
  <si>
    <t>The company raised $100,000 of Seed 2 funding from Newlab, Plug and Play Tech Center and Runway Startup Postdoc on May 1, 2021, putting the company's pre-money valuation at $2.9 million.</t>
  </si>
  <si>
    <t>11205</t>
  </si>
  <si>
    <t>www.meilitechnologies.com</t>
  </si>
  <si>
    <t>185316-31T</t>
  </si>
  <si>
    <t>Member Marketplace</t>
  </si>
  <si>
    <t>232914-34</t>
  </si>
  <si>
    <t>Operator of an e-commerce marketplace intended to use consumer preference for local businesses. The company's marketplace creates online platforms for communities that empower local small businesses to sell products and services, enabling businesses with support and training and offering customer service to shoppers without leaving their homes.</t>
  </si>
  <si>
    <t>The company raised $500,000 of pre-seed funding in the combination of convertible debt and equity from ISA Ventures on November 15, 2021.</t>
  </si>
  <si>
    <t>Internet Retail, IT Consulting and Outsourcing, Media and Information Services (B2B)*</t>
  </si>
  <si>
    <t>AdTech, E-Commerce</t>
  </si>
  <si>
    <t>community commerce, ecommerce marketplace, local advertising, marketplace application, marketplace website, online learning, online store platform, small business development</t>
  </si>
  <si>
    <t>193519-81P</t>
  </si>
  <si>
    <t>Cherie Edilson</t>
  </si>
  <si>
    <t>+1 (833) 278-2742</t>
  </si>
  <si>
    <t>cherie@membermarketplaceinc.com</t>
  </si>
  <si>
    <t>Ms. Cherie Edilson is a Co-Founder and serves as Chief Executive Officer at Member Marketplace. Before devoting her work to helping small businesses and communities sell online together, she was a small business owner who led to genuine community needs. She is also actively involved in local chambers, SBDC Client, and Goldman Sachs 10KSB Alumni Ambassador with local government connections and strategic insights into the small business community and networks. She holds Masters and Bachelors from the University of Northern Iowa</t>
  </si>
  <si>
    <t>University of Northern Iowa, Bachelor's, University of Northern Iowa, Master's</t>
  </si>
  <si>
    <t>ISA Ventures Fund(ISA Ventures)</t>
  </si>
  <si>
    <t>Marion, IA</t>
  </si>
  <si>
    <t>Marion</t>
  </si>
  <si>
    <t>Iowa</t>
  </si>
  <si>
    <t>52302</t>
  </si>
  <si>
    <t>www.membermarketplaceinc.com</t>
  </si>
  <si>
    <t>Bridge Loan - $0.35M (Convertible)</t>
  </si>
  <si>
    <t>171652-33T</t>
  </si>
  <si>
    <t>MentalHappy</t>
  </si>
  <si>
    <t>166160-44</t>
  </si>
  <si>
    <t>Chai Ventures NYC, Daniel Hu(Daniel Hu), Daniel Yoo(Daniel Yoo), Francisco Malafaya(Francisco Malafaya), Holly Liu(Holly Liu), Northwestern Mutual Future Ventures(Craig Schedler), Peter Reinhardt(Peter Reinhardt), Samuel Oppong(Samuel Oppong), Social Impact Capital, Tim Wagner(Tim Wagner)</t>
  </si>
  <si>
    <t>Chai Ventures NYC (www.chai-ventures.com), Northwestern Mutual Future Ventures (venture.northwesternmutual.com/future-ventures.html), Social Impact Capital (www.social-impact-capital.com)</t>
  </si>
  <si>
    <t>Operator of a social networking platform intended to help people improve their emotional well-being through peer support. The company's platform offers a safe space to talk about emotional health and the challenges faced in daily life and receive support, enabling users to get the inspirational help they deserve without financial or physical limitations.</t>
  </si>
  <si>
    <t>The company raised $500,000 of venture funding from undisclosed investors on August 6, 2024.</t>
  </si>
  <si>
    <t>Information Services (B2C), Other Healthcare Services, Social/Platform Software*</t>
  </si>
  <si>
    <t>LOHAS &amp; Wellness, Mobile, TMT</t>
  </si>
  <si>
    <t>emotional health support, emotional wellness, mental health platform, mental health system, social networking platform, wellness consultancy platform</t>
  </si>
  <si>
    <t>144849-16P</t>
  </si>
  <si>
    <t>Tamar Blue</t>
  </si>
  <si>
    <t>tamar@mentalhappy.com</t>
  </si>
  <si>
    <t>Ms. Tamar Blue is the Founder &amp; serves as Chief Executive Officer &amp; Board Member at MentalHappy.</t>
  </si>
  <si>
    <t>Florida State University, Tallahassee, Degree, 2006, Economics &amp; Sociology, University of Phoenix, MBA (Master of Business Administration), 2007, Business/Managerial Economics</t>
  </si>
  <si>
    <t>The company raised $1.1 million of seed funding in a deal led by Northwestern Mutual Future Ventures on May 5, 2021. Social Impact Capital, Chai Angels, and 7 Angel Investors also participated in the round. The funds will be used by the company to add over 1,000 worldwide expert-led peer support groups to the platform in 2021.</t>
  </si>
  <si>
    <t>Chai Ventures NYC, Daniel Hu, Daniel Yoo, Francisco Malafaya, Holly Liu, Northwestern Mutual Future Ventures, Peter Reinhardt, Samuel Oppong, Social Impact Capital, Tim Wagner</t>
  </si>
  <si>
    <t>Northwestern Mutual Future Ventures(Craig Schedler)</t>
  </si>
  <si>
    <t>Social Impact Capital Fund I(Social Impact Capital)</t>
  </si>
  <si>
    <t>www.mentalhappy.com</t>
  </si>
  <si>
    <t>164831-95T</t>
  </si>
  <si>
    <t>Mento</t>
  </si>
  <si>
    <t>433392-85</t>
  </si>
  <si>
    <t>186 Ventures, Bossa Invest, Edward Frindt(Edward Frindt), M13, NextGen Venture Partners, Raymond Colletti(Raymond Colletti), Slow Ventures, Taylor Greene(Taylor Greene), Tonio DeSorrento(Tonio DeSorrento), Zag Capital</t>
  </si>
  <si>
    <t>186 Ventures (186ventures.com), Bossa Invest (www.bossainvest.com), M13 (www.m13.co), NextGen Venture Partners (www.nextgenvp.com), Slow Ventures (www.slow.co), Zag Capital (zagcapital.com)</t>
  </si>
  <si>
    <t>Developer of a career platform intended to help people advance in the workplace through a combination of coaching, tools, content, and data. The company's platform offers a career support system with tools and resources to organize and execute job searches, market salary data, and negotiation strategies, enabling employees to manage their careers, salaries, and daily work.</t>
  </si>
  <si>
    <t>The company raised an estimated $3.50 million of Seed-2 funding from NextGen Venture Partners, Twelve Below, and other undisclosed investors on March 18, 2022, putting the company's pre-money valuation at $14 million.</t>
  </si>
  <si>
    <t>Business/Productivity Software, Education and Training Services (B2B)*, Media and Information Services (B2B)</t>
  </si>
  <si>
    <t>career planning, career platform, management coaching, professional training, promotion strategy, training and coaching</t>
  </si>
  <si>
    <t>250291-54P</t>
  </si>
  <si>
    <t>Alex Marcus</t>
  </si>
  <si>
    <t>alex@mento.co</t>
  </si>
  <si>
    <t>Mr. Alex Marcus is a Co-Founder and serves as Co-Chief Executive Officer at Mento. He started his career as an assistant at WME, a talent agency that has represented everyone from Deadmau5 to Elvis Presley. From there, he joined Disney's Accelerator for tech innovation. There, he ran operations and helped selected companies develop new entertainment experiences with Disney's resources. He then joined Slow Ventures, a San Francisco-based venture capital firm, where he was Chief of Staff.</t>
  </si>
  <si>
    <t>The company raised $2 million of seed funding from NextGen Venture Partners, 186 Ventures and Slow Ventures on October 30, 2020, putting the company's pre-money valuation at $3 million. Zag Capital and 7 other investors also participated in the round.</t>
  </si>
  <si>
    <t>186 Ventures, Bossa Invest, Edward Frindt, M13, NextGen Venture Partners, Raymond Colletti, Slow Ventures, Taylor Greene, Tonio DeSorrento, Zag Capital</t>
  </si>
  <si>
    <t>186 Ventures I(186 Ventures), NextGen Ventures Fund II(NextGen Venture Partners), Slow Ventures IV(Slow Ventures)</t>
  </si>
  <si>
    <t>www.mento.co</t>
  </si>
  <si>
    <t>214167-97T</t>
  </si>
  <si>
    <t>Mentra</t>
  </si>
  <si>
    <t>484268-86</t>
  </si>
  <si>
    <t>Apollo Projects(Sam Altman), Georgia Tech Foundation, MPG Fund(Tim Griffin), Scott Belsky(Scott Belsky), Shine Capital</t>
  </si>
  <si>
    <t>Apollo Projects (www.apolloprojects.com), Georgia Tech Foundation (www.gtf.gatech.edu), MPG Fund (www.mpgfund.com), Scott Belsky (www.scottbelsky.com), Shine Capital (www.shine.vc)</t>
  </si>
  <si>
    <t>Developer of a mentorship application designed to support job seekers with autism. The company is engaged in developing a neurodivergent-friendly talent platform that intelligently matches neurodiverse individuals with employers that value their strengths, helping clients get their dream job and stay in touch after their start date to make sure their new position is everything they want it to be.</t>
  </si>
  <si>
    <t>The company raised $3.5 million of seed funding in a deal led by Shine Capital on March 1, 2023. FullCircle and 5 other investors also participated in the round.</t>
  </si>
  <si>
    <t>Business/Productivity Software*, Human Capital Services, Other Services (B2C Non-Financial)</t>
  </si>
  <si>
    <t>career development, dyslexia, inclusive hiring program, job seekers portal, mentorship platform, mentorship service, neurodiverse workforce, talent development</t>
  </si>
  <si>
    <t>283052-44P</t>
  </si>
  <si>
    <t>Jhillika Kumar</t>
  </si>
  <si>
    <t>Ms. Jhillika Kumar is a Co-Founder of Mentra &amp; serves as its Chief Executive Officer.</t>
  </si>
  <si>
    <t>The company raised $1.25 million of seed funding in a deal co-led by Apollo Projects and Scott Belsky on February 3, 2022. MPG Fund, Shine Capital and Georgia Tech Foundation also participated in the round.</t>
  </si>
  <si>
    <t>Apollo Projects, Georgia Tech Foundation, MPG Fund, Scott Belsky, Shine Capital</t>
  </si>
  <si>
    <t>Apollo Projects(Sam Altman), Scott Belsky(Scott Belsky)</t>
  </si>
  <si>
    <t>Shine Capital I(Shine Capital), Shine Capital Opportunities Fund I(Shine Capital)</t>
  </si>
  <si>
    <t>Charlotte, NC</t>
  </si>
  <si>
    <t>Charlotte</t>
  </si>
  <si>
    <t>28269</t>
  </si>
  <si>
    <t>www.mentra.com</t>
  </si>
  <si>
    <t>122924-71T</t>
  </si>
  <si>
    <t>Meowtel</t>
  </si>
  <si>
    <t>223768-36</t>
  </si>
  <si>
    <t>Hustle Fund(Elizabeth Yin), Jason Calacanis(Jason Calacanis), LAUNCH Fund, Sputnik ATX(Josef Merrill), Tech Wildcatters(Ricky Tejapaibul)</t>
  </si>
  <si>
    <t>Hustle Fund (www.hustlefund.vc), LAUNCH Fund (www.launch.co), Sputnik ATX (www.sputnikatx.com), Tech Wildcatters (www.techwildcatters.com)</t>
  </si>
  <si>
    <t>Developer of a cat-sitting application designed to connect cat parents with trusted and insured cat sitters. The company's platform offers a curated list of all available local cat sitters who are verified and have a sound professional experience based on customers' individual pet healthcare requirements, enabling cat owners to find and book reliable cat sitters while on the go.</t>
  </si>
  <si>
    <t>The company raised venture funding from Hustle Fund, SaaSCraft Ventures, and Hands On Angel on an undisclosed date. Previously, the company raised $500,000 in venture funding through a deal led by LAUNCH Fund on January 27, 2020. Tech Wildcatters, Hustle Fund, Jason Calacanis, and Sputnik ATX also participated in the round.</t>
  </si>
  <si>
    <t>Mobile, Pet Technology, SaaS</t>
  </si>
  <si>
    <t>animal specialties, booking app, consumer services, pet care platform, pet healthcare, sitting services</t>
  </si>
  <si>
    <t>177353-74P</t>
  </si>
  <si>
    <t>Sonya Petcavich</t>
  </si>
  <si>
    <t>+1 (844) 636-9835</t>
  </si>
  <si>
    <t>sonya@meowtel.com</t>
  </si>
  <si>
    <t>Ms. Sonya Petcavich is a Co-Founder and serves as Co-Chief Executive Officer and Board Member at Meowtel. She was on a mission to create a solution for all of the busy cat parents.</t>
  </si>
  <si>
    <t>The company raised $500,000 of venture funding in a deal led by LAUNCH Fund on January 27, 2020. Tech Wildcatters, Hustle Fund, Jason Calacanis and Sputnik ATX also participated in the round.</t>
  </si>
  <si>
    <t>Hustle Fund, Jason Calacanis</t>
  </si>
  <si>
    <t>LAUNCH Fund, Sputnik ATX, Tech Wildcatters</t>
  </si>
  <si>
    <t>LAUNCH Fund</t>
  </si>
  <si>
    <t>Hustle Fund I(Hustle Fund)</t>
  </si>
  <si>
    <t>www.meowtel.com</t>
  </si>
  <si>
    <t>172240-12T</t>
  </si>
  <si>
    <t>Merge</t>
  </si>
  <si>
    <t>459033-58</t>
  </si>
  <si>
    <t>Benjamin Herman(Benjamin Herman), Gregory Schott(Gregory Schott), Matthew Kraning(Matthew Kraning), Matthew Prince(Matthew Prince), New Enterprise Associates(Scott Sandell), Tim Junio(Tim Junio)</t>
  </si>
  <si>
    <t>New Enterprise Associates (www.nea.com)</t>
  </si>
  <si>
    <t>Developer of application programming interfaces and integration tools designed to transform how B2B companies realize customer-facing integrations. The company offers one application programming interface to integrate with all human resources, payroll, recruiting, accounting, and other platforms, enabling businesses to manage their integrations through a unified platform.</t>
  </si>
  <si>
    <t>The company raised $55 million of Series B venture funding in a deal led by Accel on September 14, 2022, putting the company's pre-money valuation at $260 million. New Enterprise Associates, Addition, Browder Capital, DarkMode Ventures, and ASDF Ventures also participated in the round. The funds will be used to expand the team from 60 today to over 100 next year, investing in both R&amp;D and GTM teams.</t>
  </si>
  <si>
    <t>FinTech, HR Tech, SaaS, TMT</t>
  </si>
  <si>
    <t>api integration, api-first, application infrastructure, cfo stack, developer tools, enterprise resource planning, erp, human capital management, integration platform, integration software, integration software developer, unified platform</t>
  </si>
  <si>
    <t>262874-62P</t>
  </si>
  <si>
    <t>Shensi Ding</t>
  </si>
  <si>
    <t>shensi@merge.dev</t>
  </si>
  <si>
    <t>Ms. Shensi Ding is a Co-Founder and serves as Chief Executive Officer at Merge.</t>
  </si>
  <si>
    <t>The company raised $4.5 million of Seed funding in a deal led by New Enterprise Associates on May 17, 2021, putting the company's pre-money valuation at $10 million. Greg Schott, Matthew Prince, Tim Junio, Matt Kraning and Ben Herman also participated in the round. The funds will be used to grow its team, invest in its product experience, and expand into new markets.</t>
  </si>
  <si>
    <t>Benjamin Herman, Gregory Schott, Matthew Kraning, Matthew Prince, New Enterprise Associates, Tim Junio</t>
  </si>
  <si>
    <t>New Enterprise Associates(Scott Sandell)</t>
  </si>
  <si>
    <t>New Enterprise Associates 16(New Enterprise Associates)</t>
  </si>
  <si>
    <t>www.merge.dev</t>
  </si>
  <si>
    <t>250980-22T</t>
  </si>
  <si>
    <t>Mesa Quantum</t>
  </si>
  <si>
    <t>571565-35</t>
  </si>
  <si>
    <t>HAX, J2 Ventures(Alexander Harstrick), Ripple Impact Investments, SOSV(Duncan Turner)</t>
  </si>
  <si>
    <t>HAX (hax.co), J2 Ventures (www.j2vp.com), Ripple Impact Investments (www.rippleimpactinvestments.com), SOSV (www.sosv.com)</t>
  </si>
  <si>
    <t>Developer of a photonic quantum computing hardware designed to revolutionize computing power. The company offers an integrated photonic quantum computing chip to encode and manipulate quantum information, potentially leading to significant advantages in scalability and stability compared to other approaches, enabling customers to harness the power of quantum computing for solving complex problems intractable by classical computers.</t>
  </si>
  <si>
    <t>The company joined Venture Partners at CU Boulder on an undisclosed date. No equity or funding was exchanged as a result of this program.</t>
  </si>
  <si>
    <t>Semiconductors</t>
  </si>
  <si>
    <t>Application Specific Semiconductors</t>
  </si>
  <si>
    <t>Application Specific Semiconductors*, Electronic Equipment and Instruments, Other Semiconductors</t>
  </si>
  <si>
    <t>Manufacturing</t>
  </si>
  <si>
    <t>atomic clocks manufacturer, cell technology, computing chips, gps satellite tracking, infrastructure monitoring, portable electronics, quantum information technology</t>
  </si>
  <si>
    <t>Quantum Computing</t>
  </si>
  <si>
    <t>395760-52P</t>
  </si>
  <si>
    <t>Sristy Agrawal</t>
  </si>
  <si>
    <t>sristy@mesaquantum.com</t>
  </si>
  <si>
    <t>Dr. Sristy Agrawal is a Co-Founder and serves as Chief Executive Officer at Mesa Quantum. She is also pursuing her PhD at the University of Colorado, Boulder working at JILA. Before that, she founded 2 non-profits in India and created a feature-length documentary film.</t>
  </si>
  <si>
    <t>University of Northern Colorado, Ph.D. (Doctor of Philosophy)</t>
  </si>
  <si>
    <t>The company raised $3.7 million of seed funding in a deal led by J2 Ventures on September 5, 2024. SOSV, HAX and Ripple Impact Investments also participated in the round.</t>
  </si>
  <si>
    <t>HAX, J2 Ventures, Ripple Impact Investments, SOSV</t>
  </si>
  <si>
    <t>J2 Ventures(Alexander Harstrick)</t>
  </si>
  <si>
    <t>SOSV V(SOSV)</t>
  </si>
  <si>
    <t>80305</t>
  </si>
  <si>
    <t>mesaquantum.com</t>
  </si>
  <si>
    <t>199467-37T</t>
  </si>
  <si>
    <t>Metaintro</t>
  </si>
  <si>
    <t>501546-88</t>
  </si>
  <si>
    <t>Avara, Druid Ventures, Legacy Research Grant, NEAR, Untapped Ventures, Ziba Capital Management</t>
  </si>
  <si>
    <t>Avara (aave.com), Druid Ventures (www.druidventures.com), Legacy Research Grant (www.ns.lung.ca), NEAR (www.near.org), Untapped Ventures (www.untapped.ventures), Ziba Capital Management (www.zibacapital.com)</t>
  </si>
  <si>
    <t>Developer of a professional multi-chain custodian wallet for web3 designed to search for job opportunities. The company's multi-chain custodial wallet holds proof of employment, proof of skill, and proof of education, replacing the portable document file (PDF) resume and newsletter dedicated to web3 jobs, enabling job seekers and job posters to connect in a faster and more efficient manner.</t>
  </si>
  <si>
    <t>The company was in talks to receive Series A venture funding on an undisclosed date. Subsequently, the deal was canceled. Previously, the company raised $5 million of equity crowdfunding in the form of SAFE notes via Republic on September 29, 2022, putting the company's pre-money valuation at $12.6 million.</t>
  </si>
  <si>
    <t>Cryptocurrency/Blockchain, HR Tech, SaaS</t>
  </si>
  <si>
    <t>blockchain data, blockchain platform, blockchain technology, nft technology, recruitment platform, resume platform, web3 app</t>
  </si>
  <si>
    <t>247737-52P</t>
  </si>
  <si>
    <t>Lacey Kaelani</t>
  </si>
  <si>
    <t>+1 (805) 683-1619</t>
  </si>
  <si>
    <t>lacey@metaintro.com</t>
  </si>
  <si>
    <t>Ms. Lacey Kaelani is a Co-Founder &amp; serves as Chief Executive Officer at Metaintro. She co-founded and served as Chief Executive Officer and Board Member at Casting Depot.</t>
  </si>
  <si>
    <t>American University, MBA (Master of Business Administration), University of San Francisco, Degree</t>
  </si>
  <si>
    <t>The company raised $500,000 of Series 1 pre-seed funding from Aave, NEAR Protocol and Legacy Research Grant on July 12, 2022, putting the company's pre-money valuation at $5 million. Druid Ventures, Untapped Ventures and Ziba Capital Management also participated in the round. . The funds will be used to build the first "resume wallet," a multi-chain custodial wallet that holds proof of employment, proof of skill, and proof of education - eliminating the PDF resume.</t>
  </si>
  <si>
    <t>Sanibel, FL</t>
  </si>
  <si>
    <t>Sanibel</t>
  </si>
  <si>
    <t>33957</t>
  </si>
  <si>
    <t>www.metaintro.com</t>
  </si>
  <si>
    <t>173230-39T</t>
  </si>
  <si>
    <t>MetroSpeedy</t>
  </si>
  <si>
    <t>466978-06</t>
  </si>
  <si>
    <t>AddVenture, Crosesell, Fores Ventures, Joint Journey Intelligent Investments, Smart Partnership Capital, TA Ventures, TMT Investments (LON: TMT), Vershina Capital</t>
  </si>
  <si>
    <t>AddVenture (www.addventure.vc), Crosesell (www.crosesell.com), Fores Ventures (www.fores.vc), Joint Journey Intelligent Investments (jj.capital), Smart Partnership Capital (www.spc-vc.com), TA Ventures (www.taventures.vc), TMT Investments (LON: TMT) (www.tmtinvestments.com), Vershina Capital (www.vershina.vc)</t>
  </si>
  <si>
    <t>Operator of a logistics software and services company intended to power deliveries and drives cost-efficient last-mile key built for business. The company partners with startups, aggregators, and enterprise clients along with other SaaS and PaaS companies seeking a robust same-day or next-day last-mile solution, connecting businesses to a driver network, providing reattempts and returns via an all-in-one dashboard for customer retention through visibility and automation.</t>
  </si>
  <si>
    <t>Crosesell sold its stake in the company to an undisclosed buyer on February 17, 2023.</t>
  </si>
  <si>
    <t>Business/Productivity Software, Logistics*, Other Commercial Services</t>
  </si>
  <si>
    <t>delivery management solutions, delivery on demand, delivery solutions, eco-friendly delivery, food ecommerce, hyper local delivery, last mile delivery, last mile solution, local commerce, local delivery application, local delivery service, logistics and packaging, logistics platform software, one hour delivery, online grocer, same day delivery, same day delivery service, scm, supply chain management</t>
  </si>
  <si>
    <t>264414-70P</t>
  </si>
  <si>
    <t>Nancy Korayim</t>
  </si>
  <si>
    <t>+1 (800) 976-0994</t>
  </si>
  <si>
    <t>nancy@metrospeedy.com</t>
  </si>
  <si>
    <t>Ms. Nancy Korayim is the Founder and serves as Chief Executive Officer at MetroSpeedy.</t>
  </si>
  <si>
    <t>BS (Bachelor of Science), 1998, Finance</t>
  </si>
  <si>
    <t>The company raised $5 million of seed funding in a deal led by AddVenture on July 20, 2021, putting the company's pre-money valuation at $25 million. Joint Journey Intelligent Investments, TMT Investments, TA Ventures, Smart Partnership Capital, Crosesell, Fores Ventures, and Vershina Capital also participated in the round.</t>
  </si>
  <si>
    <t>AddVenture, Crosesell, Fores Ventures, Joint Journey Intelligent Investments, Smart Partnership Capital, TA Ventures, TMT Investments, Vershina Capital</t>
  </si>
  <si>
    <t>AddVenture</t>
  </si>
  <si>
    <t>www.metrospeedy.com</t>
  </si>
  <si>
    <t>244954-36T</t>
  </si>
  <si>
    <t>Midi Health</t>
  </si>
  <si>
    <t>491598-10</t>
  </si>
  <si>
    <t>1843 Capital(Tracy Chadwell), Avestria Ventures, Icon Ventures, Muse Capital, SteelSky Ventures</t>
  </si>
  <si>
    <t>1843 Capital (www.1843capital.com), Avestria Ventures (www.avestria.vc), Icon Ventures (www.iconventures.com), Muse Capital (www.musecapital.vc), SteelSky Ventures (www.steelskyventures.com)</t>
  </si>
  <si>
    <t>Developer of virtual care clinical platform designed to treat women with menopause and other health issues. The company's platform offers personalized expert protocols delivered by clinicians trained in female midlife health and leverages specialized at-home labs, prescription medications, supplements and lifestyle coaching, enabling women to manage the challenges faced in the critical stages of their lives and careers.</t>
  </si>
  <si>
    <t>The company raised $63 million of Series B venture funding in a deal led by Operator Collective on March 7, 2024. GV, Memorial Hermann, F7 Ventures, Ingeborg Investments, Muse Capital, K50 Ventures, SteelSky Ventures, 1843 Capital, SemperVirens Venture Capital, Blue Cross Blue Shield Global, Avestria Ventures, G9 Ventures, Able Partners, Icon Ventures, Felicis, Susan Wojcicki, Anne Wojcicki, Black Angel Group, GingerBread Capital, Amy Schumer, Tory Burch, Brandi Chastain and Emerson Collective also participated in the round. The funds will be used to expand insurance coverage (already established nationwide), hire and upskill an additional 150 clinicians by the end of the year, diversify service lines, amplify the conversation around midlife women's healthcare, and scale to care for 1 million+ women per year by 2029. Previously, the company raised $25 million of Series A venture funding in a deal led by GV on September 27, 2023, putting the company's pre-money valuation at $50 million. SemperVirens Venture Capital, Icon Ventures, Operator Collective, Felicis, 25m Health and 25madison also participated in the round. The funds will be used to expand operations nationwide and to launch additional partnerships with some of the largest hospital systems in the country, as well as major U.S. employers.</t>
  </si>
  <si>
    <t>Application Software, Clinics/Outpatient Services*, Other Healthcare Technology Systems</t>
  </si>
  <si>
    <t>Digital Health, FemTech, HealthTech, Life Sciences, Oncology</t>
  </si>
  <si>
    <t>breast cancer care, depression cure, female health, gynecological cancer, joint pain relief, menopause advice, menopause care, specialty telemedicine, telehealth, virtual care platform, women care services</t>
  </si>
  <si>
    <t>54504-55P</t>
  </si>
  <si>
    <t>Joanna Strober</t>
  </si>
  <si>
    <t>+1 (650) 954-8683</t>
  </si>
  <si>
    <t>joanna@joinmidi.com</t>
  </si>
  <si>
    <t>Ms. Joanna Strober is a Co-Founder and serves as Chief Executive Officer and Board Member at Midi Health. She serves as an Advisor at Flourish Labs. Previously she was a Co-Founder and the Chief Executive Officer at Kurbo Health, which she sold to Weight Watchers. Prior to founding Kurbo, she worked as an investor at Sterling Capital Management and Bessemer Venture Partners. She has vast expertise in marketing to women and families from 2 decades of advising and investing early in successful consumer internet companies.</t>
  </si>
  <si>
    <t>University of California, Los Angeles (UCLA), JD (Doctor of Law), 1993, Law, University of Pennsylvania, BA (Bachelor of Arts), 1990, Political Science</t>
  </si>
  <si>
    <t>The company raised $3.5 million of venture funding in the form of convertible debt from Muse Capital, SteelSky Ventures and Avestria Ventures on September 20, 2021. Icon Ventures and 1843 Capital also participated in the round. Subsequently, it got converted to equity.</t>
  </si>
  <si>
    <t>1843 Capital, Avestria Ventures, Icon Ventures, Muse Capital, SteelSky Ventures</t>
  </si>
  <si>
    <t>90071</t>
  </si>
  <si>
    <t>www.joinmidi.com</t>
  </si>
  <si>
    <t>170806-60T</t>
  </si>
  <si>
    <t>MightyFly</t>
  </si>
  <si>
    <t>432723-34</t>
  </si>
  <si>
    <t>500 Global(Timothy Chae), At One Ventures(Helen Lin), Global Founders Capital(Donald Stalter), Graph Ventures, Halogen Ventures, Plug and Play Tech Center, Side Door Ventures</t>
  </si>
  <si>
    <t>500 Global (500.co), At One Ventures (www.atoneventures.com), Global Founders Capital (www.globalfounderscapital.com), Graph Ventures (www.graphventures.com), Halogen Ventures (www.halogenvc.com), Plug and Play Tech Center (www.plugandplaytechcenter.com), Side Door Ventures (www.sdv.vc)</t>
  </si>
  <si>
    <t>Provider of logistics and supply chain services intended to serve medical, spare parts, mining, defense, remote and oil and gas industries. The company connects remote locations together with long-range and heavy cargo aircraft, as well as express, customized aerial drone delivery services, and provides rapid and efficient package transport, enabling clients with expedited deliveries that are cheaper and faster.</t>
  </si>
  <si>
    <t>The company raised an undisclosed amount of seed funding from Calm Ventures on September 4, 2024.</t>
  </si>
  <si>
    <t>Logistics*, Other Hardware</t>
  </si>
  <si>
    <t>Mobility Tech, Robotics and Drones, Supply Chain Tech</t>
  </si>
  <si>
    <t>advances air mobility, cargo aircraft service, cargo fleet, drone delivery, drones logistics, evtol logistics, last mile delivery, logistics service, logistics services, supply chain model</t>
  </si>
  <si>
    <t>223835-14P</t>
  </si>
  <si>
    <t>Manal Habib</t>
  </si>
  <si>
    <t>+1 (617) 710-1764</t>
  </si>
  <si>
    <t>manal@mightyfly.com</t>
  </si>
  <si>
    <t>Ms. Manal Habib is a Co-Founder and serves as Chief Executive Officer and Board Member at MightyFly. She previously led flight controls at Zipline and developed the first robust commercial flight controller. She is also a private pilot and is in the process of building her own airplane. Her passion for aerospace, vision for a better world, and determination make her a motivated and unstoppable entrepreneur and leader. A graduate of both MIT and Stanford, she has developed a strong technical background in aerospace engineering.</t>
  </si>
  <si>
    <t>Massachusetts Institute of Technology (MIT), Graduate, Stanford University, Graduate</t>
  </si>
  <si>
    <t>The company raised $5.1 million of Series 1 seed funding from 500 Startups, At One Ventures and Global Founders Capital on April 21, 2021. Plug and Play Tech Center, Graph Ventures, Halogen Ventures and Side Door Ventures also participated in the round. The funds will be used to expand hiring, scale up the company's fleet, and build the infrastructure required to support a global network of hubs.</t>
  </si>
  <si>
    <t>At One Ventures, Global Founders Capital, Graph Ventures, Halogen Ventures, Plug and Play Tech Center, Side Door Ventures</t>
  </si>
  <si>
    <t>At One Ventures Fund(At One Ventures), Global Founders Capital Fund(Global Founders Capital), Graph Ventures 6(Graph Ventures), Halogen Ventures Fund(Halogen Ventures)</t>
  </si>
  <si>
    <t>www.mightyfly.com</t>
  </si>
  <si>
    <t>Aeroplanes, Meteorology, Radio direction-finding, Weighing</t>
  </si>
  <si>
    <t>192169-45T</t>
  </si>
  <si>
    <t>MikoVerse</t>
  </si>
  <si>
    <t>494801-74</t>
  </si>
  <si>
    <t>Corner3 Ventures, Oceans Ventures</t>
  </si>
  <si>
    <t>Corner3 Ventures (www.corner3.vc), Oceans Ventures (www.oceans.ventures)</t>
  </si>
  <si>
    <t>Developer of VTuber technology intended for enhancing content creation. The company's platform provides connections between creators and their fans by unlocking engagement in the virtual world, enabling viewers to participate, create, spend, and play all on the same platform.</t>
  </si>
  <si>
    <t>The company raised an estimated $2.5 million of seed funding from Oceans Ventures, Corner3, and other undisclosed investors on April 1, 2022, putting the company's pre-money valuation at $6 million.</t>
  </si>
  <si>
    <t>content creation, content creation platform, creators community, virtual avatar, virtual world, vtuber technology</t>
  </si>
  <si>
    <t>298206-64P</t>
  </si>
  <si>
    <t>Youna Kang</t>
  </si>
  <si>
    <t>ykang@mikoverse.com</t>
  </si>
  <si>
    <t>Ms. Youna Kang is a Co-Founder and serves as Chief Executive Officer at MikoVerse.</t>
  </si>
  <si>
    <t>Johnson &amp; Oshan Law (Legal Advisor to Company)</t>
  </si>
  <si>
    <t>Commerce, CA</t>
  </si>
  <si>
    <t>Commerce</t>
  </si>
  <si>
    <t>90040</t>
  </si>
  <si>
    <t>www.mikoverse.com</t>
  </si>
  <si>
    <t>196852-06T</t>
  </si>
  <si>
    <t>Mindist</t>
  </si>
  <si>
    <t>500001-13</t>
  </si>
  <si>
    <t>Cubd Ventures, Eddy Vaisberg(Eddy Vaisberg), Ivan Alcibeev(Ivan Alcibeev), Mike Nollett(Mike Nollett), MindEd Ventures, Oleksandr Khuda(Oleksandr Khuda), Philip Jungen(Philip Jungen), SID Venture Partners</t>
  </si>
  <si>
    <t>Cubd Ventures (www.cubd.ventures), MindEd Ventures (www.minded.ventures), SID Venture Partners (sid.fund)</t>
  </si>
  <si>
    <t>Developer of meditation application intended to provide mindfulness. The company's app offers a tool to record quality audio meditations, talks, and courses that are easy and interact with listeners, enabling creators to earn directly from them.</t>
  </si>
  <si>
    <t>Cubd Ventures sold its stake in the company to an undisclosed buyer in August 2024.</t>
  </si>
  <si>
    <t>Application Software, Entertainment Software*, Information Services (B2C)</t>
  </si>
  <si>
    <t>creators platform, meditation app, meditation application, meditation firm, record audio, wellness product</t>
  </si>
  <si>
    <t>306254-89P</t>
  </si>
  <si>
    <t>Julia Ovcharenko</t>
  </si>
  <si>
    <t>Ms. Julia Ovcharenko co-founded &amp; served as Chief Executive Officer at Mindist.</t>
  </si>
  <si>
    <t>The company raised $300,000 of seed funding from SID Venture Partners, Cubd Ventures and MindEd Ventures on an undisclosed date. Alexander Khuda, Eddy Vaisberg, Ivan Alcibeev, Mike Nollett and Philip Jungen also participated in the round.</t>
  </si>
  <si>
    <t>Cubd Ventures, Eddy Vaisberg, Ivan Alcibeev, Mike Nollett, MindEd Ventures, Oleksandr Khuda, Philip Jungen, SID Venture Partners</t>
  </si>
  <si>
    <t>SID Venture Partners I(SID Venture Partners)</t>
  </si>
  <si>
    <t>www.mindist.io</t>
  </si>
  <si>
    <t>234838-54T</t>
  </si>
  <si>
    <t>Miri</t>
  </si>
  <si>
    <t>534795-49</t>
  </si>
  <si>
    <t>500 Global, Sassafras Investments(Spencer Stewart)</t>
  </si>
  <si>
    <t>Developer of a wellness platform designed to empower health experts and coaches by leveraging artificial intelligence for personalized impact. The company's platform integrates advanced AI with coaching expertise, enabling coaches to provide tailored guidance and monetize their services effectively.</t>
  </si>
  <si>
    <t>The company raised $1.2 million of pre-seed funding in a deal led by Sassafras Investments in approximately July 2023. 500 Global and other undisclosed investors also participated in the round.</t>
  </si>
  <si>
    <t>Application Software, Other Healthcare Services*, Other Healthcare Technology Systems</t>
  </si>
  <si>
    <t>artificial intelligence, cutting edge, health experts, healthy lifestyle, personalized health, wellness platform</t>
  </si>
  <si>
    <t>362499-49P</t>
  </si>
  <si>
    <t>Amy Kelly</t>
  </si>
  <si>
    <t>Ms. Amy Kelly is a Co-Founder &amp; serves as Chief Executive Officer at Miri.</t>
  </si>
  <si>
    <t>500 Global, Sassafras Investments</t>
  </si>
  <si>
    <t>Sassafras Investments(Spencer Stewart)</t>
  </si>
  <si>
    <t>94607</t>
  </si>
  <si>
    <t>www.miri.ai</t>
  </si>
  <si>
    <t>186372-28T</t>
  </si>
  <si>
    <t>Miror</t>
  </si>
  <si>
    <t>489951-82</t>
  </si>
  <si>
    <t>Innovation Works</t>
  </si>
  <si>
    <t>Innovation Works (www.innovationworks.org)</t>
  </si>
  <si>
    <t>Developer of social networking platform designed to connect with people on mental health topics through group discussions with certified mental health practitioners. The company's platform specializes in community connection through gatherings to connect with people going through a mental situation, enabling customers to overcome anxiety, find purpose and make positive changes within.</t>
  </si>
  <si>
    <t>The company raised $50,000 of seed funding from Innovation Works on November 4, 2021.</t>
  </si>
  <si>
    <t>Clinics/Outpatient Services, Social Content, Social/Platform Software*</t>
  </si>
  <si>
    <t>community connection platform, mental health assistance, mental health discussion, mental healthcare, social gathering platform, social media platform, social networking platform, social networking software, virtual community platform</t>
  </si>
  <si>
    <t>287780-14P</t>
  </si>
  <si>
    <t>Cassie Guerin</t>
  </si>
  <si>
    <t>cassie@mymiror.com</t>
  </si>
  <si>
    <t>Ms. Cassie Guerin is the Founder and serves as Chief Executive Officer at Miror.</t>
  </si>
  <si>
    <t>Chatham College, BA (Bachelor of Arts), 2015, Philosophy</t>
  </si>
  <si>
    <t>AlphaLab(Innovation Works)</t>
  </si>
  <si>
    <t>15206-2156</t>
  </si>
  <si>
    <t>www.mymiror.com</t>
  </si>
  <si>
    <t>246882-97T</t>
  </si>
  <si>
    <t>MITH</t>
  </si>
  <si>
    <t>266229-91</t>
  </si>
  <si>
    <t>A&amp;E Television Networks, Alpha Praetorian Capital, CMT Digital, Fourth Revolution Capital, NEAR Foundation, Point72 Ventures, Sora Ventures, Synergis Capital, Warner Music Group (NAS: WMG), Winklevoss Capital Management</t>
  </si>
  <si>
    <t>A&amp;E Television Networks (www.aenetworks.com), Alpha Praetorian Capital (www.apvc.capital), CMT Digital (cmt.digital), Fourth Revolution Capital (www.fourthrevolution.capital), Point72 Ventures (www.p72.vc), Sora Ventures (www.sora.vc), Synergis Capital (www.synergiscap.xyz), Warner Music Group (NAS: WMG) (www.wmg.com), Winklevoss Capital Management (www.winklevosscapital.com)</t>
  </si>
  <si>
    <t>Developer of community platform intended for independent content creation and distribution. The company's platform offers features including exclusive content gating, multimedia publishing tools, AI-powered analytics and collaboration tools, and fan reward systems, enabling creators to build stronger relationships with their audience and take control of their creative and financial success.</t>
  </si>
  <si>
    <t>The company raised $3.5 million of seed funding in a deal led by A&amp;E Television Networks and Point72 Ventures on December 30, 2023. Warner Music Group, CMT Digital, NEAR Foundation, Fourth Revolution Capital, Alpha Praetorian Capital, Synergis Capital, Sora Ventures and Winklevoss Capital Management also participated in the round.</t>
  </si>
  <si>
    <t>Business/Productivity Software, Media and Information Services (B2B), Social/Platform Software*</t>
  </si>
  <si>
    <t>community site, creator tech, fans platform, ideas sharing, publishing data, rewards policy</t>
  </si>
  <si>
    <t>206358-04P</t>
  </si>
  <si>
    <t>Licheng Huang</t>
  </si>
  <si>
    <t>Mr. Licheng Huang is the Founder of Machi X. He is the Founder of MITH. He formed L.A BOYZ with his brother Stanley Huang and cousin Steven Lin in 1992. Not only is he the pioneer of Mandarin Hip Hop in Taiwan, he also successfully imported the unique combination of hip hop rap, American-style dance, and outfits in Mandarin pop! In 2003, Jeffrey Huang established MACHI. With its brand management concept, he created some popular music projects such as Machi and Nicky Lee. His business empire included movies, animation, video gaming, live streaming, blockchain etc.</t>
  </si>
  <si>
    <t>A&amp;E Television Networks, Alpha Praetorian Capital, CMT Digital, Fourth Revolution Capital, NEAR Foundation, Point72 Ventures, Sora Ventures, Synergis Capital, Warner Music Group, Winklevoss Capital Management</t>
  </si>
  <si>
    <t>A&amp;E Television Networks, Point72 Ventures</t>
  </si>
  <si>
    <t>www.mith.io</t>
  </si>
  <si>
    <t>190410-31T</t>
  </si>
  <si>
    <t>MixLife</t>
  </si>
  <si>
    <t>493616-53</t>
  </si>
  <si>
    <t>BluePointe Ventures, Eileses Capital(Kishore Bopardikar), Elefund, Keerti Melkote(Keerti Melkote)</t>
  </si>
  <si>
    <t>BluePointe Ventures (bluepointe.vc), Eileses Capital (www.eileses.com), Elefund (www.elefund.com)</t>
  </si>
  <si>
    <t>Developer of an online platform designed to promote well-being and resilience building through creativity. The company's platform offers classes that are based on well-being research that address everyday stress, anxiety and loneliness, enabling individuals to feel pleasant while doing a creative activity and to experience the positive effects of creativity and art on the body and brain.</t>
  </si>
  <si>
    <t>The company joined FalconX (Financial Services) on an undisclosed date. No equity or funding was exchanged as a result of this program.</t>
  </si>
  <si>
    <t>Educational and Training Services (B2C)*, Social/Platform Software</t>
  </si>
  <si>
    <t>corporate wellness, creativity platform, wellbeing education, wellbeing platform, wellbeing program, wellbeing workshops</t>
  </si>
  <si>
    <t>294973-21P</t>
  </si>
  <si>
    <t>Deepa Vivekanandan</t>
  </si>
  <si>
    <t>+1 (408) 480-6804</t>
  </si>
  <si>
    <t>deepa@mixlife.com</t>
  </si>
  <si>
    <t>Ms. Deepa Vivekanandan is a Co-Founder and serves as Chief Executive Officer &amp; Board Member at MixLife. She founded and successfully led several cutting-edge efforts at Google to apply AI to some of the hardest problems in society, ranging from child safety to tackling hate speech, to improving the quality of recommendations affecting billions of hours of user engagement every month. She had first-hand experience with chronic PTSD that opened her eyes to the big gaps in mental health and inspired her to found this company.</t>
  </si>
  <si>
    <t>Carnegie Mellon University, MS (Master of Science), 2008, Information Technology</t>
  </si>
  <si>
    <t>The company raised $800,000 of seed funding in the form of SAFE Notes from Eileses Capital, BluePointe Ventures and Elefund on March 9, 2022. Keerti Melkote also participated in the round.</t>
  </si>
  <si>
    <t>BluePointe Ventures, Eileses Capital, Elefund, Keerti Melkote</t>
  </si>
  <si>
    <t>94538</t>
  </si>
  <si>
    <t>www.mixlife.com</t>
  </si>
  <si>
    <t>184708-18T</t>
  </si>
  <si>
    <t>Mnemonic (Software Development Applications)</t>
  </si>
  <si>
    <t>481698-28</t>
  </si>
  <si>
    <t>Coinbase Ventures, FJ Labs, Hack VC, IntoTheBlock, Kenetic Capital(Jehan Chu), Monochrome Capital(Benjamin Metcalfe), Sound Ventures, Tribe Capital</t>
  </si>
  <si>
    <t>FJ Labs (www.fjlabs.com), Hack VC (www.hack.vc), IntoTheBlock (www.intotheblock.com), Kenetic Capital (www.kenetic.capital), Monochrome Capital (www.monochrome.vc), Sound Ventures (www.soundventures.com), Tribe Capital (www.tribecap.co)</t>
  </si>
  <si>
    <t>Developer of Non-Funglible-Token intelligence platform designed for public companies and technology platforms to provide accurate, reliable, real-time data about the entire NFT data landscape. The company's platform simplifies the increasingly complex task of reading, searching, aggregating, and analyzing data on the chain, and helps to build a powerful collection of analytics dashboards for fans, brands, and investors, enabling creators and brands with new ways to analyze, understand, and market to their fans by giving them insight into collection owners.</t>
  </si>
  <si>
    <t>The company raised $10.04 million of venture funding from Orange DAO and other undisclosed investors on August 28, 2023. Previously, the company raised $6 million of seed funding in a deal led by Salesforce Ventures on June 14, 2023, putting the company's pre-money valuation at $26 million. Monochrome Capital, FJ Labs, Fin Capital, P2 Ventures, and Orange DAO also participated in the round. The funds will be used to expand the suite of APIs.</t>
  </si>
  <si>
    <t>Financial Software, Software Development Applications*</t>
  </si>
  <si>
    <t>Big Data, CloudTech &amp; DevOps, Cryptocurrency/Blockchain</t>
  </si>
  <si>
    <t>application infrastructure, blockchain data center, data building platform, data storage and accessibility, information retrieval platform, machine learning, machine learning api, middleware, non-fungible tokens, real time data</t>
  </si>
  <si>
    <t>276374-80P</t>
  </si>
  <si>
    <t>Andrii Yasinetsky</t>
  </si>
  <si>
    <t>+1 (650) 417-3202</t>
  </si>
  <si>
    <t>andrii@mnemonichq.com</t>
  </si>
  <si>
    <t>Mr. Andrii Yasinetsky is a Co-Founder and serves as Chief Technology Officer &amp; Board Member at Mnemonic.</t>
  </si>
  <si>
    <t>The company raised $4 million of seed funding in a deal led by Kenetic Capital on December 7, 2021, putting the company's pre-money valuation at $15 million. Coinbase Ventures, IntoTheBlock, Monochrome Capital, Sound Ventures, Tribe Capital, Hack VC, and FJ Labs also participated in the round.</t>
  </si>
  <si>
    <t>Coinbase Ventures, FJ Labs, Hack VC, IntoTheBlock, Kenetic Capital, Monochrome Capital, Sound Ventures, Tribe Capital</t>
  </si>
  <si>
    <t>Kenetic Capital(Jehan Chu)</t>
  </si>
  <si>
    <t>Monochrome I Onyx(Monochrome Capital)</t>
  </si>
  <si>
    <t>Orrick (Legal Advisor to Company, Michael Sullivan JD)</t>
  </si>
  <si>
    <t>www.mnemonichq.com</t>
  </si>
  <si>
    <t>170062-75T</t>
  </si>
  <si>
    <t>ModernLoop</t>
  </si>
  <si>
    <t>463304-35</t>
  </si>
  <si>
    <t>Accel(Amit Kumar), Original Capital, Wayfinder Ventures, Webb Investment Network</t>
  </si>
  <si>
    <t>Accel (www.accel.com), Original Capital (www.originalcapital.com), Wayfinder Ventures (www.wayfinder.com), Webb Investment Network (www.winfunding.com)</t>
  </si>
  <si>
    <t>Developer of an interview scheduling platform designed to provide the recruiting infrastructure that powers recruiting operations. The company's platform schedules interviews, resolves interview meeting conflicts, sends day-of reminders, coordinates interviewers, and delivers a quality candidate experience, enabling clients to automate and streamline recruiting operations and boost productivity.</t>
  </si>
  <si>
    <t>The company raised $9 million of Series A venture funding in a deal led by Accel on August 23, 2022, putting the company's pre-money valuation at $50 million. Webb Investment Network, Quiet Capital, PeopleTech Partners, Stewart Butterfield, and Eric Yuan also participated in the round. The funds will be used to automate the process of scheduling job candidate interviews. Previously, the company raised $3.3 million through a combination of Series A-1, Series A-2, and Series A-3 venture funding in a deal led by Accel on October 5, 2021, putting the company's pre-money valuation at $15 million. Webb Investment Network, Original Capital, and Wayfinder Ventures also participated in the round. The funds will be used towards building up a team of engineers and expanding the customer base.</t>
  </si>
  <si>
    <t>automated recruiting, candidate experience, enterprise resource planning, erp, human capital management, interview scheduling, interviewer training, recruiting operations, reporting &amp; dashboard</t>
  </si>
  <si>
    <t>257632-48P</t>
  </si>
  <si>
    <t>Lydia Han</t>
  </si>
  <si>
    <t>lydia@modernloop.io</t>
  </si>
  <si>
    <t>Ms. Lydia Han is a Co-Founder and serves as Chief Executive Officer at ModernLoop. She previously served as PM Lead at Brex, Senior PM at Slack (shipped Google Calendar and O365 Slack app + led Zoom partnership), PM at Facebook and PM at Salesforce.</t>
  </si>
  <si>
    <t>The company raised $3.3 million through a combination of Series A-1, Series A-2, and Series A-3 venture funding in a deal led by Accel on October 5, 2021, putting the company's pre-money valuation at $15 million. Webb Investment Network, Original Capital, and Wayfinder Ventures also participated in the round. The funds will be used towards building up a team of engineers and expanding the customer base.</t>
  </si>
  <si>
    <t>Accel, Original Capital, Wayfinder Ventures, Webb Investment Network</t>
  </si>
  <si>
    <t>Accel(Amit Kumar)</t>
  </si>
  <si>
    <t>Accel XV(Accel), Webb Investment Network Fund(Webb Investment Network)</t>
  </si>
  <si>
    <t>www.modernloop.com</t>
  </si>
  <si>
    <t>266868-82T</t>
  </si>
  <si>
    <t>Modicus Prime</t>
  </si>
  <si>
    <t>481794-04</t>
  </si>
  <si>
    <t>Alumni Ventures(Ludwig Schulze), Dotmatics, Flywheel Fund, Granatus Ventures, Hagop Hagopian, Jack Topdjian(Jack Topdjian), Plug and Play Tech Center, Roman Wilson, Silverton Partners(Roger Chen), SmartGateVC, Techstars, Triple S Ventures, Valor Ventures</t>
  </si>
  <si>
    <t>Alumni Ventures (www.av.vc), Dotmatics (www.dotmatics.com), Flywheel Fund (www.flywheelfund.vc), Granatus Ventures (granatusventures.com), Plug and Play Tech Center (www.plugandplaytechcenter.com), Silverton Partners (www.silvertonpartners.com), SmartGateVC (www.smartgate.vc), Techstars (www.techstars.com), Triple S Ventures (www.triples.vc), Valor Ventures (www.valor.vc)</t>
  </si>
  <si>
    <t>Developer of self-service artificial intelligence tools designed to integrate heterogeneous life sciences data for anomaly detection, monitoring, and enhanced decision-making. The company's platform lets end users execute state-of-the-art research and production, train proprietary algorithms on specific data sets, and feed data to the self-service tools to let artificial intelligence algorithms extract the insights, enabling clients to tackle the emerging data challenges in the life sciences, including continuous manufacturing and smart monitoring.</t>
  </si>
  <si>
    <t>The company raised $3.49 million through a combination of Series Seed, and Seed 1 funding in a deal led by Silverton Partners on July 9, 2024, putting the company's pre-money valuation at $6.51 million. Dotmatics and 11 others also participated in the round.</t>
  </si>
  <si>
    <t>Business/Productivity Software, Other Healthcare Technology Systems*</t>
  </si>
  <si>
    <t>Artificial Intelligence &amp; Machine Learning, Big Data, HealthTech, TMT</t>
  </si>
  <si>
    <t>ai integration, biotechnology and biopharmaceuticals, healthcare data analytics, image analysis system, machine learning tech, training session, vertical application, workflow system</t>
  </si>
  <si>
    <t>276637-69P</t>
  </si>
  <si>
    <t>Taylor Chartier</t>
  </si>
  <si>
    <t>+12194481924</t>
  </si>
  <si>
    <t>taylor@modicusprime.com</t>
  </si>
  <si>
    <t>Ms. Taylor Chartier is a Co-Founder and serves as Chief Executive Officer at Modicus Prime. She serves as Analyst at Valley Capital Partners.</t>
  </si>
  <si>
    <t>The company raised $3.49 million through a combination of Series Seed, and Seed 1 funding in a deal led by Silverton Partners on July 9, 2024, putting the company's pre-money valuation at $6.51 million. Dotmatics, Triple S Ventures, Valor Ventures, Granatus Ventures, SmartGateVC, Flywheel Fund, Alumni Ventures, Plug and Play Tech Center, Techstars, Roman Wilson, Hagop Hagopian and Jack Topdjian also participated in the round.</t>
  </si>
  <si>
    <t>Alumni Ventures, Dotmatics, Flywheel Fund, Granatus Ventures, Hagop Hagopian, Jack Topdjian, Plug and Play Tech Center, Roman Wilson, Silverton Partners, SmartGateVC, Triple S Ventures, Valor Ventures</t>
  </si>
  <si>
    <t>Silverton Partners(Roger Chen)</t>
  </si>
  <si>
    <t>116 Street Ventures Fund 4(Alumni Ventures)</t>
  </si>
  <si>
    <t>La Porte, IN</t>
  </si>
  <si>
    <t>La Porte</t>
  </si>
  <si>
    <t>46350</t>
  </si>
  <si>
    <t>www.modicusprime.com</t>
  </si>
  <si>
    <t>Image data processing or generation, in general</t>
  </si>
  <si>
    <t>182068-93T</t>
  </si>
  <si>
    <t>Mojito</t>
  </si>
  <si>
    <t>482794-84</t>
  </si>
  <si>
    <t>Arca (Asset Management), Atypical Ventures, CMT Digital, Connect Ventures (Venture Capital), Creative Artists Agency, Fifth Down Capital, Future\Perfect Ventures, New Enterprise Associates, Sfermion, Sotheby's</t>
  </si>
  <si>
    <t>Arca (Asset Management) (www.ar.ca), Atypical Ventures (www.atypical.com), CMT Digital (cmt.digital), Connect Ventures (Venture Capital) (www.connectventures.com), Creative Artists Agency (www.caa.com), Fifth Down Capital (fifthdown.com), Future\Perfect Ventures (www.futureperfectventures.com), New Enterprise Associates (www.nea.com), Sfermion (www.sfermion.io), Sotheby's (www.sothebys.com)</t>
  </si>
  <si>
    <t>Operator of a Web3 engagement platform intended to increase revenue and customer engagement. The company specializes in providing a variety of features including minting Non-Fungible Tokens (NFT), accepting crypto payments, creating token-gated content, and offering redeemable NFTs, enabling businesses to capture new customer insights and build stronger relationships with their audience.</t>
  </si>
  <si>
    <t>The company raised $20 million of Series 1 seed funding in a deal led by Connect Ventures on October 21, 2021, putting the company's pre-money valuation at $80 million. Atypical Ventures and 8 other investors also participated in the round. The funds will be used to develop the company's engineering teams to continue building the Mojito platform and to create more partnerships to launch brand-specific non-fungible token (NFT) marketplaces that work differently from today's standard of Amazon and eBay-type platforms.</t>
  </si>
  <si>
    <t>application infrastructure, brand identity, crypto payment, crypto-market, enablement platform and marketplace, loyalty and incentive, middleware, nft marketplace, nft products, web3 firm, web3 infra, web4</t>
  </si>
  <si>
    <t>195248-80P</t>
  </si>
  <si>
    <t>Dan Kinsley</t>
  </si>
  <si>
    <t>Mr. Dan Kinsley co-founded and served as Chief Technology Officer at Civil. He led the Engineering team at Civil. He served as Chief Executive officer at Mojito. He brings over a decade of experience growing early stage companies and building highly scalable systems. Before Civil, Dan was building an e-commerce business accelerator at Launch and helped bring the luxury shoe brand M.Gemi to market. Prior to that he founded Surf, a streaming media aggregation company. He cut his teeth at Thinking Phone Networks (now Fuze), where he helped grow the business from 15 to more than 200 employees.</t>
  </si>
  <si>
    <t>The company raised $20 million of Series 1 seed funding in a deal led by Connect Ventures on October 21, 2021, putting the company's pre-money valuation at $80 million. Creative Artists Agency, Sotheby's, Future\Perfect Ventures, Fifth Down Capital, Sfermion, CMT Digital, New Enterprise Associates, Atypical Ventures and Arca also participated in the round. The funds will be used to develop the company's engineering teams to continue building the Mojito platform and to create more partnerships to launch brand-specific non-fungible token (NFT) marketplaces that work differently from today's standard of Amazon and eBay-type platforms.</t>
  </si>
  <si>
    <t>Connect Ventures (Venture Capital)</t>
  </si>
  <si>
    <t>Arca Endeavor Fund(Arca (Asset Management)), Future\Perfect Ventures III(Future\Perfect Ventures)</t>
  </si>
  <si>
    <t>Latham &amp; Watkins (Legal Advisor to Company, Peyton Worley)</t>
  </si>
  <si>
    <t>10021</t>
  </si>
  <si>
    <t>www.getmojito.com</t>
  </si>
  <si>
    <t>Dentistry, Lime, magnesia</t>
  </si>
  <si>
    <t>140669-11T</t>
  </si>
  <si>
    <t>Monte Carlo</t>
  </si>
  <si>
    <t>437715-73</t>
  </si>
  <si>
    <t>Accel(Steve Loughlin), DJ Patil(DJ Patil), Notable Capital(Glenn Solomon), Webb Investment Network</t>
  </si>
  <si>
    <t>Accel (www.accel.com), Notable Capital (notablecap.com), Webb Investment Network (www.winfunding.com)</t>
  </si>
  <si>
    <t>Developer of a digital data reliability platform intended to monitor and offer alerts for missing or inaccurate data. The company's platform resolves data problems, leading to stronger data teams and insights that deliver true business value, enabling clients to not settle for unreliable data and stop wasting time on data fire drills.</t>
  </si>
  <si>
    <t>The company raised $135 million of Series D venture funding through a combination of debt and equity on May 24, 2022, putting the company's pre-money valuation at $1.47 billion. $132. $1 million of Series D was led by IVP with participation from Salesforce Ventures and 5 other investors. $2.9 million of the loan was provided by an undisclosed lender. The funds will be used to continue improving experiences for the company's hundreds of customers, scale the data observability category to new verticals, and grow its U.S. and EMEA go-to-market and engineering teams. Previously, the company raised $64.25 million of Series C venture funding in a deal led by ICONIQ Growth on August 17, 2021, putting the company's pre-money valuation at $420 million. Salesforce Ventures, Notable Capital, Accel, and Redpoint Ventures also participated in the round. The funds will be used to fuel the growth of the data observability category, further develop the product offerings to serve customers better and support more use cases.</t>
  </si>
  <si>
    <t>ai automation platform, analytics platform, business intelligence platform, data analyst, data automation, data infrastructure, data input, data management software, data management system, data observability, data quality tools, data software &amp; systems, data software and systems, financial data</t>
  </si>
  <si>
    <t>236980-99P</t>
  </si>
  <si>
    <t>Barr Moses</t>
  </si>
  <si>
    <t>+1 (916) 445-1254</t>
  </si>
  <si>
    <t>bmoses@montecarlodata.com</t>
  </si>
  <si>
    <t>Ms. Barr Moses is a Co-Founder and serves as Chief Executive Officer at Monte Carlo. She is an Angel Investor.</t>
  </si>
  <si>
    <t>Stanford University, BS (Bachelor of Science), Mathematics and Computation</t>
  </si>
  <si>
    <t>The company raised $16 million of venture funding through a combination of Series A and Series A1 in a deal led by Accel on April 6, 2020, putting the company's pre-money valuation at $30 million. GGV Capital, Webb Investment Network, DJ Patil and other undisclosed investors also participated in the round.</t>
  </si>
  <si>
    <t>Accel, DJ Patil, Notable Capital, Webb Investment Network</t>
  </si>
  <si>
    <t>Accel(Steve Loughlin)</t>
  </si>
  <si>
    <t>Accel XIV(Accel), GGV Capital VIII Fund(Notable Capital), GGV Discovery Fund II(Notable Capital), Webb Investment Network Fund(Webb Investment Network)</t>
  </si>
  <si>
    <t>Goodwin Procter (Legal Advisor to Accel, David van Horne Jr.), Gunderson Dettmer (Legal Advisor to Company)</t>
  </si>
  <si>
    <t>Goodwin Procter (Legal Advisor to Accel, David van Horne Jr.)</t>
  </si>
  <si>
    <t>www.montecarlodata.com</t>
  </si>
  <si>
    <t>206752-06T</t>
  </si>
  <si>
    <t>Monterey AI</t>
  </si>
  <si>
    <t>501459-76</t>
  </si>
  <si>
    <t>Alumni Ventures(Andrea Funsten), Andrew Liu(Andrew Liu), Antonia Martín(Antonia Martín), Ben Hsieh(Ben Hsieh), Charles Bai(Charles Bai), Chestnut Street Ventures, Dean Shu(Dean Shu), Decent Capital, Embedding VC, Exceptional Capital, Fred Zhang(Fred Zhang), Guido Maliandi(Guido Maliandi), Guillermo Rauch(Guillermo Rauch), Hat-trick Capital, Holly Liu(Holly Liu), Huey Kwik(Huey Kwik), Jeff Anderson(Jeff Anderson), Kae Huynh(Kae Huynh), Lisa Mahapatra(Lisa Mahapatra), Lisha Li(Lisha Li), Manik Gupta(Manik Gupta), NKM Capital, Pioneer Fund, Roger Liu(Roger Liu), Sancus Ventures, Sarup Banskota(Sarup Banskota), Shan He(Shan He), Siddharth Panigrahi(Siddharth Panigrahi), Soma Capital, Yusuf Sherwani(Yusuf Sherwani)</t>
  </si>
  <si>
    <t>Alumni Ventures (www.av.vc), Chestnut Street Ventures (www.chestnutstreetventures.com), Decent Capital (www.decentcapital.com), Embedding VC (www.embedding.vc), Exceptional Capital (www.exceptionalcap.com), Hat-trick Capital (www.hat-trickcapital.com), NKM Capital (www.nkmcap.com), Pioneer Fund (www.pioneerfund.vc), Sancus Ventures (www.sancus.vc), Soma Capital (somacap.com)</t>
  </si>
  <si>
    <t>Developer of an AI software designed for product development. The company's product boosts product velocity for hyper-growing teams by replacing documents with use case-centric workflows that help product leads strategize, measure, and align, enabling clients to discover product dependency and interconnectivity.</t>
  </si>
  <si>
    <t>The company joined Plug and Play Tech Center as a part of its Batch 13 on April 4, 2024.</t>
  </si>
  <si>
    <t>artificial intelligence, co-pilot product, generative ai, product development, product led, slack integration</t>
  </si>
  <si>
    <t>308970-55P</t>
  </si>
  <si>
    <t>Chun Jiang</t>
  </si>
  <si>
    <t>+1 (724) 986-4445</t>
  </si>
  <si>
    <t>cjiang@monterey.ai</t>
  </si>
  <si>
    <t>Ms. Chun Jiang is a Co-Founder and serves as Chief Executive Officer and Board Member at Monterey AI. She previously led products and design at companies like Unfolded (acquired by Foursquare), Scale AI, and Uber. She graduated from Cornell in 2018 and has been obsessed with building the most ambitious and delightful Data and AI products in productivity, developer tooling, and autonomous vehicles.</t>
  </si>
  <si>
    <t>Cornell University, Degree, 2018</t>
  </si>
  <si>
    <t>The company raised $2.76 million of venture funding in the form of SAFE Notes from Pioneer Fund, Chestnut Street Ventures and Alumni Ventures on October 21, 2022. Embedding VC, Decent Capital, Soma Capital, Exceptional Capital, Sancus Ventures, NKM Capital, Hat-trick Capital, Guillermo Rauch, Manik Gupta, Holly Liu, Lisha Li, Charles Bai, Roger Liu, Huey Kwik, Yusuf Sherwani, Jeff Anderson, Kae Huynh, Guido Maliandi, Andrew Liu, Sarup Banskota, Dean Shu, Ben Hsieh, Antonia Martín, Fred Zhang, Lisa Mahapatra, Siddharth Panigrahi and Shan He also participated in the round.</t>
  </si>
  <si>
    <t>Alumni Ventures, Andrew Liu, Antonia Martín, Ben Hsieh, Charles Bai, Chestnut Street Ventures, Dean Shu, Decent Capital, Embedding VC, Exceptional Capital, Fred Zhang, Guido Maliandi, Guillermo Rauch, Hat-trick Capital, Holly Liu, Huey Kwik, Jeff Anderson, Kae Huynh, Lisa Mahapatra, Lisha Li, Manik Gupta, NKM Capital, Pioneer Fund, Roger Liu, Sancus Ventures, Sarup Banskota, Shan He, Siddharth Panigrahi, Soma Capital, Yusuf Sherwani</t>
  </si>
  <si>
    <t>AVG Seed Fund 5(Alumni Ventures), Chestnut Street Ventures 3(Chestnut Street Ventures), Pioneer Alumni Fund 2022(Pioneer Fund), Pioneer Fund II(Pioneer Fund)</t>
  </si>
  <si>
    <t>Dublin, CA</t>
  </si>
  <si>
    <t>Dublin</t>
  </si>
  <si>
    <t>94568</t>
  </si>
  <si>
    <t>www.monterey.ai</t>
  </si>
  <si>
    <t>166807-90T</t>
  </si>
  <si>
    <t>Moodbit</t>
  </si>
  <si>
    <t>399075-58</t>
  </si>
  <si>
    <t>Expert DOJO (www.expertdojo.com)</t>
  </si>
  <si>
    <t>Developer of a generative artificial intelligence platform intended to focus on delivering advanced human resources technology. The company's platform uses advanced machine learning algorithms and natural language processing, in its interface, and delivers generated actionable insights and tailored interventions, enabling businesses to optimize workforce potential, improve productivity, and cultivate a data-driven, high-performance work environment using state-of-the-art regenerative technology and analytics.</t>
  </si>
  <si>
    <t>The company joined Google for Startups as part of Women Founders program in North America and Europe on March 7, 2024. No equity or funding was exchanged as a result of this program.</t>
  </si>
  <si>
    <t>Artificial Intelligence &amp; Machine Learning, Big Data, HR Tech, SaaS</t>
  </si>
  <si>
    <t>artificial intelligence, employee engagement, employee experience, employee performance, generative ai, hr tech, machine learning, people analytics, talent management</t>
  </si>
  <si>
    <t>219339-73P</t>
  </si>
  <si>
    <t>Miho Shoji</t>
  </si>
  <si>
    <t>+1 (917) 674-8054</t>
  </si>
  <si>
    <t>mshoji@mymoodbit.com</t>
  </si>
  <si>
    <t>Ms. Miho Shoji is a Co-Founder &amp; serves as Chief Executive Officer at Moodbit.</t>
  </si>
  <si>
    <t>The company raised $50,000 of seed funding in a deal led by Expert DOJO on February 4, 2021, putting the company's pre-money valuation at $1.4 million.</t>
  </si>
  <si>
    <t>Expert DOJO</t>
  </si>
  <si>
    <t>Expert DOJO Fund III(Expert DOJO)</t>
  </si>
  <si>
    <t>www.mymoodbit.com</t>
  </si>
  <si>
    <t>214628-86T</t>
  </si>
  <si>
    <t>MoonHub</t>
  </si>
  <si>
    <t>506928-16</t>
  </si>
  <si>
    <t>AIX Ventures, Christopher Ré, Day One Ventures, GV(Dave Munichiello), Khosla Ventures(Kanupriya Gulati), Michelangelo Volpi(Michelangelo Volpi), Ram Shriram(Ram Shriram), Susan Wojcicki(Susan Wojcicki), Time Ventures</t>
  </si>
  <si>
    <t>AIX Ventures (www.aixventures.com), Day One Ventures (dayoneventures.com), GV (www.gv.com), Khosla Ventures (www.khoslaventures.com), Time Ventures (www.timevc.capital)</t>
  </si>
  <si>
    <t>Provider of human capital services intended to help recruiters find candidates or agencies scale. The company combines AI technology and automation systems with recruiting expertise to deliver staffing services, enabling individuals to connect with job opportunities.</t>
  </si>
  <si>
    <t>The company raised $10 million through a combination of Series 1, Series 2, Series 3, and Series 4 seed funding in a deal led by GV and Khosla Ventures on October 11, 2023. Time Ventures, Day One Ventures, AIX Ventures, Susan Wojcicki, Mike Volpi, Ram Shriram and Christopher Ré also participated in the round.</t>
  </si>
  <si>
    <t>Application Software, Business/Productivity Software, Human Capital Services*</t>
  </si>
  <si>
    <t>human capital service, jobs recruitment, recruiting platform, recruitment firm, recruitment services, talent recruitment</t>
  </si>
  <si>
    <t>314720-92P</t>
  </si>
  <si>
    <t>Nancy Xu</t>
  </si>
  <si>
    <t>+1 (917) 841-6128</t>
  </si>
  <si>
    <t>nancy@moonhub.ai</t>
  </si>
  <si>
    <t>Ms. Nancy Xu is the Founder and serves as Chief Executive Officer &amp; Board Member at MoonHub.</t>
  </si>
  <si>
    <t>AIX Ventures, Christopher Ré, Day One Ventures, GV, Khosla Ventures, Michelangelo Volpi, Ram Shriram, Susan Wojcicki, Time Ventures</t>
  </si>
  <si>
    <t>GV(Dave Munichiello), Khosla Ventures(Kanupriya Gulati)</t>
  </si>
  <si>
    <t>www.moonhub.ai</t>
  </si>
  <si>
    <t>271758-70T</t>
  </si>
  <si>
    <t>Mother Games</t>
  </si>
  <si>
    <t>652522-33</t>
  </si>
  <si>
    <t>BoxGroup, Lerer Hippeau, Shine Capital</t>
  </si>
  <si>
    <t>BoxGroup (www.boxgroup.com), Lerer Hippeau (www.lererhippeau.com), Shine Capital (www.shine.vc)</t>
  </si>
  <si>
    <t>Developer of a gaming studio designed to offer free-to-play multiplayer games. The company offers a hybrid 3D open-world and platform of mini-games and allow players to interact with the storyline, enabling players to awaken their own mental programming and expand their inner worlds through play.</t>
  </si>
  <si>
    <t>The company raised $5 million of pre-seed funding in a deal led by BoxGroup, Shine Capital and Lerer Hippeau on September 10, 2024. Other undisclosed investors also participated in the round. The funds will be used to support the continued development of Le Zoo and future productions.</t>
  </si>
  <si>
    <t>game developer, game publisher, game studio, gaming development studio, gaming experience platform, multiplayer games</t>
  </si>
  <si>
    <t>47556-46P</t>
  </si>
  <si>
    <t>Kelsey Falter</t>
  </si>
  <si>
    <t>Ms. Kelsey Falter is a Co-Founder and serves as Chief Executive Officer at Mother Games. Ms. Kelsey Falter Founded &amp; served as Chief Executive Officer &amp; President at Pop Tip. Previously, she served as a Private Brand Intern at Saks Fifth Avenue.</t>
  </si>
  <si>
    <t>University of Notre Dame, BA (Bachelor of Arts), 2012, Graphic Design</t>
  </si>
  <si>
    <t>www.mothergames.com</t>
  </si>
  <si>
    <t>187456-60T</t>
  </si>
  <si>
    <t>Mpathic</t>
  </si>
  <si>
    <t>471036-97</t>
  </si>
  <si>
    <t>Crosscut Ventures, Verissimo Ventures</t>
  </si>
  <si>
    <t>Crosscut Ventures (www.crosscut.vc), Verissimo Ventures (verissimo.vc)</t>
  </si>
  <si>
    <t>Operator of a conversational AI platform intended to improve human accuracy in various industries. The company's platform elevates trust, augments data quality and improves outcomes with real-time AI conversation analytics and actionable tips grounded in the science of human behavior, enabling clients to increase customer retention and trust and save millions in the costs of human review and feedback.</t>
  </si>
  <si>
    <t>The company raised an estimated $5.85 million through a combination of Seed-2 and Seed-3 funding in a deal led by Next Frontier Capital on October 2, 2023, putting the company's pre-money valuation at $20.15 million. FullCircle, Keiretsu Forum and WRF Capital also participated in the round.</t>
  </si>
  <si>
    <t>Business/Productivity Software*, Communication Software</t>
  </si>
  <si>
    <t>ai enabled software, analytics software service, artificial intelligence engine, conversational ai, empathic technology, natural language technology, saas platform</t>
  </si>
  <si>
    <t>271012-15P</t>
  </si>
  <si>
    <t>Grin Lord</t>
  </si>
  <si>
    <t>+1 (425) 330-7335</t>
  </si>
  <si>
    <t>grin@mpathic.ai</t>
  </si>
  <si>
    <t>Dr. Grin Lord is a Co-Founder and serves as Chief Executive Officer and Board Member at Mpathic.ai. She is a licensed psychologist and AI researcher on a mission to bring humans closer by training in empathy.</t>
  </si>
  <si>
    <t>PsyD (Doctor of Psychology)</t>
  </si>
  <si>
    <t>The company raised $1.2 million of Seed-1 funding from Crosscut Ventures, Verissimo Ventures and other undisclosed investors on October 1, 2021, putting the company's pre-money valuation at $6.79 million.</t>
  </si>
  <si>
    <t>Crosscut 5(Crosscut Ventures), Verissimo Ventures Fund 1(Verissimo Ventures)</t>
  </si>
  <si>
    <t>98007</t>
  </si>
  <si>
    <t>www.mpathic.ai</t>
  </si>
  <si>
    <t>192520-63T</t>
  </si>
  <si>
    <t>Mueshi</t>
  </si>
  <si>
    <t>495509-86</t>
  </si>
  <si>
    <t>Alexandra Wilson(Alexandra Wilson), Black Venture Capital Consortium, CapitalT(Janneke Niessen), Harlem Capital, Presight Capital(Fabian Hansen), Ted Lucas(Ted Lucas)</t>
  </si>
  <si>
    <t>Black Venture Capital Consortium (www.bvcc.vc), CapitalT (www.capitaltvc.com), Harlem Capital (harlem.capital), Presight Capital (www.presight.vc)</t>
  </si>
  <si>
    <t>Operator of a fundraising platform intended for non-profits to raise capital through the sale of alternative assets. The company connects philanthropist organizations to brands across the U.S. to fundraise via. product-based fundraising campaigns, enabling nonprofits and their engaged communities to receive donations and raise money for their causes effectively.</t>
  </si>
  <si>
    <t>The company raised $3.3 million of seed funding from Harlem Capital, Presight Capital and CapitalT on April 19, 2022. Black Venture Capital Consortium, Alexandra Wilkis Wilson and Ted Lucas also participated in the round.</t>
  </si>
  <si>
    <t>Media and Information Services (B2B)*, Other Business Products and Services, Social/Platform Software</t>
  </si>
  <si>
    <t>donation app, fine art product, fine arts, fundraising goal, fundraising help platform, fundraising site, nft marketplace, nonprofit firm, philanthropy service, product fundraising</t>
  </si>
  <si>
    <t>298764-82P</t>
  </si>
  <si>
    <t>Ariana Waller</t>
  </si>
  <si>
    <t>+1 (312) 236-4733</t>
  </si>
  <si>
    <t>ariana@mueshi.io</t>
  </si>
  <si>
    <t>Ms. Ariana Waller is the Founder and serves as Chief Executive Officer, Board Member &amp; Software Engineer at Mueshi.</t>
  </si>
  <si>
    <t>Alexandra Wilson, Black Venture Capital Consortium, CapitalT, Harlem Capital, Presight Capital, Ted Lucas</t>
  </si>
  <si>
    <t>Apeiron Presight Capital Fund II(Presight Capital), CapitalT Technology Fund(CapitalT), Harlem Capital Partners Venture Fund II(Harlem Capital)</t>
  </si>
  <si>
    <t>www.mueshi.com</t>
  </si>
  <si>
    <t>233273-89T</t>
  </si>
  <si>
    <t>Multiplayer</t>
  </si>
  <si>
    <t>533109-97</t>
  </si>
  <si>
    <t>Alumni Ventures(Ron Levin), Armory Square Ventures, Bowery Capital, Edith Harbaugh(Edith Harbaugh), Mitch Wainer(Mitch Wainer), Okapi Venture Capital</t>
  </si>
  <si>
    <t>Alumni Ventures (www.av.vc), Armory Square Ventures (www.armorysv.com), Bowery Capital (www.bowerycap.com), Okapi Venture Capital (www.okapivc.com)</t>
  </si>
  <si>
    <t>Developer of a collaborative platform intended to make it easier for teams to work on distributed software. The company's platform offers visual collaboration on backend software development at a professional level, enabling engineering teams to design, develop, visualize, and manage software in one place.</t>
  </si>
  <si>
    <t>The company raised $3 million of Seed funding in a deal led by Bowery Capital on August 9, 2023, putting the company's pre-money valuation at $7 million. Okapi Venture Capital, Alumni Ventures, Armory Square Ventures, Mitch Wainer and Edith Harbaugh also participated in the round. The funds will be used to further enhance collaborative and visual tool for distributed software development.</t>
  </si>
  <si>
    <t>architecture visualization, backend integration, collaborative platform, deep integrations, developer tools, distributing software, platform version control, system architecture</t>
  </si>
  <si>
    <t>358949-71P</t>
  </si>
  <si>
    <t>Steph Johnson</t>
  </si>
  <si>
    <t>steph@multiplayer.app</t>
  </si>
  <si>
    <t>Ms. Steph Johnson is a Co-Founder &amp; serves as Chief Executive Officer at Multiplayer.</t>
  </si>
  <si>
    <t>University of Florida, BS (Bachelor of Science), 1994, Public Relations, Journalism</t>
  </si>
  <si>
    <t>Alumni Ventures, Armory Square Ventures, Bowery Capital, Edith Harbaugh, Mitch Wainer, Okapi Venture Capital</t>
  </si>
  <si>
    <t>Bowery Capital</t>
  </si>
  <si>
    <t>Reitler Kailas &amp; Rosenblatt (Legal Advisor to Company)</t>
  </si>
  <si>
    <t>www.multiplayer.app</t>
  </si>
  <si>
    <t>174174-85T</t>
  </si>
  <si>
    <t>Musicasa (Other Services (B2C Non-Financial))</t>
  </si>
  <si>
    <t>467721-19</t>
  </si>
  <si>
    <t>11-11 Ventures(Arul Murugan), Adriana Cisneros(Adriana Cisneros), Carlos Martin, Concord Music, Sarah Haynes(Sarah Haynes), Techstars, TheVentureCity, Trip Ventures, Warner Music Group (NAS: WMG), Wynwood Ventures</t>
  </si>
  <si>
    <t>11-11 Ventures (www.11-11ventures.com), Concord Music (www.concord.com), Techstars (www.techstars.com), TheVentureCity (www.theventure.city), Trip Ventures (www.tripventures.com), Warner Music Group (NAS: WMG) (www.wmg.com)</t>
  </si>
  <si>
    <t>Operator of a live music community intended to connect musicians to community members and music lovers through intimate concerts. The company's platform offers virtual and in-person concerts, enabling musicians to gain exposure and new monetization opportunities.</t>
  </si>
  <si>
    <t>TheVentureCity sold a stake in the company to an undisclosed buyer on November 1, 2023.</t>
  </si>
  <si>
    <t>Information Services (B2C)*, Other Services (B2C Non-Financial), Social/Platform Software</t>
  </si>
  <si>
    <t>live concerts, live music platform, music community, music concerts organizer, musicians community, musicians network</t>
  </si>
  <si>
    <t>265484-08P</t>
  </si>
  <si>
    <t>Beatriz Ayala Muñiz</t>
  </si>
  <si>
    <t>+1 (305) 301-5953</t>
  </si>
  <si>
    <t>Ms. Beatriz Ayala Muñiz co-Founded and served as Chief Executive Officer at Musicasa.</t>
  </si>
  <si>
    <t>The company raised $950,000 of pre-seed funding in a deal led by TheVentureCity on August 1, 2021. Concord Music, Warner Music Group, Trip Ventures, Wynwood Ventures, 11-11 Ventures, Techstars, Sarah Haynes, Adriana Cisneros and Carlos Garcia also participated in the round. The funds will be used by the company to invest in sales, marketing and operation costs.</t>
  </si>
  <si>
    <t>11-11 Ventures, Adriana Cisneros, Carlos Martin, Concord Music, Sarah Haynes, Techstars, TheVentureCity, Trip Ventures, Warner Music Group, Wynwood Ventures</t>
  </si>
  <si>
    <t>TheVentureCity</t>
  </si>
  <si>
    <t>www.musicasalive.com</t>
  </si>
  <si>
    <t>183115-18T</t>
  </si>
  <si>
    <t>Mustard (Media and Information Services (B2B))</t>
  </si>
  <si>
    <t>483370-75</t>
  </si>
  <si>
    <t>Corazon Group, Everywhere Ventures, Great North Ventures, Newfund Management, Operate (Investor)</t>
  </si>
  <si>
    <t>Corazon Group (www.corazon.com), Everywhere Ventures (everywhere.vc), Great North Ventures (www.greatnorthventures.com), Newfund Management (www.newfundcap.com), Operate (Investor) (operatestudio.com)</t>
  </si>
  <si>
    <t>Developer of interactive video-based food discovery and ordering software designed to change the way people discover and order food. The company's interactive application displays an individual dish, its price, and a link to order in each video, enabling customers to find food via video content and order or book directly from the video.</t>
  </si>
  <si>
    <t>The company raised $1 million of pre-seed funding from Great North Ventures, Everywhere Ventures and Newfund Management on October 13, 2021. Operate and Corazon Capital also participated in the round.</t>
  </si>
  <si>
    <t>Application Software, Information Services (B2C), Media and Information Services (B2B)*, Other Restaurants, Hotels and Leisure</t>
  </si>
  <si>
    <t>FoodTech, Mobile</t>
  </si>
  <si>
    <t>discovery &amp; review, discovery and review, food and beverage discovery, food beverage discovery, food delivery application, food delivery platform, food discovery platform, food odering application, food ordering platform, food ordering services</t>
  </si>
  <si>
    <t>280929-52P</t>
  </si>
  <si>
    <t>Diana Might</t>
  </si>
  <si>
    <t>dmight@mustard.love</t>
  </si>
  <si>
    <t>Ms. Diana Might is a Co-Founder &amp; serves as Co-Chief Executive Officer &amp; Chief Content Officer at Mustard.</t>
  </si>
  <si>
    <t>Goldsmiths College, Master's, 2012, Digital Media &amp; Scriptwriting, New York Medical College, Bachelor's, 2010, Communications and Psychology</t>
  </si>
  <si>
    <t>Everywhere Ventures I(Everywhere Ventures), Great North Capital Fund II(Great North Ventures), Newfund North America I(Newfund Management)</t>
  </si>
  <si>
    <t>Goodwin Procter (Legal Advisor to Company, Nicolle Shanman)</t>
  </si>
  <si>
    <t>www.mustard.love</t>
  </si>
  <si>
    <t>164063-08T</t>
  </si>
  <si>
    <t>MustDeliver</t>
  </si>
  <si>
    <t>431696-26</t>
  </si>
  <si>
    <t>Lori Heino-Royer(Lori Heino-Royer), Portland Seed Fund, Renato Grandmont(Renato Grandmont)</t>
  </si>
  <si>
    <t>Operator of a digital freight matching platform intended to connect independent carriers with shippers and API integration of shippers. The company's platform offers market picks price and matching, price transparency, real-time shipment alerts, driver preferences, and paperless documentation leading to clarity, control, and communication and the drivers have personal profiles and scores, enabling freight brokers to facilitate complete pricing transparency and direct communication between shippers and drivers, which allows for better matching between both parties.</t>
  </si>
  <si>
    <t>The company raised $325,000 through a combination of debt and equity on October 31, 2021. $275,00 of seed funding was provided by Portland Seed Fund, Lori Heino Royer, Renato Grandmont, and other undisclosed investors. A $50,000 convertible debt was provided by undisclosed lenders.</t>
  </si>
  <si>
    <t>digital marketplace, digital reporting tool, freight booking marketplace, freight platform, freight technology, freight tracking, price transparency, shippers platform, trucking logistics</t>
  </si>
  <si>
    <t>222671-80P</t>
  </si>
  <si>
    <t>Carrie Love</t>
  </si>
  <si>
    <t>+1 (833) 933-1833</t>
  </si>
  <si>
    <t>carrie@mustdeliver.com</t>
  </si>
  <si>
    <t>Ms. Carrie Love is a Co-Founder and serves as Chief Executive Officer at MustDeliver. Previously, she served as Chief Operating Officer at MustDeliver.</t>
  </si>
  <si>
    <t>Lori Heino-Royer, Portland Seed Fund, Renato Grandmont</t>
  </si>
  <si>
    <t>Portland Seed Fund III(Portland Seed Fund)</t>
  </si>
  <si>
    <t>Bangor, ME</t>
  </si>
  <si>
    <t>Bangor</t>
  </si>
  <si>
    <t>04401</t>
  </si>
  <si>
    <t>www.mustdeliver.com</t>
  </si>
  <si>
    <t>114785-11T</t>
  </si>
  <si>
    <t>Mutiny</t>
  </si>
  <si>
    <t>232144-21</t>
  </si>
  <si>
    <t>Aileen Lee(Aileen Lee), Andrew McLoughlin(Andrew McLoughlin), Cowboy Ventures, Emily Kramer(Emily Kramer), Firebolt Ventures, GTMFund, Hack VC, John Adractas(John Adractas), Liquid 2 Ventures, Michael Stoppelman(Michael Stoppelman), Paul Buchheit(Paul Buchheit), Sequoia Capital(Bogomil Balkansky), Uncork Capital(Andrew McLoughlin)</t>
  </si>
  <si>
    <t>Andrew McLoughlin (www.andymcloughlin.co), Cowboy Ventures (www.cowboy.vc), Firebolt Ventures (www.fireboltventures.com), GTMFund (www.gtmfund.com), Hack VC (www.hack.vc), Liquid 2 Ventures (www.liquid2.vc), Sequoia Capital (www.sequoiacap.com), Uncork Capital (www.uncorkcapital.com)</t>
  </si>
  <si>
    <t>Developer of an activity-based management and website personalization platform designed to help marketers convert their top-of-funnel demand into revenue without engineers. The company's platform features a graphical interface that permits the creation of personalized elements of the webpage for each segment based on users' search terms, enabling clients to understand their site visitor's intent and goals and tailor the existing landing pages.</t>
  </si>
  <si>
    <t>The company raised $50 million of Series B venture funding in a deal led by Tiger Global Management and Insight Partners on April 20, 2022, putting the company's pre-money valuation at $565 million. Cowboy Ventures and other undisclosed investors also participated in the round. Previously, the company raised $22.49 million through a combination of Series A, Series A-1, and Series A-2 venture funding in a deal led by Cowboy Ventures and Uncork Capital on September 15, 2021, putting the company's pre-money valuation at $72.51 million. Hack VC and other undisclosed investors also participated in the round.</t>
  </si>
  <si>
    <t>account based marketing, account based marketing software, audience intelligence, audience intelligent analysis, crm, customer relationship management, ecommerce personalization, generative ai, personalization services, website customization, website personalization</t>
  </si>
  <si>
    <t>123375-16P</t>
  </si>
  <si>
    <t>Jaleh Rezaei</t>
  </si>
  <si>
    <t>jaleh@mutinyhq.com</t>
  </si>
  <si>
    <t>Ms. Jaleh Rezaei is a Co-Founder and serves as Chief Executive Officer &amp; Board Member at Mutiny. She previously served as Head, Marketing at Gusto.com. She has an MBA degree from Stanford Graduate School of Business in 2012.</t>
  </si>
  <si>
    <t>Stanford Graduate School of Business, MBA (Master of Business Administration), 2012, Stanford University, MS (Master of Science), 2007, Management Science and Engineering, University of California, Berkeley, BS (Bachelor of Science), 2005, Mechanical Engineering</t>
  </si>
  <si>
    <t>The company raised $22.49 million through a combination of Series A, Series A-1, and Series A-2 venture funding in a deal led by Cowboy Ventures and Uncork Capital on September 15, 2021, putting the company's pre-money valuation at $72.51 million. Hack VC, Liquid 2 Ventures, Sequoia Capital, GTMFund, Firebolt Ventures, Andy McLoughlin, Aileen Lee, Emily Kramer, Michael Stoppelman, Paul Buchheit, John Adractas, and other undisclosed investors also participated in the round.</t>
  </si>
  <si>
    <t>Aileen Lee, Andrew McLoughlin, Cowboy Ventures, Emily Kramer, Firebolt Ventures, GTMFund, Hack VC, John Adractas, Liquid 2 Ventures, Michael Stoppelman, Paul Buchheit, Sequoia Capital, Uncork Capital</t>
  </si>
  <si>
    <t>Cowboy Ventures, Uncork Capital(Andrew McLoughlin)</t>
  </si>
  <si>
    <t>Cowboy Capital Fund II(Cowboy Ventures), Liquid 2 Ventures Fund III(Liquid 2 Ventures), SoftTech VC V(Uncork Capital)</t>
  </si>
  <si>
    <t>Cooley (Legal Advisor to Sequoia Capital), Fenwick &amp; West (Legal Advisor to Company), Goodwin Procter (Legal Advisor to Uncork Capital, Emma Mann-Meginniss JD), Silicon Legal Strategy (Legal Advisor to Cowboy Ventures, Coleman Cannon JD)</t>
  </si>
  <si>
    <t>Cooley (Legal Advisor to Sequoia Capital), Goodwin Procter (Legal Advisor to Uncork Capital, Emma Mann-Meginniss JD), Silicon Legal Strategy (Legal Advisor to Cowboy Ventures, Coleman Cannon JD)</t>
  </si>
  <si>
    <t>www.mutinyhq.com</t>
  </si>
  <si>
    <t>205888-24T</t>
  </si>
  <si>
    <t>Muus Collective</t>
  </si>
  <si>
    <t>510397-57</t>
  </si>
  <si>
    <t>Griffin Gaming Partners(Nicholas Tuosto), Versus Ventures</t>
  </si>
  <si>
    <t>Griffin Gaming Partners (www.griffingp.com), Versus Ventures (www.versusvc.com)</t>
  </si>
  <si>
    <t>Provider of digital entertainment studio services intended to develop mobile game applications. The company offers its services by bringing together minds in fashion, gaming, and web3 to create fashion experiences spanning mobile games, entertainment, and digital collectibles, helping creators, gamers, and meta-visionaries to go beyond physical reality, express themselves, and earn while they play.</t>
  </si>
  <si>
    <t>The company joined Warner Music Group Web3 Music Accelerator as a part of its First Class on February 1, 2024. No equity or funding was exchanged as a result of this program.</t>
  </si>
  <si>
    <t>Entertainment Software*, Other Services (B2C Non-Financial)</t>
  </si>
  <si>
    <t>digital collectibles, digital studio, digital studio service, entertainment studio, gaming application, mobile game, mobile game application, web3 application</t>
  </si>
  <si>
    <t>161398-36P</t>
  </si>
  <si>
    <t>Amber Bezahler</t>
  </si>
  <si>
    <t>Ms. Amber Bezahler serves as Chief Executive Officer at Cycl (California). She is a Co-Founder and serves as Co-Chief Executive Officer at Muus Collective. She is both a successful startup entrepreneur and seasoned Fortune 500 executive. She has led platform, eCommerce and innovation initiatives for brands in gaming (Activision, Electronic Arts, Nintendo, Playstation, Xbox) and fashion/beauty (Bottega Veneta, Holt Renfrew, L'Oréal, Violet Grey). Prior to Muus Collective, Amber advised metaverse production studios creating on-chain games and digital collectibles.</t>
  </si>
  <si>
    <t>The company raised $5 million of seed funding in a deal led by Griffin Gaming Partners on October 11, 2022, putting the company's pre-money valuation at $12.5 million. Versus Ventures, and other undisclosed investors also participated in the round.</t>
  </si>
  <si>
    <t>Griffin Gaming Partners, Versus Ventures</t>
  </si>
  <si>
    <t>Griffin Gaming Partners(Nicholas Tuosto)</t>
  </si>
  <si>
    <t>Fenwick &amp; West (Legal Advisor to Company), Orrick (Legal Advisor to Griffin Gaming Partners)</t>
  </si>
  <si>
    <t>Orrick (Legal Advisor to Griffin Gaming Partners)</t>
  </si>
  <si>
    <t>muuscollective.com</t>
  </si>
  <si>
    <t>208203-13T</t>
  </si>
  <si>
    <t>MyPocketCFO</t>
  </si>
  <si>
    <t>513156-52</t>
  </si>
  <si>
    <t>2048 Ventures(Alex Iskold), First Row Partners, Imagination Capital</t>
  </si>
  <si>
    <t>2048 Ventures (www.2048.vc), First Row Partners (www.firstrowpartners.vc), Imagination Capital (www.imaginationvc.com)</t>
  </si>
  <si>
    <t>Developer of an all-in-one platform intended to simplify financial management for small and medium eCommerce companies. The company's platform understands the full financial picture of the company and manages accounting, analysis, financing, and fundraising with ease, enabling businesses to automate bookkeeping and generate insight reports and financial statements in real time.</t>
  </si>
  <si>
    <t>The company raised $1.25 million of pre-seed funding from 2048 Ventures, First Row Partners and Imagination Capital on November 8, 2022.</t>
  </si>
  <si>
    <t>all-in-one platform, bookkeeping firm, cfo stack, ecommerce company, finance management, financial management, financial management system, fundraising platform service</t>
  </si>
  <si>
    <t>323409-07P</t>
  </si>
  <si>
    <t>Alice Zhang</t>
  </si>
  <si>
    <t>+1 (408) 239-7280</t>
  </si>
  <si>
    <t>alice.zhang@mypocketcfo.com</t>
  </si>
  <si>
    <t>Ms. Alice Zhang is a Co-Founder and serves as Chief Executive Officer at MyPocketCFO.</t>
  </si>
  <si>
    <t>University of Pennsylvania (Wharton), MBA (Master of Business Administration), 2006, Management, Finance</t>
  </si>
  <si>
    <t>2048 Ventures, First Row Partners, Imagination Capital</t>
  </si>
  <si>
    <t>www.mypocketcfo.com</t>
  </si>
  <si>
    <t>275986-90T</t>
  </si>
  <si>
    <t>N-ERGY</t>
  </si>
  <si>
    <t>595881-55</t>
  </si>
  <si>
    <t>BEE Ventures, Boost VC</t>
  </si>
  <si>
    <t>Boost VC (www.boost.vc)</t>
  </si>
  <si>
    <t>Developer of an autonomous factory designed to create next-generation radiation-resistant materials. The company's factory utilizes machine learning and artificial intelligence to automate the process of designing, testing, and supplying these materials, enabling companies to improve the speed, cost, and effectiveness of material development for the nuclear and space industries.</t>
  </si>
  <si>
    <t>The company raised $1.5 million of pre-seed funding in a deal led by Boost VC and BEE Ventures on June 20, 2024. Other undisclosed investors also participated in this round.</t>
  </si>
  <si>
    <t>Exploration, Production and Refining</t>
  </si>
  <si>
    <t>Energy Production</t>
  </si>
  <si>
    <t>Business/Productivity Software, Energy Production*</t>
  </si>
  <si>
    <t>Artificial Intelligence &amp; Machine Learning, CleanTech</t>
  </si>
  <si>
    <t>ai platform, autonomous software, nuclear energy, radiation detector, radiation resistance, radiation safety, resistant materials</t>
  </si>
  <si>
    <t>419347-72P</t>
  </si>
  <si>
    <t>Madhumitha Ravichandran</t>
  </si>
  <si>
    <t>mravichandran@nergyai.com</t>
  </si>
  <si>
    <t>Ms. Madhumitha Ravichandran is a Co-Founder &amp; serves as Chief Executive Officer at N-ERGY.</t>
  </si>
  <si>
    <t>www.nergyai.com</t>
  </si>
  <si>
    <t>183616-21T</t>
  </si>
  <si>
    <t>N-Sense</t>
  </si>
  <si>
    <t>467221-06</t>
  </si>
  <si>
    <t>Ag Startup Engine</t>
  </si>
  <si>
    <t>Ag Startup Engine (www.agstartupengine.com)</t>
  </si>
  <si>
    <t>Developer of a soil nitrate sensor system intended to determine in-real-time on-the-go soil nitrate concentrations with sufficient accuracy. The company's system uses soil sensing technology that helps farmers to measure nitrates and apply nitrogen only where it is needed as well as avoid wastage in the form of ammonia, enabling farmers to increase farm profitability and decrease the environmental impact associated with it.</t>
  </si>
  <si>
    <t>The company raised $50,000 of venture funding from Ag Startup Engine on November 17, 2021. The total funds were originally raised in the form of convertible debt and subsequently converted to equity.</t>
  </si>
  <si>
    <t>Application Specific Semiconductors, Electronic Equipment and Instruments*, Other Agriculture, Other Commercial Services</t>
  </si>
  <si>
    <t>Advanced Manufacturing, AgTech, Climate Tech</t>
  </si>
  <si>
    <t>farm management, fertilizer alternatives, field iot, landscape analysis, nitrate concentration, nitrogen solution fertilizer, precision ag, precision agriculture, sensing technology, sensor system</t>
  </si>
  <si>
    <t>264815-74P</t>
  </si>
  <si>
    <t>Natalia Rogovska</t>
  </si>
  <si>
    <t>Dr. Natalia Rogovska co-founded and served as Chief Executive Officer &amp; Board Member at N-Sense. Previously, she served as an assistant scientist in the Agronomy Department, Iowa State University. Natalia received her Ph.D. in Soil Science and Certificate in Geographic Information Systems from Iowa State University in 2006. Her Ph.D. My dissertation in soil fertility was recognized by ISU Graduate College Research Excellence Award. She has a background in soil fertility and management, nutrient management, remote sensing, and precision agriculture.</t>
  </si>
  <si>
    <t>Iowa State University, Certificate, 2006, Geographic Information Systems, Iowa State University, Ph.D. (Doctor of Philosophy), 2006, Soil Sciences</t>
  </si>
  <si>
    <t>Ag Startup Engine Fund II(Ag Startup Engine)</t>
  </si>
  <si>
    <t>Ames, IA</t>
  </si>
  <si>
    <t>Ames</t>
  </si>
  <si>
    <t>50014</t>
  </si>
  <si>
    <t>www.n-sense.us</t>
  </si>
  <si>
    <t>Electric machines not otherwise provided for</t>
  </si>
  <si>
    <t>184818-70T</t>
  </si>
  <si>
    <t>NAILBITER</t>
  </si>
  <si>
    <t>136334-35</t>
  </si>
  <si>
    <t>US Boston Capital(John McClellan)</t>
  </si>
  <si>
    <t>US Boston Capital (www.usboston.com)</t>
  </si>
  <si>
    <t>Operator of a market research platform intended to help marketers understand how consumers make product purchases and usage decisions. The company's platform allows consumers to make videos and take surveys in-store and at home and quantitatively codes stated, latent and emotional decisions, revealing hidden barriers to product success, enabling clients to make immediate decisions that drive market success.</t>
  </si>
  <si>
    <t>The company raised $13.3 million of Series A1 venture funding through a combination of debt and equity from US Boston Capital and other undisclosed investors on December 23, 2021, putting the company's pre-money valuation at $65 million.</t>
  </si>
  <si>
    <t>category management platform, consumer insights, crm, customer relationship management, customer research, market research, market research firm, quantitative research platform</t>
  </si>
  <si>
    <t>270119-17P</t>
  </si>
  <si>
    <t>Amishi Takalkar</t>
  </si>
  <si>
    <t>+1 (732) 705-4272</t>
  </si>
  <si>
    <t>amishi@nail-biter.com</t>
  </si>
  <si>
    <t>Ms. Amishi Takalkar is a Co-Founder and serves as Chief Executive Officer, US and Board Member at Nailbiter.</t>
  </si>
  <si>
    <t>US Boston Capital</t>
  </si>
  <si>
    <t>Herndon, VA</t>
  </si>
  <si>
    <t>Herndon</t>
  </si>
  <si>
    <t>20171</t>
  </si>
  <si>
    <t>www.nailbiter.com</t>
  </si>
  <si>
    <t>206686-81T</t>
  </si>
  <si>
    <t>Nammu21</t>
  </si>
  <si>
    <t>231070-51</t>
  </si>
  <si>
    <t>Circle Ventures (Boston)(Wyatt Lonergan), Citigroup (NYS: C), CoinShares Ventures(Meltem Demirors), Flying Point Industries, Galaxy Digital Holdings (TSE: GLXY)(Alex Thorn), Humla Ventures(Gregory Carson), Raptor Group</t>
  </si>
  <si>
    <t>Citigroup (NYS: C) (www.citigroup.com), Flying Point Industries (www.flyingpointindustries.com), Galaxy Digital Holdings (TSE: GLXY) (www.galaxy.com), Humla Ventures (www.humla.vc), Raptor Group (www.raptorgroup.com)</t>
  </si>
  <si>
    <t>Developer of a digitization and analytics platform designed to deconstruct complex interconnected documents across the financial ecosystem. The company's platform transforms the transaction experience and process into easily accessible data, enabling clients to have easy access to complex data structures.</t>
  </si>
  <si>
    <t>Raptor Group sold a stake in the company to an undisclosed buyer. Previously, the company raised $15.82 million of Series A venture funding in a deal led by XBTO Humla Ventures on October 21, 2022, putting the company's pre-money valuation at $27 million. CoinShares Ventures and 5 other investors also participated in the round. Of the total amount, an undisclosed sum was originally raised in the form of convertible debt and subsequently converted to Series A equity.</t>
  </si>
  <si>
    <t>content services, data analysis system, data extraction, enterprise software, esg analysis, financial data analysis, financial data mining, financial data processing, kms, knowledge management system, legal analytics, regtech</t>
  </si>
  <si>
    <t>226368-37P</t>
  </si>
  <si>
    <t>Someera Khokhar</t>
  </si>
  <si>
    <t>+1 (888) 626-6821</t>
  </si>
  <si>
    <t>skhokhar@nammu21.com</t>
  </si>
  <si>
    <t>Ms. Someera Khokhar is a Co-Founder and serves as Chief Executive Officer &amp; Board Member at Nammu21.</t>
  </si>
  <si>
    <t>University of Southampton, LLB (Bachelor of Laws)</t>
  </si>
  <si>
    <t>The company raised $15.82 million of Series A venture funding in a deal led by XBTO Humla Ventures on October 21, 2022, putting the company's pre-money valuation at $27 million. CoinShares Ventures, Circle Ventures, Raptor Group, Galaxy Digital Holdings, Flying Point Industries, and Citigroup also participated in the round. Of the total amount, an undisclosed sum was originally raised in the form of convertible debt and subsequently converted to Series A equity. The funds will be used to continue developing the company's NLP data and workflow solutions, which dynamically expose critical data elements and relational data embedded in complex high-value syndicated loans.</t>
  </si>
  <si>
    <t>Circle Ventures (Boston), Citigroup, CoinShares Ventures, Flying Point Industries, Galaxy Digital Holdings, Humla Ventures, Raptor Group</t>
  </si>
  <si>
    <t>Humla Ventures(Gregory Carson)</t>
  </si>
  <si>
    <t>10128</t>
  </si>
  <si>
    <t>nammu21.com</t>
  </si>
  <si>
    <t>210254-50T</t>
  </si>
  <si>
    <t>Narratize</t>
  </si>
  <si>
    <t>515741-77</t>
  </si>
  <si>
    <t>Anamika Ventures, Connetic Ventures, HearstLab, Keyhorse Capital</t>
  </si>
  <si>
    <t>Connetic Ventures (www.conneticventures.com), HearstLab (www.hearstlab.com), Keyhorse Capital (www.keyhorse.vc)</t>
  </si>
  <si>
    <t>Developer of generative artificial intelligence-based management tool designed to provide a tech-enabled writing experience. The company's platform is designed specifically to help product development teams nail the technical and business narrative, both internally and for message-market fit, it coauthors product requirements documents, pitches, briefs, user stories, epics, project plans, press releases of the Future (PRFAQs), plus enables users to rapidly capture customer insights for front-end innovation, concept notes, and product reviews at scale with AI, enabling clients with corporate storytelling and insights and crafting them into high-impact, long-form content.</t>
  </si>
  <si>
    <t>The company raised an undisclosed amount of seed funding from Keyhorse Capital (KSTC) on May 29, 2024.</t>
  </si>
  <si>
    <t>ai communication platform, ai writing platform, natural language processing, productivity tool, research and development, storytelling platform</t>
  </si>
  <si>
    <t>350033-50P</t>
  </si>
  <si>
    <t>Katie Taylor</t>
  </si>
  <si>
    <t>+1 (859) 866-1916</t>
  </si>
  <si>
    <t>katie@narratize.com</t>
  </si>
  <si>
    <t>Ms. Katie Taylor is a Co-Founder and serves as Chief Executive Officer and Board Member at Narratize.</t>
  </si>
  <si>
    <t>BA (Bachelor of Arts), 2008, English, Purdue University, West Lafayette, Ph.D. (Doctor of Philosophy), 2014, Rhetoric and Composition, University of Cincinnati, MA (Master of Arts), 2010, English and Comparative Literature</t>
  </si>
  <si>
    <t>The company raised $550,000 of seed funding from Keyhorse Capital (KSTC), Connetic Ventures and Anamika Ventures on December 1, 2022, putting the company's pre-money valuation at $4.45 million. HearstLab also participated in the round.</t>
  </si>
  <si>
    <t>Kentucky Enterprise Fund(Keyhorse Capital)</t>
  </si>
  <si>
    <t>Covington, KY</t>
  </si>
  <si>
    <t>Covington</t>
  </si>
  <si>
    <t>41011</t>
  </si>
  <si>
    <t>www.narratize.com</t>
  </si>
  <si>
    <t>185793-13T</t>
  </si>
  <si>
    <t>Nave Analytics</t>
  </si>
  <si>
    <t>489547-90</t>
  </si>
  <si>
    <t>Operator of a data coherence hub intended to provide a cost-effective and data-driven system for irrigation advisors. The company helps agriculture professionals recommend the correct amount of water at the correct time to their clients by fusing satellite, weather, and telemetry data into a singular data stream, enabling farmers to become deliberate with their irrigation decisions.</t>
  </si>
  <si>
    <t>The company raised $400,000 of seed funding from Nelnet Ventures and Invest Nebraska on April 12, 2024. Other undisclosed investors also participated in this round.</t>
  </si>
  <si>
    <t>AgTech, Big Data, SaaS</t>
  </si>
  <si>
    <t>crop data, data driven system, irrigation operations, irrigation system, scalable data platform, sustainable irrigation operations, value-added information</t>
  </si>
  <si>
    <t>344775-97P</t>
  </si>
  <si>
    <t>Jessica Korinek</t>
  </si>
  <si>
    <t>+1 (308) 529-7296</t>
  </si>
  <si>
    <t>jessi@naveanalytics.com</t>
  </si>
  <si>
    <t>Ms. Jessica Korinek is a Co-Founder and serves as President, Chief Executive Officer &amp; Board Member at Nave Analytics. She has 12 years of experience in the agriculture industry carrying out small plot research as well as managing commercial field trials directly with growers. She has spent a great deal of those 12 years having candid conversations with growers and learning about the intricacies of irrigation operations across many regions as well as the gaps in the information available to make irrigation decisions. She has previous experience driving innovation forward in a startup that went through a successful acquisition. She brings a wealth of real field experience as well as a potentially unhealthy fascination with the use of water in crop production.</t>
  </si>
  <si>
    <t>The company raised $50,000 of Series 1 venture funding from Invest Nebraska on October 20, 2021.</t>
  </si>
  <si>
    <t>Lincoln, NE</t>
  </si>
  <si>
    <t>Lincoln</t>
  </si>
  <si>
    <t>68508</t>
  </si>
  <si>
    <t>www.naveanalytics.com</t>
  </si>
  <si>
    <t>244037-62T</t>
  </si>
  <si>
    <t>Nectar (Bellevue)</t>
  </si>
  <si>
    <t>538850-89</t>
  </si>
  <si>
    <t>BAM Ventures, CMDN, Dash VC, Fab Co-Creation Studio, Flying Fish Partners(Heather Gorham), Jennifer Dulski(Jennifer Dulski), Trust Fund(Sophia Amoruso), XRC Ventures, Yale Index Ventures</t>
  </si>
  <si>
    <t>BAM Ventures (www.bam.vc), Dash VC (www.dash-vc.com), Fab Co-Creation Studio (www.fabcocreationstudio.com), Flying Fish Partners (www.flyingfish.vc), Trust Fund (www.trustfund.vc), XRC Ventures (www.xrcventures.com)</t>
  </si>
  <si>
    <t>Developer of a social conversational commerce platform intended to transform social engagement into a source of revenue. The company uses artificial intelligence to scale across channels and use cases such as campaigns, influencers, customer support, and proprietary commerce LLM (large language model)engine to engage with leads, helping brands scale communication and drive conversions through messaging.</t>
  </si>
  <si>
    <t>The company joined New York Fashion Tech Lab as a part of 2024 cohort on March 26, 2024. No equity or funding was exchanged as a result of this program.</t>
  </si>
  <si>
    <t>Artificial Intelligence &amp; Machine Learning, E-Commerce, Marketing Tech</t>
  </si>
  <si>
    <t>ai agent, brand empowerment, brand marketing, commerce platform, conversational agent, conversational commerce platform, generative ai, social commerce, social engagement, social media campaign</t>
  </si>
  <si>
    <t>Generative AI, LLM Agents</t>
  </si>
  <si>
    <t>371528-29P</t>
  </si>
  <si>
    <t>Farah Uraizee</t>
  </si>
  <si>
    <t>Ms. Farah Uraizee is a Co-Founder &amp; serves as Chief Technology Officer at Nectar (Bellevue).</t>
  </si>
  <si>
    <t>The company raised $2 million of pre-seed funding in a deal led by Flying Fish Partners on October 23, 2023. Trust Fund, BAM Ventures, Dash VC, Fab Co-Creation Studio, Yale Index Ventures, CMDN, XRC Ventures, Jennifer Dulski, and other undisclosed investors also participated in the round. The funds will be used to help expand the company's engineering and AI teams.</t>
  </si>
  <si>
    <t>BAM Ventures, CMDN, Dash VC, Fab Co-Creation Studio, Flying Fish Partners, Jennifer Dulski, Trust Fund, XRC Ventures, Yale Index Ventures</t>
  </si>
  <si>
    <t>Flying Fish Partners(Heather Gorham)</t>
  </si>
  <si>
    <t>www.nectarsocial.ai</t>
  </si>
  <si>
    <t>179057-71T</t>
  </si>
  <si>
    <t>Nectir</t>
  </si>
  <si>
    <t>471925-99</t>
  </si>
  <si>
    <t>Entrada Ventures</t>
  </si>
  <si>
    <t>Entrada Ventures (www.entradaventures.com)</t>
  </si>
  <si>
    <t>Developer of a social platform designed to encourage collaborative learning by connecting students in the same classes. The company's platform focuses on the needs of the student and offers a class learning and communication tool to keep students engaged as well as create lines of communication throughout an entire school, enabling students to better connect the student body as well as with their professors.</t>
  </si>
  <si>
    <t>The company raised $3.65 million of Seed-1 funding in a deal led by Long Journey Ventures on August 1, 2024, putting the company's pre-money valuation at $12.35 million. Entrada Ventures, Edventure Capital Group, Tappan Hill Ventures, Precursor Ventures, The Pitch Fund &amp; Syndicate, Behind Genius Ventures and Pasadena Private Financial Group also participated in the round.</t>
  </si>
  <si>
    <t>Communication Software, Educational Software*, Media and Information Services (B2B)</t>
  </si>
  <si>
    <t>communication tool, education management, education management company, educational guidance, educational institution, educational software, student learning</t>
  </si>
  <si>
    <t>273285-55P</t>
  </si>
  <si>
    <t>Kavitta Ghai</t>
  </si>
  <si>
    <t>+1 (703) 860-5000</t>
  </si>
  <si>
    <t>kavitta@nectir.io</t>
  </si>
  <si>
    <t>Ms. Kavitta Ghai is a Co-Founder and serves as Chief Executive Officer and Board Member at Nectir.</t>
  </si>
  <si>
    <t>The company raised $2.24 million of Seed funding from Entrada Ventures and other undisclosed investors on December 8, 2021, putting the company's pre-money valuation at $5.76 million.</t>
  </si>
  <si>
    <t>Entrada Ventures I(Entrada Ventures)</t>
  </si>
  <si>
    <t>www.nectir.io</t>
  </si>
  <si>
    <t>272608-57T</t>
  </si>
  <si>
    <t>Neptune (New York)</t>
  </si>
  <si>
    <t>608839-75</t>
  </si>
  <si>
    <t>Calm Ventures</t>
  </si>
  <si>
    <t>Calm Ventures (www.calmvc.com)</t>
  </si>
  <si>
    <t>Developer of a business software platform designed to provide an Artificial Intelligence (AI) based chatbot for navigating prenups. The company's platform provides an AI-powered chatbot that walks users through prenuptial topics to reduce the need for expensive lawyer time, enabling couples to understand prenuptial agreements and make informed decisions</t>
  </si>
  <si>
    <t>The company raised $2.64 million through a combination of Pre-Seed and Pre-Seed-1 funding from Calm Ventures and other undisclosed investors on September 19, 2024, putting the company's pre-money valuation at $10.36 million.</t>
  </si>
  <si>
    <t>Business/Productivity Software, Communication Software, Legal Services (B2B)*</t>
  </si>
  <si>
    <t>chatbot app, conversation app, lawyer app, personalized guidance, prenup platform, prenuptial services</t>
  </si>
  <si>
    <t>413700-94P</t>
  </si>
  <si>
    <t>Sol Lee</t>
  </si>
  <si>
    <t>Ms. Sol Lee is a serves as Chief Executive Officer &amp; Board Member at Bedelia.</t>
  </si>
  <si>
    <t>www.bedelia.ai</t>
  </si>
  <si>
    <t>159951-16T</t>
  </si>
  <si>
    <t>Nestlings</t>
  </si>
  <si>
    <t>453552-67</t>
  </si>
  <si>
    <t>Candid Ventures(Anushree Vora)</t>
  </si>
  <si>
    <t>Developer of an artificial intelligence-based educational platform intended to help students easily apply to universities internationally. The company's platform features a database of North American Universities, a student community whose profiles include academic interests and achievements as well as third-party services like student lending, textbook rental, insurance, transportation, and housing, enabling students to achieve their dreams of studying abroad.</t>
  </si>
  <si>
    <t>The company raised an undisclosed amount of venture funding from Goodwater Capital on May 5, 2022.</t>
  </si>
  <si>
    <t>Application Software, Educational and Training Services (B2C)*, Information Services (B2C)</t>
  </si>
  <si>
    <t>Artificial Intelligence &amp; Machine Learning, EdTech, SaaS, TMT</t>
  </si>
  <si>
    <t>academic counseling, college information, education assistance, education portal, student community, student lending, textbooks rental, university search</t>
  </si>
  <si>
    <t>246372-85P</t>
  </si>
  <si>
    <t>Sowmya Satish</t>
  </si>
  <si>
    <t>+1 (949) 394-0276</t>
  </si>
  <si>
    <t>ssatish@nestlings.com</t>
  </si>
  <si>
    <t>Ms. Sowmya Satish is a Co-Founder and serves as Chief Executive Officer and Board Member at Nestlings.</t>
  </si>
  <si>
    <t>The company raised $1.5 million of seed funding from Candid Ventures on November 18, 2020, putting the company's pre-money valuation at $3 million. The funds will be used to grow the team, strengthen its technology infrastructure and increase its number of university partners across the globe.</t>
  </si>
  <si>
    <t>Candid Ventures</t>
  </si>
  <si>
    <t>94539</t>
  </si>
  <si>
    <t>www.nestlings.com</t>
  </si>
  <si>
    <t>180093-61T</t>
  </si>
  <si>
    <t>Neura Health</t>
  </si>
  <si>
    <t>463343-05</t>
  </si>
  <si>
    <t>Global Founders Capital, GoingVC Partners, Index Ventures, Jeffrey Weiner(Jeffrey Weiner), Next Play Ventures, Nikhil Krishnan(Nikhil Krishnan), Norwest Venture Partners, Pear (California)</t>
  </si>
  <si>
    <t>Global Founders Capital (www.globalfounderscapital.com), Index Ventures (www.indexventures.com), Next Play Ventures (www.nextplayventures.com), Norwest Venture Partners (www.nvp.com), Pear (California) (www.pear.vc)</t>
  </si>
  <si>
    <t>Developer of a virtual neurology clinic platform intended to provide improved access to care for patients suffering from neurological disorders. The company's platform helps people to track their symptoms, seamlessly share them with a licensed doctor and get personalized care from the comfort of their home, enabling users to easily get improved treatments for migraine and chronic headaches.</t>
  </si>
  <si>
    <t>The company joined UCSF Rosenman Institute on February 27, 2024 and received $100,000 in grant funding.</t>
  </si>
  <si>
    <t>Digital Health, Mobile, SaaS</t>
  </si>
  <si>
    <t>headaches treatment, migraine care, migraine treatment, neurological disorder, neurology care, neurology clinic, specialty telemedicine, telehealth, telemedical service</t>
  </si>
  <si>
    <t>134704-72P</t>
  </si>
  <si>
    <t>Elizabeth Burstein</t>
  </si>
  <si>
    <t>+1 (408) 507-1061</t>
  </si>
  <si>
    <t>liz.burstein@neurahealth.co</t>
  </si>
  <si>
    <t>Ms. Elizabeth Burstein is a Co-Founder and serves as Chief Executive Officer &amp; Board Member at Neura Health. She serves as Venture Partner at MBX Capital. She served as a Principal at Wildcat Venture Partners. She also served as Principal at Mohr Davidow Ventures. She focuses on consumer marketplaces, retail innovation, digital health, and enterprise automation. Prior to joining Wildcat, she spent four years in product management at LinkedIn.She previously worked as a patent engineer at Schox Patent Group and Osha Liang LLP. She received a B.S. in Computer Science and a B.A. in Philosophy from Stanford University.</t>
  </si>
  <si>
    <t>Stanford University, BA (Bachelor of Arts), Philosophy, Stanford University, BS (Bachelor of Science), Computer Science</t>
  </si>
  <si>
    <t>The company raised $2.2 million through the combination of Seed-2, Seed-3 and Seed-4 funding in a deal led by Pear on April 13, 2021, putting the company's pre-money valuation at $22.8 million. GoingVC Partners, Global Founders Capital, Norwest Venture Partners, Index Ventures, Next Play Ventures, Nikhil Krishnan and Jeff Weiner also participated in the round. The funds will be used to expand the company's operations and business reach.</t>
  </si>
  <si>
    <t>Global Founders Capital, GoingVC Partners, Index Ventures, Jeffrey Weiner, Next Play Ventures, Nikhil Krishnan, Norwest Venture Partners, Pear (California)</t>
  </si>
  <si>
    <t>Norwest Venture Partners XIV(Norwest Venture Partners), Pear Ventures I Expansion(Pear (California))</t>
  </si>
  <si>
    <t>www.neurahealth.co</t>
  </si>
  <si>
    <t>127926-82T</t>
  </si>
  <si>
    <t>Neutronian</t>
  </si>
  <si>
    <t>343686-61</t>
  </si>
  <si>
    <t>Amar Goel(Amar Goel), Anneka Gupta(Anneka Gupta), Aperiam Ventures(Eric Franchi), Auren Hoffman(Auren Hoffman), Colin Digiaro(Colin Digiaro), Deven Sharma(Deven Sharma), Hans Tung(Hans Tung), Jay Eum(Jay Eum)</t>
  </si>
  <si>
    <t>Aperiam Ventures (www.aperiam.vc)</t>
  </si>
  <si>
    <t>Developer of a SaaS platform designed to provide data privacy ratings and quality certification to improve campaign performance. The company's standard evaluation framework produces independent data privacy credit scores which can be used to comply with the regulations and standards, enabling clients to maintain transparency to confirm their data and inventory partners are privacy compliant and to ensure that their campaigns are running in privacy-safe environments.</t>
  </si>
  <si>
    <t>The company raised $600,000 of venture funding in the form of convertible debt from Aperiam Ventures, Anneka Gupta, and Hans Tung on January 1, 2021. Amar Goel and 4 other investors also participated in the round.</t>
  </si>
  <si>
    <t>Big Data, SaaS, TMT</t>
  </si>
  <si>
    <t>campaign optimization, data privacy, data quality, data quality verification, data transparency, performance analysis, performance evaluation, privacy platform, privacy protection, risk evaluation, verification platform</t>
  </si>
  <si>
    <t>56381-14P</t>
  </si>
  <si>
    <t>Timur Yarnall</t>
  </si>
  <si>
    <t>tyarnall@neutronian.com</t>
  </si>
  <si>
    <t>Mr. Timur Yarnall serves as Co-Founder &amp; Chief Executive Officer &amp; Board Member at Neutronian. He served as Senior Vice President of Advertising Products and Corporate Development at ComScore. Prior to that, he co-founded and served as Chief Executive Officer at MdotLabs. He has been a thought leader in the online publishing and advertising space for more than 15 years. He previously founded Broadcast Interactive Media (BIM), a local media ad network and web publishing platform for TV and newspaper companies such as Belo, Gannett, NBC, ABC, CBS, and FOX. He grew BIM to be the News and Information network with over 40 million unique visitors per month as rated by ComScore. He also was a Co-Founder and head of business development for Saas CMS provider Clickability, which was acquired by Limelight Networks in 2011.</t>
  </si>
  <si>
    <t>Stanford University, BS (Bachelor of Science), 1995, Mechanical Engineering, Stanford University, MS (Master of Science), 1996, Mechanical Engineering</t>
  </si>
  <si>
    <t>The company raised $600,000 of venture funding in the form of convertible debt from Aperiam Ventures, Anneka Gupta and Hans Tung on January 1, 2021. Amar Goel, Auren Hoffman, Jay H. Eum, Colin Digiaro and Deven Sharma also participated in the round.</t>
  </si>
  <si>
    <t>Amar Goel, Anneka Gupta, Aperiam Ventures, Auren Hoffman, Colin Digiaro, Deven Sharma, Hans Tung, Jay Eum</t>
  </si>
  <si>
    <t>95120</t>
  </si>
  <si>
    <t>neutronian.com</t>
  </si>
  <si>
    <t>256681-90T</t>
  </si>
  <si>
    <t>New Computer</t>
  </si>
  <si>
    <t>539458-30</t>
  </si>
  <si>
    <t>Lachy Groom(Lachy Groom), Moth Fund, OpenAI Startup Fund, South Park Commons</t>
  </si>
  <si>
    <t>Moth Fund (www.mothfund.com), OpenAI Startup Fund (www.openai.fund), South Park Commons (www.southparkcommons.com)</t>
  </si>
  <si>
    <t>Developer of an artificial intelligence-powered personal application designed to truly understand ideas, prioritize, and prepare a day schedule. The company's application ingests notes, images, audio, files, and links to productively brainstorm and proactively surface information that meets specific tastes and needs, enabling users to manage their daily work in an efficient manner.</t>
  </si>
  <si>
    <t>The company raised $3.7 million of pre-seed funding from OpenAI Startup Fund, Moth Fund, and South Park Commons on June 25, 2024. Lachy Groom and other undisclosed investors also participated in the round.</t>
  </si>
  <si>
    <t>ai assistant, ai companion, contextual understanding, intelligence application, personal assistant</t>
  </si>
  <si>
    <t>257176-63P</t>
  </si>
  <si>
    <t>Samantha Whitmore</t>
  </si>
  <si>
    <t>sam@new.computer</t>
  </si>
  <si>
    <t>Ms. Samantha Whitmore is a Co-Founder &amp; serves as Chief Executive Officer at New Computer. She serves as Executive at IMAX AI. She Founded Daimon. She was previously an early employee and subsequently Head of Engineering at Kensho, a company building AI products for enterprise finance which was acquired by S&amp;P Global in 2018 for $550mm, at the time the largest AI acquisition in history.</t>
  </si>
  <si>
    <t>Harvard University, BA (Bachelor of Arts), University of Cambridge, MS (Master of Science)</t>
  </si>
  <si>
    <t>Lachy Groom, Moth Fund, OpenAI Startup Fund, South Park Commons</t>
  </si>
  <si>
    <t>MF I(Moth Fund)</t>
  </si>
  <si>
    <t>www.new.computer</t>
  </si>
  <si>
    <t>224886-97T</t>
  </si>
  <si>
    <t>Nextdata</t>
  </si>
  <si>
    <t>528269-23</t>
  </si>
  <si>
    <t>Acrew Capital(Mark Kraynak), Greycroft(Brentt Baltimore)</t>
  </si>
  <si>
    <t>Acrew Capital (www.acrewcapital.com), Greycroft (www.greycroft.com)</t>
  </si>
  <si>
    <t>Developer of a data mesh platform intended to meet the challenge of decentralizing data at scale. The company provides analytical-data-first APIs to make data products discoverable, interoperable, and efficiently usable, enabling businesses to gain insights from their data and make decisions about their operations.</t>
  </si>
  <si>
    <t>The company raised $12 million of seed funding through a combination of Seed 1, and Seed 2 funding in a deal led by Acrew Capital and Greycroft on May 1, 2023, putting the company's pre-money valuation at $28 million. Other undisclosed investors also participated in the round. The funds will be used to advance the development of the company's proprietary data mesh technology and expand its teams in product, engineering, and go-to-market efforts.</t>
  </si>
  <si>
    <t>application programming interface, data analysis, data collection, data infrastructure, data management software, data pipelines, data products platform, data software &amp; systems, data software and systems, data storage, data visualization, decentralized data, decentralized data storage</t>
  </si>
  <si>
    <t>349566-94P</t>
  </si>
  <si>
    <t>Zhamak Dehghani</t>
  </si>
  <si>
    <t>+1 (415) 630-0468</t>
  </si>
  <si>
    <t>Ms. Zhamak Dehghani is the Founder &amp; serves as Chief Executive Officer at Nextdata.</t>
  </si>
  <si>
    <t>BE (Bachelor of Engineering), 1996, Computer Software, University of Sydney, Master's, 2010, Information Technology Management</t>
  </si>
  <si>
    <t>Acrew Capital, Greycroft</t>
  </si>
  <si>
    <t>Greycroft Partners VII(Greycroft)</t>
  </si>
  <si>
    <t>Goodwin Procter (Legal Advisor to Acrew Capital, Andrew Pusar JD), Goodwin Procter (Legal Advisor to Greycroft, Andrew Pusar JD), Wilson Sonsini Goodrich &amp; Rosati (Legal Advisor to Greycroft, Michael Coke JD)</t>
  </si>
  <si>
    <t>San Anselmo, CA</t>
  </si>
  <si>
    <t>San Anselmo</t>
  </si>
  <si>
    <t>94960</t>
  </si>
  <si>
    <t>www.nextdata.com</t>
  </si>
  <si>
    <t>136195-66T</t>
  </si>
  <si>
    <t>Nextmv</t>
  </si>
  <si>
    <t>432512-47</t>
  </si>
  <si>
    <t>2048 Ventures (www.2048.vc)</t>
  </si>
  <si>
    <t>Operator of DecisionOps platform that accelerates optimization AI teams with tools for deployment, testing, CI/CD, collaboration, and management of decision models. With the company's platform, developers can create scalable, custom decision services complete with unique API endpoints and options to integrate with popular solvers and modeling solutions.</t>
  </si>
  <si>
    <t>The company raised $11.50 million of venture funding from RTP Global and other undisclosed investors on May 25, 2021.</t>
  </si>
  <si>
    <t>Automation/Workflow Software, Business/Productivity Software*, Logistics, Media and Information Services (B2B)</t>
  </si>
  <si>
    <t>automation platform service, business automation solutions, business performance insights, decision automation process, decision automation software, decision automation solutions, enterprise resource planning, erp, optimization platform</t>
  </si>
  <si>
    <t>223200-91P</t>
  </si>
  <si>
    <t>Carolyn Mooney</t>
  </si>
  <si>
    <t>+1 (609) 760-3529</t>
  </si>
  <si>
    <t>carolyn@nextmv.io</t>
  </si>
  <si>
    <t>Ms. Carolyn Mooney is a Co-Founder and serves as President &amp; Chief Executive Officer at Nextmv. She analyzed simulations at Lockheed (missiles) and Zoomer (pizzas) before running Grubhub's Systems Engineering team.</t>
  </si>
  <si>
    <t>University of Pennsylvania, BS (Bachelor of Science), 2010, Systems Engineering</t>
  </si>
  <si>
    <t>The company raised an estimated $610,000 through a combination of Series A1 and Series A2 venture funding from 2048 Ventures on March 18, 2020, putting the company's pre-money valuation at $3 million.</t>
  </si>
  <si>
    <t>2048 Venture Fund I(2048 Ventures)</t>
  </si>
  <si>
    <t>19122</t>
  </si>
  <si>
    <t>www.nextmv.io</t>
  </si>
  <si>
    <t>251594-11T</t>
  </si>
  <si>
    <t>Nicer.</t>
  </si>
  <si>
    <t>571975-21</t>
  </si>
  <si>
    <t>Trip Ventures(Carlos Garcia)</t>
  </si>
  <si>
    <t>Trip Ventures (www.tripventures.com)</t>
  </si>
  <si>
    <t>Developer of travel advertising software designed to connect travel advisers and well-known brands to discerning travelers. The company's travel planning platform and agency help blend traditional travel advising with AI technology, enabling clients with artificial intelligence and modern technology to elevate travel experiences.</t>
  </si>
  <si>
    <t>The company raised $2 million of pre-seed funding in a deal led by Trip Ventures on February 8, 2024. Other undisclosed investors also participated in the round. The funds will be used to scale travel advisors with the company's underlying technology.</t>
  </si>
  <si>
    <t>personalization tools, travel advertising, travel advisor, travel booking, travel collection, travel experience, travel planning, travel technology</t>
  </si>
  <si>
    <t>384121-63P</t>
  </si>
  <si>
    <t>Ragan Stone</t>
  </si>
  <si>
    <t>ragan@nicer.travel</t>
  </si>
  <si>
    <t>Ms. Ragan Stone is a Co-Founder &amp; serves as Chief Executive Officer at Nicer..</t>
  </si>
  <si>
    <t>Trip Ventures</t>
  </si>
  <si>
    <t>00921</t>
  </si>
  <si>
    <t>nicer.travel</t>
  </si>
  <si>
    <t>208023-31T</t>
  </si>
  <si>
    <t>Niural</t>
  </si>
  <si>
    <t>513048-43</t>
  </si>
  <si>
    <t>Alliance DAO, GS Futures, Hustle Fund, Inspired Capital (New York), M13, New Form Capital, Untamed Ventures</t>
  </si>
  <si>
    <t>Alliance DAO (www.alliance.xyz), GS Futures (www.gsfutures.vc), Hustle Fund (www.hustlefund.vc), Inspired Capital (New York) (www.inspiredcapital.com), M13 (www.m13.co), New Form Capital (www.newformcap.com), Untamed Ventures (www.untamedvc.com)</t>
  </si>
  <si>
    <t>Operator of payments and compliance platform intended for a global workforce. The company's platform offers to hire contractors, minimize legal risks, and handle all the tax and compliance documents, helping companies streamline their hiring process, manage global payroll, and keep tabs on compliance.</t>
  </si>
  <si>
    <t>The company raised $5 million of seed funding from GS Futures, Inspired Capital (New York) and New Form Capital on November 10, 2022. Hustle Fund, Untamed Ventures, M13 and Alliance DAO also participated in the round.</t>
  </si>
  <si>
    <t>FinTech, Legal Tech, SaaS</t>
  </si>
  <si>
    <t>compliance document, compliance platform, crypto corporation management and finance, erp, global workforce, hr compliances, human capital management, payroll payment, tax handles</t>
  </si>
  <si>
    <t>195415-66P</t>
  </si>
  <si>
    <t>Namrata Baral</t>
  </si>
  <si>
    <t>Ms. Namrata Baral was a Co-Founder &amp; served as Chief Executive Officer at Harvest. She is a Co-Founder &amp; serves as Chief Executive Officer at Niural. She is a serial founder with 2 plus successful exits. Her last startup, Harvest, exited to Acorns in 2021. Previously, She was an early employee at Twitter where she led their billion-dollar product partnerships team. She is a Harvard Math and Economics grad and a prolific angel investor in AI and fintech companies.</t>
  </si>
  <si>
    <t>Harvard University, Graduate, Maths &amp; Economics</t>
  </si>
  <si>
    <t>Hustle Fund III(Hustle Fund)</t>
  </si>
  <si>
    <t>www.niural.com</t>
  </si>
  <si>
    <t>157258-27T</t>
  </si>
  <si>
    <t>Nivelo (Financial Software)</t>
  </si>
  <si>
    <t>442312-48</t>
  </si>
  <si>
    <t>Anthemis, Barclays (LON: BARC), Dash Fund, FirstMark Capital</t>
  </si>
  <si>
    <t>Anthemis (www.anthemis.com), Barclays (LON: BARC) (www.home.barclays), Dash Fund (www.dashfund.co), FirstMark Capital (www.firstmark.com)</t>
  </si>
  <si>
    <t>Developer of adaptive threat detection technology designed to manage credit and debit payment risk in real-time. The company's technology leverages machine learning techniques to identify the likelihood of cybercriminal threats and processing errors, enabling organizations to avoid account takeover, synthetic identity fraud, admin errors, and business email compromise risks.</t>
  </si>
  <si>
    <t>The company raised $1 million of venture funding from Irregular Expressions and other undisclosed investors on February 23, 2022.</t>
  </si>
  <si>
    <t>Financial Software*, IT Consulting and Outsourcing, Network Management Software</t>
  </si>
  <si>
    <t>Cybersecurity, FinTech, SaaS</t>
  </si>
  <si>
    <t>cfo stack, digital payment security, earned wage access, fraud detection, fraud prevention, identity &amp; access management, identity and access management, payment fraud detection, payment risk management, payment security, payment technology, secure payment</t>
  </si>
  <si>
    <t>242739-10P</t>
  </si>
  <si>
    <t>Elizabeth Polanco</t>
  </si>
  <si>
    <t>eli.polanco@nivelo.io</t>
  </si>
  <si>
    <t>Ms. Elizabeth Polanco is a Co-Founder &amp; serves as Board Member &amp; Chief Executive Officer at Nivelo. Prior to founding NIVELO, Eli was an Executive Director leading product development for J.P. Morgan's Blockchain Center of Excellence and New Product Development Lab. Her work has been adopted by a large network of financial institutions globally. She began her career as a corporate finance investment banking analyst.</t>
  </si>
  <si>
    <t>Washington and Lee University, Degree, Economics, Washington and Lee University, Degree, Mandarin</t>
  </si>
  <si>
    <t>The company raised $2.5 million of seed funding in a deal led by Barclays, FirstMark Capital and Anthemis Group on September 1, 2020. Dash Fund and other undisclosed investors also participated in the round.</t>
  </si>
  <si>
    <t>Anthemis, Barclays, Dash Fund, FirstMark Capital</t>
  </si>
  <si>
    <t>Anthemis, Barclays (LON: BARC), FirstMark Capital</t>
  </si>
  <si>
    <t>Barclays Northern Powerhouse Fund(Barclays), Dash Fund II(Dash Fund), Female Innovators Lab(Anthemis), FirstMark Capital IV(FirstMark Capital)</t>
  </si>
  <si>
    <t>www.nivelo.io</t>
  </si>
  <si>
    <t>244069-75T</t>
  </si>
  <si>
    <t>Noble</t>
  </si>
  <si>
    <t>539007-22</t>
  </si>
  <si>
    <t>Borderless Capital, Circle (Financial Services), CMCC Global, Hustle Fund, Interop Ventures, Polychain Capital, Wintermute Ventures</t>
  </si>
  <si>
    <t>Borderless Capital (www.borderlesscapital.io), Circle (Financial Services) (www.circle.com), CMCC Global (www.cmcc.vc), Hustle Fund (www.hustlefund.vc), Interop Ventures (www.interop.ventures), Polychain Capital (polychain.capital)</t>
  </si>
  <si>
    <t>Operator of a digital asset issuance company intended to broaden the breadth and depth of usage of assets within the blockchain ecosystem. The company's platform leverages core blockchain primitives and interoperability protocols such as inter-blockchain communication, enabling asset issuers to securely and seamlessly flow between multiple blockchain applications.</t>
  </si>
  <si>
    <t>The company raised $15 million of Series A venture funding in a deal led by Paradigm on November 19, 2024. Wintermute Ventures, Polychain Capital, Informal Systems, Foresight Ventures and other undisclosed investors also participated in the round. The funds will be used to help accelerate the build out of the company's blockchain and continue to service a burgeoning ecosystem of builders and end users who leverage the company for deep stablecoin and real world asset (RWA) liquidity.</t>
  </si>
  <si>
    <t>Asset Management, Business/Productivity Software, Other Financial Services*</t>
  </si>
  <si>
    <t>assets ownership, assets rights, assets safety, blockchain model, cosmos ecosystem, digital asset trading</t>
  </si>
  <si>
    <t>371573-29P</t>
  </si>
  <si>
    <t>Jelena Djuric</t>
  </si>
  <si>
    <t>jdjuric@nobleassets.xyz</t>
  </si>
  <si>
    <t>Ms. Jelena Djuric is a Co-Founder &amp; serves as Chief Executive Officer at Noble. Prior to her work on Noble, Jelena served as a core contributor to a number of blockchain protocols including Cosmos, Dfinity &amp; Celo. Jelena is the co-founder of the Canadian Web3 Council, a leading national advocacy organization for the Web3 ecosystem.</t>
  </si>
  <si>
    <t>University of Toronto, BA (Bachelor of Arts), Political Science</t>
  </si>
  <si>
    <t>The company raised $3.3 million of seed funding in a deal led by Polychain Capital on October 24, 2023. Wintermute Ventures, Circle, Borderless Capital, Hustle Fund, CMCC Global and Interop Ventures also participated in the round.</t>
  </si>
  <si>
    <t>Polychain Capital</t>
  </si>
  <si>
    <t>Hustle Fund III(Hustle Fund), Interop Ventures Fund 1(Interop Ventures)</t>
  </si>
  <si>
    <t>19904</t>
  </si>
  <si>
    <t>www.noble.xyz</t>
  </si>
  <si>
    <t>161242-21T</t>
  </si>
  <si>
    <t>Nodat</t>
  </si>
  <si>
    <t>438142-06</t>
  </si>
  <si>
    <t>Beta Boom, Sunset Ventures(Sherry Deutschmann)</t>
  </si>
  <si>
    <t>Operator of a community marketing platform intended to promote businesses with real customer influencers. The company's platform utilizes gamification and fungible loyalty points to drive desired customer actions like trendy user-generated content, reviews, and social shares to increase awareness, engagement, and repeat customers to a business, enabling small firms to compete with big box brands locally and drive repeat revenues.</t>
  </si>
  <si>
    <t>The company raised $ 43,600 of equity crowdfunding in the form of SAFE notes via Wefunder in August 2023.</t>
  </si>
  <si>
    <t>community platform, engagement tool, geo-targeting, influencer marketing technology, local marketing tech, loyalty technology, marketing technology</t>
  </si>
  <si>
    <t>238243-42P</t>
  </si>
  <si>
    <t>Aireka Harvell</t>
  </si>
  <si>
    <t>aireka.harvell@nodatplace.com</t>
  </si>
  <si>
    <t>Ms. Aireka Harvell is the Founder &amp; serves as Chief Executive Officer at Nodat. She is a Co-founder of Twende of Nashville Entrepreneur Center.</t>
  </si>
  <si>
    <t>The company raised $25,000 of venture funding from Beta Boom and Sunset Ventures on December 17, 2020, putting the company's pre-money valuation at $2.1 million.</t>
  </si>
  <si>
    <t>Beta Boom, Sunset Ventures</t>
  </si>
  <si>
    <t>Beta Boom Fund I(Beta Boom)</t>
  </si>
  <si>
    <t>Collins Legal (Legal Advisor to Company)</t>
  </si>
  <si>
    <t>37209</t>
  </si>
  <si>
    <t>www.nodatplace.com</t>
  </si>
  <si>
    <t>252377-56T</t>
  </si>
  <si>
    <t>Northwood</t>
  </si>
  <si>
    <t>537526-00</t>
  </si>
  <si>
    <t>Also Capital, Andreessen Horowitz, BoxGroup, Founders Fund, Humba Ventures, Long Journey Ventures</t>
  </si>
  <si>
    <t>Also Capital (www.alsocapital.com), Andreessen Horowitz (www.a16z.com), BoxGroup (www.boxgroup.com), Founders Fund (www.foundersfund.com), Long Journey Ventures (www.longjourney.vc)</t>
  </si>
  <si>
    <t>Developer of ultra-wideband gateway technology designed to enable fast satellite backhaul. The company aims to revolutionize satellite data transmission by mass-producing ground stations, also known as teleports, which connect to satellites in space, enabling the space industry to spend significant time reconfiguring their networks, making the process more efficient and cost-effective.</t>
  </si>
  <si>
    <t>The company raised an estimated $6 million of venture funding led by Founders Fund, Andreessen Horowitz with participation of Also Capital and Long Journey on February 19, 2024. The funds will be used to build satellite ground stations that are designed with mass production and customer flexibility first in mind. Humba Ventures and BoxGroup has also participated in the round.</t>
  </si>
  <si>
    <t>Aerospace and Defense*, Other Communications and Networking</t>
  </si>
  <si>
    <t>satellite communication, satellite communication antenna, satellite communication system, satellite data, ultra wideband, wideband antenna</t>
  </si>
  <si>
    <t>385757-47P</t>
  </si>
  <si>
    <t>Bridgit Mendler</t>
  </si>
  <si>
    <t>Ms. Bridgit Mendler is a Co-Founder &amp; serves as Chief Executive Officer at Northwood.</t>
  </si>
  <si>
    <t>Andreessen Horowitz, Founders Fund</t>
  </si>
  <si>
    <t>AH American Dynamism Fund I(Andreessen Horowitz), BoxGroup Six(BoxGroup)</t>
  </si>
  <si>
    <t>El Segundo, CA</t>
  </si>
  <si>
    <t>El Segundo</t>
  </si>
  <si>
    <t>www.northwoodspace.io</t>
  </si>
  <si>
    <t>193443-13T</t>
  </si>
  <si>
    <t>NOTICENINJA</t>
  </si>
  <si>
    <t>493919-11</t>
  </si>
  <si>
    <t>Jack Nolan(Jack Nolan)</t>
  </si>
  <si>
    <t>Developer of a digital notice compliance platform designed to streamline back-office tax operations. The company's platform automates notice entry with an optical character recognition scan to capture technology, ensures distribution to the proper departments, allows tracking and oversight of all documents and communications, and manages documents, user links, credentials, contacts, and addresses integrated through a communication platform, enabling clients to digitize and optimize their notice compliance processes, reducing penalties through guided resolution pathways and real-time insights.</t>
  </si>
  <si>
    <t>The company raised an undisclosed amount of venture funding from Seventy30 Solutions, BrightSol and Prospero Capital Ventures on January 11, 2024.</t>
  </si>
  <si>
    <t>Artificial Intelligence &amp; Machine Learning, Big Data, FinTech, HR Tech, SaaS</t>
  </si>
  <si>
    <t>api interface, artificial intelligence platform, digital application platform, digital concepts, machine learning, saas analytics, tax compliance</t>
  </si>
  <si>
    <t>295483-24P</t>
  </si>
  <si>
    <t>Richard Pinkerman</t>
  </si>
  <si>
    <t>+1 (949) 385-5031</t>
  </si>
  <si>
    <t>rick@noticeninja.com</t>
  </si>
  <si>
    <t>Mr. Rick Pinkerman is a Co-Founder and serves as Chief Product Officer and Board Member at NOTICENINJA where he previously served as Co-Chief Executive Officer. He has over 30 years of experience in the payroll and tax technology industry, he founded ANTS in 2008 to help payroll providers manage their tax notices. He manages the direction and scope of the application as well as the daily operations for the company. Over the course of his career, he has developed over 300 enterprise applications to help corporate users be more productive and give management insight into their progress.</t>
  </si>
  <si>
    <t>California State University, Long Beach, BS (Bachelor of Science)</t>
  </si>
  <si>
    <t>The company raised $300,000 of pre-seed funding from Jack Nolan on September 11, 2020. Other undisclosed investors also participated in the round.</t>
  </si>
  <si>
    <t>Jack Nolan</t>
  </si>
  <si>
    <t>www.noticeninja.com</t>
  </si>
  <si>
    <t>185113-72T</t>
  </si>
  <si>
    <t>Notus</t>
  </si>
  <si>
    <t>489023-02</t>
  </si>
  <si>
    <t>Jimmy Douglas(Jimmy Douglas), Seven Seven Six</t>
  </si>
  <si>
    <t>Seven Seven Six (www.sevensevensix.com)</t>
  </si>
  <si>
    <t>Provider of lead nurturing services intended for companies to attract their target customers. The company analyzes an audience by looking at the interactions of its audience members, through retweets, mentions, likes and replies and interprets the social touchpoints, enabling clients to engage with customers effectively.</t>
  </si>
  <si>
    <t>The company raised $1.25 million of seed funding in a deal led by Seven Seven Six on December 13, 2021, putting the company's pre-money valuation at $3 million. Jimmy Douglas and other undisclosed investors also participated in the round. Earlier, the company joined Good For Her as a part of its Cohort Four on August 4, 2021.</t>
  </si>
  <si>
    <t>customer conversations, customer engagement, customer engagement firm, customer engagement system, social web browser, target customer</t>
  </si>
  <si>
    <t>285434-47P</t>
  </si>
  <si>
    <t>Yuliya Bel</t>
  </si>
  <si>
    <t>ybel@getnotus.io</t>
  </si>
  <si>
    <t>Ms. Yuliya Bel is a Co-Founder &amp; serves as Chief Executive Officer at Notus..</t>
  </si>
  <si>
    <t>Boston University, BA (Bachelor of Arts)</t>
  </si>
  <si>
    <t>The company raised $1.25 million of seed funding in a deal led by Seven Seven Six on December 13, 2021, putting the company's pre-money valuation at $3 million. Jimmy Douglas and other undisclosed investors also participated in the round.</t>
  </si>
  <si>
    <t>Jimmy Douglas, Seven Seven Six</t>
  </si>
  <si>
    <t>776 Fund I(Seven Seven Six)</t>
  </si>
  <si>
    <t>www.getnotus.io</t>
  </si>
  <si>
    <t>185133-70T</t>
  </si>
  <si>
    <t>Noty.ai</t>
  </si>
  <si>
    <t>489071-44</t>
  </si>
  <si>
    <t>Adrian Slywotzky, Aleksander Maidanyuk, Elias Veris(Elias Veris), Geek Ventures(Ihar Mahaniok), Ihar Mahaniok(Ihar Mahaniok), Murat Abdrakhmanov(Murat Abdrakhmanov), Vadim Rogovskiy(Vadim Rogovskiy)</t>
  </si>
  <si>
    <t>Geek Ventures (geek.vc)</t>
  </si>
  <si>
    <t>Developer of workplace AGI (artificial general intelligence) assistant designed to detect, track and automate to-do's to boost performance of knowledge workers.
The company's software transcribes each word said during meetings and stores them on the device or in the cloud, keeps track of all meetings with its conversational intelligence, and can share meeting insights with their team and clients right after the call via link or email, enabling companies to increase meeting productivity, prevent information loss, and save time by automating digital routines record.</t>
  </si>
  <si>
    <t>The company is reportedly seeking $1 million of seed funding as of an undisclosed date. Previously, the company was in talks to receive seed funding in approximately March 2022. Subsequently, the deal was cancelled. The company is actively tracked by PitchBook.</t>
  </si>
  <si>
    <t>ai assistant, conversational intelligence, meeting insights, meeting summaries, note taking software, to-do tracker</t>
  </si>
  <si>
    <t>285469-66P</t>
  </si>
  <si>
    <t>Natalia Marina</t>
  </si>
  <si>
    <t>natalia@noty.ai</t>
  </si>
  <si>
    <t>Ms. Natalia Marina is a Co-Founder and serves as Chief Executive Officer at Noty.ai.</t>
  </si>
  <si>
    <t>Bachelor's, 2017, History, Master's, 2016, Law</t>
  </si>
  <si>
    <t>The company raised $650,000 of pre-seed funding in a deal led by Elias Veris on December 14, 2021. Geek Ventures, Vadim Rogovskiy, Aleksander Maidanyuk, Adrian Slywotzky, Ihar Mahaniok and Murat Abdrakhmanov also participated in the round.</t>
  </si>
  <si>
    <t>Adrian Slywotzky, Aleksander Maidanyuk, Elias Veris, Geek Ventures, Ihar Mahaniok, Murat Abdrakhmanov, Vadim Rogovskiy</t>
  </si>
  <si>
    <t>Elias Veris(Elias Veris)</t>
  </si>
  <si>
    <t>www.noty.ai</t>
  </si>
  <si>
    <t>132853-24T</t>
  </si>
  <si>
    <t>Novi Connect</t>
  </si>
  <si>
    <t>432809-65</t>
  </si>
  <si>
    <t>Cowboy Ventures, Defy Partners Management(Brian Rothenberg), Felicis, Julia Hartz(Julia Hartz), Kevin Hartz(Kevin Hartz), Khosla Ventures, Maveron, Polaris Partners, Slow Ventures, Thomas Layton</t>
  </si>
  <si>
    <t>Cowboy Ventures (www.cowboy.vc), Defy Partners Management (www.defy.vc), Felicis (www.felicis.com), Khosla Ventures (www.khoslaventures.com), Maveron (www.maveron.com), Polaris Partners (www.polarispartners.com), Slow Ventures (www.slow.co)</t>
  </si>
  <si>
    <t>Operator of a digital marketplace designed to connect brands, manufacturers, and suppliers. The company's platform partners with emerging brands, established retailers, and other involved parties in between to help streamline product development and certification, enabling businesses to increase visibility, and reach and make it faster and easier to develop products.</t>
  </si>
  <si>
    <t>The company raised $40 million of Series B venture funding in a deal led by Tiger Global Management on February 4, 2022, putting the company's pre-money valuation at $265 million. Defy Partners Management, Greylock, Marin Sonoma Impact Ventures, and RenderNet also participated in the round. The funds will be used to build additional technology sustainability claims, grow its selection of ingredients, fragrances, and packaging, as well as expand into new verticals like home care and food. Previously, the company raised $10.28 million of Series A venture funding in a deal led by Greylock Partners on September 7, 2021, putting the company's pre-money valuation at $24.72 million. Defy Partners Management, Thomas Layton, Walrus, and Yannis Skoufalos also participated in the round. The funds will be used for further building out the platform and for future expansion into verticals like home goods and food.</t>
  </si>
  <si>
    <t>chemical supplier listings, crm, customer relationship management, ecommerce personalization, personal care ingredients, retailer chain, supply chain system, supply chain technology, supply chain technology platform</t>
  </si>
  <si>
    <t>191785-42P</t>
  </si>
  <si>
    <t>Kimberly Shenk</t>
  </si>
  <si>
    <t>+1 (415) 578-0449</t>
  </si>
  <si>
    <t>kimberly@noviconnect.com</t>
  </si>
  <si>
    <t>Ms. Kimberly Shenk is a Co-Founder and serves as Chief Executive Officer &amp; Board Member at Novi. She co-founded and served as Chief Product Officer at NakedPopp. She is a Co-Founder and serves as Board Member at NakedPoppy. She started her career as a data scientist in the US Air Force and at MIT. Fascinated by testing, learning, and delivering solutions that are tailored to individual needs, she became a data science leader in the tech industry. She holds an MS from MIT and a BS from the U.S. Air Force Academy.</t>
  </si>
  <si>
    <t>Massachusetts Institute of Technology (MIT), MS (Master of Science), U.S. Air Force Academy, BS (Bachelor of Science)</t>
  </si>
  <si>
    <t>The company raised $1.5 million of Seed funding in a deal led by Defy Partners Management on February 27, 2020, putting the company's pre-money valuation at $4.5 million. 8 other investors also participated in the round.</t>
  </si>
  <si>
    <t>Cowboy Ventures, Defy Partners Management, Felicis, Julia Hartz, Kevin Hartz, Khosla Ventures, Maveron, Polaris Partners, Slow Ventures, Thomas Layton</t>
  </si>
  <si>
    <t>Defy Partners Management(Brian Rothenberg)</t>
  </si>
  <si>
    <t>Cowboy Capital Fund II(Cowboy Ventures), DEFY Partners II(Defy Partners Management), Khosla Ventures V(Khosla Ventures), Maveron 15-1(Maveron), Polaris Partners VIII(Polaris Partners), Slow Ventures IV(Slow Ventures)</t>
  </si>
  <si>
    <t>Cooley (Legal Advisor to Defy Partners Management), Orrick (Legal Advisor to Company), Silicon Legal Strategy (Legal Advisor to Felicis, Gaurav Mathur JD)</t>
  </si>
  <si>
    <t>Cooley (Legal Advisor to Defy Partners Management), Silicon Legal Strategy (Legal Advisor to Felicis, Gaurav Mathur JD)</t>
  </si>
  <si>
    <t>Larkspur, CA</t>
  </si>
  <si>
    <t>Larkspur</t>
  </si>
  <si>
    <t>94939</t>
  </si>
  <si>
    <t>www.noviconnect.com</t>
  </si>
  <si>
    <t>164719-18T</t>
  </si>
  <si>
    <t>Ntropy</t>
  </si>
  <si>
    <t>268571-53</t>
  </si>
  <si>
    <t>Ahmed Medhat(Ahmed Medhat), AI Seed, Broslyn Capital, Claire Diaz-Ortiz, Fabric Ventures, January Ventures, QED Investors(Amias Gerety), Thomas Stone(Thomas Stone)</t>
  </si>
  <si>
    <t>AI Seed (aiseedfund.com), Broslyn Capital (www.broslyncapital.com), Claire Diaz-Ortiz (clairediazortiz.com), Fabric Ventures (www.fabric.vc), January Ventures (january.ventures), QED Investors (www.qedinvestors.com)</t>
  </si>
  <si>
    <t>Developer of enterprise software designed to automate data for categorization. The company's software assesses borrower risk leveraging, open banking, and transaction data turning raw information into accurate categories and labels, enabling clients to catch fraud without sacrificing user experience and bringing models to production at minimum cost.</t>
  </si>
  <si>
    <t>The company raised $11 million of Series A venture funding in a deal led by Lakestar on October 12, 2022, putting the company's pre-money valuation at $30 million. MoonPay and 5 other investors also participated in the round. The funds will be used by the company to develop and launch releases on its roadmap including higher-level insights on top of transaction data, such as Income Checks, Subscription Management, Affordability, and more.</t>
  </si>
  <si>
    <t>api coding, api design, autonomous data collection, data categorization, data labeling platform, data labeling tools, enterprise resource planning, erp</t>
  </si>
  <si>
    <t>188150-41P</t>
  </si>
  <si>
    <t>Nare Vardanyan</t>
  </si>
  <si>
    <t>nare@ntropy.network</t>
  </si>
  <si>
    <t>Ms. Nare Vardanyan is a Co-Founder of Ntropy Network and serves as its Chief Executive Officer.</t>
  </si>
  <si>
    <t>The company raised $3.7 million through the combination of debt and seed funding in a deal led by QED Investors on January 8, 2021, putting the company's pre-money valuation at $9.39 million. AI Seed Fund, Fabric Ventures, January Ventures, Ahmed Medhat, Claire Diaz-Ortiz, Thomas Stone, and Broslyn Capital also participated in the round.</t>
  </si>
  <si>
    <t>Ahmed Medhat, AI Seed, Broslyn Capital, Claire Diaz-Ortiz, Fabric Ventures, January Ventures, QED Investors, Thomas Stone</t>
  </si>
  <si>
    <t>QED Investors(Amias Gerety)</t>
  </si>
  <si>
    <t>January Ventures Fund I(January Ventures), QED Fund VI(QED Investors)</t>
  </si>
  <si>
    <t>www.ntropy.com</t>
  </si>
  <si>
    <t>Other - $0.39M</t>
  </si>
  <si>
    <t>196097-86T</t>
  </si>
  <si>
    <t>Nume Crypto</t>
  </si>
  <si>
    <t>498324-16</t>
  </si>
  <si>
    <t>Alex Svanevik(Alex Svanevik), Arjuna Sathiaseelan(Arjuna Sathiaseelan), Arun Samudrala(Arun Samudrala), Balaji Srinivasan, BEENEXT Capital Management, Eden Ventures, Eric Yang(Eric Yang), Gabby Dizon(Gabby Dizon), Gautam Seshadri(Gautam Seshadri), Jaynti Kanani(Jaynti Kanani), Rahul Rai(Rahul Rai), Ramanan Iyer(Ramanan Iyer), Sanat Rao(Sanat Rao), Sequoia Capital, Teck Chia(Teck Chia), Whiteboard Capital</t>
  </si>
  <si>
    <t>Balaji Srinivasan (balajis.com), BEENEXT Capital Management (www.beenext.com), Eden Ventures (www.edenventures.co.uk), Sequoia Capital (www.sequoiacap.com), Whiteboard Capital (whiteboardcap.com)</t>
  </si>
  <si>
    <t>Developer of an online payment system designed for financial inclusivity using cryptocurrency and blockchain-based technologies. The company's platform will process cryptocurrency payments powered by its platform, which is built on Ethereum, enabling businesses and retail customers to process crypto payments efficiently and economically.</t>
  </si>
  <si>
    <t>The company raised $2 million of pre-seed funding in a deal led by Sequoia Capital on June 14, 2022, putting the company's pre-money valuation at $6 million. BEENEXT Capital Management and 14 other investors also participated in the round. The funds will be used to launch the company's payments platform in the fourth quarter of this year.</t>
  </si>
  <si>
    <t>B2B Payments, Cryptocurrency/Blockchain, FinTech</t>
  </si>
  <si>
    <t>block chain technology, blockchain setup, crypto payment, crypto payment platform, crypto payment service, crypto payment system, onboarding and payment</t>
  </si>
  <si>
    <t>304938-10P</t>
  </si>
  <si>
    <t>Madhumitha Harishankar</t>
  </si>
  <si>
    <t>+1 (609) 902-3711</t>
  </si>
  <si>
    <t>mharishankar@numecrypto.com</t>
  </si>
  <si>
    <t>Ms. Madhumitha Harishankar is a Co-Founder &amp; serves as Chief Executive Officer and Board Member at Nume Crypto.</t>
  </si>
  <si>
    <t>Carnegie Mellon University, Ph.D. (Doctor of Philosophy), 2021, Telecommunications, Computer Science, Rutgers University, New Brunswick, BE (Bachelor of Engineering), 2013, Computer Engineer</t>
  </si>
  <si>
    <t>The company raised $2 million of pre-seed funding in a deal led by Sequoia Capital on June 14, 2022, putting the company's pre-money valuation at $6 million. BEENEXT Capital Management, Whiteboard Capital, Eden Ventures, Eric Yang, Jaynti Kanani, Balaji Srinivasan, Sanat Rao, Arun Samudrala, Gabby Dizon, Alexander Svanevik, Arjuna Sathiaseelan, Rahul Rai, Teck Chia, Ramanan Ravi Iyer and Gautam Seshadri also participated in the round. The funds will be used to launch the company's payments platform in the fourth quarter of this year.</t>
  </si>
  <si>
    <t>Alex Svanevik, Arjuna Sathiaseelan, Arun Samudrala, Balaji Srinivasan, BEENEXT Capital Management, Eden Ventures, Eric Yang, Gabby Dizon, Gautam Seshadri, Jaynti Kanani, Rahul Rai, Ramanan Iyer, Sanat Rao, Sequoia Capital, Teck Chia, Whiteboard Capital</t>
  </si>
  <si>
    <t>Sequoia Capital</t>
  </si>
  <si>
    <t>Florence, NJ</t>
  </si>
  <si>
    <t>Florence</t>
  </si>
  <si>
    <t>08518</t>
  </si>
  <si>
    <t>www.numecrypto.com</t>
  </si>
  <si>
    <t>248447-89T</t>
  </si>
  <si>
    <t>Numeracle</t>
  </si>
  <si>
    <t>489718-81</t>
  </si>
  <si>
    <t>Ballast Point Ventures(Paul Johan)</t>
  </si>
  <si>
    <t>Ballast Point Ventures (www.ballastpointventures.com)</t>
  </si>
  <si>
    <t>Developer of identity management platform designed to protect brands across digital, messaging, and voice communications. The company's platform specializes in offering network monitoring solutions, ongoing visibility, monitoring and analysis of call behavior, plus ecosystem management to telecom, carriers, analytics companies, and app developers, helping users avoid improper fraud, scam, or spam labeling and providing actionable strategies to improve call delivery, brand reputation, and contact rates.</t>
  </si>
  <si>
    <t>The company raised $1.5 million of debt financing on an undisclosed date. Previously, the company raised $6.8 million through the combination of Series A-1 and Series A-2 venture funding from Ballast Point Ventures on December 28, 2023, putting the company's pre-money valuation at $23.2 million.</t>
  </si>
  <si>
    <t>digital security software, identity management platform, telecom security, telecom solutions, telecommunication software platform, voice communication platform</t>
  </si>
  <si>
    <t>287069-95P</t>
  </si>
  <si>
    <t>Rebekah Johnson</t>
  </si>
  <si>
    <t>+1 (844) 835-3774</t>
  </si>
  <si>
    <t>rebekah@numeracle.com</t>
  </si>
  <si>
    <t>Ms. Rebekah Johnson is the Founder and serves as Chief Executive Officer &amp; Board Member at Numeracle. She is the industry's leading expert in establishing trust in omnichannel communications through Numeracle's Entity Identity Management™ platform. She is an active member of the FCC Hospital Robocall Protection Group, Chair of the Enterprise Communications Advocacy Coalition, and also represents the voice of the enterprise through her leadership on the ATIS IP-NNI Task Force, and co-author of the SHAKEN standards. Prior to founding Numeracle, Rebekah served on the FCC's Robocall Strike Force on behalf of the Empowering Consumer Choice Working Group.</t>
  </si>
  <si>
    <t>The company raised $6.8 million through the combination of Series A-1 and Series A-2 venture funding from Ballast Point Ventures on December 28, 2023, putting the company's pre-money valuation at $23.2 million.</t>
  </si>
  <si>
    <t>Ballast Point Ventures</t>
  </si>
  <si>
    <t>Ballast Point Ventures IV(Ballast Point Ventures)</t>
  </si>
  <si>
    <t>Mclean, VA</t>
  </si>
  <si>
    <t>Mclean</t>
  </si>
  <si>
    <t>www.numeracle.com</t>
  </si>
  <si>
    <t>Telephonic communication, Transmission of digital information</t>
  </si>
  <si>
    <t>185704-93T</t>
  </si>
  <si>
    <t>NyquistAI</t>
  </si>
  <si>
    <t>442829-08</t>
  </si>
  <si>
    <t>CatchLight Capital Partners, GSR Ventures, Kevin Moore(Kevin Moore), Lightspeed Venture Partners, Mentors Fund, Peterson Partners, TA Ventures, Village Global, Worm Capital</t>
  </si>
  <si>
    <t>CatchLight Capital Partners (www.catchlightcap.com), GSR Ventures (www.gsrventuresus.com), Kevin Moore (www.agileangel.com), Lightspeed Venture Partners (www.lsvp.com), Mentors Fund (www.mentors.fund), Peterson Partners (www.petersonpartners.com), TA Ventures (www.taventures.vc), Village Global (www.villageglobal.vc), Worm Capital (www.nightviewcapital.com)</t>
  </si>
  <si>
    <t>Developer of a global data platform designed to unlock hidden insights from unstructured life science data. The company's platform uses machine learning technology to connect the dots from clinical trials to real-world data to generate a full life cycle Medtech perspective, enabling healthcare professionals to find the right information to make the right decisions.</t>
  </si>
  <si>
    <t>Business/Productivity Software, Database Software*, Enterprise Systems (Healthcare)</t>
  </si>
  <si>
    <t>Artificial Intelligence &amp; Machine Learning, Big Data, Life Sciences, SaaS</t>
  </si>
  <si>
    <t>abi custom application, analytics platform, critical data, data insights, global data, healthcare data analytics, insights analysis, life science data, medical device company, strategy development, vertical application</t>
  </si>
  <si>
    <t>223622-47P</t>
  </si>
  <si>
    <t>Michelle Wu</t>
  </si>
  <si>
    <t>+1 (833) 536-6888</t>
  </si>
  <si>
    <t>mw@nyquistdata.com</t>
  </si>
  <si>
    <t>Ms. Michelle Wu is a Co-Founder &amp; serves as Chief Executive Officer at NyquistAI. She also founded and served as Chief Executive Officer at Anora.</t>
  </si>
  <si>
    <t>Stanford Graduate School of Business, MBA (Master of Business Administration), 2018</t>
  </si>
  <si>
    <t>The company raised $50,000 of seed funding from Peterson Partners, Mentors Fund and CatchLight Capital Partners on January 27, 2022. Village Global, Lightspeed Venture Partners, GSR Ventures, TA Ventures, Kevin Moore and Worm Capital also participated in the round.The funds will be used for the company's talent development, the optimization and upgrading of the artificial intelligence technology platform, Mentors Fund, and the promotion of medical device data solutions.</t>
  </si>
  <si>
    <t>CatchLight Capital Partners, GSR Ventures, Kevin Moore, Lightspeed Venture Partners, Mentors Fund, Peterson Partners, TA Ventures, Village Global, Worm Capital</t>
  </si>
  <si>
    <t>GSR Go Global Fund(GSR Ventures), Lightspeed Venture Partners XII(Lightspeed Venture Partners)</t>
  </si>
  <si>
    <t>www.nyquistai.com</t>
  </si>
  <si>
    <t>122575-69T</t>
  </si>
  <si>
    <t>Obsess</t>
  </si>
  <si>
    <t>169204-42</t>
  </si>
  <si>
    <t>Alex Iskold(Alex Iskold), Asimov Ventures, Asper Group, Joseph Marchione(Joseph Marchione), Jump Capital, Lightspeed Venture Partners, Techstars, The Venture Reality Fund, Vijay Ravindran(Vijay Ravindran), Village Global, WXR Venture Fund(Martina Welkhoff)</t>
  </si>
  <si>
    <t>Alex Iskold (www.startuphacks.vc), Asimov Ventures (www.asimovventures.com), Asper Group (www.aspergroupllc.com), Jump Capital (jumpcap.com), Lightspeed Venture Partners (www.lsvp.com), Techstars (www.techstars.com), The Venture Reality Fund (www.thevrfund.com), Village Global (www.villageglobal.vc), WXR Venture Fund (www.wxrfund.com)</t>
  </si>
  <si>
    <t>Developer of a virtual store platform designed to turn online shopping into an experience. The company's platform offers brands and retailers the to set up three 
 dimensional virtual store on their website, enabling businesses to provide immersive, contextual, and fully visual online shopping experiences to their customers.</t>
  </si>
  <si>
    <t>Artificial Intelligence &amp; Machine Learning, Augmented Reality, Mobile Commerce, Virtual Reality</t>
  </si>
  <si>
    <t>3d virtual, augmented reality shopping, ecommerce search, virtual platform, virtual reality shopping, virtual shopping platform, virtual store project</t>
  </si>
  <si>
    <t>153061-21P</t>
  </si>
  <si>
    <t>Neha Singh</t>
  </si>
  <si>
    <t>+1 (512) 773-9568</t>
  </si>
  <si>
    <t>neha@obsessvr.com</t>
  </si>
  <si>
    <t>Ms. Neha Singh is a Co-Founder and serves as Chief Executive Officer, President &amp; Board Member at Obsess. She was previously the Head of Product at Vogue, where she was responsible for the product strategy and technology execution of Vogue's digital business including content products, ad products and distribution platforms. While there, she launched the Vogue website, Vogue Runway and 2 mobile apps. Prior to that, she was VP of Product and Engineering at AHAlife, an e-commerce startup for luxury lifestyle products. She began her career at Google, where she was a Software Engineer and Tech Lead for 5 years and worked on Google AdWords and Google News. She holds an MS (Master of Science) in Computer Science from the Massachusetts Institute of Technology (MIT).</t>
  </si>
  <si>
    <t>Massachusetts Institute of Technology (MIT), MS (Master of Science), 2005, Computer Science, University of Texas, Austin, BS (Bachelor of Science), 2003, Computer Science</t>
  </si>
  <si>
    <t>The company raised $3.41 million through the combination of Seed 1, Seed 2, Seed 3, Seed 4, and Seed 5 funding from Village Global, Asper Group, and The Venture Reality Fund on October 26, 2020, putting the company's pre-money valuation at $9.59 million. Jump Capital, Asimov Ventures, Women in XR, Joseph Marchione, Vijay Ravindran, and Alex Iskold also participated in the round.</t>
  </si>
  <si>
    <t>Alex Iskold, Asimov Ventures, Asper Group, Joseph Marchione, Jump Capital, Lightspeed Venture Partners, The Venture Reality Fund, Vijay Ravindran, Village Global</t>
  </si>
  <si>
    <t>Techstars, WXR Venture Fund</t>
  </si>
  <si>
    <t>Asimov Ventures I(Asimov Ventures), JCDP-5(Jump Capital), Lightspeed Venture Partners Select III(Lightspeed Venture Partners), Venture Reality Fund II(The Venture Reality Fund), Village Global Fund(Village Global), WXR Fund(WXR Venture Fund)</t>
  </si>
  <si>
    <t>Polsinelli (Legal Advisor to Company, Prithvi Tanwar JD)</t>
  </si>
  <si>
    <t>www.obsessar.com</t>
  </si>
  <si>
    <t>Image data processing or generation, in general, Information and communication technology [ict] specially adapted for administrative, commercial, financial, managerial or supervisory purposes</t>
  </si>
  <si>
    <t>200327-05T</t>
  </si>
  <si>
    <t>Odyssey (Business/Productivity Software)</t>
  </si>
  <si>
    <t>186333-13</t>
  </si>
  <si>
    <t>Abstract Ventures, Equal Ventures Management(Rick Zullo), Equator VC(Morgan DeFoort), Factor[e] Ventures, Founder Collective, MCJ, Twelve Below</t>
  </si>
  <si>
    <t>Abstract Ventures (abstract.vc), Equal Ventures Management (www.equal.vc), Equator VC (equator.vc), Factor[e] Ventures (www.factore.com), Founder Collective (www.foundercollective.com), MCJ (www.mcj.vc), Twelve Below (www.twelvebelow.co)</t>
  </si>
  <si>
    <t>Developer of a fintech platform designed for scaling capital deployment to distribute renewable energy. The company's platform provides an end-to-end solution for every phase of project investment, development, and management, enabling clients to aggregate and scale investment in distributed renewable energy.</t>
  </si>
  <si>
    <t>The company joined The World Economic Forum as a part of its 2023 Technology Pioneers Cohort on June 21, 2023. No equity or funding was exchanged as a result of this program.</t>
  </si>
  <si>
    <t>asset management firm, asset management platform, data analytics, energy data, energy services, enterprise asset management, enterprise resource planning, erp, mini-grid application</t>
  </si>
  <si>
    <t>170778-52P</t>
  </si>
  <si>
    <t>Emily McAteer</t>
  </si>
  <si>
    <t>+1 (978) 505-9423</t>
  </si>
  <si>
    <t>emily@odysseyenergysolutions.com</t>
  </si>
  <si>
    <t>Ms. Emily McAteer is a Co-Founder &amp; serves as Chief Executive Officer at Odyssey. She was Chief Revenue Officer of Frontier Power, a SunEdison subsidiary developing solar microgrids in India and Africa. She also worked in advanced energy management at EnerNOC and Yahoo, developed climate investment solutions at RiskMetrics Group, and received a Fulbright Fellowship to address off-grid solar lighting solutions in rural India. She holds a BA from Brown University, an MPA from the Harvard Kennedy School of Government, and an MBA from the Stanford Graduate School of Business.</t>
  </si>
  <si>
    <t>Brown University, BA (Bachelor of Arts), Harvard University, MPA (Master of Public Administration), Stanford Graduate School of Business, MBA (Master of Business Administration)</t>
  </si>
  <si>
    <t>The company raised $7.22 million through a combination Seed and Seed-1 funding in a deal led by Equal Ventures Management on July 26, 2022, putting the company's pre-money valuation at $9.78 million. Factor[e] Ventures, Twelve Below, Abstract Ventures, Founder Collective, MCJ Collective and Equator VC also participated in the round. The funds will be used to expand the company's platform that enables the planning, financing, building and operating of renewable energy projects in developing economies and launch new financial products for DRE in emerging markets aimed at infusing more private capital into the markets.</t>
  </si>
  <si>
    <t>Abstract Ventures, Equal Ventures Management, Equator VC, Factor[e] Ventures, Founder Collective, MCJ, Twelve Below</t>
  </si>
  <si>
    <t>Equal Ventures Management(Rick Zullo)</t>
  </si>
  <si>
    <t>Equal Ventures 1(Equal Ventures Management), Equator Africa Fund I(Equator VC)</t>
  </si>
  <si>
    <t>Gunderson Dettmer (Legal Advisor to Equal Ventures Management)</t>
  </si>
  <si>
    <t>80302</t>
  </si>
  <si>
    <t>www.odysseyenergysolutions.com</t>
  </si>
  <si>
    <t>164248-66T</t>
  </si>
  <si>
    <t>Office Otter</t>
  </si>
  <si>
    <t>458215-30</t>
  </si>
  <si>
    <t>Beresford Ventures, Hatcher+, Quake Capital, Semapa Next, Techstars</t>
  </si>
  <si>
    <t>Beresford Ventures (www.beresfordventures.com), Hatcher+ (hq.hatcher.com), Quake Capital (www.quakecapital.com), Semapa Next (www.semapanext.com), Techstars (www.techstars.com)</t>
  </si>
  <si>
    <t>Developer of a task management tool designed to integrate with email and text to help busy professionals to create tasks on the go. The company's tool turns conversations into functions in one click and allows sending to-dos from a phone or computer using text and email, enabling busy professionals to save time and improve productivity.</t>
  </si>
  <si>
    <t>The company raised an undisclosed amount of venture funding from Invariantes Fund, Root and Shoot Ventures and 1517 Fund on April 1, 2021. Alumni Ventures, OSEA Angel Investors and Titan Angels also participated in the round. Other undisclosed investors also participated in the round.</t>
  </si>
  <si>
    <t>productivity software, task creation, task creation platform, task management, task management platform, task management system</t>
  </si>
  <si>
    <t>206762-50P</t>
  </si>
  <si>
    <t>Shayanne Wright</t>
  </si>
  <si>
    <t>shayanne@officeotter.co</t>
  </si>
  <si>
    <t>Ms. Shayanne Wright is a Co-Founder and serves as Chief Executive Officer at Office Otter. Ms. Wright co-founded and served as Chief Executive Officer at LEFT.</t>
  </si>
  <si>
    <t>The company raised $120,000 of seed funding from Semapa Next, Beresford Ventures and Hatcher+ on January 25, 2020, putting the company's pre-money valuation at $4.88 million. Quake Capital and Techstars also participated in the round.</t>
  </si>
  <si>
    <t>Beresford Ventures, Hatcher+, Semapa Next, Techstars</t>
  </si>
  <si>
    <t>Quake Capital</t>
  </si>
  <si>
    <t>Beresford Ventures I(Beresford Ventures), Quake Seed Capital Fund III(Quake Capital), Techstars Ventures 2017(Techstars)</t>
  </si>
  <si>
    <t>www.officeotter.com</t>
  </si>
  <si>
    <t>249958-90T</t>
  </si>
  <si>
    <t>Ohai.ai</t>
  </si>
  <si>
    <t>553181-59</t>
  </si>
  <si>
    <t>Eniac Ventures(Nihal Mehta), K5 Global, Learn Capital, Life Extension Ventures, New Enterprise Associates, Rethink Capital Partners, Wavemaker Partners</t>
  </si>
  <si>
    <t>Eniac Ventures (www.eniac.vc), K5 Global (www.k5global.com), Learn Capital (www.learn.vc), Life Extension Ventures (www.lifex.vc), New Enterprise Associates (www.nea.com), Rethink Capital Partners (www.rethink-capital.com), Wavemaker Partners (www.wavemaker.vc)</t>
  </si>
  <si>
    <t>Developer of an artificial intelligence support assistant designed to improve the lives of families. The company's platform helps with managing schedules, coordinating family tasks, booking appointments, setting reminders and sorting through emails, enabling parents to manage their daily work.</t>
  </si>
  <si>
    <t>The company raised $6 million of seed funding in the form of SAFE notes in a deal led by Eniac Ventures and Life Extension Ventures on January 22, 2024. Wavemaker Partners, New Enterprise Associates, Learn Capital, and Rethink Capital Partners also participated in the round. The funds will be used to revolutionize home and personal organization, alleviating the mental load of Chief Household Officers.</t>
  </si>
  <si>
    <t>ai assistant, ai assistant tools, data management, household assistant, to-do list tracker, virtual assistant</t>
  </si>
  <si>
    <t>294084-19P</t>
  </si>
  <si>
    <t>Kevin Yang</t>
  </si>
  <si>
    <t>+1 (646) 303-1047</t>
  </si>
  <si>
    <t>kevin@proofoflearn.io</t>
  </si>
  <si>
    <t>Mr. Kevin Yang is a Co-Founder and serves as Co-Lead of Product &amp; Learning Platform at proofoflearn. He is a Co-Founder &amp; serves as Head of Product at Ohai.ai.</t>
  </si>
  <si>
    <t>The company raised $6 million of seed funding in the form of SAFE notes in a deal led by Eniac Ventures and Life Extension Ventures on January 22, 2024. Wavemaker Partners, New Enterprise Associates, K5 Global, Learn Capital, and Rethink Capital Partners also participated in the round. The funds will be used to revolutionize home and personal organization, alleviating the mental load of Chief Household Officers.</t>
  </si>
  <si>
    <t>Eniac Ventures, K5 Global, Learn Capital, Life Extension Ventures, New Enterprise Associates, Rethink Capital Partners, Wavemaker Partners</t>
  </si>
  <si>
    <t>Eniac Ventures(Nihal Mehta), Life Extension Ventures</t>
  </si>
  <si>
    <t>K5 Global LT Co-Invest(K5 Global), Rethink Education III(Rethink Capital Partners), Seed Learn Start Fund I(Learn Capital)</t>
  </si>
  <si>
    <t>Pillsbury Winthrop Shaw Pittman (Legal Advisor to Company, Riaz Karamali JD)</t>
  </si>
  <si>
    <t>Pembroke, MA</t>
  </si>
  <si>
    <t>Pembroke</t>
  </si>
  <si>
    <t>02359</t>
  </si>
  <si>
    <t>www.ohai.ai</t>
  </si>
  <si>
    <t>225420-13T</t>
  </si>
  <si>
    <t>Ohanafy</t>
  </si>
  <si>
    <t>528787-27</t>
  </si>
  <si>
    <t>Cape Fear Ventures(Richard Stroupe)</t>
  </si>
  <si>
    <t>Cape Fear Ventures (www.capefear.vc)</t>
  </si>
  <si>
    <t>Developer of a beverage supply chain technology software platform designed to provide a cloud-based operating system for craft beverage businesses. The company's platform helps craft beverage businesses to manage their operations, including sales, production and inventory and is purposefully built to grow revenue, enabling businesses to improve their operations and increase their sales.</t>
  </si>
  <si>
    <t>The company raised $2.90 million of venture funding from undisclosed investors on March 8, 2024.</t>
  </si>
  <si>
    <t>beverage management platform, beverage management services, beverage management software, beverage management solutions, beverage management system, supply chain management</t>
  </si>
  <si>
    <t>350528-05P</t>
  </si>
  <si>
    <t>Ian Padrick</t>
  </si>
  <si>
    <t>+1 (910) 547-1565</t>
  </si>
  <si>
    <t>ian@ohanafy.com</t>
  </si>
  <si>
    <t>Mr. Ian Padrick is a Co-Founder,and serves as Chief Executive Officer &amp; Board Member at Ohanafy.</t>
  </si>
  <si>
    <t>East Carolina University, Bachelor's, 2014, Management Information Sytems, University of North Carolina, Chapel Hill, Degree, 2013, Computer Science</t>
  </si>
  <si>
    <t>The company raised $2.8 million of seed funding in a deal led by Cape Fear Ventures on June 2, 2023. Other undisclosed investors also participated in the round. The funds will be used to excel in its growth and gain market share as they continue to attract top talent and to further invest in product innovation with research and development initiatives to support the ever-evolving needs of its customers.</t>
  </si>
  <si>
    <t>Cape Fear Ventures</t>
  </si>
  <si>
    <t>Wilmington, NC</t>
  </si>
  <si>
    <t>28401</t>
  </si>
  <si>
    <t>www.ohanafy.com</t>
  </si>
  <si>
    <t>223199-20T</t>
  </si>
  <si>
    <t>Ola Invierte</t>
  </si>
  <si>
    <t>521415-01</t>
  </si>
  <si>
    <t>Astir Ventures, Latitud</t>
  </si>
  <si>
    <t>Astir Ventures (www.astir.vc), Latitud (www.latitud.com)</t>
  </si>
  <si>
    <t>Developer of a financial app intended to provide financial independence to everyone. The company provides smart portfolios, educational content, security, fractional shares, and ETFs, enabling users to gain financial literacy with their app.</t>
  </si>
  <si>
    <t>The company joined Techstars on January 10, 2023 and received $120,000 in funding.</t>
  </si>
  <si>
    <t>digital advisory, financial literacy, financial planning, financial security, fractional shares, wealthtech</t>
  </si>
  <si>
    <t>339692-32P</t>
  </si>
  <si>
    <t>Isabel Penzini</t>
  </si>
  <si>
    <t>+1 (305) 493-8587</t>
  </si>
  <si>
    <t>isabel@siguelaola.com</t>
  </si>
  <si>
    <t>Ms. Isabel Penzini is the Founder &amp; serves as Chief Executive Officer at Ola Invierte.</t>
  </si>
  <si>
    <t>Degree, 2011, UCL, Georgia Institute of Technology, MS (Master of Science), 2020, University of Pennsylvania, BA (Bachelor of Arts) Honors, 2013, Psychology, Political Science</t>
  </si>
  <si>
    <t>The company raised $1 million of seed funding in the combination of equity and safe notes from Astir Ventures, Latitud and other undisclosed investors on October 7, 2021.</t>
  </si>
  <si>
    <t>Latitude 4 Ventures(Latitud)</t>
  </si>
  <si>
    <t>siguelaola.com</t>
  </si>
  <si>
    <t>223316-11T</t>
  </si>
  <si>
    <t>Olympix</t>
  </si>
  <si>
    <t>522128-89</t>
  </si>
  <si>
    <t>Picks and Shovels</t>
  </si>
  <si>
    <t>Picks and Shovels (www.picksandshovelsvc.com)</t>
  </si>
  <si>
    <t>Developer of web3 security tool designed to find and automatically fix vulnerabilities in clients' code in real time. The company's platform has security intelligence and a vulnerability database to deploy and avoid costly smart contract rewrites or irreparable damage, enabling clients to maintain security at scale without compromising the web3 environment.</t>
  </si>
  <si>
    <t>The company raised an undisclosed amount of venture funding from Coalition Operators in approximately October 2024.</t>
  </si>
  <si>
    <t>Artificial Intelligence &amp; Machine Learning, Big Data, Cryptocurrency/Blockchain</t>
  </si>
  <si>
    <t>attack prevention, coding security, crypto compliance, crypto security, database security, security intelligence, vertical application, web3 based, web3 environment</t>
  </si>
  <si>
    <t>340749-55P</t>
  </si>
  <si>
    <t>Channi Greenwall</t>
  </si>
  <si>
    <t>+1 (510) 414-2492</t>
  </si>
  <si>
    <t>channi@olympix.ai</t>
  </si>
  <si>
    <t>Ms. Channi Greenwall is the Founder and serves as Chief Executive Officer at Olympix.</t>
  </si>
  <si>
    <t>The company raised $4.3 million of seed funding from Picks and Shovels on October 24, 2022, putting the company's pre-money valuation at $12 million.</t>
  </si>
  <si>
    <t>www.olympix.ai</t>
  </si>
  <si>
    <t>189013-24T</t>
  </si>
  <si>
    <t>Olyn</t>
  </si>
  <si>
    <t>491787-19</t>
  </si>
  <si>
    <t>Greg Kidd, Hard Yaka</t>
  </si>
  <si>
    <t>Hard Yaka (www.hardyaka.com)</t>
  </si>
  <si>
    <t>Developer of asset registry platform designed to remove barriers and connect individuals, businesses, and economies to thrive on the web3. The company's platform focuses on value exchange and helps in tracking the assets that are owned by the users and empowers ownership and identity in this new era, enabling investors to track NFT integration, registration on a chain, and asset registry list.</t>
  </si>
  <si>
    <t>The company raised $850,000 of pre-seed funding from Hard Yaka and Greg Kidd in November 2020, putting the company's pre-money valuation at $14.15 million.</t>
  </si>
  <si>
    <t>blockchain technology, digital asset manager, digital asset token, physical asset management, physical assets, token economy</t>
  </si>
  <si>
    <t>211008-16P</t>
  </si>
  <si>
    <t>Ana Jipa</t>
  </si>
  <si>
    <t>+1 (860) 442-2767</t>
  </si>
  <si>
    <t>ana@olyn.com</t>
  </si>
  <si>
    <t>Ms. Ana Jipa is a Co-Founder and serves as Co-Chief Executive Officer at Olyn. Ms. Jipa served as Advisor at Hard Yaka. With a technical mindset coming from the Aeronautics space, implies a dynamic background in the API industry, she has founded, designed and developed various tech products (from delivery service to e-commerce platform). Has worked consulting and supporting organizations across various regions and industries on APIs Management, Experience Design, and Machine-Learning/AI. Throughout her career, She. has collaborated with leaders within the private and public sector by been involved in providing strategic solutions that involving technology component with and for government agencies and Fortune 500 companies. Currently located in Europe, Spain focused on supporting building defining long-term businesses; especially interested in marketplaces, payments, big-data and distributed systems.</t>
  </si>
  <si>
    <t>95112</t>
  </si>
  <si>
    <t>www.olyn.com</t>
  </si>
  <si>
    <t>251541-37T</t>
  </si>
  <si>
    <t>On the Goga</t>
  </si>
  <si>
    <t>321164-11</t>
  </si>
  <si>
    <t>Ben Franklin Technology Partners of Southeastern Pennsylvania, Techstars, Westchester Angels</t>
  </si>
  <si>
    <t>Ben Franklin Technology Partners of Southeastern Pennsylvania (www.sep.benfranklin.org), Techstars (www.techstars.com), Westchester Angels (www.westchesterangels.com)</t>
  </si>
  <si>
    <t>Developer of a no-code platform designed to allow human resource teams to build their own wellness and benefits portals. The company's platform offers flexibly customizing employee wellness programs with human-centered well-being workshops, challenges, and content and creates and delivers wellness programs that help employees feel valued and supported, enabling customers to have a platform for organizational well-being programs.</t>
  </si>
  <si>
    <t>The company raised $405,000 of pre-seed funding in a combination of SAFE notes and equity from Ben Franklin Technology Partners of Southeastern Pennsylvania, Techstars and Westchester Angels on April 30, 2024, putting the company's post-valuation at $7 million.</t>
  </si>
  <si>
    <t>Business/Productivity Software*, Clinics/Outpatient Services, Media and Information Services (B2B)</t>
  </si>
  <si>
    <t>cultural development market, cultural development services, organizational wellbeing, wellbeing program, wellbeing program organizer, wellness company, wellness platform</t>
  </si>
  <si>
    <t>333004-33P</t>
  </si>
  <si>
    <t>Anna Greenwald</t>
  </si>
  <si>
    <t>+1 (267) 277-3063</t>
  </si>
  <si>
    <t>anna@onthegoga.com</t>
  </si>
  <si>
    <t>Ms. Anna Greenwald is a Co-Founder and serves as Chief Executive Officer, President, and Board Member at On the Goga.</t>
  </si>
  <si>
    <t>Drexel University, Bachelor's</t>
  </si>
  <si>
    <t>Ben Franklin Technology Partners of Southeastern Pennsylvania, Westchester Angels</t>
  </si>
  <si>
    <t>19107</t>
  </si>
  <si>
    <t>www.onthegoga.com</t>
  </si>
  <si>
    <t>Bridge Loan - $0.41M (Convertible)</t>
  </si>
  <si>
    <t>168806-71T</t>
  </si>
  <si>
    <t>OneEleven</t>
  </si>
  <si>
    <t>228061-27</t>
  </si>
  <si>
    <t>Inspiration Ventures(Gady Nemirovsky), U.S. News Digital Ventures LLC(William Holiber)</t>
  </si>
  <si>
    <t>Inspiration Ventures (www.inspirationvc.com)</t>
  </si>
  <si>
    <t>Developer of financial wellness platform designed to develop healthy money habits that maximize happiness and reduce stress. The company's platform delivers financial education and personalized planning tools which include money management through video lessons, custom financial plans, and one-on-one coaching, enabling young professionals to spend wisely and get advice from professionals.</t>
  </si>
  <si>
    <t>The company graduated from gener8tor as a part of its Insurance &amp; Wealth Accelerator on October 18, 2024 and received an undisclosed amount of funding.</t>
  </si>
  <si>
    <t>Educational and Training Services (B2C), Educational Software*, Financial Software, Other Financial Services</t>
  </si>
  <si>
    <t>EdTech, FinTech</t>
  </si>
  <si>
    <t>financial education, financial literacy, financial literacy service, personal finance, personal financial management, progress tracker</t>
  </si>
  <si>
    <t>184253-95P</t>
  </si>
  <si>
    <t>Danielle Pascarella</t>
  </si>
  <si>
    <t>+1 (646) 786-8472</t>
  </si>
  <si>
    <t>dani@invibed.com</t>
  </si>
  <si>
    <t>Ms. Danielle Pascarella is a Co-Founder and serves as Chief Executive Officer, President &amp; Board Member at OneEleven. She became a stockbroker at age 20 while attending the University of Florida and worked at CNBC on the show Mad Money with Jim Cramer. She went on to work as an Investment Specialist at J.P. Morgan, where she managed money for individuals with at least $25 million in investable assets. she also holds an M.S. from Columbia University and is a CERTIFIED FINANCIAL PLANNER.</t>
  </si>
  <si>
    <t>Columbia University, MS (Master of Science)</t>
  </si>
  <si>
    <t>The company raised $500,000 of venture funding in a deal led by Inspiration Ventures on March 17, 2021, putting the company's pre-money valuation at $2 million. U.S. News Digital Ventures LLC also participated in the round. The funds will be used to further expand company's inclusive financial wellness platform.</t>
  </si>
  <si>
    <t>Inspiration Ventures, U.S. News Digital Ventures LLC</t>
  </si>
  <si>
    <t>Inspiration Ventures(Gady Nemirovsky)</t>
  </si>
  <si>
    <t>UT 2016(Inspiration Ventures)</t>
  </si>
  <si>
    <t>Foley Hoag (Legal Advisor to Company, Adrienne Ellman JD)</t>
  </si>
  <si>
    <t>www.oneeleven.co</t>
  </si>
  <si>
    <t>208566-37T</t>
  </si>
  <si>
    <t>OneSchema</t>
  </si>
  <si>
    <t>484579-45</t>
  </si>
  <si>
    <t>BoxGroup, Comma Capital, Contrary (San Francisco), Deepika Bodapati(Deepika Bodapati), Dennis Steele(Dennis Steele), Elad Gil(Elad Gil), Epakon Capital Management, Eric Rea(Eric Rea), General Catalyst, Julianna Lamb(Julianna Lamb), Sequoia Capital, Steve Bartel(Steve Bartel), Tanay Tandon(Tanay Tandon), Wade Foster(Wade Foster), Xoogler Ventures, Y Combinator</t>
  </si>
  <si>
    <t>BoxGroup (www.boxgroup.com), Comma Capital (comma.vc), Contrary (San Francisco) (www.contrary.com), Elad Gil (www.eladgil.com), Epakon Capital Management (www.epakon.com), General Catalyst (www.generalcatalyst.com), Sequoia Capital (www.sequoiacap.com), Y Combinator (www.ycombinator.com)</t>
  </si>
  <si>
    <t>Developer of a cloud-based platform intended for enterprise data quality management. The company's platform provides data cleansing software to detect and rectify errors, fix and validate data, and offers address validation and application programming interface integration for data export, enabling product and engineering teams to save development time building a comma-separated values importer.</t>
  </si>
  <si>
    <t>The company raised $6.3 million of seed funding in a deal led by General Catalyst on November 16, 2022. Xoogler Ventures ad 14 other investors also participated in the round. The funds will be used to make substantial investments in its engineering team.</t>
  </si>
  <si>
    <t>Business/Productivity Software*, Information Services (B2C)</t>
  </si>
  <si>
    <t>ai cores, analytics platform, cloud network, cloud server, content services, data management software, data quality management, data security, data software &amp; systems, data software and systems, engineering industry, kms, knowledge management system, saas product, saas software</t>
  </si>
  <si>
    <t>284073-67P</t>
  </si>
  <si>
    <t>Christina Gilbert</t>
  </si>
  <si>
    <t>christina@oneschema.co</t>
  </si>
  <si>
    <t>Ms. Christina Gilbert is a Co-Founder &amp; serves as Chief Executive Officer at OneSchema.</t>
  </si>
  <si>
    <t>The company raised $6.3 million of seed funding in a deal led by General Catalyst on November 16, 2022. Xoogler Ventures, Contrary, Sequoia Capital, BoxGroup, Comma Capital, Epakon Capital Management, Y Combinator, Elad Gil, Wade Foster, Steve Bartel, Julianna Lamb, Dennis Steele, Eric Rea, Deepika Bodapati and Tanay Tandon also participated in the round. The funds will be used to make substantial investments in its engineering team.</t>
  </si>
  <si>
    <t>BoxGroup, Comma Capital, Contrary (San Francisco), Deepika Bodapati, Dennis Steele, Elad Gil, Epakon Capital Management, Eric Rea, General Catalyst, Julianna Lamb, Sequoia Capital, Steve Bartel, Tanay Tandon, Wade Foster, Xoogler Ventures</t>
  </si>
  <si>
    <t>General Catalyst</t>
  </si>
  <si>
    <t>www.oneschema.co</t>
  </si>
  <si>
    <t>156808-09T</t>
  </si>
  <si>
    <t>OnShore Technology Group</t>
  </si>
  <si>
    <t>439696-99</t>
  </si>
  <si>
    <t>Founders First Capital Partners(Kim Folsom)</t>
  </si>
  <si>
    <t>Founders First Capital Partners (www.foundersfirstcapitalpartners.com)</t>
  </si>
  <si>
    <t>Developer of validation and verification software designed to deliver products and services that power lean validation processes. The company's software specializes in developing and delivering products and services to optimize and streamline the validation process and also the proprietary software suite combines OnShore IP with technologies to deliver robust alternatives for time-saving, cost-effective validation and verification of literally any enterprise system or process, enabling agencies to eliminate waste throughout the validation process while ensuring sustained compliance.</t>
  </si>
  <si>
    <t>The company raised $250,000 of venture funding through a combination of debt and equity on September 25, 2020. $225,000 of equity was raised from Founders First Capital Partners and other undisclosed investors. $25,000 of debt was provided by undisclosed lenders.</t>
  </si>
  <si>
    <t>Industrials</t>
  </si>
  <si>
    <t>risk management service, risk management system, validation process, validation services, verification software, verification software platform</t>
  </si>
  <si>
    <t>242034-40P</t>
  </si>
  <si>
    <t>Valarie King-Bailey</t>
  </si>
  <si>
    <t>+1 (312) 321-6400</t>
  </si>
  <si>
    <t>vkingbailey@onshoretech.com</t>
  </si>
  <si>
    <t>Ms. Valarie King-Bailey is the Founder &amp; serves as Chief Executive Officer at OnShore Technology Group. She has over 34+ years of international experience in the life sciences technology industry.has over 34+ years of international experience in the life sciences technology industry. She has worked for leading global companies such as QUMAS Limited (Ireland), EMC/Documentum, Abbott Laboratories, and U.S. Steel - South Works. At QUMAS, an Irish-based software company, she served as Chief Marketing Officer where she was responsible for all global tactical and strategic marketing initiatives in addition to the development of their validation toolkit. She also made a significant impact at Abbott Laboratories in Chicago where she served as Director of Document Management and Quality Systems leading a $16MM division-wide validation initiative. She holds an M.B.A. in Information Systems from Keller Graduate School of Management (1985) and a B.S. in Civil and Environmental Engineering from the University of Wisconsin - Madison (1982).</t>
  </si>
  <si>
    <t>Keller Graduate School of Management, MBA (Master of Business Administration), 1985, Information Systems, University of Wisconsin, Madison, BS (Bachelor of Science), 1982, Civil and Environmental Engineering</t>
  </si>
  <si>
    <t>Term Loan - $0.03M (Novel Capital)</t>
  </si>
  <si>
    <t>60611</t>
  </si>
  <si>
    <t>www.onshoretech.com</t>
  </si>
  <si>
    <t>Term Loan - $0.03M</t>
  </si>
  <si>
    <t>Novel Capital</t>
  </si>
  <si>
    <t>169601-68T</t>
  </si>
  <si>
    <t>Onward (Financial Software)</t>
  </si>
  <si>
    <t>463615-66</t>
  </si>
  <si>
    <t>Citi Ventures(Luis Valdich), Correlation Ventures, Lerer Hippeau, TTV Capital(Mark Johnson)</t>
  </si>
  <si>
    <t>Correlation Ventures (www.correlationvc.com), Lerer Hippeau (www.lererhippeau.com), TTV Capital (www.ttvcapital.com)</t>
  </si>
  <si>
    <t>Developer of an expense tracking platform designed to help divorced and separated parents track and manage shared expenses for their children. The company offers to streamline communication about finances, quickly share past or future expenses, suggest expense splits, upload receipts, export spending records for court documentation and review an activity feed, enabling co-parents to improve the lives of their children.</t>
  </si>
  <si>
    <t>The company raised an undisclosed amount of venture funding from Global Venture Bridge in May 2024.</t>
  </si>
  <si>
    <t>Application Software, Financial Software*, Information Services (B2C), Other Financial Services</t>
  </si>
  <si>
    <t>expense sharing, expense tracking, expense tracking app, expense tracking platform, expenses tracker, personal financial management, streamline communication, wealthtech</t>
  </si>
  <si>
    <t>40764-34P</t>
  </si>
  <si>
    <t>Jacklyn Rome</t>
  </si>
  <si>
    <t>+1 (310) 993-5917</t>
  </si>
  <si>
    <t>jacklyn@onwardapp.com</t>
  </si>
  <si>
    <t>Ms. Jacklyn Rome is a Co-Founder &amp; serves as Chief Executive Officer and Board Member at Onward (Financial Software). She served as Venture Advisor at Telegraph Hill Capital. She served as Head of US Operations at 2B Angels. Previously, she served at Ernst &amp; Young. She holds a BSc in Business Administration and an MSc in Finance.</t>
  </si>
  <si>
    <t>Boston University, BS (Bachelor of Science), 2007, Business Administration and Marketing, ESADE Business School, MS (Master of Science), 2010, Finance</t>
  </si>
  <si>
    <t>The company raised $3 million through a combination of Seed-1 and Seed-2 funding from Citi Ventures, TTV Capital, and Lerer Hippeau on March 31, 2021, putting the company's pre-money valuation at $5 million. Correlation Ventures, and other undisclosed investors also participated in the round. The funds will be used to expand beyond being an expense tracking app to offering a suite of financial products and primarily banking products.</t>
  </si>
  <si>
    <t>Citi Ventures, Correlation Ventures, Lerer Hippeau, TTV Capital</t>
  </si>
  <si>
    <t>Correlation Ventures II(Correlation Ventures), Lerer Hippeau Ventures VI(Lerer Hippeau), TTV Fund V(TTV Capital)</t>
  </si>
  <si>
    <t>90405</t>
  </si>
  <si>
    <t>www.onwardapp.com</t>
  </si>
  <si>
    <t>205063-39T</t>
  </si>
  <si>
    <t>Onyxia</t>
  </si>
  <si>
    <t>509580-82</t>
  </si>
  <si>
    <t>Silvertech Ventures(Charles Federman), World Trade Ventures</t>
  </si>
  <si>
    <t>Silvertech Ventures (www.silvertechventures.com), World Trade Ventures (www.worldtradeventures.com)</t>
  </si>
  <si>
    <t>Developer of a cybersecurity management platform designed to streamline security strategy and day-to-day, tactical program management. The company's platform delivers predictive insights and data intelligence that allow them to gain a complete view of their program performance, and achieve organizational compliance, enabling enterprises and managed security service providers to increase security stack efficiency and optimize and communicate the business-level impact of their strategic security initiatives.</t>
  </si>
  <si>
    <t>The company raised venture funding from Lockstep (Palo Alto) on an undisclosed date.</t>
  </si>
  <si>
    <t>Application Software, Business/Productivity Software, Network Management Software*</t>
  </si>
  <si>
    <t>Artificial Intelligence &amp; Machine Learning, Cybersecurity, Mobile, SaaS</t>
  </si>
  <si>
    <t>cybersecurity platform, cybersecurity posture, real time data, security metrics, security operations, technical due diligence</t>
  </si>
  <si>
    <t>317963-17P</t>
  </si>
  <si>
    <t>Sivan Tehila</t>
  </si>
  <si>
    <t>+1 (609) 401-5927</t>
  </si>
  <si>
    <t>sivan@onyxia.io</t>
  </si>
  <si>
    <t>Ms. Sivan Tehila is the Founder and serves as Chief Executive Officer at Onyxia. She is a Cybersecurity expert and Entrepreneur with over 15 years of experience in the industry.
During a ten-year career in intelligence and cybersecurity in the Israel Defense Forces (IDF), she served as an Intelligence Officer, CISO of the Research and Analysis Division, and Head of the Information Security Department of the Intelligence Corps. Before Onyxia, she worked at Perimeter 81 as Director of Solution Architecture; she also served as Program Director and cybersecurity professor for the Cybersecurity Masters program at Katz School of Science and Health, Yeshiva University.</t>
  </si>
  <si>
    <t>The company raised $5 million of seed funding in a deal led by World Trade Ventures on September 29, 2022, putting the company's pre-money valuation at $7 million. Silvertech Ventures also participated in the round. The funds will be used to accelerate automation development, expand staff, and enhance platform design.</t>
  </si>
  <si>
    <t>Silvertech Ventures, World Trade Ventures</t>
  </si>
  <si>
    <t>World Trade Ventures</t>
  </si>
  <si>
    <t>www.onyxia.io</t>
  </si>
  <si>
    <t>178644-16T</t>
  </si>
  <si>
    <t>OOO.</t>
  </si>
  <si>
    <t>471756-07</t>
  </si>
  <si>
    <t>Brand Foundry Ventures, Chris Brown(Chris Brown), Service Provider Capital</t>
  </si>
  <si>
    <t>Brand Foundry Ventures (brandfoundry.com), Service Provider Capital (www.serviceprovidercapital.com)</t>
  </si>
  <si>
    <t>Developer of a mobile application intended to let users discover and share travel recommendations and restaurants with friends. The company's platform allows travelers to plan, discover and explore trendy hotspots, book hotels and reserve tables, enabling travelers to find safe, flexible, curated accommodation via an easy-to-use and intuitive platform.</t>
  </si>
  <si>
    <t>The company raised $1.29 million of seed funding in the form of SAFE notes from Hyde Park Venture Partners and Connetic Ventures on January 26, 2024, putting the company's pre-money valuation at $5.21 million.</t>
  </si>
  <si>
    <t>food ecommerce, restaurant marketplace, travel guide platform, travel guide tools, travel ideas, travel recommendation, travel recommendation platform, travel reference platform</t>
  </si>
  <si>
    <t>272663-56P</t>
  </si>
  <si>
    <t>Janine Seale</t>
  </si>
  <si>
    <t>+1 (312) 801-7200</t>
  </si>
  <si>
    <t>jseale@takemeoutofoffice.com</t>
  </si>
  <si>
    <t>Ms. Janine Seale is a Co-Founder &amp; serves as Chief Executive Officer and Board Member at OOO..</t>
  </si>
  <si>
    <t>Cornell University, BS (Bachelor of Science), 2006, Industrial Relations</t>
  </si>
  <si>
    <t>The company raised $1.57 million of Seed-1 funding in a deal led by Brand Foundry Ventures on August 20, 2021, putting the company's pre-money valuation at $3 million. Chris Brown, Service Provider Capital and other undisclosed investors also participated in the round.</t>
  </si>
  <si>
    <t>Brand Foundry Ventures, Chris Brown, Service Provider Capital</t>
  </si>
  <si>
    <t>Brand Foundry Ventures Fund IV(Brand Foundry Ventures)</t>
  </si>
  <si>
    <t>60622</t>
  </si>
  <si>
    <t>www.takemeoutofoffice.com</t>
  </si>
  <si>
    <t>137918-62T</t>
  </si>
  <si>
    <t>Opora</t>
  </si>
  <si>
    <t>338645-98</t>
  </si>
  <si>
    <t>Jerusalem Venture Partners(Julia Kagan), Stamford Growth Investments</t>
  </si>
  <si>
    <t>Jerusalem Venture Partners (www.jvpvc.com)</t>
  </si>
  <si>
    <t>Developer of cyber threat management platform designed to contain adversaries before they strike. The company's platform utilizes cloud computing, big data, and machine learning technologies that monitor and detect threats to deliver preemptive containment actions to existing prevention, detection, and response systems, enabling clients to identify malicious attacks and protect themselves against harmful risk.</t>
  </si>
  <si>
    <t>Stamford Growth Investments sold a stake in the company to an undisclosed buyer in approximately August 2021.</t>
  </si>
  <si>
    <t>cyber intelligence firm, cyber risk analytics, cyber security assessment, cyber security system, cyber threat intelligence, cyber threat management, network detection &amp; response, network detection and response, network security, vertical application</t>
  </si>
  <si>
    <t>87518-08P</t>
  </si>
  <si>
    <t>Christopher Bell</t>
  </si>
  <si>
    <t>Mr. Christopher Bell Co-Founded and served as Chief Executive Officer at Opora. He was a Co-Founder and served as Chief Operating Officer at Securonix a 20-year cybersecurity veteran and serial entrepreneur.</t>
  </si>
  <si>
    <t>Thunderbird School of Global Management, Degree, 1997, University of Colorado, BA (Bachelor of Arts), 1991, Economics &amp; Business Administration</t>
  </si>
  <si>
    <t>The company raised $7 million of seed funding in a deal led by Jerusalem Venture Partners on June 11, 2020, putting the company's pre-money valuation at $12.02 million. Stamford Growth Investments also participated in the round. The funds will be used for expanding its development team in Israel and for sales and marketing.</t>
  </si>
  <si>
    <t>Jerusalem Venture Partners, Stamford Growth Investments</t>
  </si>
  <si>
    <t>Jerusalem Venture Partners(Julia Kagan)</t>
  </si>
  <si>
    <t>www.opora.io</t>
  </si>
  <si>
    <t>235896-13T</t>
  </si>
  <si>
    <t>Opt Health</t>
  </si>
  <si>
    <t>507323-53</t>
  </si>
  <si>
    <t>Resolute Ventures</t>
  </si>
  <si>
    <t>Resolute Ventures (www.resolute.vc)</t>
  </si>
  <si>
    <t>Operator of a telemedicine platform designed to reconnect men with health, wellness, strength, and sexual vitality through the science of preventive medicine. The company's platform starts with professional consultation and health optimization is achieved through a combination of blood work to understand health, enabling men to try out a personalized treatment plan.</t>
  </si>
  <si>
    <t>The company raised $6.88 million through the combination of Seed-1, Seed-2 and Seed-3 funding from Resolute Ventures and other undisclosed investors on September 5, 2023, putting the company's pre-money valuation at $9 million.</t>
  </si>
  <si>
    <t>Application Software, Information Services (B2C)*, Other Healthcare Services</t>
  </si>
  <si>
    <t>men's health, online teleconsultation platform, prescription medication, professional consultation, specialty telemedicine, telehealth, telemedicine platform, treatment plan</t>
  </si>
  <si>
    <t>316107-01P</t>
  </si>
  <si>
    <t>Camilo Isaza</t>
  </si>
  <si>
    <t>+1 (855) 409-7235</t>
  </si>
  <si>
    <t>cam@getopt.com</t>
  </si>
  <si>
    <t>Ms. Camilo Isaza is a Co-Founder and serves as Chief Executive Officer and Board Member at Opt Health.</t>
  </si>
  <si>
    <t>www.getopt.com</t>
  </si>
  <si>
    <t>131516-65T</t>
  </si>
  <si>
    <t>Opus (Educational Software)</t>
  </si>
  <si>
    <t>266352-40</t>
  </si>
  <si>
    <t>Bling Capital, Dan Teran(Dan Teran), Gutter Capital, Ilia Papas(Ilia Papas), Impact Assets, Kleiner Perkins, Metrodora Ventures, NextView Ventures(Melody Koh), Propel Capital Network, Wiley Cerilli(Wiley Cerilli)</t>
  </si>
  <si>
    <t>Bling Capital (www.blingcap.com), Gutter Capital (gutter.cc), Impact Assets (www.impactassets.org), Kleiner Perkins (www.kleinerperkins.com), Metrodora Ventures (www.metrodora.vc), NextView Ventures (www.nextview.vc), Propel Capital Network (www.propelcapital.org)</t>
  </si>
  <si>
    <t>Developer of a SaaS-based learning platform designed to deliver text message courses. The company's platform helps to create mobile-first training for employees to learn English and get multilingual training to thrive and grow, managers to retain their team and make company files accessible on the phone, enabling organizations to engage their desks with fewer employees effectively.</t>
  </si>
  <si>
    <t>The company raised $8.84 million of Series A venture funding in a deal led by Gutter Capital &amp; Stage 2 Capital on September 12, 2022, putting the company's pre-money valuation at $26 million. Metrodora Ventures, NextView Ventures and Bling Capital also participated in the round. The funds will be used to accelerate growth through expanded product and sales teams.</t>
  </si>
  <si>
    <t>Education and Training Services (B2B), Educational Software*, Information Services (B2C)</t>
  </si>
  <si>
    <t>employee training, enterprise resource planning, erp, generative ai, human capital management, learning platform, on the jobs training, training tools, workforce engagement</t>
  </si>
  <si>
    <t>223737-85P</t>
  </si>
  <si>
    <t>Rachael Nemeth</t>
  </si>
  <si>
    <t>+1 (212) 369-3331</t>
  </si>
  <si>
    <t>rachael@opus.so</t>
  </si>
  <si>
    <t>Ms. Rachael Nemeth is a Co-Founder and serves as Chief Executive Officer &amp; Board Member at Opus. Rachael is a 15-year food industry veteran. She managed people and operations at some of NYC's most respected food businesses including Union Square Hospitality Group and Hot Bread Kitchen. She began teaching English to food industry employees 10 years ago as a volunteer. Since then, she's been on a mission to develop better, more accessible communication tools for everyone in the industry.</t>
  </si>
  <si>
    <t>The company raised $2.04 million of Seed funding in a deal led by NextView Ventures on May 27, 2020, putting the company's pre-money valuation at $4 million. Propel Capital Network, Bling Capital, Kleiner Perkins, Dan Teran, Ilia Papas, ImpactAssets, Gutter Capital, Metrodora Ventures and Wiley Cerilli also participated in the round.</t>
  </si>
  <si>
    <t>Bling Capital, Dan Teran, Gutter Capital, Ilia Papas, Impact Assets, Kleiner Perkins, Metrodora Ventures, NextView Ventures, Propel Capital Network, Wiley Cerilli</t>
  </si>
  <si>
    <t>NextView Ventures(Melody Koh)</t>
  </si>
  <si>
    <t>Bling Capital Fund I(Bling Capital), Kleiner Perkins Caufield &amp; Byers XIX(Kleiner Perkins), NextView Ventures III(NextView Ventures)</t>
  </si>
  <si>
    <t>www.opus.so</t>
  </si>
  <si>
    <t>224152-12T</t>
  </si>
  <si>
    <t>Ora (Software Development Applications)</t>
  </si>
  <si>
    <t>527374-18</t>
  </si>
  <si>
    <t>Alliance DAO, Soma Capital, Superscrypt</t>
  </si>
  <si>
    <t>Alliance DAO (www.alliance.xyz), Soma Capital (somacap.com), Superscrypt (www.superscrypt.xyz)</t>
  </si>
  <si>
    <t>Developer of artificial intelligence-powered campaign optimization tools intended to analyze historical and real-time data. The company specializes in developing a custom chatbot that lets users engage and utilize it for various purposes whether looking for a virtual friend, a customer support agent for your business, or want to master a new language, enabling users to create and personalize their artificial intelligence and share it with their audience.</t>
  </si>
  <si>
    <t>The company raised $3.37 million of seed funding from Superscrypt, Soma Capital and Alliance DAO on February 8, 2023. Other undisclosed investors also participated in the round.</t>
  </si>
  <si>
    <t>Business/Productivity Software, Other Hardware, Software Development Applications*</t>
  </si>
  <si>
    <t>ai personas, artificial intelligence based, custom ai, custom chatbot, developer tools, market research, optimization tool, qualitative research, user research</t>
  </si>
  <si>
    <t>348268-51P</t>
  </si>
  <si>
    <t>Dennis Martinez</t>
  </si>
  <si>
    <t>+1 (929) 227-5936</t>
  </si>
  <si>
    <t>Ms. Dennis Martinez is the Founder &amp; serves as Chief Executive Officer and Board Member at Ora.</t>
  </si>
  <si>
    <t>www.ora.ai</t>
  </si>
  <si>
    <t>172788-76T</t>
  </si>
  <si>
    <t>OrbitsEdge</t>
  </si>
  <si>
    <t>353294-02</t>
  </si>
  <si>
    <t>Bentley Radcliff(Bentley Radcliff)</t>
  </si>
  <si>
    <t>Developer of a computing and analytics software designed to collect and process vast amounts of data in space. The company's software eliminates bandwidth constraints and communication delays of sending data in Earth to be processed optimizing current and future projects in space, enabling aerospace industries to avail space-based web services.</t>
  </si>
  <si>
    <t>The company raised $200,000 of seed funding from undisclosed investors on an undisclosed date.</t>
  </si>
  <si>
    <t>aerospace industry components, analytics software, computing software system, data collection, edge computing, space services</t>
  </si>
  <si>
    <t>147998-08P</t>
  </si>
  <si>
    <t>Barbara Stinnett</t>
  </si>
  <si>
    <t>+1 (408) 307-0161</t>
  </si>
  <si>
    <t>Ms. Barbara Stinnett serves as Advisory Committee Member at Traction Capital. She is the Founder and serves as Chief Executive Officer &amp; Managing Partner at Timmaron Group. She served as Chief Executive Officer at Orbits Edge. She serves as Board Member at Boon Logic. She serves as Principal at Auxtc. She previously served as Chairman and CEO of SumTotal Systems, Chief Customer Officer and EVP for i2 Technologies, EVP &amp; Chief Client Officer, of The Thomas Group, VP for Service Provider Partners at Cisco, VP for professional services at SAP, COO and SVP at Silicon Graphics and served over 20 years at HP in leadership roles in customer revenue and business unit general management positions. She is a Fellow of the National Association of Corporate Directors (NACD) and has served public, private, and nonprofit organizations throughout her career. Her roles have been as Executive Chairman, Nomination &amp; Governance, Compensation and Strategy chair and independent director. She has served American Multiplexer Corporation, Sum Total Systems, Altus 365, and the Bill Norris Foundation, a technology fund for emerging technologies. She is also experienced in early-stage funds, creating and being a managing partner in the Sofia Fund, an early-stage fund focused on women-led technology companies. She graduated from the University of Wisconsin with degrees in Computer Science and International Business. She brings a unique blend of global leadership experience spanning executive positions in the Fortune 50 to mid-cap companies and startups. She has a customer-centric view and experience in all segments, across multiple industries and spanning enterprise and consumer organizations.</t>
  </si>
  <si>
    <t>University of Wisconsin, Degree, Computer Science</t>
  </si>
  <si>
    <t>The company raised $200,000 of seed funding from Bentley Radcliff and other undisclosed investors on an undisclosed date.</t>
  </si>
  <si>
    <t>Bentley Radcliff</t>
  </si>
  <si>
    <t>Cocoa Beach, FL</t>
  </si>
  <si>
    <t>Cocoa Beach</t>
  </si>
  <si>
    <t>www.orbitsedge.com</t>
  </si>
  <si>
    <t>204559-57T</t>
  </si>
  <si>
    <t>Orby AI</t>
  </si>
  <si>
    <t>509282-02</t>
  </si>
  <si>
    <t>New Enterprise Associates(Scott Sandell), Pear (California)(Arash Afrakhteh), Wing Venture Capital(Sara Choi), WndrCo</t>
  </si>
  <si>
    <t>New Enterprise Associates (www.nea.com), Pear (California) (www.pear.vc), Wing Venture Capital (www.wing.vc), WndrCo (www.wndrco.com)</t>
  </si>
  <si>
    <t>Developer of an artificial intelligence-based enterprise platform designed to automate mundane and repetitive tasks. The company's platform observes users' activities, identifies repetitive work steps, and automatically generates code to automate tasks such as finance and accounting processing, ticket resolution for customer support, and inputting lead management data, enabling companies to optimize their business processes.</t>
  </si>
  <si>
    <t>The company joined Plug and Play Tech Center as a part of its Insurtech Batch 16 on April 4, 2024. No equity or funding was exchanged as a result of this program.</t>
  </si>
  <si>
    <t>ai agent, ai automation platform, automation planning, automation platform, data auditing, enterprise resource planning, erp, generative ai, generative ai tools, inventory management system, inventory planning platform, invoice processing service, large language model agent, lead management platform, llm agent, task automation, work automation</t>
  </si>
  <si>
    <t>143057-62P</t>
  </si>
  <si>
    <t>Bella Liu</t>
  </si>
  <si>
    <t>+1 (650) 318-1389</t>
  </si>
  <si>
    <t>bella@orby.ai</t>
  </si>
  <si>
    <t>Ms. Bella Liu is a Co-Founder and serves as Chief Executive Officer &amp; Board Member at Orby.AI. Ms. Bella Liu served as Associate, Corporate Strategy at International Business Machines. Previously she served as MBA Intern at CAPITAL + SAFI S.A. Prior to founding Orby AI, Bella was a Director of Product at UiPath. She led AI products and business development teams at UiPath from the early stage to post IPO. She is experienced with 0 to 1 product building as well as business scaling.</t>
  </si>
  <si>
    <t>Huazhong University of Science and Technology, Bachelor's, 2011, Systems Engineering, Northwestern University (Kellogg), MBA (Master of Business Administration), 2016, Finance &amp; Business Strategy</t>
  </si>
  <si>
    <t>The company raised $4.5 million of seed funding in a deal led by Pear and New Enterprise Associates on August 2, 2022, putting the company's pre-money valuation at $15.5 million. Wing Venture Capital and WndrCo also participated in the round. The funds will be used to further the development of the AI platform and grow the team.</t>
  </si>
  <si>
    <t>New Enterprise Associates, Pear (California), Wing Venture Capital, WndrCo</t>
  </si>
  <si>
    <t>New Enterprise Associates(Scott Sandell), Pear (California)(Arash Afrakhteh)</t>
  </si>
  <si>
    <t>Inventus Law (Legal Advisor to Company)</t>
  </si>
  <si>
    <t>www.orby.ai</t>
  </si>
  <si>
    <t>141122-71T</t>
  </si>
  <si>
    <t>Orum (Financial Software)</t>
  </si>
  <si>
    <t>437963-32</t>
  </si>
  <si>
    <t>Acrew Capital, Bain Capital Ventures, BoxGroup, Charley Ma(Charley Ma), Clocktower Ventures, Homebrew, Inspired Capital (New York), Justin Overdorff(Justin Overdorff), Marc Bhargava(Marc Bhargava), Michael Vaughan(Michael Vaughan), Omri Dahan(Omri Dahan), Roli Saxena, Siddharth Mehta(Siddharth Mehta)</t>
  </si>
  <si>
    <t>Acrew Capital (www.acrewcapital.com), Bain Capital Ventures (www.baincapitalventures.com), BoxGroup (www.boxgroup.com), Clocktower Ventures (www.clocktowerventures.com), Homebrew (www.homebrew.co), Inspired Capital (New York) (www.inspiredcapital.com), Michael Vaughan (michaelvaughan.net)</t>
  </si>
  <si>
    <t>Operator of the financial infrastructure platform intended to facilitate transactions. The company's software leverages its intelligence for predictive funds availability to provide users with the information required to shift to fully automated payments, enabling customers and business enterprises access to real-time payment rails without necessitating a bank integration.</t>
  </si>
  <si>
    <t>SVB Equity Capital sold a stake in the company to an undisclosed buyer.</t>
  </si>
  <si>
    <t>financial services infrastructure, financial system integration, frictionless payment, money transfer app, online money management, online wallets, payment optimization</t>
  </si>
  <si>
    <t>60943-06P</t>
  </si>
  <si>
    <t>Stephany Kirkpatrick</t>
  </si>
  <si>
    <t>stephany@orum.io</t>
  </si>
  <si>
    <t>Ms. Stephany Kirkpatrick is a Co-Founder and serves as Chief Executive Officer at Orum. Ms. Kirkpatrick served as Vice President, Operations and Financial Advice at LearnVest. She is an Angel Investor.</t>
  </si>
  <si>
    <t>Pepperdine University, Degree, 2003, International Management</t>
  </si>
  <si>
    <t>The company raised $5.2 million through the combination of debt, Seed and Seed1 funding in a deal led by Inspired Capital (New York), Homebrew and Acrew Capital on June 18, 2020, putting the company's pre-money valuation at $9.5 million. Michael Vaughan, Bobby Mehta, Omri Dahan, Justin Overdorff, Marc Bhargava, Charley Ma and Roli Saxena also participated in the round. The funds will be used for building a crew, getting ready for the Foresight starting up, and growing its use situations.</t>
  </si>
  <si>
    <t>Acrew Capital, Bain Capital Ventures, BoxGroup, Charley Ma, Clocktower Ventures, Homebrew, Inspired Capital (New York), Justin Overdorff, Marc Bhargava, Michael Vaughan, Omri Dahan, Roli Saxena, Siddharth Mehta</t>
  </si>
  <si>
    <t>Acrew Capital, Bain Capital Ventures, BoxGroup, Clocktower Ventures, Homebrew, Inspired Capital (New York)</t>
  </si>
  <si>
    <t>Acrew Capital Fund(Acrew Capital), Bain Capital Venture Fund 2014(Bain Capital Ventures), BoxGroup Four(BoxGroup), Clocktower Technologies II(Clocktower Ventures), Homebrew Ventures III(Homebrew), Inspired Capital Partners I(Inspired Capital (New York))</t>
  </si>
  <si>
    <t>www.orum.io</t>
  </si>
  <si>
    <t>Other - $1.07M</t>
  </si>
  <si>
    <t>203449-24T</t>
  </si>
  <si>
    <t>Outline</t>
  </si>
  <si>
    <t>506806-93</t>
  </si>
  <si>
    <t>Dorm Room Fund, Expert DOJO, NewSchools Venture Fund, Visible Hands, WGU Labs</t>
  </si>
  <si>
    <t>Dorm Room Fund (www.dormroomfund.com), Expert DOJO (www.expertdojo.com), NewSchools Venture Fund (www.newschools.org), Visible Hands (www.visiblehands.vc), WGU Labs (www.wgulabs.org)</t>
  </si>
  <si>
    <t>Developer of an interactive writing application designed for college and graduate school students. The company's platform allows bridging the gap by structuring essays that help to gain admission to schools and succeed and graduate from institutions of higher education and advance in careers, enabling students to understand how to have better captivating concise writing.</t>
  </si>
  <si>
    <t>The company raised an estimated $100,000 of seed funding from Halcyon Incubator in approximately July 2023.</t>
  </si>
  <si>
    <t>essay editing, essay writing, essay writing software, essay writing tool, interactive writing, writing app, writing tool</t>
  </si>
  <si>
    <t>315532-81P</t>
  </si>
  <si>
    <t>Sydney Montgomery</t>
  </si>
  <si>
    <t>+1 (301) 417-5167</t>
  </si>
  <si>
    <t>sydney@myoutline.com</t>
  </si>
  <si>
    <t>Ms. Sydney Montgomery is the Founder and serves as Chief Executive Officer at Outline-it.</t>
  </si>
  <si>
    <t>The company raised $50,000 of seed funding from Expert DOJO, Dorm Room Fund and NewSchools Venture Fund on August 31, 2022. WGU Labs and Visible Hands also participated in the round.</t>
  </si>
  <si>
    <t>www.myoutline.com</t>
  </si>
  <si>
    <t>249272-47T</t>
  </si>
  <si>
    <t>Pace AI</t>
  </si>
  <si>
    <t>552113-83</t>
  </si>
  <si>
    <t>E14 Fund, GSV Ventures, JFFVentures, Transcend Network</t>
  </si>
  <si>
    <t>E14 Fund (www.e14.vc), GSV Ventures (www.gsv.ventures), JFFVentures (www.jff.org/what-we-do), Transcend Network (www.transcend-network.com)</t>
  </si>
  <si>
    <t>Developer of an AI-native learning platform designed for English language learning. The company's platform transforms content such as workforce training manuals, authentic materials like news articles, and open education resources into personalized, interactive lessons tailored to different student levels' experiences, enabling clients to upload any content with adaptive skills-based exercises, and real-time feedback to improve learner's English language skills in a customized and effective manner.</t>
  </si>
  <si>
    <t>The company raised $2.35 million of seed funding from GSV Ventures, E14 Fund and Transcend Network in May 2024. JFFVentures also participated in the round.</t>
  </si>
  <si>
    <t>content transformation, customized learning, digital learning, english education, language improvement, learning portal, personalized learning</t>
  </si>
  <si>
    <t>347688-28P</t>
  </si>
  <si>
    <t>Victoria Pu</t>
  </si>
  <si>
    <t>+1 (408) 513-4142</t>
  </si>
  <si>
    <t>victoria@paceapp.ai</t>
  </si>
  <si>
    <t>Ms. Victoria Pu is a Co-Founder &amp; serves as Chief Executive Officer at Pace AI. She is a Co-Founder and serves as Chief Executive Officer and Board Member at Linguistic. She previously conducted applied AI/ML research at Microsoft Research and Stanford University and was named a 2020 Rising Star in AI for Social Impact by Harvard University's Center for Research on Computation and Society, for her work on applied Bayesian ML. Built by a team of TEFL-certified English language teachers and AI researchers and engineers, Pace AI spun out of the Allen Institute for AI Research to unlock economic opportunity for the &gt; 40% of adults in continuing and higher education who are learning English for academic and career pathways purposes.</t>
  </si>
  <si>
    <t>GSV Ventures Fund III(GSV Ventures)</t>
  </si>
  <si>
    <t>www.paceapp.ai</t>
  </si>
  <si>
    <t>167644-54T</t>
  </si>
  <si>
    <t>PairTree (Services (B2C Non-Financial))</t>
  </si>
  <si>
    <t>462055-24</t>
  </si>
  <si>
    <t>Female Founders - Grow F, Founder Collective, Graham &amp; Walker, Techstars, Urban Innovation Fund</t>
  </si>
  <si>
    <t>Female Founders - Grow F (www.female-founders.org), Founder Collective (www.foundercollective.com), Graham &amp; Walker (www.grahamwalker.com), Techstars (www.techstars.com), Urban Innovation Fund (www.urbaninnovationfund.com)</t>
  </si>
  <si>
    <t>Developer of a self-matching adoption platform intended to increase and accelerate opportunities for adopting families and expectant moms. The company's platform offers a low-cost, fraud-free, fast, and simple adoption process with accurate and detailed information, enabling parents to gain confidence and control in their adoption with a simplified process.</t>
  </si>
  <si>
    <t>The company raised $650,000 of venture funding in the form of SAFE Notes from Urban Innovation Fund, Watershed Collective, Trust Ventures, and Cubit Capital on April 1, 2024. The funds will be used by the company to fuel expansion. Stephen Hays also participated in this round.</t>
  </si>
  <si>
    <t>adoption management, adoption platform, adoption service, adoption services, children adoption, enablement platform</t>
  </si>
  <si>
    <t>255033-19P</t>
  </si>
  <si>
    <t>Erin Quick</t>
  </si>
  <si>
    <t>+1 (206) 437-6782</t>
  </si>
  <si>
    <t>erin@pairtreefamily.com</t>
  </si>
  <si>
    <t>Ms. Erin Quick is a Co-Founder and serves as Chief Executive Officer &amp; Board Member at PairTree. She also Co-Founded a Seattle-based brand marketing firm.</t>
  </si>
  <si>
    <t>The company raised $2.25 million through a combination of Seed1 and Seed2 funding in a deal led by Urban Innovation Fund on June 23, 2021, putting the company's pre-money valuation at $5 million. Founder Collective, Female Founders Alliance, Female Founders Accelerator and Techstars also participated in the round. The funds will be used to improve the platform, create an app, and establish partnerships with reproductive clinics and healthcare organizations.</t>
  </si>
  <si>
    <t>Female Founders - Grow F, Founder Collective, Graham &amp; Walker, Urban Innovation Fund</t>
  </si>
  <si>
    <t>Founder Collective IV(Founder Collective), Urban Innovation Fund II(Urban Innovation Fund)</t>
  </si>
  <si>
    <t>Bainbridge Island, WA</t>
  </si>
  <si>
    <t>Bainbridge Island</t>
  </si>
  <si>
    <t>98110</t>
  </si>
  <si>
    <t>www.pairtreefamily.com</t>
  </si>
  <si>
    <t>194225-14T</t>
  </si>
  <si>
    <t>PairUp</t>
  </si>
  <si>
    <t>496385-47</t>
  </si>
  <si>
    <t>Graham &amp; Walker, HearstLab, Hillsven, Honey Stone VC, Lofty Ventures, Looking Glass Capital, Marin Sonoma Impact Ventures</t>
  </si>
  <si>
    <t>Graham &amp; Walker (www.grahamwalker.com), HearstLab (www.hearstlab.com), Honey Stone VC (www.honeystonevc.com), Lofty Ventures (www.loftyventures.com), Looking Glass Capital (lookingglass.vc), Marin Sonoma Impact Ventures (www.msivfund.com)</t>
  </si>
  <si>
    <t>Developer of a mentorship application intended to help clients facilitate growth conversations and learnings between mentor pairs and pods within their organizations. The company offers a research-backed mentorship pairing and onboarding process, a growth dashboard as well as learning statistics to help track progress and learning, enabling corporates, educational institutions, healthcare organizations, and non-profit organizations to foster mentorship and belonging within their communities.</t>
  </si>
  <si>
    <t>The company raised $2.8 million of seed funding in a deal led by Hillsven and HearstLab on July 17, 2024. Lofty Ventures, Honey Stone VC, Looking Glass Capital, Graham &amp; Walker, Marin Sonoma Impact Ventures and Garage Incubator also participated in the round.</t>
  </si>
  <si>
    <t>Business/Productivity Software*, Communication Software, Media and Information Services (B2B)</t>
  </si>
  <si>
    <t>connectivity data, management application, mentorship program, software development, technology building, technology-based company</t>
  </si>
  <si>
    <t>301619-71P</t>
  </si>
  <si>
    <t>Emily Harburg</t>
  </si>
  <si>
    <t>+1 (708) 680-2461</t>
  </si>
  <si>
    <t>emily@pairupapp.com</t>
  </si>
  <si>
    <t>Ms. Emily Harburg is a Co-Founder and serves as Chief Executive Officer and Board Member at PairUp.</t>
  </si>
  <si>
    <t>Harvard University, BA (Bachelor of Arts), 2011, Social Psychology and Anthropology, Northwestern University, Ph.D. (Doctor of Philosophy), 2018, Philosophy</t>
  </si>
  <si>
    <t>The company raised $2.8 million of seed funding in a deal led by Hillsven and HearstLab on July 17, 2024. Lofty Ventures, Honey Stone VC, Looking Glass Capital, Graham &amp; Walker, and Marin Sonoma Impact Ventures also participated in the round.</t>
  </si>
  <si>
    <t>HearstLab, Hillsven</t>
  </si>
  <si>
    <t>Female Founders Alliance Fund(Graham &amp; Walker), Looking Glass Capital Fund I(Looking Glass Capital), Marin Sonoma Impact Ventures Fund I(Marin Sonoma Impact Ventures)</t>
  </si>
  <si>
    <t>60643</t>
  </si>
  <si>
    <t>www.pairupapp.com</t>
  </si>
  <si>
    <t>214434-19T</t>
  </si>
  <si>
    <t>Paiv</t>
  </si>
  <si>
    <t>501816-61</t>
  </si>
  <si>
    <t>Hannah Grey Ventures, JCG Capital(Jeffrey Gerdes), Jeffrey Gerdes(Jeffrey Gerdes), K5 Global, New Stack Ventures(Nick Moran), Pipeline Capital Partners, Rocky Woods Investments, Tenzing Capital</t>
  </si>
  <si>
    <t>Hannah Grey Ventures (www.hannahgrey.com), JCG Capital (jcgcapital.llc), K5 Global (www.k5global.com), New Stack Ventures (www.newstack.com), Pipeline Capital Partners (www.pipeline.vc), Tenzing Capital (www.tenzing.vc)</t>
  </si>
  <si>
    <t>Developer of a business intelligence and gamification platform designed to maximize performance. The company integrates with multiple existing customer relationship management and human resources systems to help sales managers pinpoint the optimal time, product, and salesperson to run spiffs with, enabling companies to increase the productivity of the sales team and increase revenue considerably.</t>
  </si>
  <si>
    <t>The company raised $2.25 million of venture funding in the form of convertable debts from Tenzing Capital, K5 Global and I2BF Global Ventures on April 1, 2024. m]x[v Capital and Superangel also participated in the round.</t>
  </si>
  <si>
    <t>leaderboard for utility, sales cycle management, sales effectiveness, sales growth, sales incentive program, sales incentive solutions, sales team management</t>
  </si>
  <si>
    <t>309660-04P</t>
  </si>
  <si>
    <t>David Brown</t>
  </si>
  <si>
    <t>david@gogamify.com</t>
  </si>
  <si>
    <t>Mr. David Brown is a Co-Founder and serves as Chief Technology Officer at Gamify. He serves as Chief Technology Officer at paiv.</t>
  </si>
  <si>
    <t>The company raised $2.58 million through a combination of debt and pre-seed funding in a deal led by New Stack Ventures on March 23, 2023, putting the company's pre-money valuation at $6.26 million. Rocky Woods Investments, JCG Capital, Pipeline Capital Partners, Hannah Grey Ventures, Tenzing Capital, K5 Global, and Jeffrey Gerdes also participated in the round.</t>
  </si>
  <si>
    <t>Hannah Grey Ventures, JCG Capital, Jeffrey Gerdes, K5 Global, New Stack Ventures, Pipeline Capital Partners, Rocky Woods Investments, Tenzing Capital</t>
  </si>
  <si>
    <t>New Stack Ventures(Nick Moran)</t>
  </si>
  <si>
    <t>New Stack II(New Stack Ventures), Tenzing Capital Ventures(Tenzing Capital)</t>
  </si>
  <si>
    <t>Lehi, UT</t>
  </si>
  <si>
    <t>Lehi</t>
  </si>
  <si>
    <t>84043</t>
  </si>
  <si>
    <t>www.paiv.ai</t>
  </si>
  <si>
    <t>Other - $0.26M</t>
  </si>
  <si>
    <t>191668-24T</t>
  </si>
  <si>
    <t>Pando (Business/Productivity Software)</t>
  </si>
  <si>
    <t>494297-47</t>
  </si>
  <si>
    <t>Correlation Ventures, Global Founders Capital, Lerer Hippeau, Supernode Ventures</t>
  </si>
  <si>
    <t>Correlation Ventures (www.correlationvc.com), Global Founders Capital (www.globalfounderscapital.com), Lerer Hippeau (www.lererhippeau.com), Supernode Ventures (www.supernode.vc)</t>
  </si>
  <si>
    <t>Developer of an employee progression tool designed for real-time visualization of level, career trajectory and progress. The company's platform allows making career progression, promotions, performance, manager feedback and achievements fair, transparent and accessible to everyone, enabling employers to get visibility to career paths and rate bands, enhancing retention and profitability.</t>
  </si>
  <si>
    <t>The company raised angel funding from Andrew Wilkinson. on an undisclosed date.</t>
  </si>
  <si>
    <t>career development, career progression, employee development, employee management tool, employee progression, enterprise resource planning, erp, human capital management, performance management</t>
  </si>
  <si>
    <t>188607-97P</t>
  </si>
  <si>
    <t>Barbra Gago</t>
  </si>
  <si>
    <t>barbra@pando.com</t>
  </si>
  <si>
    <t>Ms. Barbra Gago is the Founder and serves as Chief Executive Officer at Pando. She served as Chief Marketing Officer at RealtimeBoard. She served as Chief Marketing Officer at Miro, and brought Greenhouse and Culture Amp to market as first Vice President of Marketing.</t>
  </si>
  <si>
    <t>The company raised $5 million of pre-seed funding in a deal led by Lerer Hippeau and Global Founders Capital on December 15, 2021, putting the company's pre-money valuation at $25 million. Supernode Ventures and Correlation Ventures also participated in the round.</t>
  </si>
  <si>
    <t>Global Founders Capital, Lerer Hippeau</t>
  </si>
  <si>
    <t>Supernode Ventures I(Supernode Ventures)</t>
  </si>
  <si>
    <t>Venturous Counsel (Legal Advisor to Company, Aravinda Seshadri JD)</t>
  </si>
  <si>
    <t>92673</t>
  </si>
  <si>
    <t>www.pando.com</t>
  </si>
  <si>
    <t>212094-01T</t>
  </si>
  <si>
    <t>Papaya Tutor</t>
  </si>
  <si>
    <t>517642-48</t>
  </si>
  <si>
    <t>Chingona Ventures, Collide Capital, Ganas Ventures, Parade Ventures, Sidecut Ventures</t>
  </si>
  <si>
    <t>Chingona Ventures (chingona.ventures), Collide Capital (www.collidecap.com), Ganas Ventures (www.ganas.vc), Parade Ventures (www.parade.vc), Sidecut Ventures (www.sidecut.vc)</t>
  </si>
  <si>
    <t>Operator of a peer-to-peer learning platform intended to provide STEM tutoring. The company's platform provides handpicked tutors with one-to-one coaching sessions which can be scheduled and personalized according to subjects to understand hard concepts from elementary to college level, enabling students to simplify complex STEM curriculum.</t>
  </si>
  <si>
    <t>The company raised an estimated $2.25 million of seed funding from Chingona Ventures, Ganas Ventures, and Parade Ventures on December 19, 2022, putting the company's pre-money valuation at $4 million. Collide Capital, Sidecut Ventures, and other undisclosed investors also participated in the round.</t>
  </si>
  <si>
    <t>coaching session, curriculum tools, learning plans, learning platform, stem subjects, stem tutoring, tutoring search</t>
  </si>
  <si>
    <t>330107-32P</t>
  </si>
  <si>
    <t>Sandra LaPlante</t>
  </si>
  <si>
    <t>+1 (310) 948-0175</t>
  </si>
  <si>
    <t>sandra@papayatutor.com</t>
  </si>
  <si>
    <t>Ms. Sandra LaPlante is a Co-Founder and serves as Chief Executive Officer at Papaya Tutor.</t>
  </si>
  <si>
    <t>Plantation, FL</t>
  </si>
  <si>
    <t>Plantation</t>
  </si>
  <si>
    <t>33322</t>
  </si>
  <si>
    <t>www.papayatutor.com</t>
  </si>
  <si>
    <t>256537-18T</t>
  </si>
  <si>
    <t>Paradigm (Business/Productivity Software)</t>
  </si>
  <si>
    <t>551392-75</t>
  </si>
  <si>
    <t>Arash Ferdowsi(Arash Ferdowsi), Eoghan McCabe(Eoghan McCabe), Failup Ventures, Harrison Chase(Harrison Chase), Jordan Singer, Pioneer Fund, Ripple Impact Investments, Senesi Ventures(Basile Senesi), Soma Capital, Y Combinator</t>
  </si>
  <si>
    <t>Failup Ventures (www.failup.com), Pioneer Fund (www.pioneerfund.vc), Ripple Impact Investments (www.rippleimpactinvestments.com), Senesi Ventures (www.senesiventures.com), Soma Capital (somacap.com), Y Combinator (www.ycombinator.com)</t>
  </si>
  <si>
    <t>Developer of a tool-driven autonomous platform designed to automate time-consuming repetitive workflows. The company's platform integrates with existing tools and workflows to automate repetitive tasks in sales, recruiting, data, and operations, enabling users to understand what they do, it selects the right tools for each task and performs them autonomously.</t>
  </si>
  <si>
    <t>The company raised $2 million of seed funding from Senesi Ventures, Soma Capital and Pioneer Fund on March 24, 2024. Failup Ventures, Y Combinator, Arash Ferdowsi, Harrison Chase, Eoghan McCabe, Jordan Singer and Ripple Impact Investments also participated in the round.</t>
  </si>
  <si>
    <t>autonomous platform, task automation tools, workflow automation, workflow automation tools, workflow management platform, workflow management tool</t>
  </si>
  <si>
    <t>379903-06P</t>
  </si>
  <si>
    <t>Anna Monaco</t>
  </si>
  <si>
    <t>anna@tryparadigm.ai</t>
  </si>
  <si>
    <t>Ms. Anna Monaco is a Co-Founder &amp; serves as Chief Executive Officer at Paradigm. Penn CS &amp; Entrepreneurship</t>
  </si>
  <si>
    <t>Arash Ferdowsi, Eoghan McCabe, Failup Ventures, Harrison Chase, Jordan Singer, Pioneer Fund, Ripple Impact Investments, Senesi Ventures, Soma Capital</t>
  </si>
  <si>
    <t>Pioneer Fund III(Pioneer Fund)</t>
  </si>
  <si>
    <t>paradigmai.com</t>
  </si>
  <si>
    <t>168923-80T</t>
  </si>
  <si>
    <t>Parallel (Educational and Training Services)</t>
  </si>
  <si>
    <t>462944-98</t>
  </si>
  <si>
    <t>Animal Capital, Global Founders Capital(Donald Stalter), Great Oaks Venture Capital, Pareto Holdings, Vine One Ventures</t>
  </si>
  <si>
    <t>Animal Capital (www.animalcapital.com), Global Founders Capital (www.globalfounderscapital.com), Great Oaks Venture Capital (www.greatoaksvc.com), Pareto Holdings (www.pareto20.com), Vine One Ventures (www.vineventures.com)</t>
  </si>
  <si>
    <t>Operator of a learning assessment platform intended to diagnose and empower students with learning disabilities. The company specializes in virtual neurodevelopmental assessments and support services for conditions such as dyslexia, dysgraphia, dyscalculia, and executive dysfunction while providing the resources and encouragement to succeed in the classroom, enabling students to get to the root of their problems and build confidence.</t>
  </si>
  <si>
    <t>The company raised an undisclosed amount of Series A Plus venture funding in a deal led by Rethink Impact on January 9, 2024.</t>
  </si>
  <si>
    <t>Clinics/Outpatient Services, Educational and Training Services (B2C)*, Educational Software</t>
  </si>
  <si>
    <t>child health program, diagnostics healthcare services, digital health, learning differences, learning solutions, learning solutions platform, mental health, psychological assessment, special education, speech therapy, student support service</t>
  </si>
  <si>
    <t>257341-06P</t>
  </si>
  <si>
    <t>Diana Heldfond</t>
  </si>
  <si>
    <t>+1 (914) 377-5655</t>
  </si>
  <si>
    <t>diana@parallellearning.com</t>
  </si>
  <si>
    <t>Ms. Diana Heldfond is the Founder and serves as Chief Executive Officer at Parallel Learning.</t>
  </si>
  <si>
    <t>Georgetown University, BS (Bachelor of Science), 2018, International Affairs, Business</t>
  </si>
  <si>
    <t>The company raised $3 million through a combination of debt and seed venture funding in a deal led by Vine Capital Management on March 19, 2021, putting the company's pre-money valuation at $18 million. Great Oaks Venture Capital, Animal Capital, Global Founders Capital undefined Pareto Holdings and other undisclosed investors also participated in the round.</t>
  </si>
  <si>
    <t>Animal Capital, Global Founders Capital, Great Oaks Venture Capital, Pareto Holdings, Vine One Ventures</t>
  </si>
  <si>
    <t>Vine One Ventures</t>
  </si>
  <si>
    <t>Animal Capital Fund I(Animal Capital), Three Oaks Venture Fund(Great Oaks Venture Capital), Vine Ventures I(Vine One Ventures)</t>
  </si>
  <si>
    <t>DLA Piper (Legal Advisor to Vine One Ventures, Imri Eisner JD)</t>
  </si>
  <si>
    <t>www.parallellearning.com</t>
  </si>
  <si>
    <t>170759-62T</t>
  </si>
  <si>
    <t>Pareto ( Business/Productivity Software)</t>
  </si>
  <si>
    <t>437184-01</t>
  </si>
  <si>
    <t>Charles Naut(Charles Naut), Corey Nobile(Corey Nobile), David Breger(David Breger), Foothill Ventures, Jad Esber(Jad Esber), Joshua Browder(Joshua Browder), Matt Pru(Matt Pru), Nikhil Dixit(Nikhil Dixit), StartX (US), Susan Kimberlin(Susan Kimberlin)</t>
  </si>
  <si>
    <t>Foothill Ventures (www.foothill.ventures), StartX (US) (web.startx.com)</t>
  </si>
  <si>
    <t>Developer of data labeling platform intended to serve as the bridge between artificial intelligence companies and a network of highly skilled data workers. The platform offers services tailored to meet the needs of clients, from same-day experimental data to fully-managed teams, empowering talented and diverse professionals worldwide to contribute to AI training, enabling clients to benefit from the flexibility to refine and optimize every aspect of their AI/LLM (large language models) models.</t>
  </si>
  <si>
    <t>The company raised $4.5 million of seed funding in a deal led by MaC Venture Capital on October 21, 2021. SoGal Ventures and 10 other investors also participated in the round. The funds will be used to establish our engineering and promoting groups to refine its item-industry health.</t>
  </si>
  <si>
    <t>assistant software, business management system, data labeling for ai, generative ai, outsourcing software, task management system, virtual networking</t>
  </si>
  <si>
    <t>235595-08P</t>
  </si>
  <si>
    <t>Phoebe Yao</t>
  </si>
  <si>
    <t>phoebe@pareto.ai</t>
  </si>
  <si>
    <t>Ms. Phoebe Yao is the Founder and serves as Chief Executive Officer at Pareto. She is a Chinese-American immigrant, Stanford dropout, and 2020 Thiel Fellow. She's passionate about democratizing access to meaningful work. Phoebe founded Pareto after spending a gap year researching human-computer interaction at Oxford and building tech for emerging markets at Microsoft Research India.</t>
  </si>
  <si>
    <t>The company raised $600,000 of seed funding from Foothill Ventures and StartX in 2020. 8 other individual investors also participated in the round.</t>
  </si>
  <si>
    <t>Charles Naut, Corey Nobile, David Breger, Foothill Ventures, Jad Esber, Joshua Browder, Matt Pru, Nikhil Dixit, StartX (US), Susan Kimberlin</t>
  </si>
  <si>
    <t>Tsingyuan Ventures Fund I(Foothill Ventures)</t>
  </si>
  <si>
    <t>pareto.ai</t>
  </si>
  <si>
    <t>258897-88T</t>
  </si>
  <si>
    <t>Pario Health</t>
  </si>
  <si>
    <t>542211-76</t>
  </si>
  <si>
    <t>Failup Ventures, Fractal Software</t>
  </si>
  <si>
    <t>Failup Ventures (www.failup.com), Fractal Software (www.fractalsoftware.com)</t>
  </si>
  <si>
    <t>Developer of a healthcare practice management platform designed to make patient-centric care for independent women's health practitioners. The company's platform streamlines clinical charting, patient intake, lab work, and referrals with an intuitive design, and offers automated appointment reminders, digital patient intake forms, and secure document handling, enabling healthcare providers to manage patient medical records and automate clinical workflows.</t>
  </si>
  <si>
    <t>The company raised $4 million of venture funding from Failup Ventures, Fractal Software and other undisclosed investors on October 21, 2024.</t>
  </si>
  <si>
    <t>Automation/Workflow Software, Enterprise Systems (Healthcare)*</t>
  </si>
  <si>
    <t>clinical charting, clinical workflow, electronic medical record, emr technology, health care management, healthcare practice management, hipaa compliance, medical records</t>
  </si>
  <si>
    <t>396456-67P</t>
  </si>
  <si>
    <t>Maggie Diehl</t>
  </si>
  <si>
    <t>+1 (914) 505-6764</t>
  </si>
  <si>
    <t>maggie@pariohealth.com</t>
  </si>
  <si>
    <t>Ms. Maggie Diehl is a Co-Founder &amp; serves as a Chief Executive Officer and Board Member at Pario Health.</t>
  </si>
  <si>
    <t>www.pariohealth.com</t>
  </si>
  <si>
    <t>186689-62T</t>
  </si>
  <si>
    <t>Passero (Application Software)</t>
  </si>
  <si>
    <t>490129-21</t>
  </si>
  <si>
    <t>Outlander VC, Reform Ventures</t>
  </si>
  <si>
    <t>Outlander VC (www.outlander.vc), Reform Ventures (www.reformventures.com)</t>
  </si>
  <si>
    <t>Developer of travel planning software designed to help travelers plan and execute their journeys. The company's tool provides travel Itineraries for different locations with travel guides and planning support, enabling tourists to plan their foreign journies without any hustle with detailed information of the financial and geographical details of that particular location.</t>
  </si>
  <si>
    <t>The company raised $100,000 of pre-seed funding from Reform Ventures and Outlander Management on January 11, 2022.</t>
  </si>
  <si>
    <t>itinerary planner, planning support, support services, tourist guide, travel application, travel itineraries, travel planner, travel planner app</t>
  </si>
  <si>
    <t>288205-12P</t>
  </si>
  <si>
    <t>Jennifer Hong</t>
  </si>
  <si>
    <t>+1 (659) 428-1770</t>
  </si>
  <si>
    <t>jen@travelpassero.com</t>
  </si>
  <si>
    <t>Ms. Jennifer Hong is a Co-Founder and serves as President and Chief Executive Officer at Passero. She is a GTM and CX specialist with over 9 years of strategy experience across financial services, fintech, health tech, and consumer tech (Uber). She has helped enterprises and startups launch new products and scale their operations efficiently. Combined with her nonprofit leadership experience, she is well-versed in growth hacking, branding, and operational discipline.</t>
  </si>
  <si>
    <t>Outlander 2 Edison(Outlander VC)</t>
  </si>
  <si>
    <t>www.travelpassero.com</t>
  </si>
  <si>
    <t>204826-06T</t>
  </si>
  <si>
    <t>Passes</t>
  </si>
  <si>
    <t>509403-70</t>
  </si>
  <si>
    <t>11:11 Media, 305 Ventures, Anti Fund(Jake Paul), Craft Ventures, Digital (US), Florida Funders, Gradient Ventures(Wen-Wen Lam), Kevin Hartz(Kevin Hartz), Menlo Ventures, Multicoin Capital(Kyle Samani), Outlander VC, Ryan Wilson(Ryan Wilson), Soma Capital</t>
  </si>
  <si>
    <t>11:11 Media (www.parishilton.com), 305 Ventures (www.305.ventures), Anti Fund (www.antifund.com), Craft Ventures (www.craftventures.com), Digital (US) (www.digital.xyz), Florida Funders (www.floridafunders.com), Gradient Ventures (www.gradient.com), Menlo Ventures (www.menlovc.com), Multicoin Capital (www.multicoin.capital), Outlander VC (www.outlander.vc), Soma Capital (somacap.com)</t>
  </si>
  <si>
    <t>Developer of a content creation platform designed to enhance the creator experience and increase their revenue. The company's platform helps content creators to scale engagement with instantaneous text message notifications and interact with their fans in real-time, enabling users and content creators to earn through their content.</t>
  </si>
  <si>
    <t>The company raised $17.57 million of venture funding from undisclosed investors on May 9, 2024. Previously, the company raised $40 million of Series A venture funding in a deal led by BOND Capital on February 28, 2024, putting the company's pre-money valuation at $90 million. Crossbeam Venture Partners, CapitalX, Abstract Ventures, Ramtin Naimi, Michael Ovitz, Emma Grede, Jens Grede, K5 Global and Alexandra Botez also participated in the round. The funds will be used to expand the Passes team.</t>
  </si>
  <si>
    <t>Business/Productivity Software, Entertainment Software, Financial Software, Media and Information Services (B2B)*</t>
  </si>
  <si>
    <t>community, creators, crypto content and social, ecommerce personalization, entrepreneurship, live stream, marketplace, subscription platform, web4</t>
  </si>
  <si>
    <t>141083-02P</t>
  </si>
  <si>
    <t>lucy@backendcapital.com</t>
  </si>
  <si>
    <t>Ms. Lucy Guo is a Founder and serves as Chief Executive Officer and President at Passes. She is a Co-Founder and serves as Director and General Partner at Backend Capital. Ms. Lucy Guo serves as an Advisor at AppOnboard. She is an angel investor. She co-founded Scale AI. She is also a Co-Founder of RemoTasks. She served as the Product Designer at Snapchat.</t>
  </si>
  <si>
    <t>Carnegie Mellon University, Degree, 2014, Computer Science &amp; Human-Computer Intera</t>
  </si>
  <si>
    <t>The company raised $8.97 million through a combination of Series A venture funding in a deal led by Multicoin Capital on September 23, 2022, putting the company's pre-money valuation at $31.03 million. 11:11 Media, Florida Funders, Anti Fund, Craft Ventures, Gradient Ventures, 305 Ventures, Soma Capital, Outlander VC, Menlo Ventures, Ryan Wilson, Kevin Hartz, and Digital (US) also participated in the round. The funds will be used for product development, talent acquisition, and growth of the number of platform users. The funding was initially raised in the form of SAFE notes which subsequently got converted to equity.</t>
  </si>
  <si>
    <t>11:11 Media, 305 Ventures, Anti Fund, Craft Ventures, Digital (US), Florida Funders, Gradient Ventures, Kevin Hartz, Menlo Ventures, Multicoin Capital, Outlander VC, Ryan Wilson, Soma Capital</t>
  </si>
  <si>
    <t>Multicoin Capital(Kyle Samani)</t>
  </si>
  <si>
    <t>Florida Funders Fund 2(Florida Funders), Outlander 2 Edison(Outlander VC)</t>
  </si>
  <si>
    <t>Gunderson Dettmer (Legal Advisor to Multicoin Capital)</t>
  </si>
  <si>
    <t>www.passes.com</t>
  </si>
  <si>
    <t>173020-87T</t>
  </si>
  <si>
    <t>PathMatch</t>
  </si>
  <si>
    <t>466792-84</t>
  </si>
  <si>
    <t>Capital7, Everywhere Ventures, FullCircle (New York), Hypothesis Studio, Immeasurable, Impact Assets, KohFounders, M13(Anna Barber), MJR Ventures, Precursor Ventures(Charles Hudson), Stout Street Capital, Zeal Capital Partners(Nasir Qadree)</t>
  </si>
  <si>
    <t>Capital7 (www.capital7.com), Everywhere Ventures (everywhere.vc), FullCircle (New York) (www.fullcirclefund.io), Hypothesis Studio (www.hypothesis.studio), Immeasurable (www.immeasurable.com), Impact Assets (www.impactassets.org), KohFounders (www.kohfounders.com), M13 (www.m13.co), MJR Ventures (www.mjrventure.com), Precursor Ventures (precursorvc.com), Stout Street Capital (www.stoutstreetcapital.com), Zeal Capital Partners (www.zealvc.co)</t>
  </si>
  <si>
    <t>Developer of a data-driven career matching platform designed to help students navigate their career paths. The company's platform helps Gen Z connect with modern careers, and employers for internships and jobs, enabling college students to find their passion, kick-start their careers, and get hired by companies.</t>
  </si>
  <si>
    <t>The company raised $1.8 million of seed funding from Capital7, Precursor Ventures, and Stout Street Capital on March 2, 2023, putting the company's pre-money valuation at $8.2 million. Everywhere Ventures and 8 other investors also participated in the round.</t>
  </si>
  <si>
    <t>Educational and Training Services (B2C), Educational Software*, Human Capital Services, Information Services (B2C)</t>
  </si>
  <si>
    <t>EdTech, HR Tech, Industrials, Mobile</t>
  </si>
  <si>
    <t>career matching platform, careers community, early career professional, industry experts assistance, recruiting algorithm, recruiting platform</t>
  </si>
  <si>
    <t>199951-93P</t>
  </si>
  <si>
    <t>Nancy Soni</t>
  </si>
  <si>
    <t>Ms. Nancy Soni served as a Talent Partner at Hypothesis Studio. She co-founded and served as Chief Executive Officer at PathMatch. Ms. Soni serves as a Talent Partner at Hypothesis Ventures. At Hypothesis Ventures Ms. Soni focuses on helping companies across the portfolio build out talent strategy; helping companies identify the right people for their teams at the right time. Ms. Soni believes that a large part of a startup's success is based on its ability to hire, retain, and engage the best people. Prior to joining Hypothesis Ventures, Ms. Soni founded FILD, a recruiting firm that assists venture-backed startups across the country in scaling engineering, product, sales, marketing, and operations teams. FILD has grown to become one of the top recruiting resources for startups across the US. Before founding FILD, Ms. Soni was Director of Recruiting at CyberCoders where she scaled the Los Angeles office from 0 to 60 recruiters in 4 years. Ms. Soni has spent the past 18 years building teams for some of the most influential companies around the country. Ms. Soni holds a BA in Psychology and Music from Emory University.</t>
  </si>
  <si>
    <t>Emory University, BA (Bachelor of Arts), Psychology and Music</t>
  </si>
  <si>
    <t>The company raised $1.8 million of seed funding from Capital7, Precursor Ventures, and Stout Street Capital on March 2, 2023, putting the company's pre-money valuation at $8.2 million. Everywhere Ventures, Hypothesis Studio, M13, Zeal Capital Partners, FullCircle, MJR Ventures, KohFounders, ImpactAssets, and Immeasurable also participated in the round.</t>
  </si>
  <si>
    <t>Capital7, Everywhere Ventures, FullCircle (New York), Hypothesis Studio, Immeasurable, Impact Assets, KohFounders, M13, MJR Ventures, Precursor Ventures, Stout Street Capital, Zeal Capital Partners</t>
  </si>
  <si>
    <t>FullCircle(FullCircle (New York)), Hypothesis Studio I(Hypothesis Studio), M13 Ventures III(M13), Precursor Ventures III(Precursor Ventures), Stout Street Capital Fund III(Stout Street Capital), Zeal Fund I(Zeal Capital Partners)</t>
  </si>
  <si>
    <t>Manhattan Beach, CA</t>
  </si>
  <si>
    <t>Manhattan Beach</t>
  </si>
  <si>
    <t>90266</t>
  </si>
  <si>
    <t>www.pathmatch.com</t>
  </si>
  <si>
    <t>213616-72T</t>
  </si>
  <si>
    <t>Pattern (Financial Services)</t>
  </si>
  <si>
    <t>494433-82</t>
  </si>
  <si>
    <t>10X Capital, 25madison, Alumni Ventures, Awesome Ventures, Gaingels, Hudson River Trading, Hypothesis Studio, KohFounders, Litquidity Capital, Riverside Ventures, UpHonest Capital</t>
  </si>
  <si>
    <t>10X Capital (www.10xcapital.com), 25madison (www.25madison.com), Alumni Ventures (www.av.vc), Awesome Ventures (www.awesome-ventures.vc), Gaingels (www.gaingels.com), Hudson River Trading (www.hudsonrivertrading.com), Hypothesis Studio (www.hypothesis.studio), KohFounders (www.kohfounders.com), Litquidity Capital (www.litquidity.co), Riverside Ventures (www.riversideventures.com), UpHonest Capital (www.uphonestcapital.com)</t>
  </si>
  <si>
    <t>Developer of financial software designed to manage customers' money. The company's software provides financial plans, asset management, and access to private equity and other financial services and manages wealth by maximizing the value of the assets held while maintaining a level of risk, enabling users to earn higher than earlier traditional methods and achieve their financial goals and grow their wealth.</t>
  </si>
  <si>
    <t>The company was in talks to receive venture funding on an undisclosed date. Subsequently, the deal was cancelled. Previously, the company raised $135,800 of equity crowdfunding in the form of SAFE notes via Republic on July 22, 2022, putting the company's pre-money valuation at $18.5 million. Venture investors including Uphonest Capital, Gaingels, KohFounderss and Superscout also participated in this round.</t>
  </si>
  <si>
    <t>FinTech, Robotics and Drones</t>
  </si>
  <si>
    <t>alternative asset, financial advisory app, financial advisory planning, financial advisory platform, financial advisory software, financial experts, financial partners, financial tool, stock options, tax optimization</t>
  </si>
  <si>
    <t>297158-59P</t>
  </si>
  <si>
    <t>Christian Maynard-Philipp</t>
  </si>
  <si>
    <t>+1 (503) 201-1375</t>
  </si>
  <si>
    <t>christian@patternfi.com</t>
  </si>
  <si>
    <t>Ms. Christian Maynard-Philipp is the Founder and serves as Chief Executive Officer at Pattern. She previously served as the COO and CCO for two companies that were acquired by Acorns and Square/Block respectively and most recently helped launch and scale Cash App Investing, as the CCO.</t>
  </si>
  <si>
    <t>The company raised $2 million of pre-seed funding from Hudson River Trading, Alumni Ventures and Litquidity Capital on March 1, 2022. Hypothesis Studio, 10X Capital, A-Level Capital, UpHonest Capital, Gaingels, Riverside Ventures,Awesome Ventures, KohFounders and 25madison also participated in the round. Of the total amount, $50,000 was raised in the form of SAFE notes.</t>
  </si>
  <si>
    <t>97201</t>
  </si>
  <si>
    <t>www.patternfi.com</t>
  </si>
  <si>
    <t>188743-78T</t>
  </si>
  <si>
    <t>Pav*r</t>
  </si>
  <si>
    <t>465503-32</t>
  </si>
  <si>
    <t>Digital Wellness Technology, ICBM Venture Capital, Keyhorse Capital, Meridian Capital Group (Charlotte), Render Capital</t>
  </si>
  <si>
    <t>Digital Wellness Technology (www.digitalwellnesstechnology.com), ICBM Venture Capital (www.icbm.co), Keyhorse Capital (www.keyhorse.vc), Render Capital (www.render.capital)</t>
  </si>
  <si>
    <t>Developer of a web-based application intended to create a way for small businesses to leverage valuable data to grow and scale their business. The company's application helps to categorize events, organize time, export calendar, including categories and labels, to an online sheet, and visualize time with reports, enabling companies to manage important event details in one place without leaving their online calendars.</t>
  </si>
  <si>
    <t>The company raised $40,000 of venture funding in the form of convertible debt from undisclosed investors on August 1, 2022.</t>
  </si>
  <si>
    <t>calendar app, calendar data, custom report, event planner app, organizer platform, timesheets management</t>
  </si>
  <si>
    <t>260918-47P</t>
  </si>
  <si>
    <t>Jessica Bledsoe</t>
  </si>
  <si>
    <t>+1 (510) 698-2462</t>
  </si>
  <si>
    <t>jessica@getpavr.com</t>
  </si>
  <si>
    <t>Ms. Jessica Bledsoe is a Co-Founder and serves as Chief Executive Officer and at Pavr.</t>
  </si>
  <si>
    <t>The company raised $30,000 of venture funding from Render Capital, Digital Wellness Technology and ICBM on October 27, 2020. Meridian Capital Group and Keyhorse Capital (KSTC) also participated in the round.</t>
  </si>
  <si>
    <t>40204</t>
  </si>
  <si>
    <t>www.getpavr.com</t>
  </si>
  <si>
    <t>159767-83T</t>
  </si>
  <si>
    <t>Pawlytics</t>
  </si>
  <si>
    <t>264345-49</t>
  </si>
  <si>
    <t>Invest Nebraska, NMotion</t>
  </si>
  <si>
    <t>Invest Nebraska (www.investnebraska.com), NMotion (www.nmotion.co)</t>
  </si>
  <si>
    <t>Developer of electronic health records system designed to reduce busywork for foster-based pet rescues. The company's system focuses on animal shelters and rescues to be more efficient, data-driven, and collaborative, enabling small animal shelters and pet rescue organizations to save more lives.</t>
  </si>
  <si>
    <t>The company raised $500,000 of seed funding from Innovatemap, Proven Ventures and Invest Nebraska on March 17, 2021. CEAS Investments I and other undisclosed investors also participated in the round. The funds will be used to expand the company's software for use at larger organizations, including adding a feature that will create electronic health records for animals using aggregation of information from microchips.</t>
  </si>
  <si>
    <t>HealthTech, Pet Technology, TMT</t>
  </si>
  <si>
    <t>animal care, animal data insights, animal rescue, animal shelters, animal welfare, electronic health record, pet technology product, record management solutions</t>
  </si>
  <si>
    <t>198670-06P</t>
  </si>
  <si>
    <t>Elizabeth Whitacre</t>
  </si>
  <si>
    <t>+1 (952) 693-8857</t>
  </si>
  <si>
    <t>lizz@pawlytics.com</t>
  </si>
  <si>
    <t>Ms. Elizabeth Whitacre is the Founder of Pawlytics and serves as its Chief Executive Officer.</t>
  </si>
  <si>
    <t>The company raised $250,000 of pre-seed funding from NMotion and Invest Nebraska on August 26, 2020.</t>
  </si>
  <si>
    <t>NMotion</t>
  </si>
  <si>
    <t>68521</t>
  </si>
  <si>
    <t>pawlytics.com</t>
  </si>
  <si>
    <t>198661-24T</t>
  </si>
  <si>
    <t>Payverse</t>
  </si>
  <si>
    <t>496120-78</t>
  </si>
  <si>
    <t>Alpha Ascent, Frank Mastrangelo(Frank Mastrangelo), Jonathan Palmer(Jonathan Palmer), Mary Wieler(Mary Wieler), The Artemis Fund(Stephanie Campbell), Urban Capital Network</t>
  </si>
  <si>
    <t>Alpha Ascent (www.ascentalpha.com), The Artemis Fund (www.theartemisfund.com), Urban Capital Network (www.urbancapitalnetwork.com)</t>
  </si>
  <si>
    <t>Developer of a payment technology platform designed to connect cultures and commerce across the globe. The company's platform offers lifecycle management operations such as sales process, onboarding, risk management, transaction processing, funding, statements, and reporting and allows for integration and simplification, enabling clients to diversify and expand their customer base, profitability, and differentiation in the market.</t>
  </si>
  <si>
    <t>The company raised $2 million of seed funding in the form of SAFE notes from undisclosed investors on April 30, 2024, putting the company's pre-money valuation at $12 million.</t>
  </si>
  <si>
    <t>cross-border payments, embedded finance, enterprise payment, international payment, payment platform, pos, remittance services, risk management</t>
  </si>
  <si>
    <t>263326-96P</t>
  </si>
  <si>
    <t>Sandra Blair</t>
  </si>
  <si>
    <t>+1 (888) 976-9099</t>
  </si>
  <si>
    <t>sandra@payverse.com</t>
  </si>
  <si>
    <t>Ms. Sandra Blair is a Co-Founder and serves as Chief Executive Officer &amp; Board Member at Payverse. She served as Chief Product Officer at Payouts Network. She served as Chief Product Officer at Payscout. She is an accomplished fintech executive with a broad range of payments industry experience serving in leadership roles including CIO, COO, CPO, and EVP. Additionally, she has served as Senior Director at Alvarez &amp; Marsal, a leading Management Consulting firm specializing in business performance improvement and turnaround management services. Her success is rooted in her record of building and developing teams that consistently perform at the highest level. Her decision-making is meticulously informed by her comprehensive knowledge of strategy and execution. She is a member of the Electronic Transaction Association(ETA), Technology Association of Georgia (TAG), and Women in Payments (Wnet), and is a frequent speaker and panelist on topics including emerging trends in fintech and diversity in the workplace.</t>
  </si>
  <si>
    <t>The company raised $3.03 million of Seed funding in a deal led by The Artemis Fund on June 28, 2022, putting the company's pre-money valuation at $18 million. Frank Mastrangelo, Mary Wieler, Jonathan Palmer, Urban Capital Network and Alpha Ascent also participated in the round. The funds will be used to hire key talent and further develop the company's product roadmap enabling more global commerce.</t>
  </si>
  <si>
    <t>Alpha Ascent, Frank Mastrangelo, Jonathan Palmer, Mary Wieler, The Artemis Fund, Urban Capital Network</t>
  </si>
  <si>
    <t>The Artemis Fund(Stephanie Campbell)</t>
  </si>
  <si>
    <t>Artemis Female Fund II(The Artemis Fund)</t>
  </si>
  <si>
    <t>Hunton Andrews Kurth (Legal Advisor to Company, Jeff Dodd JD), Morris Manning &amp; Martin (Legal Advisor to Company), Morris Manning &amp; Martin (Legal Advisor to The Artemis Fund)</t>
  </si>
  <si>
    <t>Hunton Andrews Kurth (Legal Advisor to Company, Jeff Dodd JD), Morris Manning &amp; Martin (Legal Advisor to Company)</t>
  </si>
  <si>
    <t>Morris Manning &amp; Martin (Legal Advisor to The Artemis Fund)</t>
  </si>
  <si>
    <t>Sherman Oaks, CA</t>
  </si>
  <si>
    <t>Sherman Oaks</t>
  </si>
  <si>
    <t>91411</t>
  </si>
  <si>
    <t>www.payverse.com</t>
  </si>
  <si>
    <t>188740-27T</t>
  </si>
  <si>
    <t>Peak Mind</t>
  </si>
  <si>
    <t>491440-33</t>
  </si>
  <si>
    <t>Developer of an employee well-being application designed to help businesses build connections and a culture of care for their employees. The company's application measures stress levels and offers coping mechanisms through a library of tools, enabling organizations in education and public safety to improve employee well-being and reduce stress-related expenses.</t>
  </si>
  <si>
    <t>The company raised $70,000 of venture funding from BAMco Enterprises and other undisclosed investors in the form of SAFE notes on December 27, 2022. The funds will be used for general corporate purposes. Previously, the company joined Creative Destruction Lab in October 2022. Prior to that, the company joined gBETA on August 17, 2022 and received $60,000 in funding.</t>
  </si>
  <si>
    <t>employee wellbeing platform, employee wellbeing software, mental heath awareness, wellbeing app, wellbeing application, wellbeing platform, wellbeing program</t>
  </si>
  <si>
    <t>290988-82P</t>
  </si>
  <si>
    <t>Alicia Mckoy</t>
  </si>
  <si>
    <t>+1 (317) 499-6879</t>
  </si>
  <si>
    <t>alicia@joinpeakmind.com</t>
  </si>
  <si>
    <t>Dr. Alicia Mckoy is a Co-Founder and serves as Chief Executive Officer, President &amp; Board Member at Peak Mind. She has been working hard to assess the problem of stress in our workplaces since 2015 and begin writing two workplace well-being books around 2017. It is her philosophy that we all have superpowers and if we find them, life and work will be so much better for everyone! She is a Public Speaker, Author, Certified Corporate Wellness Specialist (CCWS), Certified Corporate Coach, Entrepreneur, and Certified Business Strategists. She is a life-long study of the human brain.</t>
  </si>
  <si>
    <t>BA (Bachelor of Arts), Consumer Sciences, Ph.D. (Doctor of Philosophy), Business</t>
  </si>
  <si>
    <t>The company raised $80,000 of seed funding from Elevate Ventures on December 21, 2021.</t>
  </si>
  <si>
    <t>Carmel, IN</t>
  </si>
  <si>
    <t>Carmel</t>
  </si>
  <si>
    <t>46032</t>
  </si>
  <si>
    <t>www.joinpeakmind.com</t>
  </si>
  <si>
    <t>156628-99T</t>
  </si>
  <si>
    <t>PearPop</t>
  </si>
  <si>
    <t>439482-61</t>
  </si>
  <si>
    <t>Atelier Ventures, Chapter One, Rocket One Capital, Sound Ventures</t>
  </si>
  <si>
    <t>Atelier Ventures (www.atelierventures.co), Chapter One (www.chapterone.com), Rocket One Capital (www.rocketonecapital.com), Sound Ventures (www.soundventures.com)</t>
  </si>
  <si>
    <t>Developer of a content creation platform designed to power collaboration between creators and their fans on social media. The company's platform allows influencers, musical artists, comedians, and anyone else with a following to make more money doing what they love, enabling users to be in the spotlight while increasing their following and engagement.</t>
  </si>
  <si>
    <t>The company raised $18 million of Series A venture funding from Ava Labs, Riverside Ventures, and Tyr Ventures on November 29, 2022, putting the company's pre-money valuation at $282 million. Quain Investments, Foresight Ventures and 7 other investors also participated in the round. The funds will be used to boost hiring, advance the platform's current functionality, and build out sales partnerships. Recently, Rocket One Capital sold a stake in the company to an undisclosed buyer.</t>
  </si>
  <si>
    <t>content marketing, content media, content site, content writing platform, creation platform, social media data</t>
  </si>
  <si>
    <t>241715-89P</t>
  </si>
  <si>
    <t>Cole Mason</t>
  </si>
  <si>
    <t>+1 (424) 438-0921</t>
  </si>
  <si>
    <t>cole@pearpop.com</t>
  </si>
  <si>
    <t>Mr. Cole Mason is a Co-Founder and serves as Co-Chief Executive Officer at PearPop.</t>
  </si>
  <si>
    <t>The company raised $6 million of seed funding from Rocket One Capital, Chapter One and Sound Ventures in September 2020. Slow Ventures and Atelier Ventures also participated in the round.</t>
  </si>
  <si>
    <t>Sound Ventures II(Sound Ventures)</t>
  </si>
  <si>
    <t>90025</t>
  </si>
  <si>
    <t>www.pearpop.com</t>
  </si>
  <si>
    <t>234135-01T</t>
  </si>
  <si>
    <t>Peer Supply</t>
  </si>
  <si>
    <t>515827-18</t>
  </si>
  <si>
    <t>25m Health, Corewell Health Ventures, CU Healthcare Innovation Fund, First Trust Capital Partners, Ikigai Growth Partners, Martin Ventures</t>
  </si>
  <si>
    <t>Corewell Health Ventures (www.corewellhealthventures.org), CU Healthcare Innovation Fund (www.cuvcfund.com), First Trust Capital Partners (ftcapitalpartners.com), Ikigai Growth Partners (www.ikigaigrowthpartners.com), Martin Ventures (www.martinventures.com)</t>
  </si>
  <si>
    <t>Operator of a community platform intended to make healthcare supply chains efficient. The company offers services to transform the healthcare supply chain by unlocking the value of data and collaboration, enabling clients to build a resilient healthcare supply chain.</t>
  </si>
  <si>
    <t>The company raised $2.5 million of venture funding from CU Healthcare Innovation Fund, Corewell Health Ventures and Martin Ventures on July 14, 2023. Ikigai Growth Partners, First Trust Capital Partners and 25m Health also participated in the round.</t>
  </si>
  <si>
    <t>Business/Productivity Software, Media and Information Services (B2B)*, Other Healthcare, Other Healthcare Services</t>
  </si>
  <si>
    <t>community platform, data collaboration, healthcare supply chain, healthcare supply chain services, patient privacy, supply chain information</t>
  </si>
  <si>
    <t>274222-45P</t>
  </si>
  <si>
    <t>Raelyn Wilson</t>
  </si>
  <si>
    <t>+1 (253) 227-9502</t>
  </si>
  <si>
    <t>rwilson@peersupply.co</t>
  </si>
  <si>
    <t>Ms. Raelyn Wilson is a Co-Founder and serves as Chief Executive Officer at Peer Supply. He serves as Chief Operating Officer at Valify. At Valify, she ensures clients derive the most value from the software solution and has responsibility for client on-boarding and customer success. Prior to joining Valify, Raelyn led Supply Chain Business Intelligence for a large IDN where she had previously done work as a non-labor cost reduction consultant. She is a graduate of Saint Martin's University where she received a Bachelor's in Accounting and Business Administration.</t>
  </si>
  <si>
    <t>Bachelor's, Accounting and Business Administration</t>
  </si>
  <si>
    <t>CU Healthcare Innovation Fund II(CU Healthcare Innovation Fund)</t>
  </si>
  <si>
    <t>37215</t>
  </si>
  <si>
    <t>www.peersupply.co</t>
  </si>
  <si>
    <t>197182-27T</t>
  </si>
  <si>
    <t>Penelope</t>
  </si>
  <si>
    <t>484686-37</t>
  </si>
  <si>
    <t>Amplify.LA, Gaingels, Global FinTech Venture Partners(Todd Thurgood), Primetime Partners, Slauson &amp; Co.</t>
  </si>
  <si>
    <t>Amplify.LA (www.amplify.la), Gaingels (www.gaingels.com), Global FinTech Venture Partners (www.gfvp.com), Primetime Partners (www.primetimepartners.com), Slauson &amp; Co. (www.slauson.co)</t>
  </si>
  <si>
    <t>Developer of a retirement savings platform designed for small businesses and entrepreneurs. The company's platform offers retirement plans to streamline decision-making for busy business owners, enabling small businesses with a technology platform that automates employee investing, streamlines cost and paperwork and provides learning tools for employees.</t>
  </si>
  <si>
    <t>The company raised an undisclosed amount of venture funding from HDS Capital and Altari Ventures in approximately January 2024.</t>
  </si>
  <si>
    <t>enterprise resource planning, erp, financial services, financial wellness, human capital management, retirement benefits service, retirement plan service, retirement planning, retirement savings plan, retirement savings platform, wealthtech</t>
  </si>
  <si>
    <t>284841-01P</t>
  </si>
  <si>
    <t>Jean Smart</t>
  </si>
  <si>
    <t>+1 (201) 580-5582</t>
  </si>
  <si>
    <t>jean@penelope.co</t>
  </si>
  <si>
    <t>Ms. Jean Smart is the Founder and serves as Chief Executive Officer and Board Member at Penelope (Financial Software). She has senior market strategy experience in the Financial Services Industry and a profound understanding of how to create more inclusive access to American Capital Markets. She is committed to sharing her experiences and providing down-to-earth solutions for everyday Americans.</t>
  </si>
  <si>
    <t>University of California, Berkeley, BA (Bachelor of Arts), 1989</t>
  </si>
  <si>
    <t>The company raised $5 million of pre-seed funding in a deal led by Global FinTech Venture Partners on June 29, 2022, putting the company's pre-money valuation at $15.1 million. Slauson &amp; Co., Amplify.LA, Primetime Partners, and Gaingels also participated in the round.</t>
  </si>
  <si>
    <t>Amplify.LA, Gaingels, Global FinTech Venture Partners, Primetime Partners, Slauson &amp; Co.</t>
  </si>
  <si>
    <t>Global FinTech Venture Partners(Todd Thurgood)</t>
  </si>
  <si>
    <t>Global Fintech Venture Fund I(Global FinTech Venture Partners)</t>
  </si>
  <si>
    <t>www.penelope.co</t>
  </si>
  <si>
    <t>219863-71T</t>
  </si>
  <si>
    <t>Penny Finance</t>
  </si>
  <si>
    <t>519754-33</t>
  </si>
  <si>
    <t>Kapor Capital, Pivotal Ventures</t>
  </si>
  <si>
    <t>Kapor Capital (www.kaporcapital.com), Pivotal Ventures (www.pivotalventures.org)</t>
  </si>
  <si>
    <t>Developer of an online financial mentorship platform intended for women to get their money, debt, and investing questions answered through a tool. The company's platform provides real-world financial education and know-how to women from the basics, enabling users to feel financially confident and change the course of their financial well-being.</t>
  </si>
  <si>
    <t>The company joined gener8tor as part of second cohort of the Curql Accelerate Fall 2024 on October 1, 2024. No equity or funding was exchanged as a result of this program.</t>
  </si>
  <si>
    <t>Educational Software, Financial Software, Information Services (B2C)*, Other Financial Services</t>
  </si>
  <si>
    <t>EdTech, FinTech, Mobile</t>
  </si>
  <si>
    <t>educational tools, financial education, financial mentoring, financial platform, financial tool, investment platform, investment tool, wealthtech, women education</t>
  </si>
  <si>
    <t>334976-05P</t>
  </si>
  <si>
    <t>Crissi Cole</t>
  </si>
  <si>
    <t>+1 (347) 417-3600</t>
  </si>
  <si>
    <t>crissi@penny-finance.com</t>
  </si>
  <si>
    <t>Ms. Crissi Cole is the Founder and serves as Chief Executive Officer &amp; Board Member at Penny Finance.</t>
  </si>
  <si>
    <t>The company raised $500,000 of venture funding from Kapor Capital and Pivotal Ventures on March 1, 2023, putting the company's pre-money valuation at $4.5 million.</t>
  </si>
  <si>
    <t>Narragansett, RI</t>
  </si>
  <si>
    <t>Narragansett</t>
  </si>
  <si>
    <t>Rhode Island</t>
  </si>
  <si>
    <t>02882</t>
  </si>
  <si>
    <t>www.penny-finance.com</t>
  </si>
  <si>
    <t>271332-64T</t>
  </si>
  <si>
    <t>Peoples Energy Analytics</t>
  </si>
  <si>
    <t>539992-00</t>
  </si>
  <si>
    <t>Innovation Works, Richard King Mellon Foundation(Bobby Zappala), Village Capital(Elizabeth Nguyen)</t>
  </si>
  <si>
    <t>Innovation Works (www.innovationworks.org), Richard King Mellon Foundation (www.rkmf.org), Village Capital (www.vilcap.com)</t>
  </si>
  <si>
    <t>Devloper of a bill assistance platform intended for managing at-risk customers before they default on their energy bills. The company's platform identifies who is at risk of defaulting on their bills and connects them to bill assistance years before they ever miss a payment and provides a complete business service that includes strategy design, data analysis and marketing outreach support, enabling utility companies to reduce unpaid energy bills while increasing revenue recovery of energy utilities.</t>
  </si>
  <si>
    <t>The company raised $600,000 of venture funding from Innovation Works, Village Capital and Richard King Mellon Foundation on July 25, 2024.</t>
  </si>
  <si>
    <t>analytics platform, energy analytics, marketing outreach, revenue recovery services, strategy design service, utility company operator</t>
  </si>
  <si>
    <t>374521-51P</t>
  </si>
  <si>
    <t>Destenie Nock</t>
  </si>
  <si>
    <t>destenie@peoplesenergyanalytics.com</t>
  </si>
  <si>
    <t>Dr. Destenie Nock is a Co-Founder &amp; serves as Chief Technology Officer at Peoples Energy Analytics. She is best known for developing novel metrics for identifying those experiencing energy poverty and insecurity, as well as developing optimization models for designing more equitable power systems. She has worked in the energy space for over twelve years and also holds a position as a professor at Carnegie Mellon University.</t>
  </si>
  <si>
    <t>Richard King Mellon Foundation, Village Capital</t>
  </si>
  <si>
    <t>www.peoplesenergyanalytics.com</t>
  </si>
  <si>
    <t>164256-04T</t>
  </si>
  <si>
    <t>Pequity</t>
  </si>
  <si>
    <t>458261-83</t>
  </si>
  <si>
    <t>Designer Fund, First Round Capital</t>
  </si>
  <si>
    <t>Designer Fund (www.designerfund.com), First Round Capital (www.firstround.com)</t>
  </si>
  <si>
    <t>Developer of a compensation platform designed to combat pay inequality and help de-complicate compensations. The company's platform simplifies the complex and time-consuming process of building a competitive, scalable and equitable compensation program, enabling HR teams to work smarter and make informed pay decisions.</t>
  </si>
  <si>
    <t>The company raised $15.5 million of Series A venture funding in a deal led by Norwest Venture Partners on June 23, 2021, putting the company's pre-money valuation at $44.5 million. Designer Fund, First Round Capital, Annelies Gamble, uint Capital, and Scribble Ventures also participated in the round. The funds will be used to continue investing in product development and expand the company's hiring.</t>
  </si>
  <si>
    <t>Business/Productivity Software*, Human Capital Services, Other Financial Services</t>
  </si>
  <si>
    <t>compensation administration, compensation platform, compensation processing, compensation systems, enterprise resource planning, erp, finance company, hr service, human capital management, total rewards</t>
  </si>
  <si>
    <t>249378-94P</t>
  </si>
  <si>
    <t>Kaitlyn Knopp</t>
  </si>
  <si>
    <t>+1 (833) 424-0760</t>
  </si>
  <si>
    <t>kaitlyn@getpequity.com</t>
  </si>
  <si>
    <t>Ms. Kaitlyn Knopp is a Co-Founder &amp; serves as the Chief Executive Officer and Board Member at Pequity. She has spent over 10 years design and maintaining people programs (compensation, analytics, operations, systems, performance management) and coaching senior leadership on philosophies and culture (levels, company values, compensation philosophy, culture norming and more) with companies like Google, Instacart, Cruise, and Lockheed Martin. She has worked with companies large and small to assess, address and create better people systems. She is our go-to and conceptual genius for all things compensation and human resources related and our key decision-maker on company direction. Kaitlyn holds a Master's in Human Resources and Employment Relations, a B.S. in Labor Studies and Employment Relations and a B.A. in Visual Communications from Penn State University.</t>
  </si>
  <si>
    <t>Pennsylvania State University (Penn State), BA (Bachelor of Arts), Visual Communications, Pennsylvania State University (Penn State), BS (Bachelor of Science), Labor Studies and Employment Relations, Pennsylvania State University (Penn State), Master's, Human Resources</t>
  </si>
  <si>
    <t>The company raised $3.5 million of seed funding from Designer Fund and First Round Capital on December 30, 2020, putting the company's pre-money valuation at $10 million.</t>
  </si>
  <si>
    <t>Designer Fund II(Designer Fund), First Round Capital VII(First Round Capital)</t>
  </si>
  <si>
    <t>www.pequity.com</t>
  </si>
  <si>
    <t>170212-87T</t>
  </si>
  <si>
    <t>Perimeter (Business/Productivity Software)</t>
  </si>
  <si>
    <t>407213-65</t>
  </si>
  <si>
    <t>Alchemist Accelerator, C Holdings, David Fox(David Fox), Dustin Dolginow(Dustin Dolginow), One World, Parade Ventures, Rsquared(Andrew Chang), Shawn Merani(Shawn Merani)</t>
  </si>
  <si>
    <t>Alchemist Accelerator (www.alchemistaccelerator.com), C Holdings (www.choldings.co), One World (www.oneworld.investments), Parade Ventures (www.parade.vc), Rsquared (riskandreturn.org)</t>
  </si>
  <si>
    <t>Developer of disaster management platform designed to create awareness and take precautionary measures against natural disasters. The company's platform includes an application from which the data visualization tool can be used for evacuation during disasters, helping responders manage challenges by collecting all disaster data in a single incident response platform.</t>
  </si>
  <si>
    <t>The company raised $4.36 million of equity crowdfunding in the form of SAFE notes via Wefunder on May 1, 2023.</t>
  </si>
  <si>
    <t>Business/Productivity Software*, Government, Media and Information Services (B2B)</t>
  </si>
  <si>
    <t>disaster management, disaster management platform, disaster management services, disaster management software, disaster service, precautionary measures</t>
  </si>
  <si>
    <t>220946-77P</t>
  </si>
  <si>
    <t>Bailey Farren</t>
  </si>
  <si>
    <t>+1 (707) 481-5645</t>
  </si>
  <si>
    <t>bailey@perimeterplatform.com</t>
  </si>
  <si>
    <t>Ms. Bailey Farren is a Co-Founder and serves as Chief Executive Officer at Perimeter. She heads the team as Chief Executive Officer, directing sales, fundraising, and team operations. She was inspired to develop Perimeter after experiencing the Tubbs Fire in her hometown of Santa Rosa. She brings over six years of technology sales experience to the team and extensive knowledge of data-driven business models.</t>
  </si>
  <si>
    <t>UC Berkeley (Haas), BA (Bachelor of Arts), Cognitive Science, UC Berkeley (Haas), BA (Bachelor of Arts), Rhetoric</t>
  </si>
  <si>
    <t>The company raised $1 million of pre-seed funding in a deal led by Shawn Merani and Dustin Dolginow on April 5, 2021. C Holdings, Rsquared, Parade Ventures, Alchemist Accelerator, David Fox and One World also participated in the round.</t>
  </si>
  <si>
    <t>C Holdings, David Fox, Dustin Dolginow, One World, Parade Ventures, Rsquared, Shawn Merani</t>
  </si>
  <si>
    <t>Alchemist Accelerator</t>
  </si>
  <si>
    <t>Dustin Dolginow(Dustin Dolginow), Shawn Merani(Shawn Merani)</t>
  </si>
  <si>
    <t>Rsquared Fund I(Rsquared)</t>
  </si>
  <si>
    <t>94704</t>
  </si>
  <si>
    <t>www.perimeterplatform.com</t>
  </si>
  <si>
    <t>207748-90T</t>
  </si>
  <si>
    <t>Persona (Business/Productivity Software)</t>
  </si>
  <si>
    <t>512822-71</t>
  </si>
  <si>
    <t>ACE Ventures (Geneva), Astir Ventures, Cadenza Capital, Cloud Capital (India), Hashed Emergent, iSeed (India), Kube VC, New Layer Capital, TiE Silicon Valley, Untamed Ventures, Zero Knowledge</t>
  </si>
  <si>
    <t>ACE Ventures (Geneva) (www.aceventures.vc), Astir Ventures (www.astir.vc), Cadenza Capital (www.cadenza.vc), Cloud Capital (India) (www.cloudcap.in), Hashed Emergent (www.hashedem.com), iSeed (India) (www.iseed.vc), Kube VC (www.kubevc.com), New Layer Capital (www.newlayer.capital), TiE Silicon Valley (sv.tie.org), Untamed Ventures (www.untamedvc.com), Zero Knowledge (www.zero-knowledge.xyz)</t>
  </si>
  <si>
    <t>Developer of a customer acquisition, engagement, and retention platform intended to provide trust to online interactions on Web3. The company's platform utilizes blockchain technology, data analytics, and targeted outreach to offer customized on-chain and off-chain experiences based on users' wallet activity, enabling businesses to simplify workflow and increase customer engagement by reducing customer acquisition costs.</t>
  </si>
  <si>
    <t>The company raised $3 million of seed funding from Cadenza Capital, Hashed Emergent and Untamed Ventures on August 10, 2022, putting the company's pre-money valuation at $9 million. Kube VC, iSeed (India), Zero Knowledge, Astir Ventures, Cloud Capital (India), New Layer Capital, ACE Ventures (Geneva) and TiE Silicon Valley also participated in the round.</t>
  </si>
  <si>
    <t>metaverse nft, metaverse platform, nft platform, online wallets, regtech, web 3 platform, workflow tool</t>
  </si>
  <si>
    <t>322572-97P</t>
  </si>
  <si>
    <t>Ankita Verma</t>
  </si>
  <si>
    <t>ankita@persona3.io</t>
  </si>
  <si>
    <t>Ms. Ankita Verma is a Co-Founder &amp; serves as Chief Executive Officer at Persona XYZ.</t>
  </si>
  <si>
    <t>Cadenza Ventures Fund I(Cadenza Capital)</t>
  </si>
  <si>
    <t>Gunderson Dettmer (Legal Advisor to Company), Troutman Pepper Hamilton Sanders (Legal Advisor to Cadenza Capital, Abraham Kwon JD)</t>
  </si>
  <si>
    <t>Troutman Pepper Hamilton Sanders (Legal Advisor to Cadenza Capital, Abraham Kwon JD)</t>
  </si>
  <si>
    <t>www.persona3.io</t>
  </si>
  <si>
    <t>164294-92T</t>
  </si>
  <si>
    <t>Perygee</t>
  </si>
  <si>
    <t>437880-52</t>
  </si>
  <si>
    <t>BBG Ventures (North America), Contour Venture Partners, Corey Thomas(Corey Thomas), Innospark Ventures, Outsiders Fund(Austin McChord), Ray Rothrock(Ray Rothrock), Westport Capital Partners</t>
  </si>
  <si>
    <t>BBG Ventures (North America) (www.bbgventures.com), Contour Venture Partners (www.contourventures.com), Innospark Ventures (www.innospark.vc), Outsiders Fund (www.outsidersfund.com), Westport Capital Partners (www.westportcp.com)</t>
  </si>
  <si>
    <t>Developer of an automation platform designed to maintain and improve device functionality. The company's platform brings together all asset information and security stakeholders to defend critical assets and automate OT security workflows and integrates device-specific edge monitoring with easy-to-use no-code data modeling and automation tools, enabling businesses to get a holistic cybersecurity platform that implements security with a consumer-grade user experience.</t>
  </si>
  <si>
    <t>The company raised $4.75 million of seed funding in a deal led by Ballistic Ventures (California) on October 27, 2022. BBG Ventures (North America), Qudit, Ray Rothrock, Corey Thomas, John Donovan, Ohad Finkelstein and Bryson Bort also participated in the round.</t>
  </si>
  <si>
    <t>Cybersecurity, Internet of Things</t>
  </si>
  <si>
    <t>ai, automation, cybersecurity, endpoint security, enterprise software, information technology, iot software, iot/ot security, middleware, ot security</t>
  </si>
  <si>
    <t>237480-85P</t>
  </si>
  <si>
    <t>Mollie Breen</t>
  </si>
  <si>
    <t>+1 (703) 597-0109</t>
  </si>
  <si>
    <t>mollie@perygee.com</t>
  </si>
  <si>
    <t>Ms. Mollie Breen is a Co-Founder and serves as Chief Executive Officer &amp; Board Member at Perygee. Mollie is the CEO of Perygee. Previously, Mollie created and led teams to strengthen critical infrastructure at the NSA that improved the security of all NSA operations. Her role as the technical lead on the AI/ML team at the Pentagonhelped to modernize all military strategy and deployment. She holds an MBA from Harvard Business School and an MS in Engineering from Harvard University, as well as Mathematics and Computer Science degrees from Duke University.</t>
  </si>
  <si>
    <t>Duke University, Degree, Mathematics and Computer Science, Harvard Business School, MBA (Master of Business Administration), Master's, Engineering</t>
  </si>
  <si>
    <t>The company raised $1.6 million of Pre-Seed funding in a deal led by Outsiders Fund on December 17, 2020. Contour Venture Partners, BBG Ventures (North America), Innospark Ventures, Ray Rothrock, Corey Thomas and Westport Capital Partners also participated in the round. The funds will be used to hire new talent, further develop the product, and grow the enterprise within environmental controls and beyond.</t>
  </si>
  <si>
    <t>BBG Ventures (North America), Contour Venture Partners, Corey Thomas, Innospark Ventures, Outsiders Fund, Ray Rothrock, Westport Capital Partners</t>
  </si>
  <si>
    <t>Outsiders Fund(Austin McChord)</t>
  </si>
  <si>
    <t>BBG Ventures III(BBG Ventures (North America)), Contour Venture Partners IV(Contour Venture Partners), WCP NewCold II(Westport Capital Partners)</t>
  </si>
  <si>
    <t>www.perygee.com</t>
  </si>
  <si>
    <t>165057-13T</t>
  </si>
  <si>
    <t>PHC Global</t>
  </si>
  <si>
    <t>459004-42</t>
  </si>
  <si>
    <t>Alphabet (NAS: GOOGL), Brad Katsuyama, Eric Mandelblatt, Jeff Solomon, Michael Lynton, Scott Friedman, Soroban Capital Partners, Sweat Equity Ventures, Todd Park(Todd Park)</t>
  </si>
  <si>
    <t>Alphabet (NAS: GOOGL) (www.abc.xyz), Soroban Capital Partners (www.sorobancap.com), Sweat Equity Ventures (www.sweatequity.vc)</t>
  </si>
  <si>
    <t>Operator of a global biosecurity platform intended for organizations to quickly respond to communicable disease threats. The company's engagement platform provides client engagement, genomic epidemiology, and a critical decision platform as well as allows users to answer the questions with autonomy and advise clients on disease transmission, enabling clients to affirm appropriate protocols and get a full life-cycle bio-risk management solution.</t>
  </si>
  <si>
    <t>The company raised $35 million of Series A venture funding from The General Partnership, Cleveland Capital Management and ImpactAssets on August 16, 2022, putting the company's pre-money valuation at $85 million. Global Health Investment Corporation also participated in the round.</t>
  </si>
  <si>
    <t>Business/Productivity Software*, Network Management Software, Other Healthcare Technology Systems</t>
  </si>
  <si>
    <t>disease modeling, genomics study, lifecycle solutions, population health, population risk management, risk management, surgical precision</t>
  </si>
  <si>
    <t>250676-47P</t>
  </si>
  <si>
    <t>Brian Levine</t>
  </si>
  <si>
    <t>+1 (512) 843-5569</t>
  </si>
  <si>
    <t>brian@majorleaguepickleball.net</t>
  </si>
  <si>
    <t>Mr. Brian Levine serves as Advisor at Major League Pickleball. He co-founded &amp; served as Chief Financial Officer, Board Member and Senior Advisor at PHC Global. He also serves as Board Member at IEX Group. Mr. Levine serves as Board Member at Success Academy Charter Schools. Prior to PHC, Brian spent 25 years at Goldman Sachs &amp; Co, including 13 years as a Partner; he most recently served as co-head of Global Equities Trading and Execution Services. He was responsible for the pricing and risk management of Goldman's largest equities block trades throughout the past decade and previously opened trading for GS-led IPOs such as Yahoo! eBay and Tesla. He was pivotal in automating Goldman's stock trading business, first in the U.S. and then in Europe. He served on both the GS Firmwide Risk and Technology Risk committees, Securities Division Executive Committee and was co-chair of the Senior Diversity Council. Brian earned his BS, BA from the University of Florida and his MBA in Finance from Emory University.</t>
  </si>
  <si>
    <t>Emory University, MBA (Master of Business Administration), 1994, Finance, University of Florida, BS (Bachelor of Science), 1992</t>
  </si>
  <si>
    <t>The company raised $5 million of seed funding from Sweat Equity Ventures, Brad Katsuyama and Todd Park in 2021, putting the company's pre-money valuation at $10 million. Michael Lynton, Jeff Solomon, Scott Friedman, Eric Mandelblatt, Alphabet and Soroban Capital Partners also participated in the round.</t>
  </si>
  <si>
    <t>Alphabet, Brad Katsuyama, Eric Mandelblatt, Jeff Solomon, Michael Lynton, Scott Friedman, Soroban Capital Partners, Sweat Equity Ventures, Todd Park</t>
  </si>
  <si>
    <t>www.phcglobal.com</t>
  </si>
  <si>
    <t>139748-23T</t>
  </si>
  <si>
    <t>Piction Health</t>
  </si>
  <si>
    <t>232141-78</t>
  </si>
  <si>
    <t>Andrew Feinberg(Andrew Feinberg), Andrew Palmer(Andrew Palmer), Argon Ventures(Andrew Feinberg), Elizabeth Lawler(Elizabeth Lawler), Esther Dyson(Esther Dyson), Flare Capital Partners(Victor Lanio), Gaugarin Oliver(Gaugarin Oliver), Gibson Advisory Group, Good Growth Capital, Gutbrain Ventures(Robert Davoli), Huat Ventures, James Stone(James Stone), Koa Labs, Launchpad Venture Group(Ray Riley), Plug and Play Tech Center, Rajeev Surati(Rajeev Surati), Robert Davoli(Robert Davoli), Robert Mason(Robert Mason), Springboard Enterprises, TBD Angels, William Crawford(William Crawford)</t>
  </si>
  <si>
    <t>Argon Ventures (www.argon.vc), Flare Capital Partners (www.flarecapital.com), Gibson Advisory Group (www.gibsonadvisorygroup.com), Good Growth Capital (www.goodgrowthvc.com), Gutbrain Ventures (www.gutbrainventures.com), Huat Ventures (www.huat.ventures), Koa Labs (www.koalabs.com), Launchpad Venture Group (www.launchpadventuregroup.com), Plug and Play Tech Center (www.plugandplaytechcenter.com), Springboard Enterprises (www.springboardenterprises.org), TBD Angels (www.tbdangels.com)</t>
  </si>
  <si>
    <t>Developer of a dermatology care application designed to help patients and physicians address challenging skin diseases. The company's application improves patient outcomes by assisting primary care providers with a smartphone-enabled immediate second opinion on tricky skin issues and analyzing clinical symptoms, enabling primary care providers to save minutes on a skin assessment, reducing costs by reducing unnecessary repeat primary care visits and ineffective treatments and accelerate expert dermatology care for the patients who need it.</t>
  </si>
  <si>
    <t>The company raised $6 million of Series 1 seed funding from Flare Capital Partners, Bayless Ventures SBXi, Good Growth Capital and Alumni Ventures on May 1, 2024. Allatus Ventures, Milemark Capital, Jemison Alexander, and 4 other investors also participated in the round. The funds will be used to expand the company's virtual dermatology clinic services and continue to make dermatology care more accessible and efficient.</t>
  </si>
  <si>
    <t>Application Software, Clinics/Outpatient Services*, Decision/Risk Analysis, Other Healthcare Services</t>
  </si>
  <si>
    <t>Artificial Intelligence &amp; Machine Learning, HealthTech, Mobile</t>
  </si>
  <si>
    <t>dermatology care, dermatology care application, dermatology care facilities, dermatology care services, dermatology center, skin disease care, skin disease detection, skin disease prevention, skincare tech</t>
  </si>
  <si>
    <t>192030-22P</t>
  </si>
  <si>
    <t>Susan Conover</t>
  </si>
  <si>
    <t>+1 (940) 882-0206</t>
  </si>
  <si>
    <t>susan@pictionhealth.com</t>
  </si>
  <si>
    <t>Ms. Susan Conover is a Co-Founder and serves as Chief Executive Officer &amp; Board Member at Piction Health.</t>
  </si>
  <si>
    <t>Degree, Mechanical Engineering</t>
  </si>
  <si>
    <t>The company raised $2.38 million of seed funding in a deal led by Argon Ventures on July 15, 2020, putting the company's pre-money valuation at $3.5 million. Gutbrain Ventures, Koa Labs, Gibson Advisory Group, Flare Capital Partners, Huat. Ventures, Good Growth Capital, Springboard Enterprises, Plug, and Play Tech Center, Andy Palmer, Launchpad Venture Group, Bob Davoli, TBD Angels, Esther Dyson, William Crawford, Gaugarin Oliver, Rajeev Surati, Elizabeth Lawler, James Stone, Bob Mason, and Andy Feinberg also participated in the round. The funds will be used to access large-scale image collections of skin conditions, improve the platform's AI accuracy to the level of a dermatologist and strategically expand the team.</t>
  </si>
  <si>
    <t>Andrew Feinberg, Andrew Palmer, Argon Ventures, Elizabeth Lawler, Esther Dyson, Flare Capital Partners, Gaugarin Oliver, Gibson Advisory Group, Good Growth Capital, Gutbrain Ventures, Huat Ventures, James Stone, Koa Labs, Launchpad Venture Group, Plug and Play Tech Center, Rajeev Surati, Robert Davoli, Robert Mason, TBD Angels, William Crawford</t>
  </si>
  <si>
    <t>Springboard Enterprises</t>
  </si>
  <si>
    <t>Argon Ventures(Andrew Feinberg)</t>
  </si>
  <si>
    <t>Flare Capital Partners II(Flare Capital Partners), GGC Infinite Corridor Fund II(Good Growth Capital), Infinite Corridor Fund(Good Growth Capital), Koa Labs Fund 2(Koa Labs)</t>
  </si>
  <si>
    <t>Cooley (Legal Advisor to Company), Gunderson Dettmer (Legal Advisor to Argon Ventures)</t>
  </si>
  <si>
    <t>Gunderson Dettmer (Legal Advisor to Argon Ventures)</t>
  </si>
  <si>
    <t>www.pictionhealth.com</t>
  </si>
  <si>
    <t>225365-68T</t>
  </si>
  <si>
    <t>Pier (Financial Software)</t>
  </si>
  <si>
    <t>522000-37</t>
  </si>
  <si>
    <t>ACME Capital, Brian Neer, Divya Bhat, Horizon Venture Capital, Horizon Ventures, Liquid 2 Ventures, Meridian Ventures, Neer Venture Partners(Brian Neer), Oasis Capital (United States), Seth Weinstein(Seth Weinstein), Y Combinator</t>
  </si>
  <si>
    <t>ACME Capital (www.acme.vc), Horizon Venture Capital (www.horizon.vc), Horizon Ventures (www.horizonvc.com), Liquid 2 Ventures (www.liquid2.vc), Meridian Ventures (meridianventures.co), Neer Venture Partners (www.neerventurepartners.com), Oasis Capital (United States) (oasiscap.vc), Y Combinator (www.ycombinator.com)</t>
  </si>
  <si>
    <t>Developer of financial software designed to help customers own credit products in less time with a simplified process. The company offers application programming interface tools to improve credit access and provide credit to borrowers and users without ever directing them outside their app, while the system powers it, enabling companies to offer credit by handling origination, underwriting, compliance, and servicing with just a few lines of code.</t>
  </si>
  <si>
    <t>The company raised $2.4 million of seed funding in a deal led by Y Combinator on January 11, 2024. Horizon Venture Capital and 6 other investors also participated in the round. The funds will be used for product development and expanding the company's team, further enhancing its capabilities in the FinTech sector.</t>
  </si>
  <si>
    <t>application programming interface, compliance management, credit loan service, financial service infrastructure, financial software, rent financing, underwriting tools</t>
  </si>
  <si>
    <t>340450-03P</t>
  </si>
  <si>
    <t>Jessica Zhang</t>
  </si>
  <si>
    <t>Ms. Jessica Zhang is a Co-Founder and serves as Chief Executive Officer at Pier Finance. She serves as Associate at Amulet Capital Partners. She previously was Chief of Staff at Stilt and part of the founding team for Onbo at Stilt (acq. by JGW). 2x founder (Oppti, Forbes 30U30). Ex-McDonald's, ex-JPMorgan, ex-EY.</t>
  </si>
  <si>
    <t>University of Texas, Austin, BBA (Bachelor of Business Administration)</t>
  </si>
  <si>
    <t>The company raised $2.4 million of seed funding from Meridian Ventures, Neer Venture Partners and Horizon Venture Capital on April 20, 2023. Oasis Capital, Liquid 2 Ventures, ACME Capital, Horizon Ventures, Y Combinator, Brian Neer, Seth Weinstein and Divya Bhat also participated in the round. The funds will be used for product development and building a team.</t>
  </si>
  <si>
    <t>ACME Capital, Brian Neer, Divya Bhat, Horizon Venture Capital, Horizon Ventures, Liquid 2 Ventures, Meridian Ventures, Neer Venture Partners, Oasis Capital (United States), Seth Weinstein</t>
  </si>
  <si>
    <t>SectionX Capital Venture capital Fund(Meridian Ventures)</t>
  </si>
  <si>
    <t>www.pier-finance.com</t>
  </si>
  <si>
    <t>244011-52T</t>
  </si>
  <si>
    <t>Pika (Multimedia and Design Software)</t>
  </si>
  <si>
    <t>537093-55</t>
  </si>
  <si>
    <t>Daniel Gross(Daniel Gross), Nat Friedman(Nat Friedman)</t>
  </si>
  <si>
    <t>Developer of a text-to-video platform designed to offer artificial intelligence-based editing software for its users. The company's platform offers typing technology to unleash user's creativity to support the advancement of animation and editing, enabling users to revolutionize video animation with artificial intelligence.</t>
  </si>
  <si>
    <t>The company raised $80 million of Series B venture funding in a deal led by Spark Capital on June 4, 2024, putting the company's pre-money valuation at $390 million. Conviction Capital, Lightspeed Venture Partners, NYX Ventures Partners, Greycroft, Sarah Smith Fund, Makers Fund, Neo, Nat Friedman, Jared Leto, SV Angel, Adam D'Angelo, Alex Chung, Daniel Gross, Elad Gil, Andrej Karpathy, Clément Delangue, Craig Kallman, Aravind Srinivas, Mateusz Staniszewski, Karim Atiyeh, Mike Vernal and Aaron Levie also participated in the round. The funds will be used to accelerate the company's progress in building the best video foundation model, and the best possible product for video creators.</t>
  </si>
  <si>
    <t>Entertainment Software, Multimedia and Design Software*</t>
  </si>
  <si>
    <t>animation technology, artificial intelligence, content creation, design software, editing software, text-to-video platform</t>
  </si>
  <si>
    <t>371479-96P</t>
  </si>
  <si>
    <t>Demi Guo</t>
  </si>
  <si>
    <t>demi@pika.art</t>
  </si>
  <si>
    <t>Dr. Demi Guo is a Co-Founder and serves as Chief Executive Officer at Pika Labs.</t>
  </si>
  <si>
    <t>Ph.D. (Doctor of Philosophy), Stanford University, Degree, Artifical Intelligence</t>
  </si>
  <si>
    <t>The company raised $20 million of seed funding in a deal led by Nat Friedman and Daniel Gross on July 15, 2023, putting the company's pre-money valuation at $105 million. Other undisclosed investors also participated in the round.</t>
  </si>
  <si>
    <t>Daniel Gross, Nat Friedman</t>
  </si>
  <si>
    <t>pika.art</t>
  </si>
  <si>
    <t>202505-59T</t>
  </si>
  <si>
    <t>PIN</t>
  </si>
  <si>
    <t>504146-35</t>
  </si>
  <si>
    <t>Canaan Partners, GSR Ventures, Industry Ventures, Initialized Capital Management, Litquidity Capital, New Enterprise Associates, Riverside Ventures</t>
  </si>
  <si>
    <t>Canaan Partners (www.canaan.com), GSR Ventures (www.gsrventuresus.com), Industry Ventures (www.industryventures.com), Initialized Capital Management (www.initialized.com), Litquidity Capital (www.litquidity.co), New Enterprise Associates (www.nea.com), Riverside Ventures (www.riversideventures.com)</t>
  </si>
  <si>
    <t>Developer of a community fund platform designed to connect entrepreneurs to investors. The company provides a back office framework and legal and tax support to interested clubs to set up and launch an investing vehicle, enabling entrepreneurs and leaders to seek opportunities to raise capital, meet other members, and manage portfolios.</t>
  </si>
  <si>
    <t>The company raised $5.6 million of seed funding in a deal led by Initialized Capital Management on August 25, 2022. GSR Ventures and 5 other investors also participated in the round.</t>
  </si>
  <si>
    <t>Accounting, Audit and Tax Services (B2B), Financial Software*, Other Financial Services</t>
  </si>
  <si>
    <t>alternative investment, community funding platform, fund raise platform, investing money, investment management, investment vehicle, investor group, wealthtech</t>
  </si>
  <si>
    <t>252554-68P</t>
  </si>
  <si>
    <t>Steph Mui</t>
  </si>
  <si>
    <t>+1 (773) 702-1234</t>
  </si>
  <si>
    <t>smui@getpin.xyz</t>
  </si>
  <si>
    <t>Ms. Steph Mui IS the Founder and serves as Chief Executive Officer at PIN. Ms. Steph Mui is a Co-Founder at GSB 20|20 Fund. She founded and served as Chief Executive Officer at Mulu.</t>
  </si>
  <si>
    <t>Stanford University, Degree, 2020, University of Chicago, BA (Bachelor of Arts), 2014, Economics, Computer Science, Statistics</t>
  </si>
  <si>
    <t>The company raised $5.6 million of seed funding in a deal led by Initialized Capital Management on August 25, 2022. GSR Ventures, Industry Ventures, New Enterprise Associates, Canaan Partners, Riverside Ventures and Litquidity Capital also participated in the round.</t>
  </si>
  <si>
    <t>Fenwick &amp; West (Legal Advisor to Company, Byron Dailey JD)</t>
  </si>
  <si>
    <t>www.getpin.xyz</t>
  </si>
  <si>
    <t>274942-18T</t>
  </si>
  <si>
    <t>Pip Care</t>
  </si>
  <si>
    <t>520596-73</t>
  </si>
  <si>
    <t>A1 Health Ventures, Redesign Health, UPMC Enterprises</t>
  </si>
  <si>
    <t>A1 Health Ventures (www.a1healthventures.com), Redesign Health (www.redesignhealth.com), UPMC Enterprises (enterprises.upmc.com)</t>
  </si>
  <si>
    <t>Operator of a health care application intended to help patients prepare and recover from surgery. The company provides certified health coaches who create personalized and recovery care plans that include daily tasks and curated advice, enabling patients to keep track of appointments and feel empowered and prepared for surgery.</t>
  </si>
  <si>
    <t>The company raised $13.11 million through a combination of Series A, and Series A-1 venture funding in a deal led by A1 Health Ventures on October 21, 2024, putting the company's pre-money valuation at $5 million. UPMC Enterprises and Redesign Health also participated in the round. The funds will be used to expand operations and the company's development efforts. Previously, the company received $2.2 million of grant funding from National Institutes of Health on October 17, 2024. The funds will be used to launch a trial of the company's platform with 2,000 patients.</t>
  </si>
  <si>
    <t>appointment tracking, care management technology, digital care management, digital technology, health coaching, healthcare plan, personalized planning, surgery care</t>
  </si>
  <si>
    <t>237773-89P</t>
  </si>
  <si>
    <t>Kathleen Kaluhiokalani</t>
  </si>
  <si>
    <t>kathy@pipcare.com</t>
  </si>
  <si>
    <t>Ms. Kathleen Kaluhiokalani is a Co-Founder and serves as Chief Executive Officer and Board Member at Pip Care. She served as Chief Operating Officer at Advantia Health. She was Advantia's first Chief Operating Officer (COO), overseeing Advantia's growth, integration, and operations for the company's practices and technology. She is a data-driven and action-oriented leader with decades of experience working with physicians, provider organizations, payers, and health systems. She previously served as CEO of Actify, a behavioral health company focused on interventional treatments for mood and anxiety disorders. Before her time with Actify, she served as COO of MedExpress, one of the nation's largest urgent care operators.</t>
  </si>
  <si>
    <t>The company raised $13.11 million through a combination of Series A, and Series A-1 venture funding in a deal led by A1 Health Ventures on October 21, 2024, putting the company's pre-money valuation at $5 million. UPMC Enterprises and Redesign Health also participated in the round. The funds will be used to expand operations and the company's development efforts.</t>
  </si>
  <si>
    <t>A1 Health Ventures</t>
  </si>
  <si>
    <t>Redesign Health CCHP Fund(Redesign Health)</t>
  </si>
  <si>
    <t>www.pipcare.com</t>
  </si>
  <si>
    <t>133431-94T</t>
  </si>
  <si>
    <t>Planet FWD</t>
  </si>
  <si>
    <t>433127-80</t>
  </si>
  <si>
    <t>BBG Ventures (North America), Cleo Capital, Cowboy Ventures, F7 Ventures, January Ventures, Kapor Capital, Maveron, Precursor Ventures</t>
  </si>
  <si>
    <t>BBG Ventures (North America) (www.bbgventures.com), Cleo Capital (www.cleocap.com), Cowboy Ventures (www.cowboy.vc), F7 Ventures (www.f7ventures.com), January Ventures (january.ventures), Kapor Capital (www.kaporcapital.com), Maveron (www.maveron.com), Precursor Ventures (precursorvc.com)</t>
  </si>
  <si>
    <t>Developer of a carbon management platform intended to help consumer brands reduce their carbon footprint. The company's platform assists in measuring the carbon footprint of a product or a company and provides tailored emissions reduction plans, helping brands achieve sustainability and build consumer confidence.</t>
  </si>
  <si>
    <t>The company raised $1.25 million of Series A venture funding in the form of SAFE notes in a deal led by Earthshot Ventures on August 2, 2024. HearstLab, Collab Capital, Westbound Equity Partners, Precursor Ventures and Emerson Collective also participated in the round.</t>
  </si>
  <si>
    <t>Business/Productivity Software, Environmental Services (B2B)*</t>
  </si>
  <si>
    <t>carbon neutral food, carbon neutral product, environmental friendly service, esg software, snacks branding, snacks maker, snacks packs</t>
  </si>
  <si>
    <t>121879-00P</t>
  </si>
  <si>
    <t>Julia Collins</t>
  </si>
  <si>
    <t>+1 (917) 202-3425</t>
  </si>
  <si>
    <t>julia@planetfwd.com</t>
  </si>
  <si>
    <t>Ms. Julia Collins is the Founder &amp; serves as Chief Executive Officer, President &amp; Board Member at Planet FWD. She serves as an Advisor at Parade Ventures and January Ventures. She serves as an Advisor at Dispatch Goods. She also served as Entrepreneur-in-Residence at Cleo Capital. She is an angel investor. Previously, she co-founded and served as Co-Chief Executive Officer and Board Member at Zume. She serves as an MBA from Stanford University &amp; also holds a BA degree in Government from Harvard</t>
  </si>
  <si>
    <t>Harvard University, BA (Bachelor of Arts), 2001, Government, Stanford University, MBA (Master of Business Administration), 2009</t>
  </si>
  <si>
    <t>The company raised $2.7 million of Seed funding in a deal led by BBG Ventures (North America) on March 12, 2020, putting the company's pre-money valuation at $3.8 million. January Ventures, F7 Ventures, Cowboy Ventures, Cleo Capital, Precursor Ventures, Kapor Capital, Maveron and Incite Ventures also participated in the round.</t>
  </si>
  <si>
    <t>BBG Ventures (North America)</t>
  </si>
  <si>
    <t>BBG Ventures III(BBG Ventures (North America)), Cleo Capital Fund I(Cleo Capital), Cowboy Capital Fund III(Cowboy Ventures), January Ventures Fund I(January Ventures)</t>
  </si>
  <si>
    <t>www.planetfwd.com</t>
  </si>
  <si>
    <t>252114-94T</t>
  </si>
  <si>
    <t>Planette</t>
  </si>
  <si>
    <t>529799-86</t>
  </si>
  <si>
    <t>Audacious Ventures, Dash Fund, Graham &amp; Walker, Jetstream Capital, Techstars</t>
  </si>
  <si>
    <t>Audacious Ventures (www.audacious.co), Dash Fund (www.dashfund.co), Graham &amp; Walker (www.grahamwalker.com), Jetstream Capital (www.jetstreamcapital.com), Techstars (www.techstars.com)</t>
  </si>
  <si>
    <t>Developer of an integrated climate and energy intelligence platform designed to help plan for a better future. The company's platform is designed to help make informed decisions about climate risk and integrates data and insights from climate science, the energy sector and the enterprise's own data, enabling industries to assess their climate risk exposure, develop mitigation strategies and plan for the future.</t>
  </si>
  <si>
    <t>The company raised $2.4 million of pre-seed funding in a deal led by Audacious Ventures and Dash Fund on February 22, 2024 in the form of SAFE notes. Graham &amp; Walker, Techstars and Jetstream Capital also participated in the round.</t>
  </si>
  <si>
    <t>Business/Productivity Software*, Environmental Services (B2B), Media and Information Services (B2B)</t>
  </si>
  <si>
    <t>climate data, climate intelligence, climate mitigation, climate risk assessment, data integration, earthing data, energy planning, land use, risk mitigation</t>
  </si>
  <si>
    <t>Microweather</t>
  </si>
  <si>
    <t>352937-26P</t>
  </si>
  <si>
    <t>Hansi Singh</t>
  </si>
  <si>
    <t>hansi@planette.ai</t>
  </si>
  <si>
    <t>Dr. Hansi Singh is a Co-Founder &amp; serves as Chief Executive Officer at Planette. She is a former professor of physical climate science, University of Victoria. US Department of Energy Office of Science fellow and awardee. Specialist in Earth system modeling and high performance computing. Working group co-chair of the Community Earth System Model, funded by NSF.</t>
  </si>
  <si>
    <t>Audacious Ventures, Dash Fund, Graham &amp; Walker, Jetstream Capital</t>
  </si>
  <si>
    <t>Audacious Ventures, Dash Fund</t>
  </si>
  <si>
    <t>Cooley (Legal Advisor to Audacious Ventures), Wilson Sonsini Goodrich &amp; Rosati (Legal Advisor to Company)</t>
  </si>
  <si>
    <t>Cooley (Legal Advisor to Audacious Ventures)</t>
  </si>
  <si>
    <t>www.planette.ai</t>
  </si>
  <si>
    <t>179054-65T</t>
  </si>
  <si>
    <t>Playbook(Business/Productivity Software)</t>
  </si>
  <si>
    <t>453553-75</t>
  </si>
  <si>
    <t>Abstract Ventures, Backend Capital, Basis Set Ventures, Beth Turner(Beth Turner), Edward Kim(Edward Kim), Eric Wu(Eric Wu), Founders Fund(John Luttig), Inovia Capital, Maple VC, Wilson Sonsini Goodrich &amp; Rosati</t>
  </si>
  <si>
    <t>Abstract Ventures (abstract.vc), Backend Capital (backendcapital.com), Basis Set Ventures (www.basisset.com), Founders Fund (www.foundersfund.com), Inovia Capital (www.inovia.vc), Maple VC (www.maplevc.com), Wilson Sonsini Goodrich &amp; Rosati (www.wsgr.com)</t>
  </si>
  <si>
    <t>Developer of a visual cloud storage platform designed to streamline and maintain control of the creative assets. The company's application can automatically import, tag, and organize creative files as well as induce AI technology to integrate the current storage and streamline file management, enabling clients to develop and manage their blogs and websites according to their choices.</t>
  </si>
  <si>
    <t>The company raised $18 million of Series A venture funding in a deal led by Bain Capital Ventures on April 19, 2022, putting the company's pre-money valuation at $72 million. Founders Fund and 6 other investors also participated in the round. The funds will be used to iterate and expand operations and business reach worldwide.</t>
  </si>
  <si>
    <t>cloud storage, file storage platform, files access, kms, knowledge management system, storage platform, storage platform software, workspace storage</t>
  </si>
  <si>
    <t>246552-22P</t>
  </si>
  <si>
    <t>Jessica Ko</t>
  </si>
  <si>
    <t>jessica@playbook.com</t>
  </si>
  <si>
    <t>Ms. Jessica Ko is a Co-Founder and serves as Chief Executive Officer &amp; Chief Financial Officer at Playbook.</t>
  </si>
  <si>
    <t>The company raised $4 million of seed funding in a deal led by Founders Fund on March 12, 2020, putting the company's pre-money valuation at $16 million. Wilson Sonsini Goodrich &amp; Rosati, Inovia Capital, Maple VC, Basis Set Ventures, Backend Capital, Abstract Ventures, Eric Wu, Beth Turner and Edward Kim also participated in the round.</t>
  </si>
  <si>
    <t>Abstract Ventures, Backend Capital, Basis Set Ventures, Beth Turner, Edward Kim, Eric Wu, Founders Fund, Inovia Capital, Maple VC, Wilson Sonsini Goodrich &amp; Rosati</t>
  </si>
  <si>
    <t>Founders Fund(John Luttig)</t>
  </si>
  <si>
    <t>Backend Capital Fund I(Backend Capital), Basis Set Ventures I(Basis Set Ventures), iNovia Investment Fund 2018(Inovia Capital), Maple 2 VC(Maple VC), The Founders Fund VI(Founders Fund)</t>
  </si>
  <si>
    <t>www.playbook.com</t>
  </si>
  <si>
    <t>201189-52T</t>
  </si>
  <si>
    <t>Plenty (Financial Software)</t>
  </si>
  <si>
    <t>503059-60</t>
  </si>
  <si>
    <t>Charge Ventures, Hawktail, Original Capital, Vivek Patel(Vivek Patel)</t>
  </si>
  <si>
    <t>Charge Ventures (www.charge.vc), Hawktail (hawktail.com), Original Capital (www.originalcapital.com)</t>
  </si>
  <si>
    <t>Developer of a financial planning platform intended to accelerate users' journey toward financial freedom. The company's software provides personalized insight at affordable rates, enabling users to have a financial planning platform that assists with managing their wealth.</t>
  </si>
  <si>
    <t>The company raised $5 million of seed funding from Inovia Capital, Mana Ventures, Interplay and GarageCapital on May 9, 2024. Otherwise Fund also participated in the round. The funds will be used to expand operations and its development efforts.</t>
  </si>
  <si>
    <t>digital advisory, financial decisions making, financial freedom, financial planning support, financial planning tools, money management service, personalized finance, wealthtech</t>
  </si>
  <si>
    <t>311599-36P</t>
  </si>
  <si>
    <t>Emily Luk</t>
  </si>
  <si>
    <t>+1 (416) 223-6066</t>
  </si>
  <si>
    <t>emily@withplenty.com</t>
  </si>
  <si>
    <t>Ms. Emily Luk is a Co-Founder &amp; serves as Chief Executive Officer at Plenty.</t>
  </si>
  <si>
    <t>The company raised $2.6 million of Seed-2 funding from Charge Ventures, Hawktail and Original Capital on February 1, 2022, putting the company's pre-money valuation at $4.65 million. Vivek Patel and other undisclosed investors also participated in the round.</t>
  </si>
  <si>
    <t>Charge Ventures, Hawktail, Original Capital, Vivek Patel</t>
  </si>
  <si>
    <t>www.withplenty.com</t>
  </si>
  <si>
    <t>118048-24T</t>
  </si>
  <si>
    <t>Plinqit</t>
  </si>
  <si>
    <t>130609-45</t>
  </si>
  <si>
    <t>Invest Detroit Ventures(Patricia Glaza), Invest Michigan, Michigan Angel Fund, Michigan Rise</t>
  </si>
  <si>
    <t>Invest Detroit Ventures (www.idventures.com), Invest Michigan (www.investmichigan.org), Michigan Angel Fund (www.miangelfund.com), Michigan Rise (www.michiganrise.com)</t>
  </si>
  <si>
    <t>Developer of savings platform designed to easily and cost-effectively introduce new services for attracting and retaining customers. The company's platform helps both brick-and-mortar and virtual banks attract and retain depositors through a set of powerful age-specific interactive applications, enabling customers and their children to save as well as learn modern money management techniques and grow through its unique savings gamification system.</t>
  </si>
  <si>
    <t>The company raised $5 million of Series A venture funding in a deal led by FINTOP Capital and Jam Fintop Capital on January 7, 2022, putting the company's pre-money valuation at $14 million. Invest Detroit Ventures and 5 other investors also participated in the round. The funds will be used to continue to expand the company's business reach.</t>
  </si>
  <si>
    <t>banking application, consumer payment, crm, customer relationship management, financial application, fintech company, loyalty &amp; rewards, mobile banking, mobile banking platform, mobile banking service, money saving app, money saving education, retail loyalty, retail rewards</t>
  </si>
  <si>
    <t>130871-71P</t>
  </si>
  <si>
    <t>Kathleen Craig</t>
  </si>
  <si>
    <t>+1 (734) 822-7544</t>
  </si>
  <si>
    <t>kcraig@plinqit.com</t>
  </si>
  <si>
    <t>Ms. Kathleen Craig is a Co-Founder &amp; serves as Chief Executive Officer at Plinqit. She has had a successful career in consulting, Service Industry, Banking, and now FinTech Entrepreneur. Client Experience Officer and then VP, of Consumer eServices at United Bank &amp; Trust. Advisor to WalletFi and Member of, Board of Directors for the Association for Financial Technology.</t>
  </si>
  <si>
    <t>Eastern Michigan University, BBA (Bachelor of Business Administration), 2013, Business Management</t>
  </si>
  <si>
    <t>The company raised $1.58 million of pre-seed funding from Invest Detroit Ventures, Michigan Rise and Invest Michigan on May 1, 2020, putting the company's pre-money valuation at $6 million. Michigan Angel Fund and other undisclosed investors also participated in the round. Of the total amount, $75,000 was originally raised in the form of convertible debt and subsequently converted to equity.</t>
  </si>
  <si>
    <t>Invest Michigan, Michigan Angel Fund, Michigan Rise</t>
  </si>
  <si>
    <t>Invest Detroit Ventures</t>
  </si>
  <si>
    <t>Michigan Rise Pre Seed Fund III(Michigan Rise), The Michigan Pre-Seed Fund 2.0(Invest Michigan)</t>
  </si>
  <si>
    <t>Ann Arbor, MI</t>
  </si>
  <si>
    <t>Ann Arbor</t>
  </si>
  <si>
    <t>48108</t>
  </si>
  <si>
    <t>www.plinqit.com</t>
  </si>
  <si>
    <t>218375-56T</t>
  </si>
  <si>
    <t>Plot</t>
  </si>
  <si>
    <t>521627-86</t>
  </si>
  <si>
    <t>Broom Ventures, Potluck Ventures, Seven Seven Six, Trust Fund(Sophia Amoruso), Visible Hands</t>
  </si>
  <si>
    <t>Broom Ventures (www.broom.ventures), Potluck Ventures (www.potluck.vc), Seven Seven Six (www.sevensevensix.com), Trust Fund (www.trustfund.vc), Visible Hands (www.visiblehands.vc)</t>
  </si>
  <si>
    <t>Developer of a creative operations platform designed to streamline project planning, collaboration, and deliverable management. The company's platform offers a centralized hub with visual project planning, task assignment, creative review features, and decision tracking, providing marketers, agencies, freelancers, and content creators with transparency, cross-collaboration, and productivity in their projects.</t>
  </si>
  <si>
    <t>The company raised $3 million of seed funding in a deal led by Seven Seven Six on February 24, 2023. Trust Fund, Potluck Ventures, Broom Ventures, and Visible Hands also participated in the round. The funds will be used to accelerate product development and launch publicly.</t>
  </si>
  <si>
    <t>collaboration platform, creative development, creative process, creative software, project management, project planning, project planning tools, workspace model</t>
  </si>
  <si>
    <t>339735-52P</t>
  </si>
  <si>
    <t>Megan Duong</t>
  </si>
  <si>
    <t>megan@plot.so</t>
  </si>
  <si>
    <t>Ms. Megan Duong is a Co-Founder and serves as Chief Executive Officer at Plot. She has led marketing at Claris, a division of Apple, and was named a "2020 Forbes 30 Under 30" in Marketing &amp; Advertising. She previously co-founded a creative agency called Sweater Story. She holds a Bachelor's Degree in Marketing from the University of San Francisco.</t>
  </si>
  <si>
    <t>University of San Francisco, Bachelor's, Marketing</t>
  </si>
  <si>
    <t>Broom Ventures, Potluck Ventures, Seven Seven Six, Trust Fund, Visible Hands</t>
  </si>
  <si>
    <t>776 Fund II(Seven Seven Six), Broom Ventures Fund I(Broom Ventures)</t>
  </si>
  <si>
    <t>Silicon Legal Strategy (Legal Advisor to Company, Guy Ladetzky JD)</t>
  </si>
  <si>
    <t>www.plot.so</t>
  </si>
  <si>
    <t>213216-22T</t>
  </si>
  <si>
    <t>Plug (Information Services (B2C))</t>
  </si>
  <si>
    <t>501912-28</t>
  </si>
  <si>
    <t>Developer of a recruitment platform designed for college recruiters to review profiles created by high school athletes to scout and recruit players. The company's platform allows coaches to recruit suitable players for their team based on the player's profile and exposure and athletes can build their profile by uploading videos of practices, highlights, and skills, enabling customers to have a player recruitment platform.</t>
  </si>
  <si>
    <t>The company raised $500,000 of seed funding from Nelnet Ventures, Invest Nebraska and Black Dog Ventures (PGSA) on March 2, 2023.</t>
  </si>
  <si>
    <t>players data, players forum, players management, players platform, players support platform, players supporting</t>
  </si>
  <si>
    <t>332035-30P</t>
  </si>
  <si>
    <t>Emily Buettner</t>
  </si>
  <si>
    <t>+1 (402) 972-5975</t>
  </si>
  <si>
    <t>emily@plugsports.io</t>
  </si>
  <si>
    <t>Ms. Emily Buettner is a Co-Founder and serves as Chief Executive Officer at Plug.</t>
  </si>
  <si>
    <t>The company raised $1 million through a combination Seed and Seed-1 funding from Invest Nebraska on June 7, 2022, putting the company's pre-money valuation at $3 million.</t>
  </si>
  <si>
    <t>Invest Nebraska Seed Fund(Invest Nebraska)</t>
  </si>
  <si>
    <t>68147</t>
  </si>
  <si>
    <t>www.plugsports.io</t>
  </si>
  <si>
    <t>166302-91T</t>
  </si>
  <si>
    <t>Plura</t>
  </si>
  <si>
    <t>433415-71</t>
  </si>
  <si>
    <t>Behind Genius Ventures, Claire Johnson(Claire Hughes Johnson), Gaingels, GFR Fund, Nathaniel Mitchell(Nathaniel Mitchell), Precursor Ventures, Tuesday Capital(Prashant Fonseka), Y Combinator</t>
  </si>
  <si>
    <t>Behind Genius Ventures (www.behindgeniusventures.com), Gaingels (www.gaingels.com), GFR Fund (www.gfrfund.com), Precursor Ventures (precursorvc.com), Tuesday Capital (www.tuesday.vc), Y Combinator (www.ycombinator.com)</t>
  </si>
  <si>
    <t>Developer of a social platform intended to connect people and build community while providing maximum privacy to the users. The company's platform specializes in dating communities organizes group dates in parks and members choose who they want to meet, enabling users to meet new people and make new friends and partners organically.</t>
  </si>
  <si>
    <t>The company raised $2.5 million of seed funding in a deal led by Tuesday Capital on September 14, 2022. Precursor Ventures, Behind Genius Ventures, GFR Fund, Y Combinator, Claire Johnson, Gaingels and Nathaniel Mitchell also participated in the round. The funds will be used to accelerate growth and expand operations.</t>
  </si>
  <si>
    <t>community organizer, dating app, dating app developer, dating application, get together platform, social app, social application</t>
  </si>
  <si>
    <t>225944-56P</t>
  </si>
  <si>
    <t>Lauren Vegter</t>
  </si>
  <si>
    <t>+1 (925) 289-8032</t>
  </si>
  <si>
    <t>lauren@joinbloom.community</t>
  </si>
  <si>
    <t>Ms. Lauren Ray Vegter is the Founder and serves as Co-Chief Executive Officer at Bloom. She led User Acquisition for Instagram. She also led the social products team at Oculus and launched consumer VR to the world. Prior to Bloom, she led the Marketplace team at Faire. She has two MIT degrees and studied Computer Science at Stanford.</t>
  </si>
  <si>
    <t>Massachusetts Institute of Technology, Degree, Stanford University, Degree, Computer Science</t>
  </si>
  <si>
    <t>Behind Genius Ventures, Claire Johnson, Gaingels, GFR Fund, Nathaniel Mitchell, Precursor Ventures, Tuesday Capital</t>
  </si>
  <si>
    <t>Tuesday Capital(Prashant Fonseka)</t>
  </si>
  <si>
    <t>Behind Genius Fund(Behind Genius Ventures), GFR Fund(GFR Fund)</t>
  </si>
  <si>
    <t>www.bloomcommunity.com</t>
  </si>
  <si>
    <t>234150-94T</t>
  </si>
  <si>
    <t>PMI Rate Pro</t>
  </si>
  <si>
    <t>437092-30</t>
  </si>
  <si>
    <t>Karen Fenaroli(Karen Fenaroli)</t>
  </si>
  <si>
    <t>Developer of a mortgage insurance platform intended to provide fast quotes. The company's platform allows its clients to complete one form and receive results from all providers in a quick time, thereby enabling loan officers to offer an affordable option to their homebuyers while saving time to close the deals.</t>
  </si>
  <si>
    <t>The company raised $630,000 of seed funding from Nelnet Ventures, Kansas Center For Entrepreneurship, and Women's Capital Connection on July 12, 2023. Mid America Angels also participated in the round. Out of the total amount, $100,000 was raised in the form of SAFE notes which subsequently got converted to equity. The funds will be used to accelerate the company's growth trajectory and solidify its position as an industry disruptor.</t>
  </si>
  <si>
    <t>Other Insurance</t>
  </si>
  <si>
    <t>Financial Software, Other Insurance*</t>
  </si>
  <si>
    <t>InsurTech, Mortgage Tech, Real Estate Technology</t>
  </si>
  <si>
    <t>financial software, mortgage insurance, mortgage insurance quote, mortgage insurance strategy, mortgage quote, private mortgage, private mortgage insurance</t>
  </si>
  <si>
    <t>235361-35P</t>
  </si>
  <si>
    <t>Nomi Smith</t>
  </si>
  <si>
    <t>+1 (913) 214-2799</t>
  </si>
  <si>
    <t>nsmith@pmiratepro.com</t>
  </si>
  <si>
    <t>Ms. Nomi Smith is a Co-Founder and serves as Chief Executive Officer at PMI Rate Pro.</t>
  </si>
  <si>
    <t>The company raised $700,000 of seed funding from Karen Fenaroli and other undisclosed investors in August 2020.</t>
  </si>
  <si>
    <t>Karen Fenaroli</t>
  </si>
  <si>
    <t>Overland Park, KS</t>
  </si>
  <si>
    <t>Overland Park</t>
  </si>
  <si>
    <t>Kansas</t>
  </si>
  <si>
    <t>66209</t>
  </si>
  <si>
    <t>www.pmiratepro.com</t>
  </si>
  <si>
    <t>177532-48T</t>
  </si>
  <si>
    <t>Pocus</t>
  </si>
  <si>
    <t>470961-10</t>
  </si>
  <si>
    <t>Aaron Katz(Aaron Katz), Akshay Kothari(Akshay Kothari), Allison Pickens(Allison Pickens), Barr Moses(Barr Moses), Ben Lang(Ben Lang), BoxGroup, Charley Ma(Charley Ma), Clark Valberg(Clark Valberg), Eric Wittman(Eric Wittman), First Round Capital, Giancarlo Lionetti(Giancarlo Lionetti), Jack Altman(Jack Altman), Jay Simons(Jay Simons), Kenny Van Zant(Kenny Van Zant), Lenny Rachitsky(Lenny Rachitsky), Max Mullen(Max Mullen), Patrick McCormick(Patrick McCormick), Reform Ventures, The 21 Fund, Viviana Faga(Viviana Faga)</t>
  </si>
  <si>
    <t>BoxGroup (www.boxgroup.com), First Round Capital (www.firstround.com), Jack Altman (jackealtman.com), Max Mullen (www.maxmullen.com), Reform Ventures (www.reformventures.com), The 21 Fund (www.gsb21fund.com)</t>
  </si>
  <si>
    <t>Developer of a product-led sales platform designed to make data actionable. The company's platform equips product-led companies with the data, insights, and automation needed to convert self-serve users to paid customers by combining customer firmographic and product usage data to provide a complete picture of their self-serve funnel, enabling sales teams to identify opportunities and help close deals.</t>
  </si>
  <si>
    <t>The company raised $23 million of venture through a combination of debt and equity on June 14, 2022, putting the company's pre-money valuation at $94.5 million. $20.5 million of Series A was led by Coatue Management with participation from First Round Capital, GTMFund, Mantis VC, Annelies Gamble, FundFire, K5 Global, Akshay Kothari, Sri Viswanath, Abhinav Asthana, Tristan Handy, Adam Blitzer, Scott Belskey, Scott Williamson, Christina Cacioppo, Allison Pickens, Maxwell Mullen, Lenny Rachitsky, Packy McCormick, Aaron Katz, Barr Moses, Jack Altman, GC Lionetti, Ben Lang, The Box Group, Not Boring, Pear, and MKT1. The transaction was supported by $2.5 million of debt financing. The funds will be used to bring more customers and unlock the data warehouse for go-to-market teams.</t>
  </si>
  <si>
    <t>Automation/Workflow Software, Business/Productivity Software*, Database Software, Media and Information Services (B2B)</t>
  </si>
  <si>
    <t>connect customer data, crm, customer relationship management, engagement data, product engagement, revenue database, sales management, sales strategy</t>
  </si>
  <si>
    <t>270857-53P</t>
  </si>
  <si>
    <t>Alexa Grabell</t>
  </si>
  <si>
    <t>+1 (310) 883-6400</t>
  </si>
  <si>
    <t>alexa@pocus.com</t>
  </si>
  <si>
    <t>Ms. Alexa Grabell is a Co-Founder and serves as Chief Executive Officer at Pocus. She is the Co-Founder &amp; serves as General Partner at The 21 Fund.</t>
  </si>
  <si>
    <t>Stanford University, MBA (Master of Business Administration), 2021, Vanderbilt University, BS (Bachelor of Science), 2015, Engineering</t>
  </si>
  <si>
    <t>The company raised $3.5 million of seed funding from First Round Capital, BoxGroup and The 21 Fund on June 14, 2021, putting the company's pre-money valuation at $16.5 million. Reform Ventures, Aaron Katz, Barr Moses, Charley Ma, Viviana Faga, Jay Simons, Jack Altman, GC Lionetti, Ben Lang, Askhay Kothari, Allison Pickens, Clark Valberg, Maxwell Mullen, Eric Wittman, Kenny Van Zant, Lenny Rachitsky and Packy McCormick also participated in the round.</t>
  </si>
  <si>
    <t>Aaron Katz, Akshay Kothari, Allison Pickens, Barr Moses, Ben Lang, BoxGroup, Charley Ma, Clark Valberg, Eric Wittman, First Round Capital, Giancarlo Lionetti, Jack Altman, Jay Simons, Kenny Van Zant, Lenny Rachitsky, Max Mullen, Patrick McCormick, Reform Ventures, The 21 Fund, Viviana Faga</t>
  </si>
  <si>
    <t>First Round Capital VI(First Round Capital)</t>
  </si>
  <si>
    <t>www.pocus.com</t>
  </si>
  <si>
    <t>167724-37T</t>
  </si>
  <si>
    <t>Pointz</t>
  </si>
  <si>
    <t>462128-14</t>
  </si>
  <si>
    <t>Rogue Venture Partners, Rogue Women(Thomas Sperry)</t>
  </si>
  <si>
    <t>Rogue Venture Partners (www.roguevp.com), Rogue Women (www.roguewmn.com)</t>
  </si>
  <si>
    <t>Developer of a mobile mapping application designed to find the safest routes for bikes and scooters using road data and crowdsourced information. The company's application uses a proprietary routing algorithm that favors roads on a unique quiet network of residential side streets, protected bike lanes and other bike-friendly streets, enabling riders to navigate through safe low-stress and low-traffic routes in cities.</t>
  </si>
  <si>
    <t>The company joined Techstars as part of its Roux Institute Techstars Accelerator program on September 19, 2022, and received $120,000 in funding.</t>
  </si>
  <si>
    <t>Application Software, Automotive, Information Services (B2C)*</t>
  </si>
  <si>
    <t>Micro-Mobility, Mobile, Mobility Tech, SaaS, TMT</t>
  </si>
  <si>
    <t>mapping application, mapping tools, mobile mapping, navigate safely, navigate traffic, navigation application, travel map</t>
  </si>
  <si>
    <t>255160-99P</t>
  </si>
  <si>
    <t>Magdelyn Bachenberg</t>
  </si>
  <si>
    <t>+1 (507) 236-3475</t>
  </si>
  <si>
    <t>maggie@bikepointz.com</t>
  </si>
  <si>
    <t>Ms. Magdelyn Bachenberg is a Co-Founder of Pointz and also serves as its Chief Executive Officer and Board Member. She started Pointz because of her experience during her gap year when she took a bike trip from Yorktown VA to San Francisco. That experience and her passion for sustainable transportation set the foundation for her work on this project. She concentrates on Environmental Studies at Brown University. She is involved in entrepreneurship on campus, co-leading the Women's Empowerment Team of the Brown Entrepreneurship Program.</t>
  </si>
  <si>
    <t>Brown University, Degree, Environmental Studies</t>
  </si>
  <si>
    <t>The company raised $150,000 of pre-seed funding from Rogue Women and Rogue Venture Partners on September 12, 2021, putting the company's pre-money valuation at $400,000.</t>
  </si>
  <si>
    <t>Rogue Venture Partners, Rogue Women</t>
  </si>
  <si>
    <t>Rogue Venture Partners Fund IV(Rogue Venture Partners), Rogue Women's Fund I(Rogue Women)</t>
  </si>
  <si>
    <t>Providence, RI</t>
  </si>
  <si>
    <t>Providence</t>
  </si>
  <si>
    <t>02903</t>
  </si>
  <si>
    <t>www.bikepointz.com</t>
  </si>
  <si>
    <t>204622-39T</t>
  </si>
  <si>
    <t>Pollen (Educational Software)</t>
  </si>
  <si>
    <t>507248-20</t>
  </si>
  <si>
    <t>Electric Ant, Founder Collective, XYZ Venture Capital</t>
  </si>
  <si>
    <t>Electric Ant (www.electricant.xyz), Founder Collective (www.foundercollective.com), XYZ Venture Capital (www.xyz.vc)</t>
  </si>
  <si>
    <t>Developer of an online platform designed to help freelancers grow their businesses. The company's software helps to get work done through personalized assessments, audio playbooks, growth plans, and tools that move them forward, enabling freelancers to attract customers and achieve targets.</t>
  </si>
  <si>
    <t>The company raised $4 million of venture funding from Founder Collective, 10XImpact, XYZ Venture Capital and Kaya Ventures on June 13, 2023. ANIMO Ventures, Precursor Ventures and other undisclosed investors also participated in the round.</t>
  </si>
  <si>
    <t>Consulting Services (B2B), Educational and Training Services (B2C), Educational Software*</t>
  </si>
  <si>
    <t>freelancers business, freelancers management platform, freelancers project, freelancers search, freelancers services, freelancers tools</t>
  </si>
  <si>
    <t>264336-13P</t>
  </si>
  <si>
    <t>Hillary Bush</t>
  </si>
  <si>
    <t>+1 (415) 580-2832</t>
  </si>
  <si>
    <t>hillary@runpollen.com</t>
  </si>
  <si>
    <t>Ms. Hillary Bush is the Founder &amp; serves as Chief Executive Officer at Pollen. She served as Associate at Founder Collective. She served as Partner Investments - New York &amp; Midwest at Dorm Room Fund. She serves as Associate at Founder Collective. She holds an MBA from NYU Stern and is a graduate from UC Berkeley.</t>
  </si>
  <si>
    <t>New York University (Stern), MBA (Master of Business Administration), UC Berkeley (Haas), Bachelor's</t>
  </si>
  <si>
    <t>The company raised $1.2 million of venture funding from Founder Collective, Electric Ant and XYZ Venture Capital in April 2022.</t>
  </si>
  <si>
    <t>www.runpollen.com</t>
  </si>
  <si>
    <t>170770-33T</t>
  </si>
  <si>
    <t>Pomp</t>
  </si>
  <si>
    <t>465106-33</t>
  </si>
  <si>
    <t>Cannell Capital, FirstMile Ventures(Aaron Stachel), GAN Ventures, Kickstart Fund(Curtis Roberts), Service Provider Capital, SpringTime Ventures</t>
  </si>
  <si>
    <t>Cannell Capital (www.cannellcapital.com), FirstMile Ventures (www.firstmilevc.com), GAN Ventures (www.gan.ventures), Kickstart Fund (www.kickstartfund.com), Service Provider Capital (www.serviceprovidercapital.com), SpringTime Ventures (www.springtimeventures.com)</t>
  </si>
  <si>
    <t>Operator of a skincare platform intended to empower estheticians and med spas with technology to support client relationships outside the treatment room. The company's platform offers estheticians and med spas access to clinical-grade skincare lines, free consultations with professional estheticians and tools to create personalized at-home routines for clients, enabling customers to achieve optimal results and fostering long-term customer loyalty.</t>
  </si>
  <si>
    <t>The company raised $307,999 of venture funding from undisclosed investors on October 23, 2024.</t>
  </si>
  <si>
    <t>Consumer Non-Durables</t>
  </si>
  <si>
    <t>Personal Products</t>
  </si>
  <si>
    <t>Application Software, Business/Productivity Software, Information Services (B2C), Personal Products*</t>
  </si>
  <si>
    <t>Beauty, E-Commerce, Mobile, SaaS</t>
  </si>
  <si>
    <t>esthetician services, skincare advice, skincare center, skincare line, skincare platform, skincare service, skincare service provider, skincare tech</t>
  </si>
  <si>
    <t>260326-09P</t>
  </si>
  <si>
    <t>Shannon Erley</t>
  </si>
  <si>
    <t>+1 (720) 383-7469</t>
  </si>
  <si>
    <t>shannon@pompbeauty.com</t>
  </si>
  <si>
    <t>Ms. Shannon Erley is a Co-Founder and serves as Chief Executive Officer and Board Member at Pomp.</t>
  </si>
  <si>
    <t>The company raised $2.08 million of Seed funding in a deal led by FirstMile Ventures on July 18, 2022, putting the company's pre-money valuation at $5 million. GAN Ventures, Kickstart Fund, Service Provider Capital, SpringTime Ventures, Cannell Capital, and other undisclosed investors also participated in the round.</t>
  </si>
  <si>
    <t>Cannell Capital, FirstMile Ventures, GAN Ventures, Kickstart Fund, Service Provider Capital, SpringTime Ventures</t>
  </si>
  <si>
    <t>FirstMile Ventures(Aaron Stachel)</t>
  </si>
  <si>
    <t>Cannell Venture Partners I(Cannell Capital), FirstMile Ventures 2020(FirstMile Ventures), Kickstart Seed Fund V(Kickstart Fund), Service Provider Capital Rocky Mountain Fund II(Service Provider Capital), SpringTime Ventures Fund I(SpringTime Ventures)</t>
  </si>
  <si>
    <t>80250</t>
  </si>
  <si>
    <t>www.pompbeauty.com</t>
  </si>
  <si>
    <t>209701-72T</t>
  </si>
  <si>
    <t>Poppin (Entertainment Software)</t>
  </si>
  <si>
    <t>515536-30</t>
  </si>
  <si>
    <t>ANRI, East Ventures, F Ventures, Ramon Recuero(Ramon Recuero), Satoshi Naito(Satoshi Naito), Yazawa Ventures</t>
  </si>
  <si>
    <t>ANRI (www.anri.vc), East Ventures (www.east.vc), F Ventures (f-ventures.vc), Yazawa Ventures (yazawa.vc)</t>
  </si>
  <si>
    <t>Developer of a gaming application designed to offer quality gaming experiences. The company's application offers eat-to-earn games where players can collect, battle, and grow fantasy creatures.</t>
  </si>
  <si>
    <t>The company raised $504,999 of seed funding from Yazawa Ventures, ANRI and East Ventures on December 1, 2022. F Ventures, Ramon Recuero, Satoshi Naito and other undisclosed investors also participated in the round.</t>
  </si>
  <si>
    <t>blockchain games, gaming apparel, gaming application developer, gaming application platform, gaming software platform, mobile gaming</t>
  </si>
  <si>
    <t>326101-15P</t>
  </si>
  <si>
    <t>Tomona Kaji</t>
  </si>
  <si>
    <t>+1 (628) 758-8648</t>
  </si>
  <si>
    <t>tmaji@poppin.land</t>
  </si>
  <si>
    <t>Ms. Tomona Kaji is the Founder and serves as Chief Executive Officer and Board Member at Poppin (Entertainment Software).</t>
  </si>
  <si>
    <t>ANRI, East Ventures, F Ventures, Ramon Recuero, Satoshi Naito, Yazawa Ventures</t>
  </si>
  <si>
    <t>www.poppin.land</t>
  </si>
  <si>
    <t>243234-37T</t>
  </si>
  <si>
    <t>Porosity</t>
  </si>
  <si>
    <t>535087-36</t>
  </si>
  <si>
    <t>Deco Ventures (US), Fractal Software</t>
  </si>
  <si>
    <t>Deco Ventures (US) (www.decovc.com), Fractal Software (www.fractalsoftware.com)</t>
  </si>
  <si>
    <t>Developer of a regulatory compliance management platform designed to streamline compliance-related workflows and reduce the risk of fines from regulatory breaches. The company's platform allows users to manage and analyze data related to regulatory compliance, enabling clients to save field team hours each week, reduce response times, take back control of third-party inspections, never miss a deadline, and improve accuracy in reporting.</t>
  </si>
  <si>
    <t>The company raised $3.5 million through a combination of Seed-1, Seed-2, and Seed-3 funding from Fractal Software, Deco Ventures (US) and other undisclosed investors on October 13, 2023, putting the company's pre-money valuation at $7 million. Of the total amount, $1 million was originally raised in the form of convertible debt and subsequently converted equity.</t>
  </si>
  <si>
    <t>compliance management, compliance management app, compliance management software, regulatory compliance, regulatory compliance management, regulatory compliance service, regulatory compliance software, regulatory compliance tool</t>
  </si>
  <si>
    <t>363715-48P</t>
  </si>
  <si>
    <t>Natasha Reddy</t>
  </si>
  <si>
    <t>+1 (201) 256-1075</t>
  </si>
  <si>
    <t>natasha@porosity.com</t>
  </si>
  <si>
    <t>Ms. Natasha Reddy is a Co-Founder &amp; serves as Chief Executive Officer and Board Member at Porosity. She has worked for 6 years at Shell and 3 years scaling a tech startup.</t>
  </si>
  <si>
    <t>Harvard University, MBA (Master of Business Administration)</t>
  </si>
  <si>
    <t>The company raised $3.5 million through a combination of Seed-1, Seed-2, and Seed-3 funding from Fractal Software, Deco Ventures (US), and other undisclosed investors on October 13, 2023, putting the company's pre-money valuation at $7 million. Of the total amount, $1 million was originally raised in the form of convertible debt and subsequently converted equity.</t>
  </si>
  <si>
    <t>www.porosity.com</t>
  </si>
  <si>
    <t>193270-51T</t>
  </si>
  <si>
    <t>Portal Labs</t>
  </si>
  <si>
    <t>496010-44</t>
  </si>
  <si>
    <t>Acrew Capital, Ayokunle Omojola(Ayokunle Omojola), Calvin French-Owen(Calvin French-Owen), Canonical Crypto, Chapter One, Diogo Monica(Diogo Monica), Gokul Rajaram(Gokul Rajaram), Haun Ventures Management, Henrique Dubagras(Henrique Dubagras), Kindergarten Ventures, Not Boring, Rally Cap VC, Serunjogi Ventures, Sima Gandhi(Sima Gandhi), Terry Angelos(Terry Angelos), William Hockey(William Hockey)</t>
  </si>
  <si>
    <t>Acrew Capital (www.acrewcapital.com), Canonical Crypto (www.canonical.cc), Chapter One (www.chapterone.com), Haun Ventures Management (www.haun.co), Kindergarten Ventures (www.kindergarten.ventures), Not Boring (www.notboring.co), Rally Cap VC (www.rallycap.vc), Serunjogi Ventures (www.serunjogi.com)</t>
  </si>
  <si>
    <t>Operator of web3 infrastructure intended to unlock capabilities for the upcoming users. The company provides consumer infrastructure to give users a native experience with security, simple integration, UX, and endless use cases, enabling customers easy ways to interact with NFTs, Defi, play-to-earn gaming, and more.</t>
  </si>
  <si>
    <t>The company raised an additional $3.7 million of Seed funding from WAGMI Ventures (New York), Slow Ventures and other undisclosed investors on April 3, 2024, putting the company's pre-money valuation at an estimated $25 million. Calm Ventures also participated in this round.</t>
  </si>
  <si>
    <t>Application Software, Business/Productivity Software, Financial Software*, Other Financial Services</t>
  </si>
  <si>
    <t>consumer infrastructure, consumer portal, custodial account, software development, web application, web3 app, web3 project</t>
  </si>
  <si>
    <t>300042-82P</t>
  </si>
  <si>
    <t>Raj Parekh</t>
  </si>
  <si>
    <t>raj@portalhq.io</t>
  </si>
  <si>
    <t>Ms. Raj Parekh is a Co-Founder &amp; serves as Chief Executive Officer at Portal Labs.</t>
  </si>
  <si>
    <t>The company raised $5.3 million of Seed funding in a deal led by Slow Ventures on March 1, 2022, putting the company's pre-money valuation at $19.7 million. Rally Cap VC, Kindergarten Ventures, Not Boring, Chapter One, Canonical Crypto, Haun Ventures, Acrew Capital, Serunjogi Ventures, Ayokunle Omojola, William Hockey, Diogo Monica, Gokul Rajaram, Sima Gandhi, Calvin French-Owen, Terry Angelos, Henrique Dubagras and other undisclosed investors also participated in the round.</t>
  </si>
  <si>
    <t>Acrew Capital, Ayokunle Omojola, Calvin French-Owen, Canonical Crypto, Chapter One, Diogo Monica, Gokul Rajaram, Haun Ventures Management, Henrique Dubagras, Kindergarten Ventures, Not Boring, Rally Cap VC, Serunjogi Ventures, Sima Gandhi, Terry Angelos, William Hockey</t>
  </si>
  <si>
    <t>Chapter One, Page Two(Chapter One), RaliCap Fund I(Rally Cap VC)</t>
  </si>
  <si>
    <t>www.portalhq.io</t>
  </si>
  <si>
    <t>188248-87T</t>
  </si>
  <si>
    <t>Portal26</t>
  </si>
  <si>
    <t>442898-47</t>
  </si>
  <si>
    <t>Amit Jasuja(Amit Jasuja), Dale Fuller(Dale Fuller), Fusion Fund(Lu Zhang), Igor Taber(Igor Taber), Naveen Palavali(Naveen Palavali), Piyush Sharma(Piyush Sharma), Ray Rothrock(Ray Rothrock), Refinery Ventures(Timothy Schigel), Richard Clarke, Shasta Ventures, Tokio Marine Future Fund, Tokio Marine Holdings (TKS: 8766), Vishal Gupta(Vishal Gupta)</t>
  </si>
  <si>
    <t>Fusion Fund (www.fusionfund.com), Refinery Ventures (www.refinery.com), Richard Clarke (richardaclarke.net), Shasta Ventures (www.shasta.vc), Tokio Marine Future Fund (www.tmfuturefund.com), Tokio Marine Holdings (TKS: 8766) (www.tokiomarinehd.com)</t>
  </si>
  <si>
    <t>Developer of a Generative AI adoption platform intended to offer visibility, governance, forensics, analytics, and education. The company's platform provides essential infrastructure for enterprises to manage, monitor, and measure their Generative AI programs, enabling them to gain visibility into usage while mitigating risks associated with compliance, intellectual property, and privacy.</t>
  </si>
  <si>
    <t>The company raised $6 million of seed funding in a deal led by Refinery Ventures on February 10, 2022, putting the company's pre-money valuation at $14 million. Tokio Marine Future Fund and 12 other investors also participated in the round. The funds will be used by the company to support an aggressive sales expansion and further product innovations.</t>
  </si>
  <si>
    <t>Business/Productivity Software, Database Software, Network Management Software*</t>
  </si>
  <si>
    <t>Big Data, Cybersecurity</t>
  </si>
  <si>
    <t>data infrastructure, data privacy, data protection &amp; encryption, data protection and encryption, data protection firm, data protection platform, data protection software, data security, generative ai, privacy &amp; security, ransomware defense</t>
  </si>
  <si>
    <t>244261-90P</t>
  </si>
  <si>
    <t>Arti Raman</t>
  </si>
  <si>
    <t>+1 (415) 652-5544</t>
  </si>
  <si>
    <t>arti@portal26.ai</t>
  </si>
  <si>
    <t>Ms. Arti Raman is the Founder &amp; serves as Chief Executive Officer at Titaniam.</t>
  </si>
  <si>
    <t>The company raised $6 million of seed funding in a deal led by Refinery Ventures on February 10, 2022, putting the company's pre-money valuation at $14 million. Tokio Marine Future Fund, Fusion Fund, Shasta Ventures, Ray Rothrock, Richard Clarke, Dale Fuller, Amit Jasuja, Piyush Sharma, Naveen Palavali, Vishal Gupta, Igor Taber, Tokio Marine Holdings and other undisclosed investors also participated in the round. The funds will be used by the company to support an aggressive sales expansion and further product innovations.</t>
  </si>
  <si>
    <t>Amit Jasuja, Dale Fuller, Fusion Fund, Igor Taber, Naveen Palavali, Piyush Sharma, Ray Rothrock, Refinery Ventures, Richard Clarke, Shasta Ventures, Tokio Marine Future Fund, Tokio Marine Holdings, Vishal Gupta</t>
  </si>
  <si>
    <t>Refinery Ventures(Timothy Schigel)</t>
  </si>
  <si>
    <t>Fusion Fund III(Fusion Fund), Refinery Venture Fund II(Refinery Ventures), Shasta Ventures IV(Shasta Ventures), Tokio Marine Future Insurance Fund I(Tokio Marine Holdings)</t>
  </si>
  <si>
    <t>www.portal26.ai</t>
  </si>
  <si>
    <t>176201-65T</t>
  </si>
  <si>
    <t>Portex</t>
  </si>
  <si>
    <t>469664-92</t>
  </si>
  <si>
    <t>Base10 Partners, Cowboy Ventures, DeVaris Brown(DeVaris Brown), Good Friends, Susa Ventures, Tina Dai(Tina Dai), Todd Johnson(Todd Johnson)</t>
  </si>
  <si>
    <t>Base10 Partners (www.base10.vc), Cowboy Ventures (www.cowboy.vc), Good Friends (www.goodfriends.com), Susa Ventures (www.susaventures.com)</t>
  </si>
  <si>
    <t>Developer of freight procurement platform designed to modernize logistics and payments. The company's platform helps to templatize and send quote requests to existing partners, provides auto-aggregated quotes with benchmarking for informed decisions, and access freight pricing data trapped or lost in email, spreadsheets, and PDFs, enabling clients to save time and money in strategic freight management.</t>
  </si>
  <si>
    <t>The company raised $6.25 million of Seed-1 funding in a deal led by Footwork on September 5, 2024, putting the company's pre-money valuation at $25.75 million. Base10 Partners, Susa Ventures, Cowboy Ventures, REFASHIOND Ventures and other undisclosed investors also participated in the round. The funds will be used to build the future of Intelligent Freight Logistics.</t>
  </si>
  <si>
    <t>Automation/Workflow Software, Business/Productivity Software*, Logistics</t>
  </si>
  <si>
    <t>Artificial Intelligence &amp; Machine Learning, CloudTech &amp; DevOps, Industrials, SaaS</t>
  </si>
  <si>
    <t>cloud-based software, computer software, freight management, freight procurement, logistics management, procurement and sourcing, procurement support, scm, supply chain management, supply chain managment, trading transaction</t>
  </si>
  <si>
    <t>The company raised an estimated $1.3 million through the combination of Seed-2, Seed-3 and Seed-4 funding from Susa Ventures, Cowboy Ventures and Good Friends on January 1, 2020, putting the company's pre-money valuation at $7.9 million. Base10 Partners, Tina Dai, DeVaris Brown, Todd Johnson and other undisclosed investors also participated in the round.</t>
  </si>
  <si>
    <t>Base10 Partners, Cowboy Ventures, DeVaris Brown, Good Friends, Susa Ventures, Tina Dai, Todd Johnson</t>
  </si>
  <si>
    <t>Base10 Partners I(Base10 Partners), Cowboy Capital Fund III(Cowboy Ventures), Susa Ventures II(Susa Ventures)</t>
  </si>
  <si>
    <t>94114-1612</t>
  </si>
  <si>
    <t>www.portexpro.com</t>
  </si>
  <si>
    <t>167172-94T</t>
  </si>
  <si>
    <t>Praxis Labs</t>
  </si>
  <si>
    <t>267882-58</t>
  </si>
  <si>
    <t>Emerson Collective(Fern Mandelbaum), Firework Ventures, GSB 20|20 Fund, Norwest Venture Partners(Jeffrey Crowe), Open Opportunity Fund(Mwashuma Nyatta), Penny Jar Capital(Bryant Barr), Precursor Ventures, R/GA Ventures, Ulu Ventures(Steve Reale), Westbound Equity Partners</t>
  </si>
  <si>
    <t>Emerson Collective (www.emersoncollective.com), Firework Ventures (www.firework.vc), Norwest Venture Partners (www.nvp.com), Open Opportunity Fund (www.theopportunityfund.com), Penny Jar Capital (www.pennyjar.com), Precursor Ventures (precursorvc.com), R/GA Ventures (ventures.rga.com), Ulu Ventures (www.uluventures.com), Westbound Equity Partners (www.westboundequity.com)</t>
  </si>
  <si>
    <t>Operator of an online learning platform intended to embed equity and inclusion throughout the employee lifecycle. The company's platform offers research-backed and data-driven training, technological experiences and quantifiable metrics, enabling users to improve their understanding and empathy of implicit bias within the workplace.</t>
  </si>
  <si>
    <t>The company joined Cardinal Ventures on an undisclosed date. No equity or funding was exchanged as a result of this program.</t>
  </si>
  <si>
    <t>EdTech, Virtual Reality</t>
  </si>
  <si>
    <t>content services, curriculum creation, dei program, diversity data, employee training, immersive learning, kms, knowledge management system, learning platform</t>
  </si>
  <si>
    <t>154610-02P</t>
  </si>
  <si>
    <t>Elise Smith</t>
  </si>
  <si>
    <t>+1 (708) 912-5611</t>
  </si>
  <si>
    <t>elise@praxislabs.co</t>
  </si>
  <si>
    <t>Ms. Elise Smith is a Co-Founder and serves as Chief Executive Officer &amp; Board Member at Praxis Labs. She served as Senior Analyst at NewSchools Venture Fund. Prior to joining NewSchools, Elise worked in the education technology space at IBM Watson where she helped develop early iterations of Watson for Education solutions. Following that work, Elise helped advise some of IBM's top clients on machine learning and cognitive computing technologies as part of IBM Watson's Cross-Industry Transformations strategy team. She went on to lead IBM Watson new market development for business partners in Latin America, South Africa, and Turkey and most recently, Elise led education technology partnerships for IBM Watson Ecosystem. Elise holds an A.B. from Dartmouth College in Geography with a focus on Social Inequalities.</t>
  </si>
  <si>
    <t>Dartmouth College, BA (Bachelor of Arts), Geography, Stanford University, MA (Master of Arts), Education, Stanford University, MBA (Master of Business Administration), Education</t>
  </si>
  <si>
    <t>The company raised $18.71 million through a combination of Series A and Series A-1 venture funding in a deal led by Norwest Venture Partners and Emerson Collective on October 19, 2021, putting the company's pre-money valuation at $30 million. Ulu Ventures and 10 other investors also participated in the round. The funds will be used to scale the platform, expand its learning journey library, add several key leadership roles and hire more broadly.</t>
  </si>
  <si>
    <t>Emerson Collective, Firework Ventures, GSB 20|20 Fund, Norwest Venture Partners, Open Opportunity Fund, Penny Jar Capital, Precursor Ventures, R/GA Ventures, Ulu Ventures, Westbound Equity Partners</t>
  </si>
  <si>
    <t>Emerson Collective(Fern Mandelbaum), Norwest Venture Partners(Jeffrey Crowe)</t>
  </si>
  <si>
    <t>Concrete Rose Fund(Westbound Equity Partners), Norwest Venture Partners XV(Norwest Venture Partners), Penny Jar Capital Venture Fund(Penny Jar Capital), Precursor Ventures III(Precursor Ventures), Ulu Ventures Fund III(Ulu Ventures)</t>
  </si>
  <si>
    <t>Cooley (Legal Advisor to Norwest Venture Partners), Fenwick &amp; West (Legal Advisor to Company)</t>
  </si>
  <si>
    <t>Cooley (Legal Advisor to Norwest Venture Partners)</t>
  </si>
  <si>
    <t>www.praxislabs.co</t>
  </si>
  <si>
    <t>190893-88T</t>
  </si>
  <si>
    <t>PreQL</t>
  </si>
  <si>
    <t>492819-40</t>
  </si>
  <si>
    <t>Activation Fund, Backbone Angels, Benn Stancil(Benn Stancil), Bessemer Venture Partners, Eldad Fakash(Eldad Fakash), Felicis(Viviana Faga), Ground Up Ventures, INT3, Keenan Rice(Keenan Rice), Taylor Brown(Taylor Brown), Tristan Handy(Tristan Handy), Verissimo Ventures</t>
  </si>
  <si>
    <t>Activation Fund (www.activation.fund), Backbone Angels (www.backboneangels.com), Bessemer Venture Partners (www.bvp.com), Felicis (www.felicis.com), Ground Up Ventures (www.groundup.vc), INT3 (int3.com), Verissimo Ventures (verissimo.vc)</t>
  </si>
  <si>
    <t>Developer of an open-source interactive visualization tool designed to help clients improve their data management and scale their business. The company's tool allows for a fusion of UX, caches data, and organizes it to display populated tables based on user commands given through an easy-to-use set of dropdowns, providing developers with the ability to easily visualize their databases with cached, query-less requests to the backend and generate SQL queries.</t>
  </si>
  <si>
    <t>The company raised an additional estimated $4 million of Seed funding from Avid Ventures and other undisclosed investors on April 19, 2024, putting the company's pre-money valuation at $17 million.</t>
  </si>
  <si>
    <t>analytics &amp; business intelligence, analytics and business intelligence, analytics platform, automation model, business intelligence data, data management software, data software &amp; systems, data software and systems, data transformation, data visualization, interface design, reporting technology, sql tools, visualization tool</t>
  </si>
  <si>
    <t>292533-85P</t>
  </si>
  <si>
    <t>Connor Tracy</t>
  </si>
  <si>
    <t>Mr. Connor Tracy co-founded &amp; served as Software Engineer at PreQL. Mr. Connor Tracy serves as Co-Founder &amp; Software Engineer at PreQL. He graduated from Coles College of Business with a Bachelor's in Marketing from Kennesaw State University. He previously worked in Finance as a Data Analyst for a year before his transition to the Software Engineering field with a keen enthusiasm for learning new concepts. Now he fully dedicates his time to learning different languages and frameworks in order to benefit, not only himself but his team as a whole. He found his passion for utilizing Front-End frameworks and creative design patterns, and as our seasoned Full-Stack Software Engineer, he has devoted himself to building out our application with clean, DRY, reusable React components.</t>
  </si>
  <si>
    <t>Graduate, Kennesaw State University, Bachelor's, Marketing</t>
  </si>
  <si>
    <t>The company raised $7.00 million of seed funding in a deal led by Bessemer Venture Partners on May 25, 2022, putting the company's pre-money valuation at $10 million. Felicis, Verissimo Ventures, Activation Fund, Ground Up Ventures, INT3, Backbone Angels, Taylor Brown, Keenan Rice, Benn Stancil, Tristan Handy, and Eldad Fakash also participated in the round.</t>
  </si>
  <si>
    <t>Activation Fund, Backbone Angels, Benn Stancil, Bessemer Venture Partners, Eldad Fakash, Felicis, Ground Up Ventures, INT3, Keenan Rice, Taylor Brown, Tristan Handy, Verissimo Ventures</t>
  </si>
  <si>
    <t>Bessemer Venture Partners</t>
  </si>
  <si>
    <t>Verissimo Ventures Fund 1(Verissimo Ventures)</t>
  </si>
  <si>
    <t>Gunderson Dettmer (Legal Advisor to Company, Melissa Marks), Silicon Legal Strategy (Legal Advisor to Felicis, Sarah Boulden JD)</t>
  </si>
  <si>
    <t>Gunderson Dettmer (Legal Advisor to Company, Melissa Marks)</t>
  </si>
  <si>
    <t>Silicon Legal Strategy (Legal Advisor to Felicis, Sarah Boulden JD)</t>
  </si>
  <si>
    <t>11225</t>
  </si>
  <si>
    <t>www.preql.com</t>
  </si>
  <si>
    <t>170587-36T</t>
  </si>
  <si>
    <t>Press Hook</t>
  </si>
  <si>
    <t>464400-73</t>
  </si>
  <si>
    <t>Emergent Ventures(Ankur Jain), Everywhere Ventures(Jenny Fielding), Parker Thompson(Parker Thompson), TNT Ventures(Matthew Tillman)</t>
  </si>
  <si>
    <t>Emergent Ventures (www.emergent.vc), Everywhere Ventures (everywhere.vc), TNT Ventures (tnt.ventures)</t>
  </si>
  <si>
    <t>Provider of digital media services intended to connect media to brands and publicists at scale. The company's services match brands with journalists who are more likely to write about their products and services, enabling brands, publicists, and journalists to connect with each other to facilitate newsworthy stories in the modern world.</t>
  </si>
  <si>
    <t>The company raised $1.5 million of seed funding in a deal led by Everywhere Ventures, TNT Ventures and Emergent Ventures on March 10, 2021. Parker Thompson and other undisclosed investors also participated in the round.</t>
  </si>
  <si>
    <t>brand design, branding equity, media services, online media, product launch, public relations</t>
  </si>
  <si>
    <t>111804-49P</t>
  </si>
  <si>
    <t>Michelle Songy</t>
  </si>
  <si>
    <t>+1 (404) 234-9060</t>
  </si>
  <si>
    <t>michelle@presshook.com</t>
  </si>
  <si>
    <t>Ms. Michelle Songy is the Founder and serves as Chief Executive Officer at Press Hook. She served as the Director of Global Platform Dining Solutions at American Express. Ms. Michelle was a Co-Founder &amp; served as the Chief Operating Officer at Cake Technologies. Michelle came back in Spring of 2020 and got to work on her new dream - a tech-enabled earned media platform specializing in promoting startups and small businesses. She ran a beta program by summer of 2020 and helped over 50 businesses scraping by on a tight budget throughout COVID. Press Hook launched privately in the fall of 2020 and today has over 1000 products, brands and journalists. With newsrooms publishing more content online than ever and hundreds of new businesses launching every day, there are thousands of innovative products and stories to be told, and no signs of slowing down for Michelle and her team at Press Hook. They are redefining the earned media game by connecting hundreds of journalists with innovative businesses with more efficiency, affordability, and relevance - every day.</t>
  </si>
  <si>
    <t>University of Georgia, Athens, Bachelor's, 2008, Management Information Systems</t>
  </si>
  <si>
    <t>Emergent Ventures, Everywhere Ventures, Parker Thompson, TNT Ventures</t>
  </si>
  <si>
    <t>Emergent Ventures(Ankur Jain), Everywhere Ventures(Jenny Fielding), TNT Ventures(Matthew Tillman)</t>
  </si>
  <si>
    <t>www.presshook.com</t>
  </si>
  <si>
    <t>244855-63T</t>
  </si>
  <si>
    <t>Primary Record</t>
  </si>
  <si>
    <t>527099-77</t>
  </si>
  <si>
    <t>BAMco Enterprises, Boomerang Ventures(Eric Beier), Flywheel Fund, IU Ventures, Render Capital, VisionTech Partners</t>
  </si>
  <si>
    <t>BAMco Enterprises (www.bamco.enterprises), Boomerang Ventures (boomerang.vc), Flywheel Fund (www.flywheelfund.vc), IU Ventures (www.iuventures.com), Render Capital (www.render.capital), VisionTech Partners (www.visiontech-partners.com)</t>
  </si>
  <si>
    <t>Developer a medical health data application designed for families to access their health information organized and shared over a lifetime. The company's application guides individuals and their families in documenting, organizing, and sharing healthcare information, enabling families to have all their health information in one place to easily share their health stories and the healthcare team around them.</t>
  </si>
  <si>
    <t>The company raised $1 million of seed funding in the form of convertible debt financing led by Boomerang Ventures. IU Ventures, Render Capital, VisionTech Partners and BAMco Enterprises also participated in the round on December 7, 2023, putting the company's post-valuation at $4.5 million.</t>
  </si>
  <si>
    <t>Application Software*, Information Services (B2C), Medical Records Systems</t>
  </si>
  <si>
    <t>medical application, medical application software, medical documentation, medical record system, medical record-keeping, medical records</t>
  </si>
  <si>
    <t>345795-85P</t>
  </si>
  <si>
    <t>Jean Ross</t>
  </si>
  <si>
    <t>+1 (317) 210-0644</t>
  </si>
  <si>
    <t>jross@primaryrecord.com</t>
  </si>
  <si>
    <t>Ms. Jean Ross is a Co-Founder and serves as Chief Executive Officer, President and Board Member at Primary Record. She never questioned why until he started taking 80-year-old adults to medical appointments. No one in healthcare has the complete picture or the time to review the entire history. More and more healthcare relies on families to relay their own health story, yet they have not given them the tools to own their health information in one place.</t>
  </si>
  <si>
    <t>BAMco Enterprises, Boomerang Ventures, Flywheel Fund, IU Ventures, Render Capital, VisionTech Partners</t>
  </si>
  <si>
    <t>Boomerang Ventures(Eric Beier)</t>
  </si>
  <si>
    <t>Boomerang VC Fund I(Boomerang Ventures), Render Capital Fund 2(Render Capital)</t>
  </si>
  <si>
    <t>www.primaryrecord.com</t>
  </si>
  <si>
    <t>Bridge Loan - $1.00M (Convertible)</t>
  </si>
  <si>
    <t>156337-39T</t>
  </si>
  <si>
    <t>Priori Legal</t>
  </si>
  <si>
    <t>228820-96</t>
  </si>
  <si>
    <t>Andrew Dunn(Andrew Dunn), Bridge Investments(Michael Suchsland), Great Oaks Venture Capital, HearstLab(Eve Burton), Jambhala Holdings, Mindset Ventures(Jules Miller), Orrick, PEAK6 Strategic Capital, Timothy Steinert(Timothy Steinert)</t>
  </si>
  <si>
    <t>Bridge Investments (www.bridgeventurefund.com), Great Oaks Venture Capital (www.greatoaksvc.com), HearstLab (www.hearstlab.com), Mindset Ventures (www.mindset.ventures), Orrick (www.orrick.com)</t>
  </si>
  <si>
    <t>Developer of an online legal platform designed to connect businesses with a curated network of vetted lawyers. The company's platform uses a data-driven and custom matchmaking process to offer a national and international curated network of boutique firms and temporary attorneys, enabling businesses and in-house departments to manage a full suite of outside counsel needs and reduce spending.</t>
  </si>
  <si>
    <t>The company raised $15 million through a combination of Series A-2 and Series A-3 venture funding in a deal led by Eagle Investments Limited on July 20, 2022, putting the company's pre-money valuation at $62 million. Thomson Reuters Ventures and 10 other investors also participated in the round. The funds will be used to scale operations to meet the unprecedented in-house client demand for a global marketplace platform, discover new attorney talent and manage existing outside counsel relationships.</t>
  </si>
  <si>
    <t>attorney network, crm, customer relationship management, digital commerce, lawyer matching service, lawyer platform, legal data, legal marketplace, legal marketplace platform, legal talent platform</t>
  </si>
  <si>
    <t>185795-02P</t>
  </si>
  <si>
    <t>Basha Rubin</t>
  </si>
  <si>
    <t>+1 (844) 774-6741</t>
  </si>
  <si>
    <t>basha.rubin@priorilegal.com</t>
  </si>
  <si>
    <t>Ms. Basha Rubin is a Co-Founder and serves as Chief Executive Officer and Board Member at Priori Legal. He is a Board Member at Brookly Debate League. She speaks and writes extensively about how technology is changing - and will change - the market for legal services. Her writing has been featured in Forbes, Entrepreneur, TechCrunch, VentureBeat, Inc, Women 2.0 and Under30CEO. Basha holds a J.D. from Yale Law School and a B.A. from Yale College and is a member of the New York Bar. She also sits on the boards of A Blade of Grass and the Rubin Museum of Art and is a World Economic Forum Global Shaper.</t>
  </si>
  <si>
    <t>BA (Bachelor of Arts), Yale Law School, JD (Doctor of Law), 2010</t>
  </si>
  <si>
    <t>The company raised $6.31 million of Series A venture funding from Orrick, Bridge Investments and Mindset Ventures on September 17, 2020, putting the company's pre-money valuation at $10 million. Great Oaks Venture Capital, Jambhala Holdings, PEAK6 Strategic Capital, HearstLab, Tim Steinert and Andy Dunn also participated in the round. The funds will be used to grow the team and expand its network of lawyers, especially internationally.</t>
  </si>
  <si>
    <t>Andrew Dunn, Bridge Investments, Great Oaks Venture Capital, Jambhala Holdings, Mindset Ventures, Orrick, PEAK6 Strategic Capital, Timothy Steinert</t>
  </si>
  <si>
    <t>Bridge Venture Fund(Bridge Investments), Mindset Ventures Fund II(Mindset Ventures), Mindset Ventures Fund III(Mindset Ventures)</t>
  </si>
  <si>
    <t>Goodwin Procter (Legal Advisor to Company, Andrew Pusar JD)</t>
  </si>
  <si>
    <t>www.priorilegal.com</t>
  </si>
  <si>
    <t>212268-34T</t>
  </si>
  <si>
    <t>Prisms of Reality</t>
  </si>
  <si>
    <t>437458-87</t>
  </si>
  <si>
    <t>Andreessen Horowitz(Jeffrey Jordan), Andrew Sutherlund(Andrew Sutherlund), Anorak Ventures, Avalanche VC, First Row Partners, Foursight Capital Partners, Hans Tung(Hans Tung), Nathaniel Mitchell(Nathaniel Mitchell), Scout Fund, WndrCo, WXR Venture Fund, Zahir Dossa(Zahir Dossa)</t>
  </si>
  <si>
    <t>Andreessen Horowitz (www.a16z.com), Anorak Ventures (www.anorak.vc), Avalanche VC (www.avalanche.vc), First Row Partners (www.firstrowpartners.vc), Foursight Capital Partners (www.foursightcp.com), Scout Fund (www.scoutfund.com), WndrCo (www.wndrco.com), WXR Venture Fund (www.wxrfund.com)</t>
  </si>
  <si>
    <t>Developer of an immersive educational platform designed to offer realistic 3D environments for problem-solving. The company's software offers prisms modules for content remediation, reinforcement of learned-in-class concepts as well as remote learning and at-home tutoring, enabling teachers and parents to teach and make sense of complex concepts and foster spatial thinking in young minds.</t>
  </si>
  <si>
    <t>The company raised $17.85 million of Series A venture funding in a deal led by Andreessen Horowitz on January 5, 2023, putting the company's pre-money valuation at $60 million. Avalanche VC and 10 other investors also participated in the round.</t>
  </si>
  <si>
    <t>Educational Software*, Social/Platform Software</t>
  </si>
  <si>
    <t>3d educational model, content module, educational platform, maths learning games, personalization, problem solving technology, vr education platform</t>
  </si>
  <si>
    <t>236192-68P</t>
  </si>
  <si>
    <t>Anurupa Ganguly</t>
  </si>
  <si>
    <t>+1 (714) 788-6226</t>
  </si>
  <si>
    <t>anurupa@prismsvr.com</t>
  </si>
  <si>
    <t>Ms. Anurupa Ganguly is the Founder and serves as Chief Executive Officer &amp; Board Member at Prisms of Reality.</t>
  </si>
  <si>
    <t>Boston University, ME (Master of Engineering), Electrical Engineering, Massachusetts Institute of Technology (MIT), BS (Bachelor of Science), Electrical Engineering</t>
  </si>
  <si>
    <t>The company raised $17.85 million of Series A venture funding in a deal led by Andreessen Horowitz on January 5, 2023, putting the company's pre-money valuation at $60 million. Avalanche VC, WXR Venture Fund, Scout Fund, WndrCo, Anorak Ventures, First Row Partners, Zahir Dossa, Hans Tung, Nathaniel Mitchell, Andrew Sutherlund and Foursight Capital Partners also participated in the round.</t>
  </si>
  <si>
    <t>Andreessen Horowitz, Andrew Sutherlund, Anorak Ventures, Avalanche VC, First Row Partners, Foursight Capital Partners, Hans Tung, Nathaniel Mitchell, Scout Fund, WndrCo, WXR Venture Fund, Zahir Dossa</t>
  </si>
  <si>
    <t>Andreessen Horowitz(Jeffrey Jordan)</t>
  </si>
  <si>
    <t>Cooley (Legal Advisor to Andreessen Horowitz)</t>
  </si>
  <si>
    <t>www.prismsvr.com</t>
  </si>
  <si>
    <t>167974-03T</t>
  </si>
  <si>
    <t>Prive</t>
  </si>
  <si>
    <t>458476-12</t>
  </si>
  <si>
    <t>Amity Ventures, Base Case Capital, Bling Capital, Defy Partners Management(Madison McIlwain), Halogen Ventures, Xfund(Patrick Chung)</t>
  </si>
  <si>
    <t>Amity Ventures (www.amity.vc), Base Case Capital (www.basecase.vc), Bling Capital (www.blingcap.com), Defy Partners Management (www.defy.vc), Halogen Ventures (www.halogenvc.com), Xfund (www.xfund.com)</t>
  </si>
  <si>
    <t>Developer of a marketplace infrastructure designed for e-commerce brands. The company's marketplace specializes in building tools and systems to manage and optimize its end-to-end pricing and incentives levers, enabling brands to grow new revenue with subscriptions and optimize existing revenue with experimentation and market intelligence.</t>
  </si>
  <si>
    <t>The company raised $3.1 million of seed funding in a deal led by Xfund in approximately July 2022. Other undisclosed investors also participated in the round.</t>
  </si>
  <si>
    <t>Beauty, Marketing Tech</t>
  </si>
  <si>
    <t>business software, consumer brands, data engagement, ecommerce decision making, ecommerce enablement, ecommerce infrastructure, ecommerce personalization, inventory insights</t>
  </si>
  <si>
    <t>255619-18P</t>
  </si>
  <si>
    <t>Claudia Laurie</t>
  </si>
  <si>
    <t>claudia@tryprive.com</t>
  </si>
  <si>
    <t>Ms. Claudia Laurie is a Co-Founder and serves as Co-Chief Executive Officer at Prive.</t>
  </si>
  <si>
    <t>Harvard University, BA (Bachelor of Arts), 2018, Economics, Computer Science</t>
  </si>
  <si>
    <t>The company raised $1.65 million of pre-seed funding in a deal co-led by Xfund and Bling Capital on May 1, 2021. Halogen Ventures, Defy Partners Management, Base Case Capital, Amity Ventures and other undisclosed investors also participated in the round.</t>
  </si>
  <si>
    <t>Amity Ventures, Base Case Capital, Bling Capital, Defy Partners Management, Halogen Ventures, Xfund</t>
  </si>
  <si>
    <t>Bling Capital, Xfund(Patrick Chung)</t>
  </si>
  <si>
    <t>Amity Ventures Partners(Amity Ventures), Base Case Capital I(Base Case Capital), Bling Capital Fund II(Bling Capital), DEFY Partners II(Defy Partners Management), Halogen Ventures Fund 2(Halogen Ventures)</t>
  </si>
  <si>
    <t>Dentons (Legal Advisor to Company, Chris Errico)</t>
  </si>
  <si>
    <t>www.tryprive.com</t>
  </si>
  <si>
    <t>227096-29T</t>
  </si>
  <si>
    <t>Procure Impact</t>
  </si>
  <si>
    <t>530028-19</t>
  </si>
  <si>
    <t>Cubit Capital(Guilherme Hadlich)</t>
  </si>
  <si>
    <t>Cubit Capital (www.cubit.capital)</t>
  </si>
  <si>
    <t>Developer of a B2B marketplace procurement platform intended to maximize the dignity of work for underestimated populations. The company's platform acts as the broker that helps companies identify life-changing products that align with their values and product offerings include art, bath and body, candles, decor, furniture, gourmet foods, home goods, and pillows, among others, enabling corporations to achieve their social impact goals through their everyday purchases and create job opportunities and economic mobility.</t>
  </si>
  <si>
    <t>The company raised $1.65 million of seed funding from Cubit Capital and other undisclosed investors on June 20, 2023.</t>
  </si>
  <si>
    <t>b2b marketplace, marketplace platform, procurement platform, product procurement, product procurement services, social impact</t>
  </si>
  <si>
    <t>353773-00P</t>
  </si>
  <si>
    <t>Lauren McCann</t>
  </si>
  <si>
    <t>+1 (773) 414-3493</t>
  </si>
  <si>
    <t>lauren@procureimpact.us</t>
  </si>
  <si>
    <t>Ms. Lauren McCann is a Co-Founder and serves as Chief Executive Officer at Procure Impact. She has seen first-hand the role that businesses can play in transforming lives through their purchases. One of her family members who has a disability, regained confidence and independence, when Fortune 500 companies started buying their original art for their corporate facilities. Lauren launched Procure Impact to make it easier for companies to leverage their purchasing power to uplift and empower individuals with barriers to work. She is also the Founder of CALLIOPE, a mission-driven impact studio and consulting firm that builds, grows, scales, and invests in models that maximize human dignity, transformation, and social impact. She previously served as Executive Vice President of the Stand Together Foundation, where she co-developed the vision, model, and approach to the foundation's venture philanthropy that helps grow and scale innovative models that help break the cycle of poverty. Prior to joining Stand Together, Lauren served as vice president of strategic development for the National Association of Manufacturers. Lauren held additional roles in external relations at the National Alliance on Mental Illness (NAMI) and the Mercatus Center at George Mason University. She is currently on the board of directors for the National Black Bank Foundation, dedicated to revitalizing black banks and closing the racial wealth gap and The Phoenix, a sober active community which has helped over 60,000 people grow stronger together, overcome the stigma of addiction, and rise to their full potential. She is a Fellow of the inaugural class of the Civil Society Fellowship, A Partnership of ADL and The Aspen Institute, and a member of the Aspen Global Leadership Network.</t>
  </si>
  <si>
    <t>Cubit Capital</t>
  </si>
  <si>
    <t>www.procureimpact.us</t>
  </si>
  <si>
    <t>249884-11T</t>
  </si>
  <si>
    <t>PRoduce</t>
  </si>
  <si>
    <t>309979-90</t>
  </si>
  <si>
    <t>Semillero Partners</t>
  </si>
  <si>
    <t>Semillero Partners (semilleropartners.com)</t>
  </si>
  <si>
    <t>Operator of an online marketplace intended to connect consumers with locally sourced produce. The company provides the ability to select, purchase, and receive products harvested or made 100% in Puerto Rico directly to your home or office, a subscription service for regular delivery of varied local products, and post-sale support, enabling customers to enjoy fresh, local produce and contribute to the local economy.</t>
  </si>
  <si>
    <t>The company raised $1.8 million of venture funding in a deal led by Semillero Partners on August 31, 2021. Other undisclosed investors also participated in the round. The funds will be used to recruit executive and business development positions.</t>
  </si>
  <si>
    <t>E-Commerce, FoodTech, Mobile</t>
  </si>
  <si>
    <t>fresh produce, groceries online, grocery app, grocery market, grocery seller, home delivery, local products</t>
  </si>
  <si>
    <t>211684-69P</t>
  </si>
  <si>
    <t>Crystal Díaz</t>
  </si>
  <si>
    <t>+1 (787) 955-0924</t>
  </si>
  <si>
    <t>crystal@puertoricoproduce.com</t>
  </si>
  <si>
    <t>Ms. Crystal Díaz is a Co-Founder and serves as Co-Chief Executive Officer, CXMO &amp; Partner at PRoduce.</t>
  </si>
  <si>
    <t>University of Puerto Rico, Bachelor's, 2006, Marketing Management, University of Puerto Rico, Bachelor's, 2009, Advertising and Public Relations, University of Puerto Rico, MA (Master of Arts), 2020, Management of cultural activities</t>
  </si>
  <si>
    <t>00911</t>
  </si>
  <si>
    <t>www.puertoricoproduce.com</t>
  </si>
  <si>
    <t>178771-78T</t>
  </si>
  <si>
    <t>Profi</t>
  </si>
  <si>
    <t>471597-22</t>
  </si>
  <si>
    <t>75 &amp; Sunny, Aleka Capital, Astir Ventures, Broocknell Ventures, Flint Capital, Spencer Rascoff(Spencer Rascoff), Taher Savliwala(Taher Savliwala), Vision Capital Group</t>
  </si>
  <si>
    <t>75 &amp; Sunny (www.75andsunny.vc), Aleka Capital (alekacapital.com), Astir Ventures (www.astir.vc), Broocknell Ventures (www.broocknell.com), Flint Capital (www.flintcap.com), Vision Capital Group (www.visioncapital.group)</t>
  </si>
  <si>
    <t>Developer of an operating platform intended for scaling professional services businesses including coaching, consulting, and training. The company's platform eliminates all of the admin work and helps to organize bookings end-to-end, deliver interactive learning experiences, and flexible billing, its key value is to seamlessly integrate all the tools and build native solutions into a secure, comprehensive, configurable service delivery platform covering professional businesses' full lifecycle of operations enabling clients to organize, deliver, and expand services in one platform.</t>
  </si>
  <si>
    <t>The company raised an undisclosed amount of angel funding from Harry Zmudze on March 6, 2024.</t>
  </si>
  <si>
    <t>business administration advice, business intelligence application, coaching platform, consulting platform, crm, customer relationship management, erp, learning management system, payment automation, practice management, psa software, training management platform, training platform</t>
  </si>
  <si>
    <t>272856-97P</t>
  </si>
  <si>
    <t>Alina Trigubenko</t>
  </si>
  <si>
    <t>alina@profi.io</t>
  </si>
  <si>
    <t>Ms. Alina Trigubenko is a Co-Founder &amp; serves as Chief Executive Officer at Profi.</t>
  </si>
  <si>
    <t>The company raised $6 million of seed funding from 75 &amp; Sunny, Flint Capital, and Taher Savliwala on February 17, 2022. Vision Capital Group, Astir Ventures, Spencer Rascoff, Aleka Capital, Adam Miller, Broocknell Ventures , and other undisclosed investors also participated in the round. Originally, the amount was raised in the form of SAFE notes which subsequently got converted to equity. The funds will be used to further grow the team, enhance the product and bolster sales and marketing.</t>
  </si>
  <si>
    <t>75 &amp; Sunny, Aleka Capital, Astir Ventures, Broocknell Ventures, Flint Capital, Spencer Rascoff, Taher Savliwala, Vision Capital Group</t>
  </si>
  <si>
    <t>75 &amp; Sunny Ventures I(75 &amp; Sunny), Flint Capital II(Flint Capital)</t>
  </si>
  <si>
    <t>Cooley (Legal Advisor to Company), Grayver Law (Legal Advisor to Company)</t>
  </si>
  <si>
    <t>91205</t>
  </si>
  <si>
    <t>www.profi.io</t>
  </si>
  <si>
    <t>211179-70T</t>
  </si>
  <si>
    <t>Prog.AI</t>
  </si>
  <si>
    <t>515651-59</t>
  </si>
  <si>
    <t>Aloniq, Andreas Ehn(Andreas Ehn), Angel Invest, Brooklyn Bridge Ventures, Craig Harris(Craig Harris), Joel Wilson(Joel Wilson), Mark Godley(Mark Godley), Mehul Vora(Mehul Vora), Natalie Kolody(Natalie Kolody), Santosh Sharan(Santosh Sharan), Tim Baskerville(Tim Baskerville)</t>
  </si>
  <si>
    <t>Aloniq (www.aloniq.com), Angel Invest (www.angelinvest.ventures), Brooklyn Bridge Ventures (www.brooklynbridge.vc)</t>
  </si>
  <si>
    <t>Developer of artificial intelligence-powered technical recruitment platform intended to help startups find and hire developers with very specific technical skills and knowledge. The company's software finds suitable developers by analyzing the programming source code of all potential candidates using a machine learning system and reaching out to them, enabling the technical recruiters to search and recruit profiles by skills, location, seniority level, and current, and past employment.</t>
  </si>
  <si>
    <t>The company raised an undisclosed amount of venture funding from AAL Management in September 2024.</t>
  </si>
  <si>
    <t>ai-powered search, ai-powered search platform, coders database, recruiting technology, software developer database, software developer hiring</t>
  </si>
  <si>
    <t>94456-45P</t>
  </si>
  <si>
    <t>Maria Grineva</t>
  </si>
  <si>
    <t>Dr. Maria Grineva is a Co-Founder and serves as Chief Executive Officer at Prog.AI. She co-founded and served as Chief Executive Officer at Orb Intelligence. Previously, she Co-Founded Teralytics.</t>
  </si>
  <si>
    <t>Lomonosov Moscow State University, MS (Master of Science), 2003, Computer Science, Ph.D. (Doctor of Philosophy), 2007, Computer Science</t>
  </si>
  <si>
    <t>The company raised $1 million of venture funding from Brooklyn Bridge Ventures, Angel Invest and Aloniq on October 1, 2022, putting the company's pre-money valuation at $7 million. Andreas Ehn, Craig Harris, Joel Wilson, Mark Godley, Mehul Vora, Natalie Kolody, Santosh Sharan and Tim Baskerville also participated in the round.</t>
  </si>
  <si>
    <t>Aloniq, Andreas Ehn, Angel Invest, Brooklyn Bridge Ventures, Craig Harris, Joel Wilson, Mark Godley, Mehul Vora, Natalie Kolody, Santosh Sharan, Tim Baskerville</t>
  </si>
  <si>
    <t>www.getprog.ai</t>
  </si>
  <si>
    <t>182886-22T</t>
  </si>
  <si>
    <t>Pronto Housing</t>
  </si>
  <si>
    <t>466174-63</t>
  </si>
  <si>
    <t>Essence Development, Hehmeyer Nortide, Jamar Adams(Jamar Adams), Lemor Development Group, Nine Four Ventures(Kurt Ramirez), Sara Shank(Sara Shank), Valley Ventures, Wilshire Lane Capital(Adam Demuyakor), Wilshire Lane Partners(Adam Demuyakor)</t>
  </si>
  <si>
    <t>Essence Development (www.essencedev.com), Hehmeyer Nortide (www.hehmeyer.com), Lemor Development Group (www.lemordev.com), Nine Four Ventures (www.ninefour.vc), Valley Ventures (www.ventures.valley.com), Wilshire Lane Capital (www.wilshirelanecapital.com), Wilshire Lane Partners (www.wilshirelanepartners.com)</t>
  </si>
  <si>
    <t>Operator of housing software intended to make complex affordable housing processes easy for everyone. The company's offerings include a compliance platform streamlining resident qualification for any affordable housing program, certification, marketing administration, digitization of past compliance files, thereby enabling property owners and renters to expedite their initial lease-up and residents to comply with annual certifications in a quick and painless way.</t>
  </si>
  <si>
    <t>The company raised $3 million of venture funding from MFRG-ICON Construction, mrk partners, Relay Ventures and Infinity Capital Partners on February 27, 2024. Other undisclosed investors also participated in the round. The funds will be used to accelerate Pronto Housing's mission of shaping the future of affordable housing through software solutions.</t>
  </si>
  <si>
    <t>Business/Productivity Software*, Other Commercial Services, Real Estate Services (B2C)</t>
  </si>
  <si>
    <t>Real Estate Technology, SaaS, TMT</t>
  </si>
  <si>
    <t>compliance software, compliance software platform, compliance software service, housing compliance, leasing company, proptech, proptech company, real estate compliance, real estate services</t>
  </si>
  <si>
    <t>262720-27P</t>
  </si>
  <si>
    <t>Christine Wendell</t>
  </si>
  <si>
    <t>+1 (833) 392-2001</t>
  </si>
  <si>
    <t>christine@prontohousing.com</t>
  </si>
  <si>
    <t>Ms. Christine Wendell is a Co-Founder and serves as Chief Executive Officer &amp; Board Member at Pronto Housing. She leads the growing Pronto Housing team. Prior to founding Pronto Housing, she was a Senior Associate of Asset Management and Acquisitions, overseeing property-level debt and equity relationships, and helping to underwrite new investment opportunities for a developer in NYC. She also worked in RXR Realty's Development Asset Management group, where she managed the financial models for approximately 15 ground-up developments. Previously, she worked for Wells Fargo Bank's Commercial Real Estate group. She received her M.B.A. from Northwestern University's Kellogg School of Management and a BA in Economics and English from Kenyon College.</t>
  </si>
  <si>
    <t>Kenyon College, BA (Bachelor of Arts), Economics and English, Northwestern University (Kellogg), MBA (Master of Business Administration), Northwestern University</t>
  </si>
  <si>
    <t>The company raised $2.5 million of seed funding in a deal led by Wilshire Lane Partners on November 2, 2021, putting the company's pre-money valuation at $10 million. Hehmeyer Nortide, Valley Ventures, Wilshire Lane Capital, Nine Four Ventures, Sara Shank, Jamar Adams, Essence Development and Lemor Development Group also participated in the round. The funding will be used to accelerate its mission of shaping the future of affordable housing through tech-enabled solutions and expand its product development and thoughtfully scale its team.</t>
  </si>
  <si>
    <t>Essence Development, Hehmeyer Nortide, Jamar Adams, Lemor Development Group, Nine Four Ventures, Sara Shank, Valley Ventures, Wilshire Lane Capital, Wilshire Lane Partners</t>
  </si>
  <si>
    <t>Wilshire Lane Partners(Adam Demuyakor)</t>
  </si>
  <si>
    <t>Nine Four Ventures Fund(Nine Four Ventures), Wilshire Lane Partners Fund II(Wilshire Lane Partners)</t>
  </si>
  <si>
    <t>www.prontohousing.com</t>
  </si>
  <si>
    <t>253831-06T</t>
  </si>
  <si>
    <t>Proof of Learn</t>
  </si>
  <si>
    <t>490050-91</t>
  </si>
  <si>
    <t>Developer of a Web3 education platform intended to provide equal access to teaching and next-generation jobs across the globe. The company's platform unlocks education across all channels through blockchain protocol and helps learners with a new decentralized model to explore a pool of possibilities, enabling students to learn, earn, and land jobs.</t>
  </si>
  <si>
    <t>The company raised $4.03 million of venture funding from undisclosed investors on December 15, 2023. Previously, the company raised $18.95 million of seed funding in a deal led by New Enterprise Associates on March 6, 2023, putting the company's pre-money valuation at $26.05 million. Arca and 12 other investors also participated in the round. The funds will be used to spread awareness among users and access Web 3 employers through a careers marketplace while letting them earn cryptocurrency and non-fungible token rewards as they learn.</t>
  </si>
  <si>
    <t>Educational and Training Services (B2C)*, Educational Software, Human Capital Services</t>
  </si>
  <si>
    <t>Cryptocurrency/Blockchain, EdTech</t>
  </si>
  <si>
    <t>blockchain education, blockchain protocol, education courses, educational platform developer, metaverse and gaming, online education, web3 education platform, web4</t>
  </si>
  <si>
    <t>30751-75P</t>
  </si>
  <si>
    <t>Sheila Marcelo</t>
  </si>
  <si>
    <t>+1 (707) 324-4219</t>
  </si>
  <si>
    <t>smarcelo@ohai.ai</t>
  </si>
  <si>
    <t>Ms. Sheila Marcelo is a Co-Founder and serves as Board Member at Wag!. Ms. Marcelo is a Co-Founder and serves as Chief Executive Officer at Proof of Learn. She serves as Strategic Advisor at PCX and She is a Co-Founder &amp; serves as Chief Executive Officer at Ohai.ai. Previously, She served as a Venture Partner at New Enterprise Associates. She served as Advisor at TMV(Trail Mix Ventures). She founded Care.com in 2006 and served as Chairwoman and CEO until early 2020. Marcelo graduated from Mount Holyoke College and received her J.D. and M.B.A. degrees with honors from Harvard University. A passionate supporter of advancing women, Marcelo is the Co-Founder and Lead Director of LandIt, a personalized career platform for women.</t>
  </si>
  <si>
    <t>Harvard Business School, MBA (Master of Business Administration), 1998, Harvard Law School, JD (Doctor of Law), 1999, Mount Holyoke College, BA (Bachelor of Arts), 1993, Economics</t>
  </si>
  <si>
    <t>The company raised $1 million of seed funding from K5 Global on January 27, 2022.</t>
  </si>
  <si>
    <t>www.proofoflearn.io</t>
  </si>
  <si>
    <t>188551-54T</t>
  </si>
  <si>
    <t>Proxi</t>
  </si>
  <si>
    <t>484586-02</t>
  </si>
  <si>
    <t>Alumni Ventures, David Grampa(David Grampa), Ellen Levy(Ellen Levy), FAM Fund, Graham &amp; Walker(Leslie Feinzaig), Keeler Investments Group(Brock Mansfield), Madrona Pioneer Fund, Marco Matos(Marco Matos), Pack Ventures, Sarah Imbach(Sarah Imbach), Tacoma Venture Fund (TVF)(Dennis Joyce), Techstars(Isaac Kato), Underdog Labs, William Bryant(William Bryant)</t>
  </si>
  <si>
    <t>Alumni Ventures (www.av.vc), Graham &amp; Walker (www.grahamwalker.com), Keeler Investments Group (www.keelerinvestments.com), Pack Ventures (www.packvc.com), Tacoma Venture Fund (TVF) (www.tacomaventurefund.com), Techstars (www.techstars.com), Underdog Labs (www.underdoglabs.io)</t>
  </si>
  <si>
    <t>Developer of personalized navigation designed to create and share custom interactive maps. The company's platform allows the map admin to maintain the map content and crowdsource points with custom map colors, icons, header, and branding, enabling individuals and businesses to share interactive maps for brands, bloggers, coworkers, and communities.</t>
  </si>
  <si>
    <t>The company raised $1.2 million of pre-seed funding in a deal led by Graham &amp; Walker on February 14, 2022. Madrona Pioneer Fund, Pack Ventures, Tacoma Venture Fund (TVF), Keeler Investments Group, FAM Fund, Underdog Labs, Alumni Ventures, Techstars, Marco Matos, Sarah Imbach, Ellen Levy, David Grampa and William Bryant also participated in the round. The funds will be used to increase the company's presence in the Seattle and Austin metropolitan areas and build new features for their tool.</t>
  </si>
  <si>
    <t>custom mapping, geospatial tools, geospatial web, interactive map, map editing platform, map editor, personalized navigation</t>
  </si>
  <si>
    <t>196474-87P</t>
  </si>
  <si>
    <t>Chelsey Roney</t>
  </si>
  <si>
    <t>chelsey@proxi.co</t>
  </si>
  <si>
    <t>Ms. Chelsey Roney is a Co-Founder &amp; serves as Chief Executive Officer at Proxi. Ms. Roney co-founded Select-A-Sis. She brings her business-building and strategy experience to Proxi, where she serves as CEO, growing the business through sales and marketing. After graduating from Texas A&amp;M, she joined Boeing where she worked in financial planning and analysis and Microsoft where she worked in a demand center that focused on B2B omnichannel marketing. She grew and sold two businesses: a SaaS business in the University space, and a local services business. Chelsey is also an active member of her community, dedicated parent, and passionate supporter of women and business. Her persistence, attention to detail, and deep knowledge of finance and marketing have helped Proxi grow more than 100% month over month.</t>
  </si>
  <si>
    <t>Texas A&amp;M University, College Station, Graduate, 2011, Finance</t>
  </si>
  <si>
    <t>Alumni Ventures, David Grampa, Ellen Levy, FAM Fund, Graham &amp; Walker, Keeler Investments Group, Madrona Pioneer Fund, Marco Matos, Pack Ventures, Sarah Imbach, Tacoma Venture Fund (TVF), Underdog Labs, William Bryant</t>
  </si>
  <si>
    <t>Graham &amp; Walker(Leslie Feinzaig)</t>
  </si>
  <si>
    <t>Pack Ventures I(Pack Ventures), Ring Ventures Fund 2(Alumni Ventures)</t>
  </si>
  <si>
    <t>proxi.co</t>
  </si>
  <si>
    <t>157575-88T</t>
  </si>
  <si>
    <t>Pulley (Business/ Productivity Software)</t>
  </si>
  <si>
    <t>433412-83</t>
  </si>
  <si>
    <t>8VC, Avichal Garg(Avichal Garg), Caffeinated Capital, Combine, Curtis Spencer(Curtis Spencer), David King(David King), Elad Gil(Elad Gil), General Catalyst, Hari Raghavan(Hari Raghavan), Hunter Horsley(Hunter Horsley), Hustle Fund, Jack Altman(Jack Altman), Jeannette Furstenberg(Jeannette Furstenberg), Kathleen Estreich(Kathleen Estreich), La Famiglia, Lawrence Ripsher(Lawrence Ripsher), Linda Xie(Linda Xie), Matt MacInnis(Matt MacInnis), Nir Dremer(Nir Dremer), Parker Conrad(Parker Conrad), Rafael Brown, Rousseau Kazi(Rousseau Kazi), Sarah Niyogi(Sarah Niyogi), Soleio Cuervo(Soleio Cuervo), Somrat Niyogi(Somrat Niyogi), Stripe(Jordan Angelos), Vincenzo Iozzo(Vincenzo Iozzo)</t>
  </si>
  <si>
    <t>8VC (www.8vc.com), Avichal Garg (www.avichal.com), Caffeinated Capital (www.caffeinatedcapital.com), Combine (combine.vc), Elad Gil (www.eladgil.com), General Catalyst (www.generalcatalyst.com), Hustle Fund (www.hustlefund.vc), Jack Altman (jackealtman.com), La Famiglia (www.lafamiglia.vc), Stripe (www.stripe.com)</t>
  </si>
  <si>
    <t>Developer of a cap table management tool designed to help companies keep a record of their investor shares, options and all company grants. The company's tool generates signed legal agreements for equity grants issued on the platform, provides an end-to-end answer for signing and tracking tracks, helps to execute agreements, uploads them to an equity platform and provides diligence requirements with signed documentation, enabling clients to run business and to manage equity issuance.</t>
  </si>
  <si>
    <t>The company raised an undisclosed amount of venture funding from Recall and MKT1 Capital in March 2024.</t>
  </si>
  <si>
    <t>alternative capital, cap tables management, capital market, crypto corporation management and finance, enterprise resource planning, equity compliance, equity issuance, equity market, equity platform, erp, financial management system, ownership calculation</t>
  </si>
  <si>
    <t>189221-77P</t>
  </si>
  <si>
    <t>Yin Wu</t>
  </si>
  <si>
    <t>yin@pulley.com</t>
  </si>
  <si>
    <t>Ms. Yin Wu is a Co-Founder and serves as Chief Executive Officer, President &amp; Head of Customer Success at Pulley. She was the Founder and served as the Chief Executive Officer at DIRT Protocol. Yin Wu is a serial entrepreneur and sold her last previous company to Microsoft in 2013. Her company Echo Lockscreen became the Microsoft Launcher and Lockscreen on Android. She was one of the youngest principal engineers at Microsoft and worked on products that applied machine learning to mobile products. Prior to Microsoft, Yin studied computer science at Stanford and is a Y Combinator Alumnus.</t>
  </si>
  <si>
    <t>Stanford University, BS (Bachelor of Science), 2011, Computer Science</t>
  </si>
  <si>
    <t>The company raised $10 million of Series A venture funding in a deal led by Stripe on October 21, 2020. Caffeinated Capital, General Catalyst, 8VC, Combine, Hustle Fund, and 19 other angel investors also participated in the round. The funds will be used to hire more quickly and meet the overwhelming demand for Pulley's products.</t>
  </si>
  <si>
    <t>8VC, Avichal Garg, Caffeinated Capital, Combine, Curtis Spencer, David King, Elad Gil, General Catalyst, Hari Raghavan, Hunter Horsley, Hustle Fund, Jack Altman, Jeannette Furstenberg, Kathleen Estreich, La Famiglia, Lawrence Ripsher, Linda Xie, Matt MacInnis, Nir Dremer, Parker Conrad, Rafael Brown, Rousseau Kazi, Sarah Niyogi, Soleio Cuervo, Somrat Niyogi, Stripe, Vincenzo Iozzo</t>
  </si>
  <si>
    <t>Stripe(Jordan Angelos)</t>
  </si>
  <si>
    <t>8VC Fund III(8VC), Combine Fund I(Combine), Curious Endeavors II(Caffeinated Capital), Hustle Fund II(Hustle Fund)</t>
  </si>
  <si>
    <t>Gunderson Law Firm (Legal Advisor to Company), Orrick (Legal Advisor to Stripe)</t>
  </si>
  <si>
    <t>Orrick (Legal Advisor to Stripe)</t>
  </si>
  <si>
    <t>www.pulley.com</t>
  </si>
  <si>
    <t>219161-62T</t>
  </si>
  <si>
    <t>Pump</t>
  </si>
  <si>
    <t>522263-71</t>
  </si>
  <si>
    <t>Dupe Ventures, Y Combinator</t>
  </si>
  <si>
    <t>Dupe Ventures (dupeventures.com), Y Combinator (www.ycombinator.com)</t>
  </si>
  <si>
    <t>Developer of a cloud savings platform designed to save AWS bills. The company's platform leverages group buying and artificial intelligence to identify and secure cost savings for startups on their Amazon Web Services (AWS) cloud bills and granting Pump read-only or write permissions to their AWS account, providing customers can benefit from the platform's ability to analyze cloud usage patterns, negotiate volume discounts with AWS, and optimize resource allocation, ultimately reducing their overall cloud expenditures.</t>
  </si>
  <si>
    <t>The company raised $100,000 of seed funding from Failup Ventures, Leonis Investissement, Pioneer Fund, Zeno Ventures, and DG Daiwa Ventures on May 28, 2024.</t>
  </si>
  <si>
    <t>Artificial Intelligence &amp; Machine Learning, CloudTech &amp; DevOps, FinTech</t>
  </si>
  <si>
    <t>automated software, automated system, aws services, financial planner, savings decision, savings facility, spend analysis, spend management</t>
  </si>
  <si>
    <t>211951-18P</t>
  </si>
  <si>
    <t>Spandana Nakka</t>
  </si>
  <si>
    <t>+1 (650) 314-8330</t>
  </si>
  <si>
    <t>spndn@pump.co</t>
  </si>
  <si>
    <t>Ms. Spandana Nakka is the Founder and serves as Chief Executive Officer and Board Member at Pump. She Co-Founded and served as Chief Executive Officer &amp; Board Member at Sleek. She is a Stanford Engineering graduate, Google Product Manager, and Forbes 30 Under 30 in Consumer Technology.</t>
  </si>
  <si>
    <t>Osmania University, Engineering Diploma, 2009, Engineering, Stanford University, MS (Master of Science), 2011, Management and Engineering</t>
  </si>
  <si>
    <t>The company raised $4.5 million of pre-seed funding from Focal, Dupe Ventures and Y Combinator on June 1, 2022.</t>
  </si>
  <si>
    <t>www.pump.co</t>
  </si>
  <si>
    <t>135117-91T</t>
  </si>
  <si>
    <t>Pumpspotting</t>
  </si>
  <si>
    <t>264645-19</t>
  </si>
  <si>
    <t>Launchpad Venture Group(Jessica McLear), Maine Angels(Susan Morris), Maine Venture Fund(Joe Powers), Moodoos Investments(Caitlin Wege)</t>
  </si>
  <si>
    <t>Launchpad Venture Group (www.launchpadventuregroup.com), Maine Angels (www.maineangels.org), Maine Venture Fund (www.maineventurefund.com), Moodoos Investments (moodooslp.com)</t>
  </si>
  <si>
    <t>Developer of a social breastfeeding community software designed to improve breastfeeding and day-to-day nursing, pumping, and baby feeding. The company's software connects like-minded working mothers through a social network for breastfeeding moms to find and list out the places to connect over milk and motherhood, enabling women to share their parenting experiences while being responsible mothers feeding their kids.</t>
  </si>
  <si>
    <t>The company raised an undisclosed amount of venture funding from Crescent Ridge in approximately September 2024.</t>
  </si>
  <si>
    <t>breastfeeding community, breastfeeding program, breastfeeding support, digital health platform, female community, maternal health application, mother's social network</t>
  </si>
  <si>
    <t>207649-54P</t>
  </si>
  <si>
    <t>Amy VanHaren</t>
  </si>
  <si>
    <t>+1 (651) 303-8777</t>
  </si>
  <si>
    <t>amy@pumpspotting.com</t>
  </si>
  <si>
    <t>Ms. Amy VanHaren is the Founder and serves as Chief Executive Officer, President &amp; Board Member at Pumpspotting. Amy has built communities and led creative digital storytelling and marketing for over 20 years. she experienced deep isolation while trying to navigate working and breastfeeding and saw a better way to unite and empower all the nursing and pumping women of the world so she went on to create pumpspotting. she's pitched on a moving escalator on Apple's reality show Planet of the Apps, named a Forbes Next 1000 Entrepreneur, and awarded as a high-impact startup by MassChallenge.</t>
  </si>
  <si>
    <t>The company raised $582,499 of seed funding in a deal led by Moodoos Investments on April 10, 2020, putting the company's pre-money valuation at $1.92 million. Maine Venture Fund, Launchpad Venture Group, Maine Angels and other undisclosed investors also participated in the round.</t>
  </si>
  <si>
    <t>Launchpad Venture Group, Maine Angels, Maine Venture Fund, Moodoos Investments</t>
  </si>
  <si>
    <t>Moodoos Investments(Caitlin Wege)</t>
  </si>
  <si>
    <t>Precision Ventures Fund II(Launchpad Venture Group)</t>
  </si>
  <si>
    <t>Warner Norcross + Judd (Legal Advisor to Company, Joscelyn Boucher JD)</t>
  </si>
  <si>
    <t>Eliot, ME</t>
  </si>
  <si>
    <t>Eliot</t>
  </si>
  <si>
    <t>03903</t>
  </si>
  <si>
    <t>www.pumpspotting.com</t>
  </si>
  <si>
    <t>190840-33T</t>
  </si>
  <si>
    <t>Punchcard</t>
  </si>
  <si>
    <t>493878-25</t>
  </si>
  <si>
    <t>Browder Capital, Firstminute Capital, FJ Labs, Founders Fund(Keith Rabois), Kelsey Bishop(Kelsey Bishop)</t>
  </si>
  <si>
    <t>Browder Capital (www.browdercapital.com), Firstminute Capital (www.firstminute.capital), FJ Labs (www.fjlabs.com), Founders Fund (www.foundersfund.com)</t>
  </si>
  <si>
    <t>Developer of business operations management platform designed for revenue operation. The company's platform provides actionable insights from internal activity data across tools to elevate team outcomes, enabling companies to improve team processes.</t>
  </si>
  <si>
    <t>The company raised $2.2 million of pre-seed funding from Firstminute Capital, FJ Labs and Browder Capital on December 23, 2021. Founders Fund and Kelsey Bishop also participated in the round. A part of the funding was received in the form of SAFE notes.</t>
  </si>
  <si>
    <t>ai automation platform, business intelligence, operational analytics, operational intelligence, process analysis, revenue operations, semantic layer, software development, vertical application</t>
  </si>
  <si>
    <t>216161-11P</t>
  </si>
  <si>
    <t>Nancy Dong</t>
  </si>
  <si>
    <t>nancy@roster.co</t>
  </si>
  <si>
    <t>Ms. Nancy Dong is the Founder &amp; serves as Chief Executive Officer at Roster. She served as Entrepreneur-in-Residence &amp; Investor at FJ Labs.</t>
  </si>
  <si>
    <t>Harvard Business School, MBA (Master of Business Administration), Northwestern University, BA (Bachelor of Arts), Economics</t>
  </si>
  <si>
    <t>Browder Capital, Firstminute Capital, FJ Labs, Founders Fund, Kelsey Bishop</t>
  </si>
  <si>
    <t>Firstminute Capital II(Firstminute Capital)</t>
  </si>
  <si>
    <t>www.getpunchcard.com</t>
  </si>
  <si>
    <t>204772-78T</t>
  </si>
  <si>
    <t>PushKin (Communication Software)</t>
  </si>
  <si>
    <t>509428-00</t>
  </si>
  <si>
    <t>412 Angels Network, Atento Capital(Michael Basch), Winrock International(Linsley Kinkade)</t>
  </si>
  <si>
    <t>Atento Capital (www.atentocapital.com), Winrock International (www.winrock.org)</t>
  </si>
  <si>
    <t>Operator of a communication platform intended for franchise operators who need a better way to communicate with their deskless employees. The company's platform creates an admin portal for message creation, audience management, engagement metrics, and everything essential to make decisions daily, provides a mobile app for chat, real-time signaling alerts when their team needs attention, and location/message management wherever they are, and provides other related solutions, enabling businesses to engage, support, and analyze with ease.</t>
  </si>
  <si>
    <t>The company raised $740,000 of pre-seed funding in a deal led by Atento Capital on April 4, 2022, putting the company's pre-money valuation at $3.06 million. Winrock International and 412 Angels Network also participated in the round.</t>
  </si>
  <si>
    <t>Communication Software*, Media and Information Services (B2B)</t>
  </si>
  <si>
    <t>communication platform, employee communication, employee engagement, employee support, engagement metrics, software development</t>
  </si>
  <si>
    <t>317506-60P</t>
  </si>
  <si>
    <t>Amanda Earhart</t>
  </si>
  <si>
    <t>+1 (479) 347-4040</t>
  </si>
  <si>
    <t>aearhart@teslarsoftware.com</t>
  </si>
  <si>
    <t>Ms. Amanda Earhart serves as Chief Technology Officer at Teslar Software. She co-founded &amp; served as Chief Executive Officer at PushKin. She is a provider of lending process automation tools for community financial institutions. In this role, she oversees the company's technology strategy to provide a competitive advantage in both product and talent, as well as the design, development, and implementation of Teslar's products. She is also responsible for exploring new and emerging technologies, assessing their impact on the company's business, and steering the company towards innovative solutions. She has built a successful career in technology, holding various roles that showcased her ability to drive revenue growth, enhance operational efficiency, and reduce losses. Before joining Teslar Software, she served as co-founder and CEO of a SaaS startup that transitioned ownership as a revenue-positive business. She also served as an Engineering and Product Manager for eBay, Inc. and a Senior Director for Facebook, Inc., where she led a team of 600 that was recognized for being most efficient at creating or preserving revenue. She holds a bachelor's degree in computer science from the University of California, Santa Cruz, an executive MBA with a focus on entrepreneurship from the University of Arkansas, and has earned multiple patents for solutions she's created. Outside of Teslar Software</t>
  </si>
  <si>
    <t>Arkansas State University, Executive MBA, Entrepreneurship, University of California, Santa Cruz, Bachelor's, Computer Science</t>
  </si>
  <si>
    <t>The company raised $740,000 of seed funding in a deal led by Atento Capital on April 4, 2022, putting the company's pre-money valuation at $3.06 million. Winrock International and 412 Angels Network also participated in the round.</t>
  </si>
  <si>
    <t>412 Angels Network, Atento Capital, Winrock International</t>
  </si>
  <si>
    <t>Atento Capital(Michael Basch)</t>
  </si>
  <si>
    <t>Bentonville, AR</t>
  </si>
  <si>
    <t>Bentonville</t>
  </si>
  <si>
    <t>Arkansas</t>
  </si>
  <si>
    <t>72712</t>
  </si>
  <si>
    <t>www.pushkinapp.com</t>
  </si>
  <si>
    <t>131483-08T</t>
  </si>
  <si>
    <t>PypeServer</t>
  </si>
  <si>
    <t>431372-35</t>
  </si>
  <si>
    <t>Bend Venture Conference, Ferguson Ventures(Blake Luse)</t>
  </si>
  <si>
    <t>Bend Venture Conference (www.bendvc.com), Ferguson Ventures (www.fergusonventures.com)</t>
  </si>
  <si>
    <t>Developer of digital manufacturing workflow software designed to link computer-aided design systems and pipe-cutting machines. The company's software allows designers to import pipe designs and spools directly into the database, automatically links them to the production part, and updates them on the new design changes, enabling clients to get access to key information they need, including job completion times, the amount of pipe required for a job and torch-on time for consumable planning.</t>
  </si>
  <si>
    <t>The company raised $3 million of Series A venture funding from Ferguson Ventures, Bend Venture Conference, and other undisclosed investors on January 31, 2020, putting the company's pre-money valuation at $4.5 million. The funds will be used to increase the company's range of compatible pipe-cutting platforms, tighten its integration with the BIM management and productivity software solutions used by its customers, and expand its marketing and sales efforts.</t>
  </si>
  <si>
    <t>Automation/Workflow Software, Business/Productivity Software*, Multimedia and Design Software</t>
  </si>
  <si>
    <t>cad design, cloud services, machine automation, pipeline surveying services, prefabrication works, saas toolkit, waste reduction</t>
  </si>
  <si>
    <t>38573-29P</t>
  </si>
  <si>
    <t>David Basiji</t>
  </si>
  <si>
    <t>david.basiji@pypeserver.com</t>
  </si>
  <si>
    <t>Dr. David Basiji serves as Co-Chief Executive Officer and Chairman at PypeServer. He also serves as Board Member at ThinkCyte. He also serves as Vice President of Engineering at Biocare Medical. Previously, he served as Senior Director at Millipore. Prior to Amnis Corporation's acquisition by EMD Millipore, he co-founded and served as Chief Executive Officer at Amnis Corporation. He is a Co-Inventor of ImageStream system and other key Amnis technologies, Dr. Basiji has been deeply involved in all phases of corporate development since the company began operations in 1999. In addition to providing technical leadership, Dr. Basiji has guided the marketing and sales operations and negotiated the investment of $40 million in financing for the company. Dr. Basiji earned his Ph.D. in Bioengineering from the University of Washington, where he developed an ultra-sensitive DNA and protein analysis platform for the Human Genome Project, a technology that was later commercially licensed to Oxford GlycoSciences. Dr. Basiji received his Master's degree in Bioengineering from the University of Washington and graduated cum laude with a Bachelor's degree in Biophysics from the University of California, Berkeley. He currently holds 37 U.S. Patents.</t>
  </si>
  <si>
    <t>University of California, Berkeley, BA (Bachelor of Arts), 1991, Biophysics, University of Washington, Seattle, MS (Master of Science), 1993, Biomedical Engineering, University of Washington, Seattle, Ph.D. (Doctor of Philosophy), 1997, Biomedical Engineering</t>
  </si>
  <si>
    <t>Bend Venture Conference, Ferguson Ventures</t>
  </si>
  <si>
    <t>Akerman (Legal Advisor to Ferguson Ventures, Kenneth Wiggins JD)</t>
  </si>
  <si>
    <t>www.pypeserver.com</t>
  </si>
  <si>
    <t>165105-28T</t>
  </si>
  <si>
    <t>QA Wolf</t>
  </si>
  <si>
    <t>438863-05</t>
  </si>
  <si>
    <t>CoFound Partners, Jordan Wan(Jordan Wan), Naval Ravikant(Naval Ravikant), Notation Capital, Sahil Lavingia, SHL Capital</t>
  </si>
  <si>
    <t>CoFound Partners (cofoundpartners.com), Notation Capital (www.notation.vc), Sahil Lavingia (sahillavingia.com), SHL Capital (www.shl.vc)</t>
  </si>
  <si>
    <t>Developer of a data-driven quality assurance platform designed to discover bugs and offer test automation. The company's platform offers features including debugging with videos and logs, e-mail alerts, test creation, code conversion, one-click test running, deployment, and test failures summary, enabling clients to debug programs efficiently and conveniently.</t>
  </si>
  <si>
    <t>The company raised $36 million of Series B venture funding in a deal led by Scale Venture Partners on July 23, 2024, putting the company's pre-money valuation at $134 million. Glynn Capital, Notation Capital, Inspired Capital (New York), Threshold Ventures, and Ventureforgood also participated in the round. The funds will be used to build additional features into the platform, enhance QA Wolf's existing automation technology, and grow its 130-employee workforce.</t>
  </si>
  <si>
    <t>Artificial Intelligence &amp; Machine Learning, CloudTech &amp; DevOps</t>
  </si>
  <si>
    <t>bugs detection, cloud debugging, coding tester, debugging software, debugging system, devops, hybrid platform, quality assurance platform, quality assurance testing</t>
  </si>
  <si>
    <t>240159-16P</t>
  </si>
  <si>
    <t>Jon Perl</t>
  </si>
  <si>
    <t>jon@qawolf.com</t>
  </si>
  <si>
    <t>Mr. Jon Perl is a Co-Founder &amp; serves as Chief Executive Officer at QA Wolf.</t>
  </si>
  <si>
    <t>The company raised $1.45 million through a combination of Seed-1 and Seed-2 funding from Notation Capital, CoFound Partners and SHL Capital on August 1, 2021, putting the company's pre-money valuation at $18 million. Sahil Lavingia, Naval Ravikant and Jordan Wan also participated in the round.</t>
  </si>
  <si>
    <t>CoFound Partners, Jordan Wan, Naval Ravikant, Notation Capital, Sahil Lavingia, SHL Capital</t>
  </si>
  <si>
    <t>CoFound Partners Venture Fund I(CoFound Partners)</t>
  </si>
  <si>
    <t>www.qawolf.com</t>
  </si>
  <si>
    <t>169503-40T</t>
  </si>
  <si>
    <t>Qatch</t>
  </si>
  <si>
    <t>463468-24</t>
  </si>
  <si>
    <t>Bolt (Boston), For Later, JKS Ventures, Richard Levandov(Richard Levandov), TBD Angels</t>
  </si>
  <si>
    <t>Bolt (Boston) (www.bolt.io), For Later (www.forlater.com), JKS Ventures (jks-ventures.com), TBD Angels (www.tbdangels.com)</t>
  </si>
  <si>
    <t>Operator of a short message service-based marketing platform intended to give personal recommendations from brands via text. The company's platform brings personalization to online shoppers from different brands in order to save them time and deliver an improved shopping experience, enabling business owners to improve inventory management, trend forecasting, and audience targeting and helping brands optimize their product marketing in a scalable and cost-effective way.</t>
  </si>
  <si>
    <t>JKS Ventures sold a stake in the company to an undisclosed buyer for $1 million on September 21, 2023.</t>
  </si>
  <si>
    <t>Application Software, Media and Information Services (B2B)*, Other Consumer Products and Services</t>
  </si>
  <si>
    <t>Big Data, E-Commerce, Marketing Tech, Mobile Commerce</t>
  </si>
  <si>
    <t>big data and ecommerce, brand promotion, marketing platform software, next generation commerce, personal recommendation, product recommendation, sms marketing, vision machine learning</t>
  </si>
  <si>
    <t>258152-32P</t>
  </si>
  <si>
    <t>Nicole Phillips</t>
  </si>
  <si>
    <t>nicole@joinqatch.com</t>
  </si>
  <si>
    <t>Ms. Nicole Phillips is a Co-Founder and serves as Chief Executive Officer at Qatch. She holds a JD/LLM in Fashion Law from Fordham School of Law. She's worked in-house and as counsel for brands and designers and currently sits on the New York City Bar Association's Fashion Law Committee. She believes that clothing is the simplest form of communication and has the power to change your mood.</t>
  </si>
  <si>
    <t>JD (Doctor of Law), Fashion Law, LLM (Master of Laws), Fashion Law</t>
  </si>
  <si>
    <t>The company raised $320,000 of venture funding from JKS Ventures, For Later and Bolt (Private Equity) on October 20, 2020, putting the company's pre-money valuation at $3 million. TBD Angels, Richard Levandov and Braden Bohrmann also participated in the round.</t>
  </si>
  <si>
    <t>Bolt (Boston), For Later, JKS Ventures, Richard Levandov, TBD Angels</t>
  </si>
  <si>
    <t>02205</t>
  </si>
  <si>
    <t>www.joinqatch.com</t>
  </si>
  <si>
    <t>181039-51T</t>
  </si>
  <si>
    <t>Qira</t>
  </si>
  <si>
    <t>471351-34</t>
  </si>
  <si>
    <t>Cloquet Capital Partners, Ehud Levy(Ehud Levy), Phoenix Insurance Company (TAE: PHOE)(Guy Porat), Sergio Fogel Kaplan(Sergio Fogel Kaplan), Tzahi Arabov(Tzahi Arabov), Yuval Tal(Yuval Tal)</t>
  </si>
  <si>
    <t>Cloquet Capital Partners (www.cloquetcapital.com), Phoenix Insurance Company (TAE: PHOE) (www.fnx.co.il)</t>
  </si>
  <si>
    <t>Operator of a fintech company intended for property managers and residents. The company offers sophisticated security deposit programs and flexible rent payments integrated with the property technology, enabling property managers and owners to improve cash flow, reduce vacancies, and avoid bad debt.</t>
  </si>
  <si>
    <t>The company raised an undisclosed amount of venture funding from Silvertech Ventures on February 1, 2024.</t>
  </si>
  <si>
    <t>Business/Productivity Software, Financial Software*, Real Estate Services (B2C)</t>
  </si>
  <si>
    <t>analytics services, enterprise payment, enterprise resource planning, erp, financial management, lease renewal, payment, payment platform, pos, property manager, rent collection, security deposit management, underwriting services</t>
  </si>
  <si>
    <t>88113-07P</t>
  </si>
  <si>
    <t>Bill Staniford</t>
  </si>
  <si>
    <t>Mr. Bill Staniford served as Co-Chief Executive Officer at Qira. He served as Chief Executive Officer at Rentigo. He served as General Manager at Yardi Systems. He served as Chief Executive Officer at Propertyshark.com.</t>
  </si>
  <si>
    <t>University of Colorado, MBA (Master of Business Administration), 2002, Small Business Management, University of Texas, Austin, BA (Bachelor of Arts), 1999, Psychology</t>
  </si>
  <si>
    <t>The company raised $8 million of Series A venture funding in a deal led by Phoenix Insurance Company on August 16, 2021. Cloquet Capital Partners, Sergio Fogel, Yuval Tal, Tzahi Arabov and Ehud Levy also participated in the round. The funds will be used to bolster its national sales force.</t>
  </si>
  <si>
    <t>Cloquet Capital Partners, Ehud Levy, Phoenix Insurance Company, Sergio Fogel Kaplan, Tzahi Arabov, Yuval Tal</t>
  </si>
  <si>
    <t>Phoenix Insurance Company (TAE: PHOE)(Guy Porat)</t>
  </si>
  <si>
    <t>10036</t>
  </si>
  <si>
    <t>www.qira.com</t>
  </si>
  <si>
    <t>165084-49T</t>
  </si>
  <si>
    <t>Qolo</t>
  </si>
  <si>
    <t>437675-86</t>
  </si>
  <si>
    <t>Raptor Group(James Pallotta)</t>
  </si>
  <si>
    <t>Raptor Group (www.raptorgroup.com)</t>
  </si>
  <si>
    <t>Developer of a business-to-business payment platform intended to navigate complex payments and financial transactions landscape. The company's platform offers multi-currency payments, cross-border businesses, simplicity, speed and security, enabling clients to manage payments efficiently and focus on growth.</t>
  </si>
  <si>
    <t>The company raised $19.02 million of Series A venture funding in a deal led by Raptor Group on August 26, 2021, putting the company's pre-money valuation at $100 million. Other undisclosed investors also participated in the round. The funds will be used to continue its expansion with additional talent growth, new product launches, and increased international focus.</t>
  </si>
  <si>
    <t>B2B Payments, FinTech, SaaS</t>
  </si>
  <si>
    <t>b2b payment, b2b payment app, enterprise payment, enterprise resource planning, erp, financial management system, foreign exchange, international payment app, otc payment, payment app, payment processing, payments processing</t>
  </si>
  <si>
    <t>236881-99P</t>
  </si>
  <si>
    <t>Patricia Montesi</t>
  </si>
  <si>
    <t>+1 (415) 231-2543</t>
  </si>
  <si>
    <t>patricia.montesi@qolo.io</t>
  </si>
  <si>
    <t>Ms. Patricia Montesi is a Co-Founder and serves as Chief Executive Officer and Board Member at Qolo. As an accomplished business executive with more than 20 years of global management experience across a diverse set of industries, Patricia sought a better way to serve the payments industry. Over the course of her career, she has transformed and scaled complex businesses from Fortune 100 companies to startups in roles that included sales and marketing as well as operations and technology. Prior to Qolo, she spent 15 years in executive roles across all sectors of the payments industry-leading teams to industry firsts and deploying award-winning technology solutions for clients. She holds a BBA in Finance from the University of Miami, an MBA in Accounting from Nova Southeastern University, and a Certificate in Strategic Leadership from Columbia Business School.</t>
  </si>
  <si>
    <t>Nova Southeastern University, BBA (Bachelor of Business Administration), Finance, Nova Southeastern University, MBA (Master of Business Administration), Accounting</t>
  </si>
  <si>
    <t>The company raised $2.95 million of Seed funding from Raptor Group and other undisclosed investors on January 1, 2021, putting the company's pre-money valuation at $6 million. The funding will be used to invest in key opportunities, product expansion and hiring seasoned talent.</t>
  </si>
  <si>
    <t>Raptor Group</t>
  </si>
  <si>
    <t>Fort Lauderdale, FL</t>
  </si>
  <si>
    <t>Fort Lauderdale</t>
  </si>
  <si>
    <t>33311</t>
  </si>
  <si>
    <t>www.qolo.io</t>
  </si>
  <si>
    <t>136646-38T</t>
  </si>
  <si>
    <t>Queen of Raw</t>
  </si>
  <si>
    <t>228025-54</t>
  </si>
  <si>
    <t>Impact Assets, Julie McDermott(Julie McDermott), MIT Solve, Right Side Capital Management, Style with Substance Ventures, True Wealth Ventures(Sara Brand)</t>
  </si>
  <si>
    <t>Impact Assets (www.impactassets.org), MIT Solve (solve.mit.edu), Right Side Capital Management (www.rightsidecapital.com), Style with Substance Ventures (www.swsventures.com), True Wealth Ventures (www.truewealthvc.com)</t>
  </si>
  <si>
    <t>Developer of a science-based software designed to take action on excess inventory, measure, report and turn pollution into profit. The company's software uses proprietary algorithms developed in line with science-based standards to measure the environmental and economic impacts of activities on-chain, enabling clients to meet regulatory requirements, reduce inventory losses and build a financially successful business at the product and operational level.</t>
  </si>
  <si>
    <t>The company raised an undisclosed amount of venture funding in the form of convertible debt from True Wealth Ventures, Future Planet Capital and UK Innovation &amp; Science Seed Fund on November 15, 2022. The funds will be used to advance the company's software service enabling various clients to sell excess inventory.</t>
  </si>
  <si>
    <t>Big Data, E-Commerce, FinTech, SaaS</t>
  </si>
  <si>
    <t>climate fintech, consumer data analytics, crm, customer relationship management, excess inventory management, inventory management, inventory management company, inventory management platform, saas software platform, vertical application</t>
  </si>
  <si>
    <t>184245-31P</t>
  </si>
  <si>
    <t>Stephanie Benedetto</t>
  </si>
  <si>
    <t>+1 (203) 981-6993</t>
  </si>
  <si>
    <t>stephanie@queenofraw.com</t>
  </si>
  <si>
    <t>Ms. Stephanie Benedetto is a Co-Founder and serves as Chief Executive Officer, President and Board Member at Queen of Raw. Prior to starting Queen of Raw, she worked as a lawyer in the fashion, media/entertainment, start-up, and technology industries and co-founded a sustainable textile manufacturing facility. An advocate for women in business and sustainability, her companies have been featured in NPR, Good Morning America, The New York Times, The Wall Street Journal, Vogue, WWD, ELLE, Cheddar, Parade, WCBS, United Nations, Fortune, Entrepreneur, WIRED, Ellen MacArthur Foundation, and Fast Company. She is a 2020 Inc. Female Founders 100, NASA/NIKE/IKEA/DELL LAUNCH.org Innovator, a Grand Prize WeWork Creator Awards Winner presented by Ashton Kutcher, a Cartier Women's Initiative Laureate, an MIT - Solve Global Challenge Winner, a Climate Change Finalist in Mohammed bin Rashid Initiative for Global Prosperity, a Finalist for The Elevate Prize, a thredUP Circular Fashion Fund Recipient, and an LVMH Innovation Award Finalist. She is a Member of Pledge 1% and New York Circular City Initiative and a Founding Member of the Wildlife Friendly Enterprise Network, along with Aveda, Kering, and Stella McCartney. She holds a B.A. in Politics, Philosophy, and Economics from the University of Pennsylvania and a J.D. from Emory University School of Law.</t>
  </si>
  <si>
    <t>Emory University, JD (Doctor of Law), Law, Pennsylvania State University (Penn State), BA (Bachelor of Arts), 2002, Politics, Philosophy, Economics</t>
  </si>
  <si>
    <t>The company raised $1.47 million of seed funding in a deal led by True Wealth Ventures on May 15, 2020, putting the company's pre-money valuation at $4 million. Style with Substance Ventures, Right Side Capital Management, MIT Solve, Julie McDermott and ImpactAssets also participated in the round. The amount was initially raised in the form of convertible debt which subsequently got converted to equity.</t>
  </si>
  <si>
    <t>Impact Assets, Julie McDermott, MIT Solve, Right Side Capital Management, Style with Substance Ventures, True Wealth Ventures</t>
  </si>
  <si>
    <t>True Wealth Ventures(Sara Brand)</t>
  </si>
  <si>
    <t>RSCM Fund IV(Right Side Capital Management), True Wealth Ventures Fund I(True Wealth Ventures)</t>
  </si>
  <si>
    <t>resale.queenofraw.com</t>
  </si>
  <si>
    <t>134371-54T</t>
  </si>
  <si>
    <t>Queenly</t>
  </si>
  <si>
    <t>433643-77</t>
  </si>
  <si>
    <t>Andrew Yates(Andrew Yates), Andy Zhang(Andy Zhang), Annie Tsai(Annie Tsai), Austen Allred(Austen Allred), Corey Goodman(Corey Goodman), Daniel Ha(Daniel Ha), Daniel Hill(Daniel Hill), Huayang Guo(Huayang Guo), Jared Schrieber(Jared Schrieber), Jason Wang(Jason Wang), Jonathan Brelig(Jonathan Brelig), Joseph Gerges(Joseph Gerges), Kelly Thompson(Kelly Thompson), Lodestar Ventures, Manik Gupta(Manik Gupta), Mike Smith(Mike Smith), Nicholas Peddy(Nicholas Peddy), Ralph Gootee(Ralph Gootee), Robert Hess(Robert Hess), Shawn Tsao(Shawn Tsao), Shayna Modarresi(Shayna Modarresi), The House Fund, Thuan Pham(Thuan Pham)</t>
  </si>
  <si>
    <t>Lodestar Ventures (www.lodestarvc.com), The House Fund (www.thehouse.fund)</t>
  </si>
  <si>
    <t>Operator of an online formal wear marketplace intended to connect dress owners both old and new, to people who wish to buy. The company's marketplace includes a feature called in-search, which handles long-term, custom search behavior, along with its feature to help flexible access to purchases at negotiable prices, enabling buyers to purchase varieties of formal wear at acceptable prices and as per their convenience.</t>
  </si>
  <si>
    <t>Gaingels and Red Bike Capital sold their stakes in the company to an undisclosed buyer.</t>
  </si>
  <si>
    <t>Apparel and Accessories</t>
  </si>
  <si>
    <t>Clothing</t>
  </si>
  <si>
    <t>Application Software, Clothing*, Information Services (B2C)</t>
  </si>
  <si>
    <t>Augmented Reality, E-Commerce, Mobile, SaaS</t>
  </si>
  <si>
    <t>apparel retailer, augmented reality software, designer wearable, dresses platform, formal wear, formalwear marketplace, formalwear stores</t>
  </si>
  <si>
    <t>226551-43P</t>
  </si>
  <si>
    <t>Trisha Bantigue</t>
  </si>
  <si>
    <t>+1 (415) 298-2313</t>
  </si>
  <si>
    <t>trisha@queenly.com</t>
  </si>
  <si>
    <t>Ms. Trisha Bantigue is a Co-Founder and serves as Chief Executive Officer &amp; Board Member at Queenly.</t>
  </si>
  <si>
    <t>The company raised $800,000 of seed funding in a deal led by The House Fund on February 1, 2020, putting the company's pre-money valuation at $1.7 million. Lodestar Ventures, Daniel Ha, Jon Brelig, Jason Wang, Shawn Tsao, Manik Gupta, Robert Hess, Huayang Guo, Jared Schrieber, Nicholas Peddy, Daniel Hill, Andy Yates, Annie Tsai, Corey Goodman, Shayna Modarresi, Thuan Pham, Mike Smith, Kelly Thompson, Austen Allred, Joseph Gerges, Andy Zhang and Ralph Gootee also participated in the round.</t>
  </si>
  <si>
    <t>Andrew Yates, Andy Zhang, Annie Tsai, Austen Allred, Corey Goodman, Daniel Ha, Daniel Hill, Huayang Guo, Jared Schrieber, Jason Wang, Jonathan Brelig, Joseph Gerges, Kelly Thompson, Lodestar Ventures, Manik Gupta, Mike Smith, Nicholas Peddy, Ralph Gootee, Robert Hess, Shawn Tsao, Shayna Modarresi, The House Fund, Thuan Pham</t>
  </si>
  <si>
    <t>The House Fund</t>
  </si>
  <si>
    <t>House Fund II(The House Fund)</t>
  </si>
  <si>
    <t>www.queenly.com</t>
  </si>
  <si>
    <t>185150-98T</t>
  </si>
  <si>
    <t>QuickCode (Business/Productivity Software)</t>
  </si>
  <si>
    <t>489054-97</t>
  </si>
  <si>
    <t>DataTribe(John Funge), PS27 Ventures(James Stallings)</t>
  </si>
  <si>
    <t>DataTribe (www.datatribe.com), PS27 Ventures (www.ps27ventures.com)</t>
  </si>
  <si>
    <t>Developer of machine learning applications designed to improve text-based ML models by labeling the right data. The company uses its machine learning and natural language processing algorithms to help trade compliance specialists find risks in the product catalog, enabling the data scientists to target the relevant and representative text, creating training datasets that are narrow in use case but diverse in content.</t>
  </si>
  <si>
    <t>The company raised $1.1 million of venture funding in a deal led by DataTribe and PS27 Ventures on June 27, 2024. Other undisclosed investors also participated in the round. The funds will be used to address challenges decisively, converting a significant industry bottleneck into a smooth, tech-enabled operation.</t>
  </si>
  <si>
    <t>ai algorithm based, ai cores, big data app, data labeling platform, decision making tools, machine learning tool, trade compliance</t>
  </si>
  <si>
    <t>285491-98P</t>
  </si>
  <si>
    <t>Shannon Hynds</t>
  </si>
  <si>
    <t>+1 (703) 658-6910</t>
  </si>
  <si>
    <t>shannon@quickcode.ai</t>
  </si>
  <si>
    <t>Ms. Shannon Hynds is a Co-Founder and serves as Chief Executive Officer at QuickCode.ai.</t>
  </si>
  <si>
    <t>Loyola Marymount University, MBA (Master of Business Administration), 1995, University of Colorado, Boulder, BS (Bachelor of Science), 1986, Information Science</t>
  </si>
  <si>
    <t>The company raised $2 million of seed funding from DataTribe and PS27 Ventures on December 14, 2021, putting the company's pre-money valuation at $5 million. The funds will be used to expand operations and the company's development efforts.</t>
  </si>
  <si>
    <t>DataTribe, PS27 Ventures</t>
  </si>
  <si>
    <t>Graf Business Law (Legal Advisor to Company)</t>
  </si>
  <si>
    <t>22101</t>
  </si>
  <si>
    <t>www.quickcode.ai</t>
  </si>
  <si>
    <t>228073-87T</t>
  </si>
  <si>
    <t>Quiller</t>
  </si>
  <si>
    <t>530600-68</t>
  </si>
  <si>
    <t>Grassroots Analytics, Higher Ground Labs(Betsy Hoover)</t>
  </si>
  <si>
    <t>Grassroots Analytics (www.grassrootsanalytics.com), Higher Ground Labs (www.highergroundlabs.com)</t>
  </si>
  <si>
    <t>Developer of artificial intelligence software intended to help democratic campaigns and allied organizations draft and deploy quality, effective fundraising content. The company software features such as automated email drafting, a customizable platform, and tools and resources to write content, enabling politicians and fundraisers to write powerful content that attracts people's attention.</t>
  </si>
  <si>
    <t>The company raised $1.2 million of pre-seed funding in a deal led by Grassroots Analytics on July 11, 2023. Higher Ground Labs and other undisclosed investors also participated in the round. Previously, the company joined Higher Ground Labs in 2023 and received estimated $100,000 in funding. The funding was received in the form of convertible debt which subsequently got converted to equity.</t>
  </si>
  <si>
    <t>ai copilot, ai software, content writing software, digital programs, fundraising page, online fundraising</t>
  </si>
  <si>
    <t>355401-55P</t>
  </si>
  <si>
    <t>Hillary Lehr</t>
  </si>
  <si>
    <t>Ms. Hillary Lehr is a Founder and serves as Chief Executive Officer at Quiller.</t>
  </si>
  <si>
    <t>University of California, Berkeley, Bachelor's</t>
  </si>
  <si>
    <t>The company raised $1.2 million of pre-seed funding in a deal led by Grassroots Analytics on July 11, 2023. Higher Ground Labs and other undisclosed investors also participated in the round.</t>
  </si>
  <si>
    <t>Grassroots Analytics</t>
  </si>
  <si>
    <t>Higher Ground Labs</t>
  </si>
  <si>
    <t>www.quiller.ai</t>
  </si>
  <si>
    <t>156117-52T</t>
  </si>
  <si>
    <t>R-Zero</t>
  </si>
  <si>
    <t>439109-02</t>
  </si>
  <si>
    <t>DBL Partners</t>
  </si>
  <si>
    <t>DBL Partners (www.dbl.vc)</t>
  </si>
  <si>
    <t>Developer of biosafety technology-based products designed to reduce the damage caused by viruses to health. The company's technology helps to disinfect everyday spaces through a mobile UV-C unit, designed with simple operation that can sanitize large spaces in less, enabling the cleaning crew to reduce the spread of all infectious diseases.</t>
  </si>
  <si>
    <t>The company raised $104.5 million of Series C venture funding in a deal led by Caisse de dépôt et placement du Québec on May 10, 2022, putting the company's pre-money valuation at $400 million. BMO Financial Group and 5 other investors also participated in the round. The funds will be used to funds to scale deployments of its disinfection and risk modelling technology to meet demand across public and private sectors, including K-12 schools, college campuses, corporate campuses, hospitals, senior care communities, parks and recreation, and other government facilities. Previously, the company raised $51 million of Series B venture funding in a deal led by WiL (World Innovation Lab) on June 2, 2021, putting the company's pre-money valuation at $224 million. Mayo Clinic and 5 other investors also participated in the round. The funds will be used to help automate its process and make it more efficient.</t>
  </si>
  <si>
    <t>Other Hardware*</t>
  </si>
  <si>
    <t>HealthTech, Internet of Things, LOHAS &amp; Wellness</t>
  </si>
  <si>
    <t>biosafety equipment, biosafety technology, clean technology, cleanliness product, connected healthcare, connected service, disinfection unit, healthy buildings, infection prevention</t>
  </si>
  <si>
    <t>238257-37P</t>
  </si>
  <si>
    <t>Grant Morgan</t>
  </si>
  <si>
    <t>grant@rzerosystems.com</t>
  </si>
  <si>
    <t>Mr. Grant Morgan is a Co-Founder and serves as Board Member of R-Zero Systems. He served as Chief Executive Officer at R-Zero. He co-founded and also served as the Chief Technology Officer at GIST Technology.</t>
  </si>
  <si>
    <t>The company raised $1.7 million of Series 1 venture funding in a deal led by DBL Partners on June 1, 2020.</t>
  </si>
  <si>
    <t>DBL Partners III(DBL Partners)</t>
  </si>
  <si>
    <t>84115</t>
  </si>
  <si>
    <t>www.rzero.com</t>
  </si>
  <si>
    <t>Magnetic or electrostatic separation of solid materials from solid materials or fluids, Methods or apparatus for sterilising materials or objects in general</t>
  </si>
  <si>
    <t>189119-80T</t>
  </si>
  <si>
    <t>Raccord</t>
  </si>
  <si>
    <t>483667-21</t>
  </si>
  <si>
    <t>Alan Forman, Great Wave Ventures, JBG Smith Properties (NYS: JBGS), Jen Forster, Scott Landis</t>
  </si>
  <si>
    <t>Great Wave Ventures (www.greatwave.vc), JBG Smith Properties (NYS: JBGS) (www.jbgsmith.com)</t>
  </si>
  <si>
    <t>Developer of a data analysis software designed to offer integration of disparate data sources to improve efficiency in the real estate investment process. The company's software facilitates the assessment of the rich data sets that already exist internally and provides a useful tool that helps inform investment decisions and mitigates the risk inherent with human selection bias, enabling clients to rely on precise, real-time data to make critical decisions.</t>
  </si>
  <si>
    <t>Great Wave Ventures sold its stake in the company to an undisclosed buyer.</t>
  </si>
  <si>
    <t>Business/Productivity Software*, Media and Information Services (B2B), Other Financial Services</t>
  </si>
  <si>
    <t>Mobile, Real Estate Technology, SaaS</t>
  </si>
  <si>
    <t>data analysis firm, data analysis software, data analysis software developer, data analysis system, investment decision, investment decision analysis</t>
  </si>
  <si>
    <t>151699-42P</t>
  </si>
  <si>
    <t>Bonnie Murray</t>
  </si>
  <si>
    <t>+1 (917) 300-1660</t>
  </si>
  <si>
    <t>bmurray@raccord.com</t>
  </si>
  <si>
    <t>Ms. Bonnie Murray is the Founder and serves as Chief Executive Officer and Board Member at Raccord. Ms. Murray served as Director of Business Development and Investment Committee member at Pantzer Properties focused on capital formation, data migration, portfolio innovation and business strategy. She joined Pantzer Properties in December 2015 after spending over 14 years in the public markets across a variety of hedge funds and private investment banks. Prior to joining Pantzer Properties, Bonnie ran Marketing &amp; Investor Relations globally for Astellon Capital, a European event driven hedge fund. In the years leading up to Astellon Capital, she was Head of Business Development at BTIG, managing clients in both New York and London. Between 2005-2010, she was a Managing Director on the Institutional Equities desk at E.H. Smith Jacobs &amp; Co. focusing on client development and product build-out. She began her career at Galleon Management after graduating from the University of North Carolina with a B.A. in Finance.</t>
  </si>
  <si>
    <t>University of North Carolina, Chapel Hill, BA (Bachelor of Arts), Finance</t>
  </si>
  <si>
    <t>Down Round</t>
  </si>
  <si>
    <t>The company raised $1.5 million of Series 1 seed funding in a deal led by Jbg Smith Properties on April 22, 2022, putting the company's pre-money valuation at $8.5 million. Agya Ventures, Scott Landis, Alan Forman, and Jen Forster also participated in the round.</t>
  </si>
  <si>
    <t>Alan Forman, Great Wave Ventures, JBG Smith Properties, Jen Forster, Scott Landis</t>
  </si>
  <si>
    <t>JBG Smith Properties (NYS: JBGS)</t>
  </si>
  <si>
    <t>Agya Ventures Fund I(Great Wave Ventures)</t>
  </si>
  <si>
    <t>KPMG (Accounting to Company), Shulman Rogers (Legal Advisor to Company)</t>
  </si>
  <si>
    <t>www.raccord.com</t>
  </si>
  <si>
    <t>186614-38T</t>
  </si>
  <si>
    <t>RAD Security</t>
  </si>
  <si>
    <t>483350-59</t>
  </si>
  <si>
    <t>.406 Ventures(Gregory Dracon), Gula Tech Adventures, Vertex Ventures US(Sandeep Bhadra)</t>
  </si>
  <si>
    <t>.406 Ventures (www.406ventures.com), Gula Tech Adventures (www.gula.tech), Vertex Ventures US (www.vvus.com)</t>
  </si>
  <si>
    <t>Developer of a cloud security platform designed to monitor the security posture of modern containerized infrastructure. The company's platform continuously monitors behavior across clusters in hybrid-cloud environments, proactively alerts clients when it detects security issues, automatically quarantines or eliminates suspicious cluster configurations, and workloads, and ensures security compliance, enabling clients to discover and remediate misconfigurations and vulnerabilities.</t>
  </si>
  <si>
    <t>The company raised $2.5 million of Series A1 venture funding from undisclosed investors on October 18, 2024, putting the company's pre-money valuation at $47 million.</t>
  </si>
  <si>
    <t>application security, cloud security, cloud workload protection platform, cluster management, devops security, kubernetes security, network security</t>
  </si>
  <si>
    <t>Cloud Workload Protection, DevSecOps</t>
  </si>
  <si>
    <t>280202-05P</t>
  </si>
  <si>
    <t>Brooke Motta</t>
  </si>
  <si>
    <t>+1 (650) 825-4725</t>
  </si>
  <si>
    <t>bmotta@ksoc.com</t>
  </si>
  <si>
    <t>Ms. Brooke Motta is a Co-Founder &amp; serves as Chief Executive Officer and Board Member at RAD Security. She builds teams and forges partnership and also leads startups to IPOs and acquisitions.</t>
  </si>
  <si>
    <t>Degree, 2000, Accounting</t>
  </si>
  <si>
    <t>The company raised $5.72 million through a combination of Seed-1 and Seed-2 funding in a deal led by .406 Ventures on January 11, 2022, putting the company's pre-money valuation at $12 million. Vertex Ventures US, Gula Tech Adventures, and other undisclosed investors also participated in the round.</t>
  </si>
  <si>
    <t>.406 Ventures, Gula Tech Adventures, Vertex Ventures US</t>
  </si>
  <si>
    <t>.406 Ventures(Gregory Dracon)</t>
  </si>
  <si>
    <t>Point 406 Ventures IV(.406 Ventures), Vertex Ventures US Fund II(Vertex Ventures US)</t>
  </si>
  <si>
    <t>Gunderson Dettmer (Legal Advisor to .406 Ventures)</t>
  </si>
  <si>
    <t>94114-2512</t>
  </si>
  <si>
    <t>rad.security</t>
  </si>
  <si>
    <t>201731-95T</t>
  </si>
  <si>
    <t>Radious</t>
  </si>
  <si>
    <t>470543-68</t>
  </si>
  <si>
    <t>Portland Seed Fund</t>
  </si>
  <si>
    <t>Operator of a B2B marketplace intended to turn houses, apartments and other residential properties into collaborative workspaces, bookable. The company's spaces are used for everything from team off-sites and weekly meetings to everyday in-person work, enabling them to have a pleasant environment to increase their efficiency and homeowners' additional revenue streams.</t>
  </si>
  <si>
    <t>The company raised $703,000 of venture funding from undisclosed investors on November 19, 2024.</t>
  </si>
  <si>
    <t>Buildings and Property</t>
  </si>
  <si>
    <t>Buildings and Property*, Business/Productivity Software, Other Commercial Services</t>
  </si>
  <si>
    <t>E-Commerce, Real Estate Technology</t>
  </si>
  <si>
    <t>collaborative workspace, marketplace platform, meeting space rental, online marketplace, rentable office, rental office space</t>
  </si>
  <si>
    <t>269672-32P</t>
  </si>
  <si>
    <t>Amina Moreau</t>
  </si>
  <si>
    <t>+1 (971) 202-1982</t>
  </si>
  <si>
    <t>amina@radious.pro</t>
  </si>
  <si>
    <t>Ms. Amina Moreau is a Co-Founder and serves as Chief Executive Officer, President &amp; Board Member at Radious. This is her 5th startup. She has exited two of them (both marketplaces, like Radious), and one of her companies has won five Emmy Awards.</t>
  </si>
  <si>
    <t>The company raised $265,000 of Series 1 pre-seed funding from Portland Seed Fund and Oregon Technology Business Center and other undisclosed investors on January 6, 2022.</t>
  </si>
  <si>
    <t>97202</t>
  </si>
  <si>
    <t>www.radious.pro</t>
  </si>
  <si>
    <t>256612-78T</t>
  </si>
  <si>
    <t>Raft (IT Consulting and Outsourcing)</t>
  </si>
  <si>
    <t>460275-67</t>
  </si>
  <si>
    <t>Washington Harbour(Mina Faltas)</t>
  </si>
  <si>
    <t>Washington Harbour (www.washingtonharbour.com)</t>
  </si>
  <si>
    <t>Provider of digital consultancy services intended to develop digital products and services by leveraging elements of human-centered design. The company develops technologies based on data analytics, cloud, bioinformatics, and program management, enabling businesses to develop further and grow digitally.</t>
  </si>
  <si>
    <t>The company raised $60 million of venture funding from Washington Harbour on April 10, 2024. The funds will be used to intensify the company's research and development efforts, significantly enhancing the company's Command and Control (C2) product offerings for the tactical edge.</t>
  </si>
  <si>
    <t>Consulting Services (B2B), IT Consulting and Outsourcing*, Media and Information Services (B2B)</t>
  </si>
  <si>
    <t>digital consultancy, digital consultancy agency, digital consultancy firm, digital consultancy service, digital transformation, enterprise expertise, it consultancy firm, it consultancy services, program management, technology education</t>
  </si>
  <si>
    <t>253928-26P</t>
  </si>
  <si>
    <t>Shubhi Mishra</t>
  </si>
  <si>
    <t>+1 (301) 251-7221</t>
  </si>
  <si>
    <t>smishra@goraft.tech</t>
  </si>
  <si>
    <t>Ms. Shubhi Mishra is the Founder and serves as Chief Executive Officer and Director at Raft. Ms. Mishra has extensive experience using human-centered design principles in an agile framework to create accessible and impactful digital solutions. For 12+ years, she has used her deep knowledge of UX strategy, mobile design, and interactive design to spearhead efforts with government agencies, educational institutions, and non-profits. Her work includes projects for agencies such as HHS, NIH, CFPB, Air Force, and various private sector clients including educational institutions and non-profits. Shubhi's passion as both an innovator and a leader drives Raft in our mission to create digital products that make a positive difference in the lives of our community. She has many years of experience overseeing multi-million-dollar IDIQs. BPAs, and Task Orders. She has extensive experience in helping public and private organizations achieve their business objectives. She blends deep knowledge of technology with a thorough understanding of collaborative research to develop and deploy solutions that integrate bioinformatics with traditional IT in supporting collaborative research business processes. She has over a decade's worth of experience assisting federal government agencies as a technology and organization consultant to effectively manage change, adopt innovative technology, and improve processes. She is also a published author of scientific papers. She received her master's in Bioinformatics from Boston University and her Juris Doctorate from George Washington University.</t>
  </si>
  <si>
    <t>Boston University, Master's, Bioinformatics, George Washington University, JD (Doctor of Law)</t>
  </si>
  <si>
    <t>Washington Harbour</t>
  </si>
  <si>
    <t>Holland &amp; Knight (Legal Advisor to Company, Adam August JD), Morrison &amp; Foerster (Legal Advisor to Company), Morrison &amp; Foerster (Legal Advisor to Washington Harbour, Tyler Sewell JD), PwC (Advisor: Financial Due Diligence to Company)</t>
  </si>
  <si>
    <t>Holland &amp; Knight (Legal Advisor to Company, Adam August JD), Morrison &amp; Foerster (Legal Advisor to Company), PwC (Advisor: Financial Due Diligence to Company)</t>
  </si>
  <si>
    <t>Morrison &amp; Foerster (Legal Advisor to Washington Harbour, Tyler Sewell JD)</t>
  </si>
  <si>
    <t>Reston, VA</t>
  </si>
  <si>
    <t>Reston</t>
  </si>
  <si>
    <t>20191</t>
  </si>
  <si>
    <t>www.teamraft.com</t>
  </si>
  <si>
    <t>163947-25T</t>
  </si>
  <si>
    <t>RAIN (IT Consulting and Outsourcing)</t>
  </si>
  <si>
    <t>118537-12</t>
  </si>
  <si>
    <t>Stanley Ventures(Michael Mahan), Valor Capital Group</t>
  </si>
  <si>
    <t>Stanley Ventures (www.stanleyventures.com), Valor Capital Group (www.valorcapitalgroup.com)</t>
  </si>
  <si>
    <t>Developer of a voice technology platform designed to help innovate marketing technology. The company's platform specializes in innovative marketing and advertising remedies through customized desktop and mobile software development using voice and conversational artificial intelligence and full-scale video production along with intellectual property incubation, enabling marketers and brands to articulate brand awareness by taking advantage of technological developments.</t>
  </si>
  <si>
    <t>The company raised $11 million of Series B venture funding in a deal led by Multiply Group on May 13, 2022, putting the company's pre-money valuation at $40 million. Valor Capital Group, Burch Creative Capital, and MDH Acquisition also participated in the round. The funds will be used for growth and expansion, chiefly hiring and product development in the automotive industry.</t>
  </si>
  <si>
    <t>IT Consulting and Outsourcing*, Media and Information Services (B2B)</t>
  </si>
  <si>
    <t>AdTech, Artificial Intelligence &amp; Machine Learning, Big Data, Marketing Tech, TMT</t>
  </si>
  <si>
    <t>abi custom application, analytics platform, branding planning, campaign development, cause marketing, community development, content production, conversational ai, conversational commerce, crisis management service, design creation, vertical application, voice assistants, voice experience design, web software development</t>
  </si>
  <si>
    <t>204094-72P</t>
  </si>
  <si>
    <t>Nithya Thadani</t>
  </si>
  <si>
    <t>nithya@rain.agency</t>
  </si>
  <si>
    <t>Ms. Nithya Thadani serves as Chief Executive Officer at Rain. She serves as TechMamas Executive &amp; Chairwoman at HeyMama.</t>
  </si>
  <si>
    <t>Carnegie Mellon University, BS (Bachelor of Science), Business, University of Pennsylvania, MBA (Master of Business Administration), Entrepreneurial Studies</t>
  </si>
  <si>
    <t>The company raised $3 million of Series A venture funding in a deal led by Stanley Ventures on December 16, 2020, putting the company's pre-money valuation at $7 million. Valor Capital Group and other undisclosed investors also participated in the round. The funds will be used to create conversational AI solutions for the industries like agriculture, healthcare, retail, and manufacturing with the goals of streamlining laborious processes and increasing enterprise productivity.</t>
  </si>
  <si>
    <t>Stanley Ventures, Valor Capital Group</t>
  </si>
  <si>
    <t>Stanley Ventures(Michael Mahan)</t>
  </si>
  <si>
    <t>Valor Venture Fund II(Valor Capital Group)</t>
  </si>
  <si>
    <t>Greenwich, CT</t>
  </si>
  <si>
    <t>Greenwich</t>
  </si>
  <si>
    <t>06831</t>
  </si>
  <si>
    <t>www.rain.agency</t>
  </si>
  <si>
    <t>205544-53T</t>
  </si>
  <si>
    <t>Raise Green</t>
  </si>
  <si>
    <t>327309-94</t>
  </si>
  <si>
    <t>Techstars (www.techstars.com)</t>
  </si>
  <si>
    <t>Developer of an equity crowdfunding platform designed to facilitate businesses in raising capital for green infrastructure and clean energy projects. The company's platform is used for community-driven project finance and allows community leaders to create their own clean energy and climate service projects and to benefit from shared ownership, enabling clients to fight against climate change and income inequality and providing the tools they need to create and invest directly into climate projects like community solar.</t>
  </si>
  <si>
    <t>The company raised $1.24 million of equity crowdfunding in the form of SAFE notes via Wefunder in July 2023. Previously, the company raised an undisclosed amount of venture funding from Skyview Ventures in approximately February 2023.</t>
  </si>
  <si>
    <t>Financial Software, Other Financial Services*, Specialized Finance</t>
  </si>
  <si>
    <t>alternative investment, climate, climate technology, crowdfunding investment, crowdfunding investment platform, crowdfunding portal, crowdfunding site, esg investment, impact investing, investment capital, securities financing software, wealthtech</t>
  </si>
  <si>
    <t>212764-42P</t>
  </si>
  <si>
    <t>Franz Hochstrasser</t>
  </si>
  <si>
    <t>+1 (831) 588-2191</t>
  </si>
  <si>
    <t>franz@raisegreen.com</t>
  </si>
  <si>
    <t>Mr. Franz Hochstrasser is a Co-Founder &amp; Founding Chief Executive Officer of Raise Green. Mr. Hochstrasser co-founded New Haven Community Solar and also served as its Chief Executive Officer &amp; Manager. He spent nine years working for President Obama, as an organizer on campaigns, and in the Administration at the USDA, White House, and State Department. While at Yale School of Forestry and Environmental Studies, he focused on sustainable finance, energy project deployment, and environmental law and policy. In Raise Green, Mr Hochstrasser focuses on fundraising, legal and compliance, and strategy. He was a former Obama appointee on energy and climate for the White House, US State Dept, and USDA. Part of the core team that negotiated the Paris Agreement.</t>
  </si>
  <si>
    <t>University of California, Santa Cruz, BA (Bachelor of Arts), Linguistics, University of California, Santa Cruz, BA (Bachelor of Arts), Politics, Yale School of Management, Master's, Environmental Management</t>
  </si>
  <si>
    <t>The company raised $1.2 million of seed funding from Techstars and other undisclosed investors on September 23, 2022.</t>
  </si>
  <si>
    <t>www.raisegreen.com</t>
  </si>
  <si>
    <t>160369-75T</t>
  </si>
  <si>
    <t>Rantizo</t>
  </si>
  <si>
    <t>227275-66</t>
  </si>
  <si>
    <t>Ag Ventures Alliance, C9 Capital, Fall Line Capital, Fulcrum Global Capital(Kevin Lockett), Innova Memphis(Jan Bouten), ISA Ventures, KZValve, Leaps by Bayer(Paimun Amini), Lewis &amp; Clark AgriFood(Lawrence Page), Sukup Manufacturing</t>
  </si>
  <si>
    <t>Ag Ventures Alliance (agventuresalliance.com), C9 Capital (c9cap.com), Fall Line Capital (www.fall-line-capital.com), Fulcrum Global Capital (www.fgcvc.com), Innova Memphis (www.innovamemphis.com), ISA Ventures (www.isaventures.com), KZValve (www.kzvalve.com), Leaps by Bayer (leaps.bayer.com), Lewis &amp; Clark AgriFood (www.lewisandclarkagrifood.com), Sukup Manufacturing (www.sukup.com)</t>
  </si>
  <si>
    <t>Developer of software and enablement platform designed to integrate spray UAV drones into large-scale agriculture operations. The company's software integrates with drone manufacturers, and agronomy and work order systems make the application a profitable choice, maps, compliance, and the connection of spraying supply and demand all solve pressing issues in US agriculture, enabling farmers to apply pesticides and chemicals on the farms evenly without any hassle and within a short duration of time.</t>
  </si>
  <si>
    <t>The company raised $14.94 million of venture funding in a deal led by Leaps by Bayer on June 19, 2024. KZValve, Sukup Manufacturing, Lewis &amp; Clark AgriFood, Fulcrum Global Capital, Innova Memphis, Ag Ventures Alliance, Fall Line Capital, ISA Ventures and C9 Capital also participated in the round. The funds will be used to expand the company's nationwide operator network, which now works across 30 states with more than 20% of the nation's top 50 ag retailers.</t>
  </si>
  <si>
    <t>Other Agriculture, Other Hardware*</t>
  </si>
  <si>
    <t>AgTech, Manufacturing, Robotics and Drones, Supply Chain Tech</t>
  </si>
  <si>
    <t>agricultural services, agricultural sprays drones, cover crop, drone service provider, drones and imagery analytics, pesticides sprayers drones, precision ag, precision agriculture, precision agronomics, spray drones</t>
  </si>
  <si>
    <t>48003-94P</t>
  </si>
  <si>
    <t>Michael Ott</t>
  </si>
  <si>
    <t>+1 (319) 201-3020</t>
  </si>
  <si>
    <t>ott@rantizo.com</t>
  </si>
  <si>
    <t>Mr. Michael Ott serves as a Co-Chief Executive Officer &amp; Board Member at Rantizo. He serves as Chief Executive Officer at Cquesta. He founded Terra Biologics. He served as an Entrepreneur-in-Residence at Nidus Partners. With expertise in identifying value propositions, raising VC funds, and closing deals, he has also developed an extensive global network in the areas of renewable products and sustainability. Since 2005, as Executive Director of BIOWA, Iowa City, IA, he was responsible for converting the organization from a bio-based products trade group to a consulting group for renewable energy technologies. Additionally, he raised over $150 million from investors for traditional biofuel production facilities, advanced biofuels, wind power, biomass power, waste-to-energy, and bio-based product companies, during which time he created a global network of experts. In his prior role as Director at Iowa BioDevelopment, he managed the Bioprocess Training Center along with Department of Labor grants designed to increase business productivity. As President of Lutra Management, he developed business and strategic plans and valuations for startup companies. From 2000 - 2002, in his role as VP of Acquisitions at Boca BioVentures, FL, Mike directed the VC arm with a $35 million biotechnology hedge fund with responsibility for all aspects of the deals. He received a B.S. in Chemistry from Simpson College and an M.S. in Bioinorganic Chemistry from the University of Iowa.</t>
  </si>
  <si>
    <t>Simmons College, BS (Bachelor of Science), 1998, Chemistry, University of Iowa, MS (Master of Science), 2003, Bio-Inorganic Chemistry</t>
  </si>
  <si>
    <t>Ag Ventures Alliance, C9 Capital, Fall Line Capital, Fulcrum Global Capital, ISA Ventures, KZValve, Leaps by Bayer, Lewis &amp; Clark AgriFood, Sukup Manufacturing</t>
  </si>
  <si>
    <t>Leaps by Bayer(Paimun Amini)</t>
  </si>
  <si>
    <t>Innova AG Innovation Fund IV(Innova Memphis), Innova Ag Innovation Fund VI(Innova Memphis), ISA Ventures Fund(ISA Ventures), Lewis &amp; Clark Plant Sciences Fund I(Lewis &amp; Clark AgriFood)</t>
  </si>
  <si>
    <t>Bryan Cave Leighton Paisner (Legal Advisor to Leaps by Bayer, Charles Johnson JD), Shuttleworth &amp; Ingersoll (Legal Advisor to Company)</t>
  </si>
  <si>
    <t>Shuttleworth &amp; Ingersoll (Legal Advisor to Company)</t>
  </si>
  <si>
    <t>Bryan Cave Leighton Paisner (Legal Advisor to Leaps by Bayer, Charles Johnson JD)</t>
  </si>
  <si>
    <t>Iowa City, IA</t>
  </si>
  <si>
    <t>Iowa City</t>
  </si>
  <si>
    <t>52240</t>
  </si>
  <si>
    <t>www.rantizo.com</t>
  </si>
  <si>
    <t>Equipment for fitting in or to aircraft</t>
  </si>
  <si>
    <t>159785-74T</t>
  </si>
  <si>
    <t>Rapid Robotics</t>
  </si>
  <si>
    <t>433091-44</t>
  </si>
  <si>
    <t>468 Capital, Bee Partners(Michael Berolzheimer), Draft Ventures, Greycroft(John Elton)</t>
  </si>
  <si>
    <t>468 Capital (www.468cap.com), Bee Partners (www.beepartners.vc), Draft Ventures (draftvc.com), Greycroft (www.greycroft.com)</t>
  </si>
  <si>
    <t>Developer of industrial automation software and hardware designed to quickly deploy robotic arms in the factory. The company's technology can be deployed against simple tasks in hours rather than weeks at a fraction of the cost of other automation solutions that require extensive manual programming, enabling manufacturers to increase the return on investment through increased production margins driven by both bottom-line cost reduction and increased production output, efficiency, and quality.</t>
  </si>
  <si>
    <t>The company raised $36.7 million of Series B venture funding in a deal led by Kleiner Perkins and Tiger Global Management on August 18, 2021, putting the company's pre-money valuation at $157 million. Greycroft and other investors also participated in the round. The funds will be used for robotic machine operations. Previously, the company raised $12 million of Series A venture funding in a deal led by New Enterprise Associates on February 26, 2021, putting the company's pre-money valuation at $28 million. Rackhouse Venture Capital, Greycroft, Bee Partners, and 468 Capital also participated in the round.</t>
  </si>
  <si>
    <t>Automation/Workflow Software, Business/Productivity Software, Machinery (B2B), Other Hardware*</t>
  </si>
  <si>
    <t>Advanced Manufacturing, Artificial Intelligence &amp; Machine Learning, Robotics and Drones</t>
  </si>
  <si>
    <t>autonomous machine, computer vision, deep learning, intelligent robotics, machine operators, manufacturing automation, manufacturing automation software, robotic machine tending</t>
  </si>
  <si>
    <t>35613-64P</t>
  </si>
  <si>
    <t>Jordan Kretchmer</t>
  </si>
  <si>
    <t>+1 (972) 741-2627</t>
  </si>
  <si>
    <t>jordan@rapidrobotics.com</t>
  </si>
  <si>
    <t>Mr. Jordan Kretchmer is a Co-Founder and serves as Co-Chief Executive Officer, Executive Chairman &amp; President and Board Member at Rapid Robotics. He serves as a Board Member at Copia. He is an Angel Investor. He was previously the founder of Livefyre, where he served as its Chief Executive Officer until being acquired by Adobe in 2016. He serves as an Advisor at Zipline. Mr. Kretchmer served as a Senior Director and General Manager at Adobe. His background is in product development and brand strategy. At 17, he started his full-time career designing web applications for brands ranging from Subaru to Match.com to Pepsi to MINI Cooper. He spent nine years in the advertising industry, holding VP and Creative Director positions at Mullen Advertising in Boston and Butler Shine Stern Partners in San Francisco, where he managed the digital development teams. Before founding Livefyre, he was the Vice President of Brand at CurrentTV in San Francisco.</t>
  </si>
  <si>
    <t>Southern Methodist University, Degree</t>
  </si>
  <si>
    <t>The company raised $5.47 million of Seed funding in a deal led by Greycroft and Bee Partners on November 18, 2020, putting the company's pre-money valuation at $8 million. 468 Capital and Draft Ventures also participated in the round.</t>
  </si>
  <si>
    <t>468 Capital, Bee Partners, Draft Ventures, Greycroft</t>
  </si>
  <si>
    <t>Bee Partners(Michael Berolzheimer), Greycroft(John Elton)</t>
  </si>
  <si>
    <t>468 Capital Venture Fund(468 Capital), Bee Partners III(Bee Partners), Greycroft Partners V(Greycroft)</t>
  </si>
  <si>
    <t>Goodwin Procter (Legal Advisor to Company, David van Horne Jr.)</t>
  </si>
  <si>
    <t>www.rapidrobotics.com</t>
  </si>
  <si>
    <t>219679-93T</t>
  </si>
  <si>
    <t>Rasa (Legal Services (B2C))</t>
  </si>
  <si>
    <t>522438-04</t>
  </si>
  <si>
    <t>Acumen America(Catherine Nanda), Convoi Ventures, GoodLight Capital(Jacques-Philippe Piverger), Halogen Ventures, Sorenson Impact Foundation(Eliza Roady)</t>
  </si>
  <si>
    <t>Acumen America (acumenamerica.org), Convoi Ventures (www.convoiventures.com), GoodLight Capital (www.goodlight.capital), Halogen Ventures (www.halogenvc.com), Sorenson Impact Foundation (www.sorensonimpactfoundation.org)</t>
  </si>
  <si>
    <t>Developer of a tech-powered record clearance platform designed to empower individuals with accessible and affordable tools to clear criminal records and unlock a second chance. The company's platform streamlines eligibility checks to connect users with affordable legal representation and guides them through the clearance process, enabling customers to navigate complex legal systems, overcome financial barriers, and build brighter futures. prices.</t>
  </si>
  <si>
    <t>The company raised $1.1 million of seed funding from Dream.Org, Convoi Ventures and GoodLight Capital on August 14, 2023. Sorenson Impact Foundation, Halogen Ventures and Acumen America also participated in the round.</t>
  </si>
  <si>
    <t>Application Software, Legal Services (B2C)*</t>
  </si>
  <si>
    <t>Legal Tech, Mobile, TMT</t>
  </si>
  <si>
    <t>criminal record checking, criminal record investigation, criminal record removal, criminal record screening, criminal record verification, legal services software, legal services tools</t>
  </si>
  <si>
    <t>341997-85P</t>
  </si>
  <si>
    <t>Noella Sudbury</t>
  </si>
  <si>
    <t>+1 (385) 454-5842</t>
  </si>
  <si>
    <t>noella@rasa-legal.com</t>
  </si>
  <si>
    <t>Ms. Noella Sudbury is the Founder &amp; serves as Chief Executive Officer and Board Member at Rasa Legal. She is a licensed Utah attorney with over a decade of experience in criminal law, policy, and data-driven justice reform. While serving as a Senior Policy Advisor to Salt Lake County Mayor Ben McAdams, she led the successful campaign to pass Utah's Clean Slate law, which automates the expungement process for more than 450,000 Utahns. She has served on the National Clean Slate Initiative Steering Committee and has provided technical assistance to other state campaigns to pass automatic clearance. She has received several honors and awards for her public service, including being selected as Utah Business Magazine's 2019 Woman of the Year and being honored with the 2022 Distinguished Service Award from the Utah State Bar. In 2023, she was recognized by Inc. Magazine as one of the nation's 200 most dynamic and influential female founders.</t>
  </si>
  <si>
    <t>Graduate, Interdisciplnary Degree, University of Utah, Degree, JD, University of Utah, Undergraduate studies</t>
  </si>
  <si>
    <t>Acumen America, Convoi Ventures, GoodLight Capital, Halogen Ventures, Sorenson Impact Foundation</t>
  </si>
  <si>
    <t>www.rasa-legal.com</t>
  </si>
  <si>
    <t>193584-97T</t>
  </si>
  <si>
    <t>Re:Dish</t>
  </si>
  <si>
    <t>452799-91</t>
  </si>
  <si>
    <t>How Women Invest, Impact Assets, Value Create</t>
  </si>
  <si>
    <t>How Women Invest (www.howwomeninvest.com), Impact Assets (www.impactassets.org), Value Create (www.valuecreate.net)</t>
  </si>
  <si>
    <t>Provider of reusable food container service intended to reduce plastic waste. The company helps to collect, clean, and sanitize containers at an industrial washing facility along with a dashboard to manage reusables inventory and environmental impact, enabling businesses to reduce costs and keep track of ESG goals.</t>
  </si>
  <si>
    <t>The company raised an undisclosed amount of seed funding in the form of SAFE notes from ImpactAssets on November 30, 2023.</t>
  </si>
  <si>
    <t>Materials and Resources</t>
  </si>
  <si>
    <t>Containers and Packaging</t>
  </si>
  <si>
    <t>Other Containers and Packaging</t>
  </si>
  <si>
    <t>Business/Productivity Software, Other Containers and Packaging*</t>
  </si>
  <si>
    <t>Climate Tech, FoodTech, LOHAS &amp; Wellness</t>
  </si>
  <si>
    <t>food containers, food containers manufacturer, food containers provider, food production, reusable food containers, sustainable packaging, sustainable product, washing service</t>
  </si>
  <si>
    <t>Sustainable Packaging</t>
  </si>
  <si>
    <t>63866-44P</t>
  </si>
  <si>
    <t>Caroline Vanderlip</t>
  </si>
  <si>
    <t>+1 (917) 209-0072</t>
  </si>
  <si>
    <t>cvanderlip@redish.com</t>
  </si>
  <si>
    <t>Ms. Caroline Vanderlip is the Founder and serves as Chief Executive Officer at Re: Dish. She served as Senior Vice President, Corporate and Business Development at Amplify Education. She serves as the Chief Executive Officer of SharedBooks. She served as the Chief Executive Officer of SharedBook (sold to XanEdu in 2014). In addition, she works to identify and create content, distribution and technology partnerships that further Amplify's expansion and distribution strategies. Caroline joined Amplify in 2015 with broad experience in launching and building businesses in digital and traditional media and education technology, among them SharedBook (now part of XanEdu) and the cable network CNBC.</t>
  </si>
  <si>
    <t>Dartmouth College, Degree, 1975, New York University, MBA (Master of Business Administration), 1984, Finance, Vassar College, BA (Bachelor of Arts), 1976, American Studies</t>
  </si>
  <si>
    <t>The company raised $1.05 million of Seed-2 funding from Value Create, How Women Invest and ImpactAssets on April 30, 2021, putting the company's pre-money valuation at $4.95 million.</t>
  </si>
  <si>
    <t>How Women Invest II(How Women Invest)</t>
  </si>
  <si>
    <t>11206</t>
  </si>
  <si>
    <t>www.redish.com</t>
  </si>
  <si>
    <t>173932-48T</t>
  </si>
  <si>
    <t>ReadySet (Beverly Hills)</t>
  </si>
  <si>
    <t>467212-24</t>
  </si>
  <si>
    <t>Amplify Partners(Natalie Vais), E14 Fund, Essence Venture Capital, Sequoia Capital</t>
  </si>
  <si>
    <t>Amplify Partners (www.amplifypartners.com), E14 Fund (www.e14.vc), Essence Venture Capital (www.essencevc.fund), Sequoia Capital (www.sequoiacap.com)</t>
  </si>
  <si>
    <t>Developer of a database acceleration technology designed to help developers build performant and real-time applications. The company's technology offers latencies of an optimized custom caching system, query throughput of reading replicas and direct development experience using a single relational database, enabling developers to scale out the database by reading horizontally without making code changes or switching databases.</t>
  </si>
  <si>
    <t>The company received development capital from Kamco Invest on an undisclosed date.</t>
  </si>
  <si>
    <t>Business/Productivity Software*, Database Software, Software Development Applications</t>
  </si>
  <si>
    <t>application infrastructure, caching data, caching system, code review, data infrastructure, database access, database management system, database software, middleware, queries tools, querying tools, sql server</t>
  </si>
  <si>
    <t>265117-60P</t>
  </si>
  <si>
    <t>Alana Marzoev</t>
  </si>
  <si>
    <t>alana@readyset.io</t>
  </si>
  <si>
    <t>Ms. Alana Marzoev is a Co-Founder and serves as Chief Executive Officer at ReadySet.</t>
  </si>
  <si>
    <t>The company raised $4.9 million of seed funding in a deal led by Amplify Partners on February 12, 2021, putting the company's pre-money valuation at $15 million. Essence Venture Capital, E14 Fund and Sequoia Capital also participated in the round.</t>
  </si>
  <si>
    <t>Amplify Partners, E14 Fund, Essence Venture Capital, Sequoia Capital</t>
  </si>
  <si>
    <t>Amplify Partners(Natalie Vais)</t>
  </si>
  <si>
    <t>Amplify Partners III(Amplify Partners), Essence VC Fund I(Essence Venture Capital), Sequoia Capital China Venture Fund VIII(Sequoia Capital)</t>
  </si>
  <si>
    <t>www.readyset.io</t>
  </si>
  <si>
    <t>140512-96T</t>
  </si>
  <si>
    <t>Realm</t>
  </si>
  <si>
    <t>437615-02</t>
  </si>
  <si>
    <t>Blue Trail Partners, Silicon Badia</t>
  </si>
  <si>
    <t>Blue Trail Partners (www.bluetrailpartners.com), Silicon Badia (www.siliconbadia.com)</t>
  </si>
  <si>
    <t>Developer of a property management platform designed to make better decisions for home investments. The company's platform analyzes property, financial, regulatory, and personal data to provide customized insights and recommendations, enabling homeowners to increase the value of their property, save money, generate rental income, and enjoy their space.</t>
  </si>
  <si>
    <t>The company raised $9.71 million of Series A2 venture funding from Lerer Hippeau, Western Technology Investment and Alumni Ventures on October 3, 2023, putting the company's pre-money valuation at $70.29 million. Scale Venture Partners and 7 other investors also participated in the round.</t>
  </si>
  <si>
    <t>decision making tools, financial data analysis, home management software, property analysis, property management app, real estate tech</t>
  </si>
  <si>
    <t>131346-73P</t>
  </si>
  <si>
    <t>Elizabeth Young</t>
  </si>
  <si>
    <t>+1 (617) 648-9100</t>
  </si>
  <si>
    <t>liz@myrealm.co</t>
  </si>
  <si>
    <t>Ms. Elizabeth Young is the Founder and serves as Chief Executive Officer &amp; Board Member at Realm. She served as Senior Vice President of Sales and Marketing at Reonomy. Elizabeth is a dynamic sales leader with experience running global revenue teams and selling sophisticated solutions. She has worked for both publicly traded and large privately held companies. Most recently, she built and ran the 30+ person sales and marketing team at Breadcrumb Point of Sale.</t>
  </si>
  <si>
    <t>University of Delaware, Newark, Degree, 2010, Finance</t>
  </si>
  <si>
    <t>The company raised $2.95 million through a combination of Seed 1 and Seed 2 funding from Silicon Badia and Blue Trail Partners on September 15, 2020, putting the company's pre-money valuation at $6 million.</t>
  </si>
  <si>
    <t>Badia Outreach Fund II(Silicon Badia)</t>
  </si>
  <si>
    <t>www.realmhome.com</t>
  </si>
  <si>
    <t>169207-66T</t>
  </si>
  <si>
    <t>Realworld</t>
  </si>
  <si>
    <t>398920-15</t>
  </si>
  <si>
    <t>Amplifyher Ventures(Meghan Cross), Bezos Expeditions, Centre Street Partners, Copper Wire Ventures, Fitz Gate Ventures, Founders First(Jeremy Levine), GMO Venture Partners, Great Oaks Venture Capital, Human Ventures, Knightsgate Ventures, Reach Capital, Techstart Ventures, The Helm, Underdog Labs</t>
  </si>
  <si>
    <t>Amplifyher Ventures (www.amplifyherventures.com), Bezos Expeditions (www.bezosexpeditions.com), Centre Street Partners (www.centrestreet.partners), Copper Wire Ventures (www.copperwire.ventures), Fitz Gate Ventures (www.fitzgate.com), Founders First (www.foundersfirst.fund), GMO Venture Partners (www.gmo-vp.com), Great Oaks Venture Capital (www.greatoaksvc.com), Human Ventures (www.human.vc), Knightsgate Ventures (knightsgateventures.com), Reach Capital (www.reachcapital.com), Techstart Ventures (www.techstart.vc), The Helm (www.thehelm.co), Underdog Labs (www.underdoglabs.io)</t>
  </si>
  <si>
    <t>Developer of an adulthood simplifying application intended to provide a comprehensive online training program to navigate adulthood and important life moments. The company's application is the connective tissue between disaggregated decisions in one centralized platform to help set up credit cards, manage student loan repayments, schedule a primary care appointment, choose a health insurance plan, store your passport and TSA PreCheck number, organize and upload documents to apply for an apartment lease, and get reminded to update your voter registration and notify you of local elections, enabling users to make informed decisions in life.</t>
  </si>
  <si>
    <t>The company raised $3.24 million of seed funding in a deal led by Fitz Gate Ventures on May 5, 2022, putting the company's pre-money valuation at $27 million. Knightsgate Ventures and 11 other investors also participated in the round.</t>
  </si>
  <si>
    <t>consumer app, online training, online training service, product recommendation, training program, training program provider</t>
  </si>
  <si>
    <t>218834-47P</t>
  </si>
  <si>
    <t>Genevieve Bellaire</t>
  </si>
  <si>
    <t>+1 (917) 382-0074</t>
  </si>
  <si>
    <t>genevieve@realworld.co</t>
  </si>
  <si>
    <t>Ms. Genevieve Bellaire is the Founder and serves as Chief Executive Officer &amp; Board Member at Realworld.</t>
  </si>
  <si>
    <t>Georgetown University, MBA (Master of Business Administration), 2015, Princeton University, Bachelor's, 2011, Politics &amp; International Relations</t>
  </si>
  <si>
    <t>The company raised $4.68 million through a combination of Seed-1 and Seed funding in a deal led by Fitz Gate Ventures on April 9, 2021, putting the company's pre-money valuation at $6 million. Knightsgate Ventures, The Helm, Great Oaks Venture Capital, Copper Wire Ventures, Amplifyher Ventures, Underdog Labs, Techstart Ventures, GMO VenturePartners, Founders First, Reach Capital, Human Ventures, Centre Street Partners, Bezos Expeditions, and other undisclosed investors also participated in the round.</t>
  </si>
  <si>
    <t>Amplifyher Ventures, Bezos Expeditions, Centre Street Partners, Copper Wire Ventures, Fitz Gate Ventures, Founders First, GMO Venture Partners, Great Oaks Venture Capital, Human Ventures, Knightsgate Ventures, Reach Capital, Techstart Ventures, The Helm, Underdog Labs</t>
  </si>
  <si>
    <t>Fitz Gate Ventures</t>
  </si>
  <si>
    <t>Amplifyher Ventures Fund(Amplifyher Ventures), Bridge Boys(Founders First), Centre Street Partners I(Centre Street Partners), Fitz Gate Ventures II(Fitz Gate Ventures), Helm Fund II(The Helm), Human Ventures Fund I(Human Ventures), Knightsgate Ventures Fund I(Knightsgate Ventures), Knightsgate Ventures II(Knightsgate Ventures), Reach III(Reach Capital), Techstart Ventures Equity Finance Fund(Techstart Ventures)</t>
  </si>
  <si>
    <t>Cooley (Legal Advisor to Company), Gunderson Dettmer (Legal Advisor to Fitz Gate Ventures)</t>
  </si>
  <si>
    <t>Gunderson Dettmer (Legal Advisor to Fitz Gate Ventures)</t>
  </si>
  <si>
    <t>www.realworld.co</t>
  </si>
  <si>
    <t>167083-66T</t>
  </si>
  <si>
    <t>Rebel Girls</t>
  </si>
  <si>
    <t>54459-55</t>
  </si>
  <si>
    <t>Alessandro Piol(Alessandro Piol), Atlante Seed, Base10 Partners, Christine Tsai(Christine Tsai), Elliot Loh(Elliot Loh), H-Farm (MIL: FARM), Marco Marinucci(Marco Marinucci), Mindshift Capital(Heather Henyon), MTS Fund, New York Angels, Owl Ventures(Tory Patterson), Paolo Giovine(Paolo Giovine), Precursor Ventures, Rohit Sharma(Rohit Sharma), Wenda Harris Millard(Wenda Harris Millard)</t>
  </si>
  <si>
    <t>Base10 Partners (www.base10.vc), H-Farm (MIL: FARM) (www.h-farm.com), Marco Marinucci (www.marcomarinucci.com), Mindshift Capital (www.mindshiftcapital.com), MTS Fund (www.mtsfund.co), New York Angels (www.newyorkangels.com), Owl Ventures (www.owlvc.com), Precursor Ventures (precursorvc.com)</t>
  </si>
  <si>
    <t>Operator of a multi-platform empowerment brand intended to inspire and instill confidence in girls. The company's platform combines storytelling and technology to build educational interactive experiences that attract both children and grown-ups and provides stories about inspirational women, enabling users to make their children learn, grow, and have fun at the same time.</t>
  </si>
  <si>
    <t>The company raised $8 million of Series A venture funding in a deal led by Penguin Random House on October 2, 2023, putting the company's pre-money valuation at $30 million. Asma Ishaq, Jenny Zhu, Jocelyn Mangan, Melissa Kushner, Joan Jett, Stephanie Sperber and Epic Angels Network also participated in the round.</t>
  </si>
  <si>
    <t>Publishing</t>
  </si>
  <si>
    <t>Application Software, Publishing*</t>
  </si>
  <si>
    <t>audio content, children books, digital content creation, educational application, online content, storytelling app, storytelling application</t>
  </si>
  <si>
    <t>120124-90P</t>
  </si>
  <si>
    <t>Jes Wolfe</t>
  </si>
  <si>
    <t>jes@rebelgirls.com</t>
  </si>
  <si>
    <t>Ms. Jes Wolfe serves as Chief Executive Officer and Chairman at Rebel Girls. She also served as Chief Operating Officer at Hoodline. She served as Board Member at Knowhere. She holds an MBA from Stanford University and a BA in Economics &amp; Political Science from University of California.</t>
  </si>
  <si>
    <t>Stanford University, MBA (Master of Business Administration), 2010, University of California, Berkeley, BA (Bachelor of Arts), 2004, Economics &amp; Political Science</t>
  </si>
  <si>
    <t>The company raised $8.5 million of Seed funding in a deal led by Owl Ventures on October 2, 2020, putting the company's pre-money valuation at $17.5 million. Atlante Seed, MTS Fund, Base10 Partners, Precursor Ventures, H-Farm, Mindshift Capital, and New York Angels alongside 7 more angel investors also participated in the round.</t>
  </si>
  <si>
    <t>Alessandro Piol, Atlante Seed, Base10 Partners, Christine Tsai, Elliot Loh, H-Farm, Marco Marinucci, Mindshift Capital, MTS Fund, New York Angels, Owl Ventures, Paolo Giovine, Precursor Ventures, Rohit Sharma, Wenda Harris Millard</t>
  </si>
  <si>
    <t>Owl Ventures(Tory Patterson)</t>
  </si>
  <si>
    <t>Base10 Partners I(Base10 Partners), Mindshift Capital Fund I(Mindshift Capital), Precursor Ventures III(Precursor Ventures)</t>
  </si>
  <si>
    <t>www.rebelgirls.com</t>
  </si>
  <si>
    <t>177096-43T</t>
  </si>
  <si>
    <t>Rebel Space Technologies</t>
  </si>
  <si>
    <t>470632-96</t>
  </si>
  <si>
    <t>Acequia Capital, Village Global</t>
  </si>
  <si>
    <t>Acequia Capital (www.acecap.com), Village Global (www.villageglobal.vc)</t>
  </si>
  <si>
    <t>Developer of autonomous intelligence software intended to build secure and intelligent wireless connectivity. The company offers autonomous threat detection and response software for networked edge devices and supports the convergence of physical and cyber security, delivering actionable insights and intelligence in real-time for complex wireless environments and also offers secure radio communication in difficult environments, enabling clients to offer secure, reliable communications in challenging environments through advances in spectrum awareness and autonomous RF systems.</t>
  </si>
  <si>
    <t>The company raised an estimated $2.46 million through a combination of Seed-1, and Seed-3 funding from Everywhere Ventures, Mana Ventures, Garuda and other undisclosed investors on January 31, 2024, putting the company's pre-money valuation at an estimated $8 million.</t>
  </si>
  <si>
    <t>Aerospace and Defense*, Network Management Software</t>
  </si>
  <si>
    <t>Artificial Intelligence &amp; Machine Learning, Big Data, Cybersecurity, Space Technology</t>
  </si>
  <si>
    <t>communication service, deep space communication, endpoint security, intelligence platform, iot security, iot/ot security, ot security, secure communication, signal analysis, space communication, wireless connectivity</t>
  </si>
  <si>
    <t>270068-05P</t>
  </si>
  <si>
    <t>Carrie Hernandez</t>
  </si>
  <si>
    <t>c-h@rebelspacetechnologies.com</t>
  </si>
  <si>
    <t>Dr. Carrie Hernandez is a Co-Founder &amp; serves as Chief Executive Officer at Rebel Space.</t>
  </si>
  <si>
    <t>Southern Methodist University, MS (Master of Science), 2011, Engineering, University of Colorado, MS (Master of Science), 2007, Electrical Engineering, University of Texas, Austin, Ph.D. (Doctor of Philosophy), 2015, Electrical Engineering, Philosophy, University of Wyoming, BS (Bachelor of Science), 2002, Electrical Engineering</t>
  </si>
  <si>
    <t>The company raised $200,000 through a combination of debt and Seed-2 funding from Village Global, Acequia Capita , and other undisclosed investors on July 13, 2021, putting the company's pre-money valuation at $999,999.</t>
  </si>
  <si>
    <t>90802</t>
  </si>
  <si>
    <t>www.rebelspacetech.com</t>
  </si>
  <si>
    <t>249659-74T</t>
  </si>
  <si>
    <t>Recraft (Business/Productivity Software)</t>
  </si>
  <si>
    <t>539853-49</t>
  </si>
  <si>
    <t>AAL Management, Abstract Ventures, Basis Set Ventures, Elad Gil, Khosla Ventures(Nikita Shamgunov), Nat Friedman, RTP Global, South Park Commons</t>
  </si>
  <si>
    <t>AAL Management (www.aal.vc), Abstract Ventures (abstract.vc), Basis Set Ventures (www.basisset.com), Elad Gil (www.eladgil.com), Khosla Ventures (www.khoslaventures.com), RTP Global (www.rtp.vc), South Park Commons (www.southparkcommons.com)</t>
  </si>
  <si>
    <t>Developer of an AI image generator intended to provide a designing tool. The company's tool generates and edits vector art, icons, 3-dimensional images, and illustrations in a range of styles suitable for websites, print, and marketing, enabling clients to get an artboard for creating their designs.</t>
  </si>
  <si>
    <t>The company joined AI Grant as part of it's Batch 1 program on an undisclosed date. Previously, the company raised $12 million of Series A venture funding in a deal led by Khosla Ventures and Nat Friedman on January 18, 2024. RTP Global, Abstract Ventures, Basis Set Ventures, Elad Gil, AAL Management, South Park Commons and other undisclosed investors also participated in the round.</t>
  </si>
  <si>
    <t>3D Printing, Artificial Intelligence &amp; Machine Learning</t>
  </si>
  <si>
    <t>design tool, design toolkit, illustrations art, illustrations design, images generator, marketing tool</t>
  </si>
  <si>
    <t>375199-57P</t>
  </si>
  <si>
    <t>Anna Dorogush</t>
  </si>
  <si>
    <t>Ms. Anna Dorogush is the Founder and serves as Chief Executive Officer at Recraft.</t>
  </si>
  <si>
    <t>The company raised $12 million of Series A venture funding in a deal led by Khosla Ventures and Nat Friedman on January 18, 2024. RTP Global, Abstract Ventures, Basis Set Ventures, Elad Gil, AAL Management, South Park Commons and other undisclosed investors also participated in the round.</t>
  </si>
  <si>
    <t>AAL Management, Abstract Ventures, Basis Set Ventures, Elad Gil, Khosla Ventures, Nat Friedman, RTP Global, South Park Commons</t>
  </si>
  <si>
    <t>Khosla Ventures(Nikita Shamgunov), Nat Friedman</t>
  </si>
  <si>
    <t>South Park Commons Seed Fund II(South Park Commons)</t>
  </si>
  <si>
    <t>www.recraft.ai</t>
  </si>
  <si>
    <t>175150-00T</t>
  </si>
  <si>
    <t>Redactable</t>
  </si>
  <si>
    <t>469070-56</t>
  </si>
  <si>
    <t>Blockchain Founders Fund, Bradley Mullen(Bradley Mullen), CFV Ventures, Dave McDowell(Dave McDowell), David Hauslaib(David Hauslaib), Empty Set Group, Everywhere Ventures(Jenny Fielding), Hustle Fund, Jay Dahal(Jay Dahal), Jenny Fielding, Kurt Bilafer(Kurt Bilafer), Laura Fingal-Surma(Laura Fingal-Surma), Michael Robbins(Michael Robbins), Ola Aboubakar(Ola Aboubakar), Queen City Fintech, Revelry Venture Partners, RevTech Labs Capital, Riverside Ventures, Stony Lonesome Group</t>
  </si>
  <si>
    <t>Blockchain Founders Fund (blockchainff.com), CFV Ventures (www.fintechvc.us), Empty Set Group (www.emptysetgroup.com), Everywhere Ventures (everywhere.vc), Hustle Fund (www.hustlefund.vc), Queen City Fintech (qcfintech.co), Revelry Venture Partners (revelryventurepartners.notion.site), RevTech Labs Capital (www.rtl.capital), Riverside Ventures (www.riversideventures.com), Stony Lonesome Group (www.stonylonesomegroupllc.com)</t>
  </si>
  <si>
    <t>Developer an artificial intelligence-based platform intended to help companies permanently redact their sensitive documents. The company's platform offers features such as search automation, patterns redaction, manual redaction, workflow management, cloud collaboration, document scrubbing, and two-way integrations, enabling businesses to increase their productivity.</t>
  </si>
  <si>
    <t>The company is reportedly seeking venture funding from undisclosed investors. Previously, the company raised $5.65 million of seed funding in a deal led by Gradient Ventures on December 15, 2023, putting the company's pre-money valuation at $19.85 million. Everywhere Ventures, Blue Falcon Capital, WellFound, and Wocstar also participated in the round. The funds will be used to advance market reach, visibility, and operations. The company is actively tracked by PitchBook.</t>
  </si>
  <si>
    <t>ai automation platform, b2b saas, compliance data, content services, data privacy, kms, knowledge management system, productivity platform, regulation technology, search automation, vertical application, workflow management</t>
  </si>
  <si>
    <t>267074-74P</t>
  </si>
  <si>
    <t>Amanda Levay</t>
  </si>
  <si>
    <t>+1 (929) 313-4946</t>
  </si>
  <si>
    <t>amanda@redactable.com</t>
  </si>
  <si>
    <t>Ms. Amanda Levay is the Founder and serves as Chief Executive Officer at Redactable.</t>
  </si>
  <si>
    <t>The company raised $1.3 million through a combination of Seed funding from Everywhere Ventures, Riverside Ventures and Hustle Fund on February 3, 2022, putting the company's pre-money valuation at $15 million. Blockchain Founders Fund, Revelry Venture Partners, and 15 other investors also participated in the round.</t>
  </si>
  <si>
    <t>Blockchain Founders Fund, Bradley Mullen, CFV Ventures, Dave McDowell, David Hauslaib, Empty Set Group, Everywhere Ventures, Hustle Fund, Jay Dahal, Jenny Fielding, Kurt Bilafer, Laura Fingal-Surma, Michael Robbins, Ola Aboubakar, Queen City Fintech, Revelry Venture Partners, RevTech Labs Capital, Riverside Ventures, Stony Lonesome Group</t>
  </si>
  <si>
    <t>Everywhere Ventures I-B(Everywhere Ventures), Hustle Fund II(Hustle Fund), Hustle Fund III(Hustle Fund), RevTech Labs Capital Fund 1(RevTech Labs Capital)</t>
  </si>
  <si>
    <t>www.redactable.com</t>
  </si>
  <si>
    <t>175093-75T</t>
  </si>
  <si>
    <t>RedRex</t>
  </si>
  <si>
    <t>443201-77</t>
  </si>
  <si>
    <t>Flatrock Partners(Harrison Andrews), Right Side Capital Management</t>
  </si>
  <si>
    <t>Flatrock Partners (www.flatrockpartnersllc.com), Right Side Capital Management (www.rightsidecapital.com)</t>
  </si>
  <si>
    <t>Developer of an accessible blockchain-based social network platform designed to connect users. The company's platform offers subscription bundles that aid corporate growth through the use of a virtual research assistant to see patterns in data and make changes based on the insights, enabling users to have a metaverse of digital real estate where they can own, rent, and share virtual buildings tied to real-world addresses using NFTs.</t>
  </si>
  <si>
    <t>The company raised $1 million of venture funding through a combination of convertible debt and equity from undisclosed investors on February 14, 2023.</t>
  </si>
  <si>
    <t>ai cores, digital world, discord server, metaverse events, social network analysis, social network data, web3 application, web3 technologies</t>
  </si>
  <si>
    <t>244907-74P</t>
  </si>
  <si>
    <t>Jennifer Bonine</t>
  </si>
  <si>
    <t>Ms. Jennifer Bonine is a Co-Founder &amp; serves as Chief Marketing Officer at COYABLU. She served as Chief Executive Officer at RedRex. She was the first female Artificial Intelligence ("AI") platform tech CEO. She is respected as a gifted speaker, entrepreneur, and philanthropist, Jennifer Bonine addresses the AI industry nationally and internationally, most recently at the World Economic Forum in Davos and for CNNMoney Switzerland. She has held executive-level positions leading teams for Oracle and Target and is a founding board member of the United States bid for a Minnesota World Expo 2027. Jennifer is a 2020 Minneapolis St. Paul Business Journal Women in Business honoree, a founding sponsor and member of IVOW AI's Women in History Data Ideation Challenge, and an executive board member of Chad Greenway's Lead the Way Foundation. She is a member of Million Dollar Women, a member and mentor for TeamWomen, and a council member of DreamTank, an organization designed to champion young entrepreneurs. Recently named one of the Top 30 Leaders to Watch in 2020 by Silicon Review, Jennifer Bonine was featured at the UN's AI for Good summit. Jennifer is also developing a series of books to educate children about the power of AI and machine learning.</t>
  </si>
  <si>
    <t>University of St. Thomas, Graduate</t>
  </si>
  <si>
    <t>The company raised $1.5 million of seed funding from Right Side Capital Management, Flatrock Partners, and other undisclosed investors on June 24, 2021, putting the company's pre-money valuation at $3 million.</t>
  </si>
  <si>
    <t>Flatrock Partners, Right Side Capital Management</t>
  </si>
  <si>
    <t>Peregrine Select Fund II(Right Side Capital Management)</t>
  </si>
  <si>
    <t>Minneapolis, MN</t>
  </si>
  <si>
    <t>Minneapolis</t>
  </si>
  <si>
    <t>55401</t>
  </si>
  <si>
    <t>www.redrex.com</t>
  </si>
  <si>
    <t>167015-89T</t>
  </si>
  <si>
    <t>Reflekt Me</t>
  </si>
  <si>
    <t>435026-08</t>
  </si>
  <si>
    <t>Backstage Capital, Plug and Play Tech Center, XRC Ventures</t>
  </si>
  <si>
    <t>Backstage Capital (www.backstagecapital.com), Plug and Play Tech Center (www.plugandplaytechcenter.com), XRC Ventures (www.xrcventures.com)</t>
  </si>
  <si>
    <t>Developer of e-commerce website user experience software designed to show how products will look to consumers relative to their label size and body type. The company's web tool allows it to leverage influencers, user-generated content, consumer insights, and the body's positive movement, helping businesses create a consumer buying experience that increases sales, loyalty, and satisfaction.</t>
  </si>
  <si>
    <t>The company joined Techstars as part of Techstars Atlanta powered by J.P. Morgan on April 4, 2023, and received $120,000 in funding, putting the company's pre-money valuation at $310,000. Out of the total funding amount, $100,000 was raised in the form of convertible debt.</t>
  </si>
  <si>
    <t>consumer insights tools, content marketing, ecommerce service, ecommerce software platform, influencer marketing, personalization software</t>
  </si>
  <si>
    <t>229817-26P</t>
  </si>
  <si>
    <t>Oluwatope Mitchell</t>
  </si>
  <si>
    <t>+1 (213) 290-4456</t>
  </si>
  <si>
    <t>tope@reflektme.com</t>
  </si>
  <si>
    <t>Dr. Oluwatope Mitchell is a Co-Founder and serves as Chief Executive Officer and Chairman of the Board at Reflekt Me. She holds a Ph.D., M.A. (Indiana University), and B.A. (University of Washington) in sociology with an emphasis on social psychology and identity along with an MBA Certificate in general business from UNC - Fayetteville, an HBCU. Her career includes social research on identity, marketing insights, and innovation. She has worked as a lifestyle and leisure analyst, Associate head of multicultural insights and as a business strategist at award-winning companies (Mintel, Kantar Futures, and Three Group). Since 2017, she has taught business courses in entrepreneurial marketing, new venture creation, and business and society at the undergraduate and graduate levels. Dr. Mitchell co-founded Fashola Mitchell Education Solutions, Inc. in 2010 with her spouse to provide educational resources to at-risk youth in San Bernardino County, California.</t>
  </si>
  <si>
    <t>Indiana University, MA (Master of Arts), Indiana University, Ph.D. (Doctor of Philosophy), University of North Carolina, Chapel Hill, MBA (Master of Business Administration), University of Washington, Seattle, BA (Bachelor of Arts), Sociology</t>
  </si>
  <si>
    <t>The company raised $25,000 of pre-seed funding from Backstage Capital and Plug and Play Tech Center in 2020. XRC Ventures also participated in this round.</t>
  </si>
  <si>
    <t>Backstage Capital Accelerator Fund I(Backstage Capital), XRC Fund VIII(XRC Ventures)</t>
  </si>
  <si>
    <t>30328</t>
  </si>
  <si>
    <t>www.reflektme.com</t>
  </si>
  <si>
    <t>175747-78T</t>
  </si>
  <si>
    <t>Reliabl</t>
  </si>
  <si>
    <t>469506-70</t>
  </si>
  <si>
    <t>Matthew Schaar(Matthew Schaar), Omar Shehab(Omar Shehab), Patrick Spaulding-Ryan(Patrick Spaulding-Ryan), PSR Crypto(Patrick Spaulding-Ryan), Silvia Mah(Silvia Mah), Trailyn VC</t>
  </si>
  <si>
    <t>Trailyn VC (www.trailynvc.com)</t>
  </si>
  <si>
    <t>Developer of a content moderation platform intended to moderate online content accurately with less bias for the well-being of marginalized communities. The company's platform aims to encourage social mission, improve mental health and help members show their creative skills by purchasing and selling their work, enabling people of every community to be empowered with the technological tools, educational resources and facilitation support they need to classify and moderate themselves based on their community values and norms.</t>
  </si>
  <si>
    <t>The company joined Women's Innovation Fund Accelerator on an undisclosed date. No equity or funding was exchanged as a result of this program.</t>
  </si>
  <si>
    <t>Business/Productivity Software, Information Services (B2C), Social Content*, Social/Platform Software</t>
  </si>
  <si>
    <t>Artificial Intelligence &amp; Machine Learning, TMT</t>
  </si>
  <si>
    <t>content moderation platform, content sharing, data annotation system, mental healthcare, proprietary technology, social platform</t>
  </si>
  <si>
    <t>267899-23P</t>
  </si>
  <si>
    <t>Annie Brown</t>
  </si>
  <si>
    <t>abrown@lipsdistro.com</t>
  </si>
  <si>
    <t>Ms. Annie Brown is the Founder and serves as Chief Executive Officer and Board Member at Reliabl. She is also a Co-Founder and serves as Chief Executive Officer at My LIttle Mascara Club.</t>
  </si>
  <si>
    <t>The company raised $87,706 of Series 1 seed funding from PSR CRYPTO, Patrick Spaulding Ryan, and Omar Shehab on November 1, 2021. Silvia Mah and Matt Schaar also participated in the round.</t>
  </si>
  <si>
    <t>Matthew Schaar, Omar Shehab, Patrick Spaulding-Ryan, PSR Crypto, Silvia Mah, Trailyn VC</t>
  </si>
  <si>
    <t>Wefunder (Lead Manager or Arranger to Company)</t>
  </si>
  <si>
    <t>95811</t>
  </si>
  <si>
    <t>www.reliabl.ai</t>
  </si>
  <si>
    <t>204483-07T</t>
  </si>
  <si>
    <t>Rella (Business/Productivity Software)</t>
  </si>
  <si>
    <t>481849-84</t>
  </si>
  <si>
    <t>Charge Ventures, Goodwater Capital, Hustle Fund, Liquid 2 Ventures(Michael Ma), Plug and Play Tech Center, Precursor Ventures(Charles Hudson)</t>
  </si>
  <si>
    <t>Charge Ventures (www.charge.vc), Goodwater Capital (www.goodwatercap.com), Hustle Fund (www.hustlefund.vc), Liquid 2 Ventures (www.liquid2.vc), Plug and Play Tech Center (www.plugandplaytechcenter.com), Precursor Ventures (precursorvc.com)</t>
  </si>
  <si>
    <t>Developer of a content management platform intended to manage the entire business in one place. The company platform creates an operating system and facilitates creators to engage in content feedback and influencer networking, plan content across platforms, and organize brand deals and marketing campaigns, enabling content planning sending invoices, and getting revenue insights into comprehensive analytics.</t>
  </si>
  <si>
    <t>The company raised $600,000 of venture funding in a deal led by Precursor Ventures on September 1, 2022. Hustle Fund, Goodwater Capital, Liquid 2 Ventures, Charge Ventures and Plug and Play Tech Center also participated in the round.</t>
  </si>
  <si>
    <t>content creator networking, creator app, creator economy, influencer app, social media application, social media company</t>
  </si>
  <si>
    <t>276894-73P</t>
  </si>
  <si>
    <t>Natalie Barbu</t>
  </si>
  <si>
    <t>+1 (305) 871-9452</t>
  </si>
  <si>
    <t>natalie@rellasocial.com</t>
  </si>
  <si>
    <t>Ms. Natalie Barbu is a Co-Founder and serves as Chief Executive Officer at Rella. An influencer herself, Natalie has been a content creator for the past decade. Starting on YouTube in 2011, she has amassed a loyal following of over 350,000+. She is also the host of The Real Reel Podcast which has received over 1 million downloads since its inception in 2019. Natalie graduated from NC State with a Bachelors in Industrial Engineering in 2018 and went on to work for Accenture before leaving to continue working on her own career.</t>
  </si>
  <si>
    <t>Charge Ventures, Goodwater Capital, Hustle Fund, Liquid 2 Ventures, Plug and Play Tech Center, Precursor Ventures</t>
  </si>
  <si>
    <t>Precursor Ventures(Charles Hudson)</t>
  </si>
  <si>
    <t>Raleigh, NC</t>
  </si>
  <si>
    <t>Raleigh</t>
  </si>
  <si>
    <t>27603</t>
  </si>
  <si>
    <t>www.getrella.com</t>
  </si>
  <si>
    <t>184589-56T</t>
  </si>
  <si>
    <t>Remble</t>
  </si>
  <si>
    <t>484488-82</t>
  </si>
  <si>
    <t>Developer of mental health platform designed to empower people with therapist-created tools to improve their mental, emotional, and social well-being. The company partners with organizations and counseling agencies to provide mental health tools and resources as well as an AI (artificial intelligence) mental health assistant that is available around the clock, enabling people with unlimited access to courses, live webinars, videos, and guides on all kinds of mental health topics.</t>
  </si>
  <si>
    <t>The company raised $1.4 million of seed funding from undisclosed investors.</t>
  </si>
  <si>
    <t>Artificial Intelligence &amp; Machine Learning, HealthTech</t>
  </si>
  <si>
    <t>content provider, mental health kits, mental health platform, mental health support, mental health therapy, personal development, therapy platform</t>
  </si>
  <si>
    <t>284369-32P</t>
  </si>
  <si>
    <t>Jordan Green</t>
  </si>
  <si>
    <t>jordan@remble.com</t>
  </si>
  <si>
    <t>Ms. Jordan Green is a Co-Founder and serves as Chief Executive Officer at Remble.</t>
  </si>
  <si>
    <t>Principia College, Degree, 2015, University of Oklahoma, Norman, Master's, 2017, Social Work</t>
  </si>
  <si>
    <t>The company raised $1.4 million of venture funding in a deal led by Atento Capital on June 1, 2022, putting the company's pre-money valuation at $4.95 million. Other undisclosed investors also participated in this round.</t>
  </si>
  <si>
    <t>74133</t>
  </si>
  <si>
    <t>www.remble.com</t>
  </si>
  <si>
    <t>178427-71T</t>
  </si>
  <si>
    <t>Remora</t>
  </si>
  <si>
    <t>460016-92</t>
  </si>
  <si>
    <t>Ali Partovi(Ali Partovi), Clay Rockefeller(Clay Rockefeller), Climate Capital, Course Correction Capital, Darco Capital, First Round Capital, FullCircle (New York), Jeff Lawson(Jeffery Lawson), Lowercarbon Capital, Madeline Hall(Madeline Hall), MCJ, Neo (Consulting Services (B2B)), Nicholas Flanders(Nicholas Flanders), Oak Ridge National Laboratory, Plug and Play Tech Center, Reform Ventures, Rusheen Capital Management, Ryder Ventures, Union Square Ventures, University of Michigan Endowment, Valor Equity Partners, Voyager (US), Wayfinder Ventures, Y Combinator</t>
  </si>
  <si>
    <t>Ali Partovi (www.partovi.org), Climate Capital (www.climatecapital.co), Course Correction Capital (www.c-3.earth), Darco Capital (www.darcocapital.com), First Round Capital (www.firstround.com), FullCircle (New York) (www.fullcirclefund.io), Lowercarbon Capital (www.lowercarboncapital.com), MCJ (www.mcj.vc), Neo (Consulting Services (B2B)) (www.neo.com), Oak Ridge National Laboratory (www.ornl.gov), Plug and Play Tech Center (www.plugandplaytechcenter.com), Reform Ventures (www.reformventures.com), Rusheen Capital Management (www.rusheen.com), Union Square Ventures (www.usv.com), Valor Equity Partners (www.valorep.com), Voyager (US) (www.voyagervc.com), Wayfinder Ventures (www.wayfinder.com), Y Combinator (www.ycombinator.com)</t>
  </si>
  <si>
    <t>Developer of an emission-controlling device designed to help companies earn new revenue while meeting their climate commitments. The company's device mounts between the cab and trailer of semi-trucks and uses a solid sorbent which is regenerated freely using exhaust heat that selectively binds with carbon dioxide molecules in the exhaust stream without clogging it up, enabling companies to meet their climate commitments and earn credits for the carbon dioxide captured.</t>
  </si>
  <si>
    <t>The company raised an estimated $61.00 million of Series B venture funding from undisclosed investors on June 1, 2023, putting the company's pre-money valuation at $499 million.</t>
  </si>
  <si>
    <t>Commercial Transportation</t>
  </si>
  <si>
    <t>Road</t>
  </si>
  <si>
    <t>Electronic Equipment and Instruments, Environmental Services (B2B), Other Commercial Products, Road*</t>
  </si>
  <si>
    <t>Advanced Manufacturing, CleanTech, Climate Tech, Mobility Tech</t>
  </si>
  <si>
    <t>carbon capture, carbon emissions management, carbon removal, carbon removal technology, carbon tech, carbon technology, electric vehicle, emission reduction, freight technology, point sourcing carbon capture, semi truck emission</t>
  </si>
  <si>
    <t>Carbon Capture</t>
  </si>
  <si>
    <t>253273-87P</t>
  </si>
  <si>
    <t>Paul Gross</t>
  </si>
  <si>
    <t>+1 (734) 744-4862</t>
  </si>
  <si>
    <t>pgross@remoracarbon.com</t>
  </si>
  <si>
    <t>Mr. Paul Gross is a Co-Founder &amp; serves as Chief Executive Officer at Remora. He has conducted award-winning experimental research that uncovered new solutions to collective action problems like political polarization and the climate crisis. While at Yale, he founded the Yale Politics Initiative, bringing top politicians, operatives, and activists to campus. Remora got started when he read Christina's dissertation online and wrote her a business plan. In 2021, he was named to the Forbes 30 Under 30 list. Before Remora, his work in progressive politics was funded by prominent leaders in the tech industry. His research received the Porter Prize, the highest class-wide thesis prize at Yale. He graduated from Yale with a degree in Statistics and Data Science in 2020.</t>
  </si>
  <si>
    <t>Yale University, Degree, 2020, statistics, data Science, and economics</t>
  </si>
  <si>
    <t>The company raised $5.5 million through a combination of Series A venture funding from MCJ, Rusheen Capital Management and Valor Equity Partners on December 10, 2021, putting the company's pre-money valuation at $29.5 million. Wayfinder Ventures, Reform Ventures, Course Correction Capital, Ryder Ventures, Voyager (US), Lowercarbon Capital, Climate Capital, FullCircle (New York), Union Square Ventures, First Round Capital, Neo (Consulting Services (B2B)), Y Combinator, Plug and Play Tech Center, Maddie Hall, Nicholas Flanders, Ali Partovi, Jeff Lawson, Clay Rockefeller, Oak Ridge National Laboratory, University of Michigan Endowment and Darco Capital also participated in the round.</t>
  </si>
  <si>
    <t>Ali Partovi, Clay Rockefeller, Climate Capital, Course Correction Capital, Darco Capital, First Round Capital, FullCircle (New York), Jeff Lawson, Lowercarbon Capital, Madeline Hall, MCJ, Neo (Consulting Services (B2B)), Nicholas Flanders, Oak Ridge National Laboratory, Plug and Play Tech Center, Reform Ventures, Rusheen Capital Management, Ryder Ventures, Union Square Ventures, University of Michigan Endowment, Valor Equity Partners, Voyager (US), Wayfinder Ventures, Y Combinator</t>
  </si>
  <si>
    <t>First Round Capital VII(First Round Capital), Neo Venture Capital Fund I(Neo (Consulting Services (B2B))), USV Climate 2021(Union Square Ventures)</t>
  </si>
  <si>
    <t>Wixom, MI</t>
  </si>
  <si>
    <t>Wixom</t>
  </si>
  <si>
    <t>48393</t>
  </si>
  <si>
    <t>www.remoracarbon.com</t>
  </si>
  <si>
    <t>Gas-flow silencers or exhaust apparatus for machines or engines in general, Vehicles adapted for load transportation or to transport, to carry, or to comprise special loads or objects</t>
  </si>
  <si>
    <t>271572-67T</t>
  </si>
  <si>
    <t>Rescale (Business/Productivity Software)</t>
  </si>
  <si>
    <t>519418-00</t>
  </si>
  <si>
    <t>Baukunst</t>
  </si>
  <si>
    <t>Baukunst (www.baukunst.co)</t>
  </si>
  <si>
    <t>Developer of supply chain management platform designed for food and beverage industries. The company's platform allows one to build project profiles, specify certifications, locations, and other preferences, get matched with co-packers, have optional longer-term onboarding and product development engagements, and more, enabling clients to get services from recipe development to manufacturing.</t>
  </si>
  <si>
    <t>The company raised an estimated $2.58 million through a combination of Seed-1 and Seed-2 funding in a deal led by Baukunst on November 1, 2022, putting the company's pre-money valuation at $7.9 million. Other undisclosed investors also participated in the round.</t>
  </si>
  <si>
    <t>co-manufacturing facility, product development process, supply chain management portal, supply chain management software, supply chain management system, supply chain trucking</t>
  </si>
  <si>
    <t>334031-59P</t>
  </si>
  <si>
    <t>Julia Megson</t>
  </si>
  <si>
    <t>+1 (603) 646-8825</t>
  </si>
  <si>
    <t>julia@rescale.supply</t>
  </si>
  <si>
    <t>Ms. Julia Megson is a Co-Founder and serves as Chief Executive Officer at Rescale Supply.</t>
  </si>
  <si>
    <t>Hanover, NH</t>
  </si>
  <si>
    <t>Hanover</t>
  </si>
  <si>
    <t>New Hampshire</t>
  </si>
  <si>
    <t>03755</t>
  </si>
  <si>
    <t>www.rescale.supply</t>
  </si>
  <si>
    <t>254676-34T</t>
  </si>
  <si>
    <t>Residua AI</t>
  </si>
  <si>
    <t>589571-74</t>
  </si>
  <si>
    <t>Union Square Ventures (www.usv.com)</t>
  </si>
  <si>
    <t>Developer of an AI platform designed to develop tools for human cognition. The company offers a selective AI co-presence that anyone can summon from anywhere into their current digital context to help them sift through the noise, enabling users to have rewarding experiences.</t>
  </si>
  <si>
    <t>The company raised $1.7 million of venture funding in a deal led by Union Square Ventures on March 1, 2024. Other undisclosed investors also participated in the round.</t>
  </si>
  <si>
    <t>ai chat bots, ai cores, ai development, ai tools, chat boxes application, generative ai, human cognition</t>
  </si>
  <si>
    <t>387571-33P</t>
  </si>
  <si>
    <t>Carmen Gutierrez</t>
  </si>
  <si>
    <t>Ms. Carmen Gutierrez is a Co-Founder and serves as Chief Executive Officer at Residua.</t>
  </si>
  <si>
    <t>Stanford University, BS (Bachelor of Science), 2023, Physics, Stanford University, MS (Master of Science), 2023, Computer Science</t>
  </si>
  <si>
    <t>USV 2022(Union Square Ventures)</t>
  </si>
  <si>
    <t>Cooley (Legal Advisor to Company), Gunderson Dettmer (Legal Advisor to Union Square Ventures)</t>
  </si>
  <si>
    <t>Gunderson Dettmer (Legal Advisor to Union Square Ventures)</t>
  </si>
  <si>
    <t>www.residua.ai</t>
  </si>
  <si>
    <t>206297-02T</t>
  </si>
  <si>
    <t>RESOURCE ( Business/Productivity Software)</t>
  </si>
  <si>
    <t>510241-24</t>
  </si>
  <si>
    <t>Amino Capital, Outlander VC, Reform Ventures</t>
  </si>
  <si>
    <t>Amino Capital (www.aminocapital.com), Outlander VC (www.outlander.vc), Reform Ventures (www.reformventures.com)</t>
  </si>
  <si>
    <t>Operator of a fashion platform intended to leverage cutting-edge AI to automate, streamline, and accelerate every step in clothing development. The company's tools help with creating tech packs and selecting fabrics to sample and bulk production, enabling businesses to grow and scale with forward-looking, sustainable infrastructure.</t>
  </si>
  <si>
    <t>The company raised $600,000 of seed funding from Amino Capital, Outlander VC, Reform Ventures and other undisclosed investors in August 2021.</t>
  </si>
  <si>
    <t>E-Commerce, SaaS</t>
  </si>
  <si>
    <t>ai assistance, clothing design, fashion brand, fashion platform, fashion site, product lifecycle management</t>
  </si>
  <si>
    <t>320038-48P</t>
  </si>
  <si>
    <t>Tatiana Tian</t>
  </si>
  <si>
    <t>tatiana@resourcefashion.co</t>
  </si>
  <si>
    <t>Ms. Tatiana Tian is a Co-Founder &amp; serves as Chief Executive Officer at Re(Source). She studied at at Duke University and worked at an investment bank.</t>
  </si>
  <si>
    <t>Duke University, Degree</t>
  </si>
  <si>
    <t>www.resourcefashion.co</t>
  </si>
  <si>
    <t>133692-49T</t>
  </si>
  <si>
    <t>RevWork</t>
  </si>
  <si>
    <t>279647-92</t>
  </si>
  <si>
    <t>Christopher Craig(Christopher Craig), Frances Craig, How Women Invest</t>
  </si>
  <si>
    <t>How Women Invest (www.howwomeninvest.com)</t>
  </si>
  <si>
    <t>Operator of a SaaS-based technology company intended to transform and sustain leadership behaviors. The company's technology utilizes nudge messaging and artificial intelligence to deliver state-of-the-art microlearning, in real-time, focused on the leader's priorities and its software applications schedule the date and time of meetings, performance evaluations and other events where the behaviors can be embedded and push nudge messaging right before the event, enabling companies to revolutionize the way workplaces and professionals grow.</t>
  </si>
  <si>
    <t>The company raised $3 million of seed funding in a deal led by Frances Craig and Christopher Craig on February 28, 2020, putting the company's pre-money valuation at $12 million. How Women Invest and other undisclosed investors also participated in the round. Previously, the company raised $250,000 of angel funding from undisclosed investors on October 9, 2019.</t>
  </si>
  <si>
    <t>Artificial Intelligence &amp; Machine Learning, HR Tech, Life Sciences, SaaS</t>
  </si>
  <si>
    <t>artificial intelligence education, artificial intelligence engine, company development services, consultancy agency service, diversity and inclusion, technology-based service</t>
  </si>
  <si>
    <t>209791-27P</t>
  </si>
  <si>
    <t>Denise Hummel</t>
  </si>
  <si>
    <t>+1 (833) 532-3462</t>
  </si>
  <si>
    <t>denise.hummel@revwork.ai</t>
  </si>
  <si>
    <t>Ms. Denise Hummel is the Founder and serves as Board Member, President &amp; Chief Executive Officer at RevWork. Ms. Hummel is a serial entrepreneur and CEO, having sold her cross-cultural business, Universal Consensus, LLC, to Ernst &amp; Young, LLP, where she became a Principal. Prior to that she practiced employment law and international M&amp;A as an attorney. Hummel harnesses technology to enhance business performance. She is a Nominated Microsoft M12 Female Founder for disrupting Enterprise Learning &amp; Development with RevWork's enterprise behavior change learning technology. She has also been endorsed by Marshall Goldsmith as the "World's Leader in Diversity &amp; Inclusion" for her ability to leverage technology to scale inclusion. Previously, Denise sold her firm, Universal Consensus, to Ernst &amp; Young, where she became a Principal in their Human Capital division. Prior to that, as an attorney, she litigated the first ever class-action under the Americans With Disabilities Act. As an executive coach, Denise is a proud Certified Stakeholder-Centered Coaching expert, and a member of the exclusive 100 Coaches program by Marshall Goldsmith. She has coached various executives for FORTUNE500 companies such as Intel, Microsoft, and EY specializing organizational transformation learning delivery and retention and DEI strategy and execution.</t>
  </si>
  <si>
    <t>JD (Doctor of Law)</t>
  </si>
  <si>
    <t>The company raised $3 million of seed funding in a deal led by Frances Craig and Christopher Craig on February 28, 2020, putting the company's pre-money valuation at $12 million. How Women Invest and other undisclosed investors also participated in the round.</t>
  </si>
  <si>
    <t>Christopher Craig, Frances Craig, How Women Invest</t>
  </si>
  <si>
    <t>Christopher Craig(Christopher Craig), Frances Craig</t>
  </si>
  <si>
    <t>Cooley (Legal Advisor to Christopher Craig), Cooley (Legal Advisor to Frances Craig), Pillsbury Winthrop Shaw Pittman (Legal Advisor to Company, Christian Salaman JD)</t>
  </si>
  <si>
    <t>Pillsbury Winthrop Shaw Pittman (Legal Advisor to Company, Christian Salaman JD)</t>
  </si>
  <si>
    <t>Cooley (Legal Advisor to Christopher Craig), Cooley (Legal Advisor to Frances Craig)</t>
  </si>
  <si>
    <t>www.revwork.ai</t>
  </si>
  <si>
    <t>275228-65T</t>
  </si>
  <si>
    <t>Revyse</t>
  </si>
  <si>
    <t>697182-40</t>
  </si>
  <si>
    <t>Capreit, Caren Maio(Caren Maio), RealFoundations(David Stanford), RET Ventures(John Helm), The Westover Companies</t>
  </si>
  <si>
    <t>Capreit (www.capreit.com), RealFoundations (www.realfoundations.net), RET Ventures (www.ret.vc), The Westover Companies (www.westovercompanies.com)</t>
  </si>
  <si>
    <t>Developer of a vendor lifecycle management platform designed to increase operational efficiency for multifamily operators. The company's platform offers artificial intelligence-powered contract management to track agreements across the enterprise and features a marketplace to search for and engage with potential vendors, enabling clients to discover, buy, and manage the products and services and reduce vendor-related risks.</t>
  </si>
  <si>
    <t>The company raised $2 million of seed funding in a deal led by RealFoundations and RET Ventures on October 21, 2024. The Westover Companies, Caren Maio, and Capreit also participated in the round. The funds will be used to continue progressing its product roadmap, including enhancements to its 'Spend Insights' feature, which flags anomalies in contract data and provides proactive insights to optimize expenses, surface rebate opportunities, and reduce unnecessary spending as well as to roll out vendor credentialing, which will help reduce onboarding risks for operators by expediting the vetting and compliance process.</t>
  </si>
  <si>
    <t>contract management, contract system, multifamily management, multifamily software, vendor search, vendor sourcing</t>
  </si>
  <si>
    <t>418154-59P</t>
  </si>
  <si>
    <t>Bobbi Steward</t>
  </si>
  <si>
    <t>Ms. Bobbi Steward is a Co-Founder and serves as Chief Executive Officer &amp; Product Executive at Revyse. She has worked in real estate marketing and technology for the last decade, partnering with start-ups, software vendors, marketplaces, and property management owners and operators, to help renters and home buyers find a place to call home.</t>
  </si>
  <si>
    <t>Capreit, Caren Maio, RealFoundations, RET Ventures, The Westover Companies</t>
  </si>
  <si>
    <t>RealFoundations(David Stanford), RET Ventures(John Helm)</t>
  </si>
  <si>
    <t>Holland &amp; Knight (Legal Advisor to RET Ventures)</t>
  </si>
  <si>
    <t>Bend, OR</t>
  </si>
  <si>
    <t>Bend</t>
  </si>
  <si>
    <t>97709</t>
  </si>
  <si>
    <t>www.revyse.com</t>
  </si>
  <si>
    <t>225830-71T</t>
  </si>
  <si>
    <t>Rex (Social/Platform Software)</t>
  </si>
  <si>
    <t>529056-73</t>
  </si>
  <si>
    <t>Accel(Amit Kumar), Future Positive, Khosla Ventures, MBA Ventures</t>
  </si>
  <si>
    <t>Accel (www.accel.com), Future Positive (www.futurepositive.com), Khosla Ventures (www.khoslaventures.com), MBA Ventures (www.mba-ventures.com)</t>
  </si>
  <si>
    <t>Developer of consumer social application designed to tackle the problems associated with discovering new places. The company's application uses a combination of artificial intelligence and computer vision technologies to look for images of places match them with photo metadata and track the coordinates of the photo and timestamps, helping people share their personal recommendations of places to visit.</t>
  </si>
  <si>
    <t>The company raised $3.96 million of seed funding in a deal led by Accel on June 12, 2023. Khosla Ventures, MBA Ventures, Future Positive and other undisclosed investors also participated in the round. The funds will be used to expand the company's development efforts for its app.</t>
  </si>
  <si>
    <t>computer vision, computer vision technology, personal recommendation, place discovery app, place recommendation, social application</t>
  </si>
  <si>
    <t>351402-31P</t>
  </si>
  <si>
    <t>Aliza Rosen</t>
  </si>
  <si>
    <t>Ms. Aliza Rosen is the Founder &amp; serves as Chief Executive Officer at Rex.</t>
  </si>
  <si>
    <t>Stanford University, Degree, 2014, Science, Technology, and Society, Stanford University, MBA (Master of Business Administration), 2021</t>
  </si>
  <si>
    <t>Accel, Future Positive, Khosla Ventures, MBA Ventures</t>
  </si>
  <si>
    <t>MBA Venture Fund(MBA Ventures)</t>
  </si>
  <si>
    <t>Goodwin Procter (Legal Advisor to Company, Monica Devlin)</t>
  </si>
  <si>
    <t>www.getrex.app</t>
  </si>
  <si>
    <t>277799-50T</t>
  </si>
  <si>
    <t>RightWise Wealth</t>
  </si>
  <si>
    <t>623418-76</t>
  </si>
  <si>
    <t>Fenway Summer</t>
  </si>
  <si>
    <t>Fenway Summer (www.fenwaysummer.com)</t>
  </si>
  <si>
    <t>Provider of fiduciary financial advisory services intended for financial planning and investment management. The company specializes in selecting the appropriate portfolio, managing transitions from old to new accounts, ensuring automated tax capabilities are applied correctly, automating transfers and withdrawals, and monitoring investment performance, enabling high-earners to organize and optimize their financial lives.</t>
  </si>
  <si>
    <t>The company raised $250,000 of venture funding from Fenway Summer on June 12, 2024.</t>
  </si>
  <si>
    <t>financial advisory, financial planning, investment management, personalized planning, portfolio diversification, portfolio selection, wealth management</t>
  </si>
  <si>
    <t>421616-44P</t>
  </si>
  <si>
    <t>Caitlyn Driehorst</t>
  </si>
  <si>
    <t>+1 (702) 986-0868</t>
  </si>
  <si>
    <t>caitlyn@rightwisewealth.com</t>
  </si>
  <si>
    <t>Ms. Caitlyn Driehorst is the Founder and serves as Chief Executive Officer and Founding Advisor at RightWise Wealth.</t>
  </si>
  <si>
    <t>University of California, Berkeley, MBA (Master of Business Administration), 2018, University of Chicago, BA (Bachelor of Arts), 2011, English/Russian</t>
  </si>
  <si>
    <t>Fenway Summer Special Opportunities 2023(Fenway Summer)</t>
  </si>
  <si>
    <t>89101</t>
  </si>
  <si>
    <t>www.rightwisewealth.com</t>
  </si>
  <si>
    <t>225616-87T</t>
  </si>
  <si>
    <t>Rime Labs</t>
  </si>
  <si>
    <t>528897-34</t>
  </si>
  <si>
    <t>Alumni Ventures(Ron Levin), Moth Fund, Plug and Play Tech Center, Sequoia Capital, Unusual Ventures(Sandhya Hegde)</t>
  </si>
  <si>
    <t>Alumni Ventures (www.av.vc), Moth Fund (www.mothfund.com), Plug and Play Tech Center (www.plugandplaytechcenter.com), Sequoia Capital (www.sequoiacap.com), Unusual Ventures (www.unusual.vc)</t>
  </si>
  <si>
    <t>Developer of a text-to-speech platform intended to create natural-sounding voices. The company's platform offers a wide range of features, including demographically tailored voice generation, lightning-fast response times, and over-distinct voices, enabling businesses and developers to create engaging and immersive experiences for their users.</t>
  </si>
  <si>
    <t>The company raised $3.09 million of seed funding in a deal led by Unusual Ventures on May 25, 2023, putting the company's pre-money valuation at $10 million. Sequoia Capital, Moth Fund, Plug, and Play Tech Center, Alumni Ventures, and other undisclosed investors also participated in the round.</t>
  </si>
  <si>
    <t>ai voice, artificial intelligence firm, research unit, speech synthesis, speech synthesis software, text-to-speech</t>
  </si>
  <si>
    <t>350928-28P</t>
  </si>
  <si>
    <t>Lily Clifford</t>
  </si>
  <si>
    <t>+1 (415) 769-9791</t>
  </si>
  <si>
    <t>lily@rime.ai</t>
  </si>
  <si>
    <t>Ms. Lily Clifford is a Co-Founder &amp; serves as Chief Executive Officer at Rime and Board Member.</t>
  </si>
  <si>
    <t>Pitzer College, Bachelor's, 2014, Linguistics, Stanford University, Ph.D. (Doctor of Philosophy), 2023, Linguistics</t>
  </si>
  <si>
    <t>The company raised $3.09 million of seed funding in a deal led by Unusual Ventures on May 25, 2023, putting the company's pre-money valuation at $10 million. Sequoia Capital, Moth Fund, Plug and Play Tech Center, Alumni Ventures and other undisclosed investors also participated in the round.</t>
  </si>
  <si>
    <t>Alumni Ventures, Moth Fund, Plug and Play Tech Center, Sequoia Capital, Unusual Ventures</t>
  </si>
  <si>
    <t>Unusual Ventures(Sandhya Hegde)</t>
  </si>
  <si>
    <t>AV Seed Fund 6(Alumni Ventures), MF I(Moth Fund)</t>
  </si>
  <si>
    <t>Orrick (Legal Advisor to Company), Wilson Sonsini Goodrich &amp; Rosati (Legal Advisor to Sequoia Capital)</t>
  </si>
  <si>
    <t>Wilson Sonsini Goodrich &amp; Rosati (Legal Advisor to Sequoia Capital)</t>
  </si>
  <si>
    <t>www.rime.ai</t>
  </si>
  <si>
    <t>214123-24T</t>
  </si>
  <si>
    <t>RiskQ</t>
  </si>
  <si>
    <t>519206-50</t>
  </si>
  <si>
    <t>Anastassia Lauterbach(Anastassia Lauterbach), Juergen Meffert(Juergen Meffert), Randal Milch(Randal Milch), Thomas Manning(Thomas Manning), Vince Stewart(Vince Stewart)</t>
  </si>
  <si>
    <t>Developer of a cyber risk quantification platform designed to decipher risk details in financial language. The company's platform utilizes business intelligence and analytics to provide ransomware strategy, gap analysis of cyber controls, vulnerability remediation priorities, roadmaps, and regulatory compliance, enabling clients to increase cyber resilience.</t>
  </si>
  <si>
    <t>The company is in the process of raising $1.5 million of Series 1 venture funding from Randal Milch, Michel Weiss and Coryn Carson as of September 1, 2024, putting the company's pre-money valuation at $10 million. Other undisclosed investors are also participating in the round. It plans to close the round by January 31, 2025. Previously, the company raised $1.3 million of Series A venture funding from Vince Stewart, Randal Milch and Juergen Meffert in 2022. Anastassia Lauterbach, Tom Mannings and other undisclosed investors also participated in the round. The company is being actively tracked by PitchBook.</t>
  </si>
  <si>
    <t>business analytics, business intelligence, cyber control, cyber risk management, cyber risk quantification, financial language, quantification platform, ransomware detection, regulatory compliance, vulnerability remediation</t>
  </si>
  <si>
    <t>151500-88P</t>
  </si>
  <si>
    <t>Ariel Evans</t>
  </si>
  <si>
    <t>+1 (888) 510-1568</t>
  </si>
  <si>
    <t>ariel@risk-q.com</t>
  </si>
  <si>
    <t>Ms. Ariel Evans is a Co-Founder and serves as Chief Executive Officer, President, and Board Member at RiskQ. She served as Chief Executive Officer at Evans Resource Group. She served as Chief Executive Officer at InnoSec. She is a senior cybersecurity expert and entrepreneur. Prior to InnoSec, she created Evans Resource Group - a VAD company of Israeli cybersecurity companies that sold for 20x revenues to a New York company. She was a founder of two software companies in the US - one that exited to BMC and the other to a Kleiner Perkins company. She is the faculty chairperson of the Rutgers University Cyber Security program and the primary author of the PCI e-commerce guideline. Prior to moving to Israel, she was the Acting CISO for a Telco subsidiary in the U.S. She has an M.B.A. from the Stern School of Business at NYU in Finance &amp; Entrepreneurship with her undergraduate work in Nuclear Physics.</t>
  </si>
  <si>
    <t>New York University, MBA (Master of Business Administration), 2003, Finance &amp; Entrepreneurship, Undergraduate studies, 1985, Nuclear Physics</t>
  </si>
  <si>
    <t>The company raised $1.3 million of Series A venture funding from Vince Stewart, Randal Milch and Juergen Meffert in 2022. Anastassia Lauterbach, Tom Mannings and other undisclosed investors also participated in the round.</t>
  </si>
  <si>
    <t>Anastassia Lauterbach, Juergen Meffert, Randal Milch, Thomas Manning, Vince Stewart</t>
  </si>
  <si>
    <t>www.risk-q.com</t>
  </si>
  <si>
    <t>207376-12T</t>
  </si>
  <si>
    <t>Rithmm</t>
  </si>
  <si>
    <t>512344-90</t>
  </si>
  <si>
    <t>Accomplice VC, Boston Seed Capital(Peter Blacklow), Counterview Capital, Jere Doyle Enterprises, Permit Ventures, Sheffield Capital Management</t>
  </si>
  <si>
    <t>Accomplice VC (www.accomplice.co), Boston Seed Capital (www.bostonseed.com), Counterview Capital (www.counterview.vc), Jere Doyle Enterprises (www.jeredoyle.com), Permit Ventures (www.permitventures.com)</t>
  </si>
  <si>
    <t>Developer of a predictive analytics platform intended for sports betting. The company's platform offers personalized predictive analytics tools to help users test their strategies by simplifying and personalizing sports betting models using algorithms, enabling users to access an analytical way to build models and get an edge on betting.</t>
  </si>
  <si>
    <t>The company raised $2.5 million of Seed Plus funding from Versus Ventures, and other undisclosed investors on May 3, 2024, putting the company's pre-money valuation at $11.75 million.</t>
  </si>
  <si>
    <t>Application Software, Business/Productivity Software*, Information Services (B2C)</t>
  </si>
  <si>
    <t>analytical models, betting model, predictive analytics, sports analytics, sports betting, statistical model</t>
  </si>
  <si>
    <t>208678-33P</t>
  </si>
  <si>
    <t>Megan Lanham</t>
  </si>
  <si>
    <t>+1 (760) 744-4600</t>
  </si>
  <si>
    <t>Ms. Megan Lanham is a Co-Founder and serves as Chief Executive Officer, Vice President &amp; Board Member at Rithmm. She served as Chief Executive Officer at PharmaLogics Recruiting.</t>
  </si>
  <si>
    <t>The company raised an estimated $1.73 million of Seed-2 funding from Permit Ventures, Counterview Capital and Boston Seed Capital on November 1, 2022, putting the company's pre-money valuation at $2 million. Accomplice VC, Jere Doyle Enterprises and Sheffield Capital Management also participated in the round.</t>
  </si>
  <si>
    <t>Accomplice VC, Boston Seed Capital, Counterview Capital, Jere Doyle Enterprises, Permit Ventures, Sheffield Capital Management</t>
  </si>
  <si>
    <t>Chestnut Hill, MA</t>
  </si>
  <si>
    <t>Chestnut Hill</t>
  </si>
  <si>
    <t>02467</t>
  </si>
  <si>
    <t>www.rithmm.com</t>
  </si>
  <si>
    <t>265864-24T</t>
  </si>
  <si>
    <t>Robin (Clinics/Outpatient Services)</t>
  </si>
  <si>
    <t>539798-68</t>
  </si>
  <si>
    <t>ACTAI Ventures</t>
  </si>
  <si>
    <t>ACTAI Ventures (www.actaiventures.com)</t>
  </si>
  <si>
    <t>Developer of AI-based therapy platform designed to provide on-demand, personalized, and affordable therapy. The company platform provides a personal therapist that focuses on mental healthcare.</t>
  </si>
  <si>
    <t>The company raised $171,420 of venture funding from ACTAI Ventures and other undisclosed investors in 2024. The funding was initially raised in the form of SAFE notes and subsequently converted to equity.</t>
  </si>
  <si>
    <t>Artificial Intelligence &amp; Machine Learning, Digital Health, LOHAS &amp; Wellness, Mobile</t>
  </si>
  <si>
    <t>ai therapy app, mental wellness, mental wellness platform, mental wellness solutions, personal therapy, therapy consultation</t>
  </si>
  <si>
    <t>373730-05P</t>
  </si>
  <si>
    <t>Jianning Shao</t>
  </si>
  <si>
    <t>jshao@meetrobin.app</t>
  </si>
  <si>
    <t>Dr. Jianning Shao is the Founder &amp; serves as Chief Executive Officer &amp; Board Member at Robin Health.</t>
  </si>
  <si>
    <t>www.meetrobin.app</t>
  </si>
  <si>
    <t>250233-04T</t>
  </si>
  <si>
    <t>Rock Rabbit</t>
  </si>
  <si>
    <t>551746-63</t>
  </si>
  <si>
    <t>Berkeley SkyDeck Fund, Better Ventures, MUUS Climate Partners(Kavita Patel), Powerhouse Ventures (Oakland)</t>
  </si>
  <si>
    <t>Berkeley SkyDeck Fund (skydeck.vc), Better Ventures (www.better.vc), MUUS Climate Partners (www.muusclimate.com), Powerhouse Ventures (Oakland) (www.powerhouse.fund)</t>
  </si>
  <si>
    <t>Developer of a green home rebates platform designed to make future-proofing homes easy and affordable for everyone. The company's platform is powered by AI which enables point-of-sale incentives for program participants, up-to-date information about rebate programs, eligible incentives, and a trusted contractor who can get the project done, enabling contractors, homeowners and incentive providers to streamline processes, proof and payment to accelerate building decarbonization.</t>
  </si>
  <si>
    <t>The company joined DeltaClimeVT as a part of its eighth DeltaClimeVT business accelerator cohort on March 7, 2024 and received $25,000 in funding in the form of grant. Previously, the company joined Berkeley SkyDeck as a part of its Batch 17 on an undisclosed date and received $200,000 in funding. Prior to that, the company raised $3.1 million of seed funding from Better Ventures, Powerhouse Ventures and MUUS Climate Partners on February 7, 2024. Berkeley SkyDeck Fund also participated in this round. The funding was initially raised in the form of convertible debt which subsequently got converted to equity. Before that, the company joined Net Zero Accelerator as a part of its 2024 Cohort in 2024. No equity or funding was exchanged as a result of this program.</t>
  </si>
  <si>
    <t>Artificial Intelligence &amp; Machine Learning, CleanTech, SaaS</t>
  </si>
  <si>
    <t>ai software development, business platform, green home, green paints, rebate platform, rebate program</t>
  </si>
  <si>
    <t>380098-45P</t>
  </si>
  <si>
    <t>Aimee Bailey</t>
  </si>
  <si>
    <t>aimee@rockrabbit.ai</t>
  </si>
  <si>
    <t>Dr. Aimee Bailey is a Co-Founder and serves as Chief Executive Officer at Rock Rabbit.</t>
  </si>
  <si>
    <t>The company raised $3.1 million of seed funding from Better Ventures, Powerhouse Ventures and MUUS Climate Partners on February 7, 2024. Berkeley SkyDeck Fund also participated in this round. The funding was initially raised in the form of convertible debt which subsequently got converted to equity.</t>
  </si>
  <si>
    <t>Berkeley SkyDeck Fund, Better Ventures, MUUS Climate Partners, Powerhouse Ventures (Oakland)</t>
  </si>
  <si>
    <t>Better Ventures Fund IV(Better Ventures), Powerhouse Ventures Fund II(Powerhouse Ventures (Oakland))</t>
  </si>
  <si>
    <t>DLA Piper (Legal Advisor to Powerhouse Ventures (Oakland), Kerra Melvin), Perkins Coie (Legal Advisor to Company, Jason Schneiderman JD)</t>
  </si>
  <si>
    <t>Perkins Coie (Legal Advisor to Company, Jason Schneiderman JD)</t>
  </si>
  <si>
    <t>www.rockrabbit.ai</t>
  </si>
  <si>
    <t>160941-34T</t>
  </si>
  <si>
    <t>Rollin' Vets</t>
  </si>
  <si>
    <t>439420-96</t>
  </si>
  <si>
    <t>Houston Angel Network</t>
  </si>
  <si>
    <t>Houston Angel Network (www.houstonangelnetwork.org)</t>
  </si>
  <si>
    <t>Provider of pet care services intended to offer a full-service mobile veterinary clinic on wheels. The company's services schedule routine check-ups and ensure that they are up to date on all vaccines offer accurate diagnosis and fast relief to the patient through rapid in-house lab testing and also provide surgical procedures, from routine spay and neutering to advanced procedures and complete dental work, enabling customers to treat their pets in an easier way.</t>
  </si>
  <si>
    <t>The company raised $5 million of angel funding from undisclosed investors on December 15, 2021, putting the company's pre-money valuation at $10 million. The funds will be used to expand across the Lone Star State.</t>
  </si>
  <si>
    <t>mobile veterinary services, pet care, pet service, pet treatment, veterinary clinic</t>
  </si>
  <si>
    <t>241766-47P</t>
  </si>
  <si>
    <t>Katharine Eick</t>
  </si>
  <si>
    <t>+1 (540) 776-0700</t>
  </si>
  <si>
    <t>Dr. Katharine Eick is the Founder, Owner and serves as Chief Executive Officer at Rollin' Vets. She has practiced in Virginia, where she started and built a brick and mortar practice, Alabama where she did relief work, and finally Texas, where she worked in a no-kill shelter in Austin before finally settling down in Houston in 2013. Having had the benefit of working in so many different aspects of veterinary medicine, she saw a real need for at-home vet care, whether it be for larger dogs that had difficulty loading into the car, for busy people with busy schedules, for people with multiple animals, or for CATS, who hate to ride in the car, and she recognized that this was a relatively difficult service for owners to find. So she decided to change that and in 2016 she launched her full service mobile veterinary practice, South By South Vets, now known as Rockin Pets, Rollin Vets.</t>
  </si>
  <si>
    <t>Graduate, 1998</t>
  </si>
  <si>
    <t>The company raised $320,350 of seed funding from Houston Angel Network and other undisclosed investors on December 11, 2020. The amount was originally raised in the form of convertible debt and subsequently got converted into equity.</t>
  </si>
  <si>
    <t>www.rollinvets.com</t>
  </si>
  <si>
    <t>139978-36T</t>
  </si>
  <si>
    <t>Rosebud AI</t>
  </si>
  <si>
    <t>343168-12</t>
  </si>
  <si>
    <t>Amplify Partners, Ankur Goyal(Ankur Goyal), Balaji Srinivasan, Chris Messina(Chris Messina), David Carrico(David Carrico), Essence Venture Capital, Foothill Ventures, Ilya Sutskever(Ilya Sutskever), Jake Klamka(Jake Klamka), JUMP Investors, Kevin Lin(Kevin Lin), Khosla Ventures(Vinod Khosla), Lux Capital, Peter Chen(Peter Chen), Samuel Teller(Samuel Teller), Soma Capital, Valor Equity Partners, Y Combinator</t>
  </si>
  <si>
    <t>Amplify Partners (www.amplifypartners.com), Balaji Srinivasan (balajis.com), Chris Messina (chrismessina.me), David Carrico (davidcarricofiction.com), Essence Venture Capital (www.essencevc.fund), Foothill Ventures (www.foothill.ventures), JUMP Investors (www.jumpinvestors.com), Khosla Ventures (www.khoslaventures.com), Lux Capital (www.luxcapital.com), Soma Capital (somacap.com), Valor Equity Partners (www.valorep.com), Y Combinator (www.ycombinator.com)</t>
  </si>
  <si>
    <t>Developer of artificial intelligence (AI) generated game assets designed to make visual content creation as accessible as composing a story. The company helps creators to create non-fungible token (NFT) collections with no smart contract or web3 experience and provides authoring and editing visual content by combining established computer graphics techniques with AI research, enabling customers to animate old photos and bring art to life.</t>
  </si>
  <si>
    <t>The company raised $6.6 million of venture funding in a deal led by Animoca Brands on December 21, 2021. Khosla Ventures, Andreessen Horowitz and 15 other investors also participated in the round. Previously, the company joined Gold House Ventures as a part of its Spring 2021 on April 7, 2021 and received $250,000 in funding. The funding was originally raised in the form of SAFE Notes and subsequently converted to equity.</t>
  </si>
  <si>
    <t>Artificial Intelligence &amp; Machine Learning, Cryptocurrency/Blockchain, Gaming</t>
  </si>
  <si>
    <t>content services, creator tools, custom imagery, game development, game engine, gaming development, generative ai, images generation, kms, knowledge management system, video generation</t>
  </si>
  <si>
    <t>Generative AI, NFTs</t>
  </si>
  <si>
    <t>168819-49P</t>
  </si>
  <si>
    <t>Lisha Li</t>
  </si>
  <si>
    <t>lisha@rosebudai.com</t>
  </si>
  <si>
    <t>Dr. Lisha Li is the Founder and serves as Chief Executive Officer at Rosebud AI. She served as Advisor at Amplify Partners. She focuses on companies that leverage machine learning and data to solve problems and she is excited to be investing at a time when algorithmic and data-driven methods have such incredible potential for impact. She completed her PhD at UC Berkeley focusing on deep learning and probability applied to the problem of clustering in graphs. She worked with Prof. David Aldous and Prof. Joan Bruna and was supported by the prestigious NSERC CGS fellowship. While at Berkeley she also did statistical consulting, advising on methods and analysis for experimentation and interpretation, and interned as a data scientist at Pinterest and Stitch Fix. She was the lecturer of discrete mathematics, as well as the graduate instructor for probability and statistics and intro CS theory. Prior to that, she earned her Master of Science in Mathematics at the University of Toronto, with Highest Distinction advised by Prof. Balazs Szegedy in the area of Graph Limits.</t>
  </si>
  <si>
    <t>University of California, Berkeley, Ph.D. (Doctor of Philosophy), Statistics and Machine Learning, University of Toronto, MS (Master of Science), Mathematics</t>
  </si>
  <si>
    <t>The company raised $2.2 million of seed funding in a deal led by Khosla Ventures and Foothill Ventures on August 18, 2020. Valor Equity Partners, Soma Capital, Amplify Partners, Essence Venture Capital, Lux Capital, JUMP Investors, David Carrico, Ilya Sutskever, Jake Klamka, Balaji Srinivasan, Sam Teller, Ankur Goyal, Peter Chen, Chris Messina and Kevin Lin also participated in the round.</t>
  </si>
  <si>
    <t>Amplify Partners, Ankur Goyal, Balaji Srinivasan, Chris Messina, David Carrico, Essence Venture Capital, Foothill Ventures, Ilya Sutskever, Jake Klamka, JUMP Investors, Kevin Lin, Khosla Ventures, Lux Capital, Peter Chen, Samuel Teller, Soma Capital, Valor Equity Partners</t>
  </si>
  <si>
    <t>Foothill Ventures, Khosla Ventures(Vinod Khosla)</t>
  </si>
  <si>
    <t>Amplify Partners III(Amplify Partners), Essence VC Fund I(Essence Venture Capital), Foothill Ventures(Foothill Ventures), Khosla Ventures Seed C(Khosla Ventures), Lux Ventures V(Lux Capital), URX Investment(JUMP Investors), Valor Siren Ventures I(Valor Equity Partners)</t>
  </si>
  <si>
    <t>www.rosebud.ai</t>
  </si>
  <si>
    <t>193553-83T</t>
  </si>
  <si>
    <t>Rosy</t>
  </si>
  <si>
    <t>399664-00</t>
  </si>
  <si>
    <t>SoGal Ventures, True Wealth Ventures</t>
  </si>
  <si>
    <t>SoGal Ventures (www.sogalventures.com), True Wealth Ventures (www.truewealthvc.com)</t>
  </si>
  <si>
    <t>Developer of a subscription-based wellness application designed to address sexual problems, questions, and concerns. The company's application offers educational videos, erotic short stories, and guided self-help classes in real-time, from the comfort, safety and privacy of their home, enabling women to improve their sexual function as well as the technology to connect with experts in real-time.</t>
  </si>
  <si>
    <t>The company joined AgeTech Collaborative as a part of Fall 2023 Accelerator on November 30, 2023. No equity or funding was exchanged as a result of this program.</t>
  </si>
  <si>
    <t>Application Software, Information Services (B2C)*, Other Healthcare Technology Systems</t>
  </si>
  <si>
    <t>FemTech, HealthTech, LOHAS &amp; Wellness, Mobile</t>
  </si>
  <si>
    <t>general wellness, health coaching, personalized health, physical wellness, reproductive health, sexual awareness, sexual healthcare, sexual wellness, sexual wellness solutions, wellness application, wellness program, women's health</t>
  </si>
  <si>
    <t>220695-13P</t>
  </si>
  <si>
    <t>Lyndsey Harper</t>
  </si>
  <si>
    <t>+1 (469) 249-2377</t>
  </si>
  <si>
    <t>lyndsey@meetrosy.com</t>
  </si>
  <si>
    <t>Dr. Lyndsey Harper is the Founder and serves as Chief Executive Officer, President, and Board Member at Rosy. She completed Ob/Gyn residency in 2011 at Baylor Scott &amp; White Health in Dallas, Texas and Dr. Harper saw patients in private practice for seven years and now is a hospitalist. Dr. Harper is Associate Professor of Ob/Gyn for Texas A&amp;M College of Medicine, a Fellow of The American Congress of Obstetricians and Gynecologists, and a Fellow of the International Society for the Study of Women's Sexual Health.</t>
  </si>
  <si>
    <t>MD (Doctor of Medicine)</t>
  </si>
  <si>
    <t>The company raised $2 million of seed funding from SoGal Ventures and True Wealth Ventures on April 9, 2020.</t>
  </si>
  <si>
    <t>SGV Fund I(SoGal Ventures), True Wealth Ventures Fund I(True Wealth Ventures)</t>
  </si>
  <si>
    <t>Dallas, TX</t>
  </si>
  <si>
    <t>Dallas</t>
  </si>
  <si>
    <t>75201</t>
  </si>
  <si>
    <t>www.meetrosy.com</t>
  </si>
  <si>
    <t>209886-85T</t>
  </si>
  <si>
    <t>Rowy</t>
  </si>
  <si>
    <t>482438-08</t>
  </si>
  <si>
    <t>Aarthi Ramamurthy(Aarthi Ramamurthy), Austen Allred(Austen Allred), Balaji Srinivasan, Brianne Kimmel(Brianne Kimmel), Cassidy Williams, Daniel Gross(Daniel Gross), David Mytton(David Mytton), Guillermo Rauch(Guillermo Rauch), Joseph Jacks(Joseph Jacks), Kyle Parrish(Kyle Parrish), Nat Friedman(Nat Friedman), Stephanie Friedman(Stephanie Friedman)</t>
  </si>
  <si>
    <t>Balaji Srinivasan (balajis.com)</t>
  </si>
  <si>
    <t>Developer of a low-code platform designed to build any product's backend functionality and database as easily as using spreadsheets. The company's platform a no-code-like ease to building any product with the ability to manage a database, enabling developers and users to retain full coding extensibility anytime they need it on a scalable cloud platform and build any ambitious or complex idea without limits.</t>
  </si>
  <si>
    <t>The company joined Google for Startups' AI First program on September 18, 2024.</t>
  </si>
  <si>
    <t>ai workflow platform, ai workforce, backend infrastructure, cloud infrastructure, developer tools, full stack software</t>
  </si>
  <si>
    <t>269988-94P</t>
  </si>
  <si>
    <t>Harini Janakiraman</t>
  </si>
  <si>
    <t>harini@rowy.io</t>
  </si>
  <si>
    <t>Ms. Harini Janakiraman is a Co-Founder and serves as Chief Executive Officer at Rowy. She served as Head of Technology at Antler. Prior to that Harini was VP - Engineering at BlackRock. She is an Angel Investor.</t>
  </si>
  <si>
    <t>The company raised $3 million of seed funding in a deal led by Brianne Kimmel on December 5, 2022. Cassidy Williams, David Mytton, Balaji Srinivasan, Daniel Gross, Aarthi Ramamurthy, Nat Friedman, Austen Allred, Stephanie Schatz Friedman, Guillermo Rauch, Kyle Parrish, Joseph Jacks, Cassidy Williams and other undisclosed investors also participated in the round. The funding will be used to expand the applicability of the company's platform to a broader set of back-end templates.</t>
  </si>
  <si>
    <t>Aarthi Ramamurthy, Austen Allred, Balaji Srinivasan, Brianne Kimmel, Cassidy Williams, Daniel Gross, David Mytton, Guillermo Rauch, Joseph Jacks, Kyle Parrish, Nat Friedman, Stephanie Friedman</t>
  </si>
  <si>
    <t>Brianne Kimmel(Brianne Kimmel)</t>
  </si>
  <si>
    <t>www.rowy.io</t>
  </si>
  <si>
    <t>226622-44T</t>
  </si>
  <si>
    <t>Rubber Ducky Labs</t>
  </si>
  <si>
    <t>517659-94</t>
  </si>
  <si>
    <t>Bain Capital Ventures(Slater Stich), Brad Klingenberg(Brad Klingenberg), Cadenza Capital, David Aronchick(David Aronchick), Patrick Hayes(Patrick Hayes)</t>
  </si>
  <si>
    <t>Bain Capital Ventures (www.baincapitalventures.com), Cadenza Capital (www.cadenza.vc)</t>
  </si>
  <si>
    <t>Developer of an operational analytics platform designed to improve ML-powered product recommendations. The company's platform helps to debug, analyze, and improve recommender systems, allowing machine learning teams to move faster on projects that have a direct impact on the company's bottom line.</t>
  </si>
  <si>
    <t>The company raised $1.5 million of seed funding in a deal led by Bain Capital Ventures on June 22, 2023. Cadenza Capital, Brad Klingenberg, Patrick Hayes, and David Aronchick also participated in the round. The funds will be used to expand the company's operations and its business reach.</t>
  </si>
  <si>
    <t>analytics app, developer tools, operations systems, product recommendation, product recommendation tools, saas-based app</t>
  </si>
  <si>
    <t>330086-89P</t>
  </si>
  <si>
    <t>Alexandra Johnson</t>
  </si>
  <si>
    <t>Ms. Alexandra Johnson is a Co-Founder &amp; serves as Chief Executive Officer at Rubber Ducky Labs. She has been a founding team member at two MLOps startups, Gantry and SigOpt, and before that, Alexandra worked in fashion tech, shipping products for Rent the Runway and Polyvore. She started her career working on recommender systems in fashion tech at Polyvore (acquired by Yahoo in 2015), before joining an early pioneer in the ML tools space, SigOpt (acquired by Intel in 2020), where she led the Platform Team. She holds two patents in ML tooling.</t>
  </si>
  <si>
    <t>Carnegie Mellon University, Degree, Computer Science</t>
  </si>
  <si>
    <t>Bain Capital Ventures, Brad Klingenberg, Cadenza Capital, David Aronchick, Patrick Hayes</t>
  </si>
  <si>
    <t>Bain Capital Ventures(Slater Stich)</t>
  </si>
  <si>
    <t>Cadenza Ventures AI Fund I(Cadenza Capital)</t>
  </si>
  <si>
    <t>www.rubberduckylabs.io</t>
  </si>
  <si>
    <t>188794-63T</t>
  </si>
  <si>
    <t>Runner</t>
  </si>
  <si>
    <t>492593-95</t>
  </si>
  <si>
    <t>360 Venture Collective, Backstage Capital(Arlan Hamilton), Freada Klein(Freada Klein), Gaingels, Precursor Ventures, Tundra Ventures</t>
  </si>
  <si>
    <t>360 Venture Collective (www.360venturecollective.com), Backstage Capital (www.backstagecapital.com), Gaingels (www.gaingels.com), Precursor Ventures (precursorvc.com), Tundra Ventures (www.tundravc.com)</t>
  </si>
  <si>
    <t>Operator of a recruitment platform intended to connect startups with operations people looking for part-time work. The company's platform seeks to combat some tensions in early-stage startup building by helping them to add people that the team needs fractionally, along with helping individuals to curate their career path, enabling startups to get access to desired talents they need for growing their business.</t>
  </si>
  <si>
    <t>The company raised $383,484 of equity crowdfunding in the form of SAFE notes via Republic on October 31, 2022.</t>
  </si>
  <si>
    <t>hiring platform, hiring platform developer, labor marketplace, labor recruitment, recruitment platform operator, startup hiring</t>
  </si>
  <si>
    <t>129652-03P</t>
  </si>
  <si>
    <t>Arlan Hamilton</t>
  </si>
  <si>
    <t>+1 (832) 531-5684</t>
  </si>
  <si>
    <t>arlan@backstagecapital.com</t>
  </si>
  <si>
    <t>Ms. Arlan Hamilton is the Founder and serves as Managing Partner at Backstage Capital. She is the Founder and serves as Managing Partner at ArlanWasHere Investments. She serves as Advisor at Kingscrowd. She also serves as Strategic Advisor at Finclusive Ventures. She serves as a Board Member at Equalizer Games. She is also an Angel Investor. She is an emerging venture capital fund manager, and tour manager to Atlantic Records recording artist Janine &amp; The Mixtape. She is also the founder of Backstage Crowd. She also serves as the Board Member at Flora. and 
She served as Advisor CityBlock Capital. She served as Advisor at Seed&amp;Spark. She also serves as Venture Partner &amp; Special Advisor at Unconventional Ventures. She received a degree from Stanford University.</t>
  </si>
  <si>
    <t>Stanford University, Degree, 2015</t>
  </si>
  <si>
    <t>The company raised $1.5 million of pre-seed funding in the form of SAFE Notes from Precursor Ventures, 360 Venture Collective and Gaingels on 2022. Backstage Capital, Lunar Startups, Tundra Ventures and Freada Kapor Klein also participated in the round.</t>
  </si>
  <si>
    <t>360 Venture Collective, Backstage Capital, Freada Klein, Gaingels, Precursor Ventures, Tundra Ventures</t>
  </si>
  <si>
    <t>Backstage Capital Opportunity Fund I(Backstage Capital)</t>
  </si>
  <si>
    <t>90028</t>
  </si>
  <si>
    <t>www.hirerunner.co</t>
  </si>
  <si>
    <t>270013-78T</t>
  </si>
  <si>
    <t>RunSybil</t>
  </si>
  <si>
    <t>535937-32</t>
  </si>
  <si>
    <t>Conviction Partners(Sarah Guo), Daniel Gross(Daniel Gross), Elad Gil(Elad Gil), Nat Friedman(Nat Friedman)</t>
  </si>
  <si>
    <t>Conviction Partners (conviction.com), Elad Gil (www.eladgil.com)</t>
  </si>
  <si>
    <t>Provider of active defense services intended to automate hacker intuition. The company offers offensive security capabilities based on the state-of-the-art in artificial intelligence and exploitation, enabling clients to automate hacker intuition and drive the speed and cost of vulnerability discovery down to zero.</t>
  </si>
  <si>
    <t>The company raised $8 million of seed funding in a deal led by Conviction Partners, Elad Gil, Daniel Gross and Nat Friedman on July 10, 2024. Other undisclosed investors also participated in the round.</t>
  </si>
  <si>
    <t>Business/Productivity Software*, Media and Information Services (B2B), Systems and Information Management</t>
  </si>
  <si>
    <t>active defense systems, generative ai, hacking protection services, network security, network security firm, offensive security, offensive security services</t>
  </si>
  <si>
    <t>366415-03P</t>
  </si>
  <si>
    <t>Ariel Voss</t>
  </si>
  <si>
    <t>ari@runsybil.com</t>
  </si>
  <si>
    <t>Ms. Ariel Voss is the Founder and serves as Chief Executive Officer at RunSybil.</t>
  </si>
  <si>
    <t>Conviction Partners, Daniel Gross, Elad Gil, Nat Friedman</t>
  </si>
  <si>
    <t>www.runsybil.com</t>
  </si>
  <si>
    <t>259261-30T</t>
  </si>
  <si>
    <t>S2N Health</t>
  </si>
  <si>
    <t>228975-58</t>
  </si>
  <si>
    <t>Boston Millennia Partners, Excelerate Health Ventures</t>
  </si>
  <si>
    <t>Boston Millennia Partners (www.bostonmillenniapartners.com), Excelerate Health Ventures (www.exceleratehealth.com)</t>
  </si>
  <si>
    <t>Operator of a consulting firm intended to provide business and marketing strategy support to the emerging medical technology community. The company's services provide communications, informed business guidance, and market development support from product concept through early sales, full-service strategic marketing support from the highly analytical to the tactical, leveraging a network of like-minded practitioners in regulatory, reimbursement and other disciplines to meet the needs of med tech innovators practical, enabling healthcare firms to achieve growth and success.</t>
  </si>
  <si>
    <t>The company raised $3.11 million of seed funding in a deal led by Excelerate Health Ventures on May 9, 2024, putting the company's pre-money valuation at $3.49 million. Boston Millennia Partners also participated in the round.</t>
  </si>
  <si>
    <t>Business/Productivity Software, Consulting Services (B2B)*, Media and Information Services (B2B), Other Healthcare Technology Systems</t>
  </si>
  <si>
    <t>ai-powered analytics, business consulting, healthcare consulting, healthcare data, market development services, marketing services, medical consulting firm</t>
  </si>
  <si>
    <t>186142-96P</t>
  </si>
  <si>
    <t>Amy Siegel</t>
  </si>
  <si>
    <t>+1 (617) 701-6315</t>
  </si>
  <si>
    <t>asiegel@s2nhealth.com</t>
  </si>
  <si>
    <t>Ms. Amy Siegel is a Co-Founder &amp; serves as Chief Executive Officer, President &amp; Board Member at S2N Health. She brings 20+ years of strategic marketing experience to S2N Health. Before co-founding S2N, Amy was VP of Strategic Marketing at Seventh Sense Biosystems and Aspect Medical Systems, where she guided new product development and strategic partnering efforts. Prior to her strategic marketing roles in medical device companies, Amy consulted for dozens of large and small med tech companies and investors with the firms Health Advances and Monitor Company. Amy also worked in the finance sector, structuring Asian trade finance loans for the U.S. Export-Import Bank. Amy earned her B.A. at Tufts University, received a Fulbright scholarship (Germany), and completed her M.A. at The Fletcher School of Law &amp; Diplomacy.</t>
  </si>
  <si>
    <t>MA (Master of Arts), Tufts University, BA (Bachelor of Arts)</t>
  </si>
  <si>
    <t>Excelerate Health Ventures</t>
  </si>
  <si>
    <t>02109</t>
  </si>
  <si>
    <t>www.s2nhealth.com</t>
  </si>
  <si>
    <t>194415-13T</t>
  </si>
  <si>
    <t>Saga</t>
  </si>
  <si>
    <t>496717-39</t>
  </si>
  <si>
    <t>Akash Network, Alex Shin, Bo Du(Bo Du), Chorus Ventures, CRIT Ventures, Figment Capital, Garrette Furo, GSR Ventures, Hustle Fund, Hypersphere Ventures, Jae Kwon, LongHash Ventures, Maven 11, Merit Circle, nfr, Nicholas Tomaino(Nicholas Tomaino), Peter Kim(Peter Kim), Polygon Studios, Samsung NEXT Ventures, Strangelove Ventures, Tess Ventures, Unanimous Capital, XPLA, Zaki Manian</t>
  </si>
  <si>
    <t>Akash Network (www.akash.network), Chorus Ventures (www.chorus.one), CRIT Ventures (www.crit.vc), Figment Capital (www.figmentcapital.io), GSR Ventures (www.gsrventuresus.com), Hustle Fund (www.hustlefund.vc), Hypersphere Ventures (www.hypersphere.ventures), LongHash Ventures (www.longhash.vc), Maven 11 (www.maven11.com), Merit Circle (www.meritcircle.io), nfr (www.nfr.ventures), Polygon Studios (www.polygonstudios.com), Samsung NEXT Ventures (www.samsungnext.com), Strangelove Ventures (www.strange.love), Tess Ventures (www.tessventures.com), Unanimous Capital (www.unanimous.vc), XPLA (www.xpla.io)</t>
  </si>
  <si>
    <t>Developer of a self-service blockchain platform designed to make it easy to launch and manage a blockchain network. The company's platform offers a suite of tools for provisioning, deploying, and managing blockchains, enabling businesses to spin up their own custom networks without the need for any technical expertise.</t>
  </si>
  <si>
    <t>The company raised an undisclosed amount of seed funding in a deal led by Placeholder Capital on January, 2024. Com2uS, Dispersion Capital, Red Beard Ventures, AVID3, LongHash Ventures, Tykhe Block Ventures, No Limit Holdings and other undisclosed investors also participated in the round. The funds will be used to expand the company's team of cutting-edge technologists, ambitiously building its community and ecosystem activation via strategic partnerships, and growing its Innovator Program.</t>
  </si>
  <si>
    <t>Business/Productivity Software*, Financial Software, Software Development Applications</t>
  </si>
  <si>
    <t>blockchain infrastructure, blockchain network, blockchain network ecosystem, blockchain platform developer, decentralized database, game developer tools, gaming development, layer 1, protocol development, security model, token system, web3 data</t>
  </si>
  <si>
    <t>176416-21P</t>
  </si>
  <si>
    <t>Rebecca Liao</t>
  </si>
  <si>
    <t>+1 (650) 887-4860</t>
  </si>
  <si>
    <t>rebecca.liao@saga.xyz</t>
  </si>
  <si>
    <t>Ms. Rebecca Liao is a Co-Founder and serves as Chief Executive Officer at Saga. She is a Co-Founder and serves as Chief Operating Officer &amp; Executive Vice President at Skuchain. She was a member of Secretary Clinton's foreign policy team for her 2016 presidential campaign, responsible for Asia trade and economic policy. Her writing has appeared in the New York Times, Financial Times, Foreign Affairs, The Atlantic, The National Interest, Bloomberg View, n+1, Georgetown Journal of International Affairs, Times Literary Supplement, China file, The Diplomat, Huffington Post, Dissent Magazine, The New Inquiry, the LA Review of Books, The China Story Journal, Tea Leaf Nation, San Francisco Chronicle and San Francisco Classical Voice. She regularly comments on China for Deutsche Welle and Channel NewsAsia and has also appeared on HuffPost Live and SiriusXM Radio. She is a contributing editor at SupChina. A graduate of Stanford University, where she studied Economics, and Harvard Law School, she founded The Aleph Mag, a digital magazine about art, culture, and Chinese law and politics. She serves as Co-Chair of the Brookings Society and is a member of the Board of Directors of Words Without Borders, Voices of Music, and the Wagner Society of Northern California. She is also a member of the National Committee on US-China Relations. Rebecca is a jazz and opera singer and tweets at @beccaliao. Rebecca was previously Director of Business Development and head of Asia at Globality, Inc., a B2B platform for AI-powered procurement of professional services. She began her career as an international corporate attorney, representing clients in Asia, North America, and Europe across a variety of industries, including the Internet, mobile, semiconductors, enterprise software, energy, advertising technology, consumer technology, and finance. Her work focused on domestic and cross-border transactions, including mergers and acquisitions, joint ventures, private equity investments, venture financings, debt financings, and public offerings of debt and equity. She also regularly advised public and private companies on corporate governance and securities law compliance.</t>
  </si>
  <si>
    <t>Stanford University, Degree, Economics</t>
  </si>
  <si>
    <t>The company raised $6.5 million of seed funding from XPLA, Akash Network, and Figment Capital on May 19, 2022, putting the company's pre-money valuation at $123.5 million. Polygon Studios, Samsung NEXT Ventures, Chorus One, GSR Ventures, Maven 11, LongHash Ventures, Hypersphere Ventures, CRIT Ventures, Merit Circle, Hustle Fund, Unanimous Capital, Strangelove Ventures, Tess Ventures, nfr, Zaki Manian, Jae Kwon, Garrette Furo, Alex Shin, Nick Tomaino, Peter Kim and Bo Du also participated in the round.</t>
  </si>
  <si>
    <t>Akash Network, Alex Shin, Bo Du, Chorus Ventures, CRIT Ventures, Figment Capital, Garrette Furo, GSR Ventures, Hustle Fund, Hypersphere Ventures, Jae Kwon, LongHash Ventures, Maven 11, Merit Circle, nfr, Nicholas Tomaino, Peter Kim, Polygon Studios, Samsung NEXT Ventures, Strangelove Ventures, Tess Ventures, Unanimous Capital, XPLA, Zaki Manian</t>
  </si>
  <si>
    <t>LongHash Ventures Fund II(LongHash Ventures)</t>
  </si>
  <si>
    <t>Tempe, AZ</t>
  </si>
  <si>
    <t>Tempe</t>
  </si>
  <si>
    <t>www.saga.xyz</t>
  </si>
  <si>
    <t>215339-86T</t>
  </si>
  <si>
    <t>Salsa</t>
  </si>
  <si>
    <t>520045-30</t>
  </si>
  <si>
    <t>Balaji Srinivasan, Dan Romero, Gmoney Gmoney(Gmoney Gmoney), Henri Stern(Henri Stern), IDEO CoLab Ventures, Inflection, Khan Tasinga(Khan Tasinga), Liam Horne(Liam Horne), Nader Al-Naji(Nader Al-Naji), Patricio Worthalter(Patricio Worthalter), Simona Pop(Simona Pop), Superscrypt</t>
  </si>
  <si>
    <t>Balaji Srinivasan (balajis.com), Dan Romero (danromero.org), IDEO CoLab Ventures (www.ideocolab.com), Inflection (www.inflection.xyz), Superscrypt (www.superscrypt.xyz)</t>
  </si>
  <si>
    <t>Developer of a decentralized application designed for personalized communication. The company's application offers messaging app that uses on-chain data to add context to wallet-native messaging, enabling user networks and brands to engage their audience in a crypto-native and trustless way.</t>
  </si>
  <si>
    <t>The company raised $2 million of seed funding in a deal led by IDEO CoLab Ventures and Inflection on February 16, 2023. Superscrypt and 9 other investors also participated in the round. The funds will be used to expand the company's newly launched mobile app to brands looking for a crypto-native way to engage their audiences.</t>
  </si>
  <si>
    <t>Communication Software, Financial Software*</t>
  </si>
  <si>
    <t>blockchain messaging, chat application, chat application development, decentralized communication, decentralized project, personalized messaging, poap technology</t>
  </si>
  <si>
    <t>335844-46P</t>
  </si>
  <si>
    <t>Helena Gagern</t>
  </si>
  <si>
    <t>Ms. Helena Gagern is a Co-Founder and serves as Chief Executive Officer at Salsa.</t>
  </si>
  <si>
    <t>The company raised $2 million of seed funding in a deal led by IDEO CoLab Ventures and Inflection on February 16, 2023. Superscrypt, Nader Al-Naji, Liam Horne, Dan Romero, Balaji Srinivasan, Henri Stern, Patricio Worthalter, Simona Pop, Gmoney Gmoney and Khan Tasinga also participated in the round. The funds will be used to expand the company's newly launched mobile app to brands looking for a crypto-native way to engage their audiences.</t>
  </si>
  <si>
    <t>Balaji Srinivasan, Dan Romero, Gmoney Gmoney, Henri Stern, IDEO CoLab Ventures, Inflection, Khan Tasinga, Liam Horne, Nader Al-Naji, Patricio Worthalter, Simona Pop, Superscrypt</t>
  </si>
  <si>
    <t>IDEO CoLab Ventures, Inflection</t>
  </si>
  <si>
    <t>Inflection Mercury Fund(Inflection)</t>
  </si>
  <si>
    <t>www.salsa.me</t>
  </si>
  <si>
    <t>272946-34T</t>
  </si>
  <si>
    <t>Sandgarden</t>
  </si>
  <si>
    <t>674457-67</t>
  </si>
  <si>
    <t>Crane Venture Partners, HearstLab, Jerry Neumann(Jerry Neumann), Locke Mountain Ventures, Panache Ventures, Resolute Ventures(Michael Hirshland), RMS</t>
  </si>
  <si>
    <t>Crane Venture Partners (www.crane.vc), HearstLab (www.hearstlab.com), Panache Ventures (www.panache.vc), Resolute Ventures (www.resolute.vc), RMS (www.gorms.com)</t>
  </si>
  <si>
    <t>Developer of an artificial intelligence platform intended to prototype, iterate, and deploy AI applications. The company's platform reduces the time and complexity involved in the AI experimentation cycle and promotes collaboration between engineering, infrastructure, and product teams, enabling organizations to move from concept to production quickly.</t>
  </si>
  <si>
    <t>The company raised $4.49 million of Pre-Seed funding in a deal led by Resolute Ventures and Crane Venture Partners on August 28, 2024, putting the company's pre-money valuation at $13.99 million. RMS, HearstLab, Locke Mountain Ventures, and 2 other investors also participated in the round. The funds will be used to expand operations and the company's development efforts.</t>
  </si>
  <si>
    <t>ai development platform, application development, collaboration tool, data integration, infrastructure management, rapid prototyping</t>
  </si>
  <si>
    <t>40154-59P</t>
  </si>
  <si>
    <t>Elizabeth Zalman</t>
  </si>
  <si>
    <t>Ms. Elizabeth Zalman serves as Founder Advisor at Crane Venture Partners. She is a Co-Founder and serves as Chief Executive Officer at Sandgarden. She co-founded and served as Chief Executive Officer and Chairman at strong DRM. Before this, she served as Vice President, Insights &amp; Client Services at Nomi. She co-founded and served as Chief Executive Officer, President, Board Member at Media Armor. She knows display measurement and directs Media Armor's application of data in messaging and measurement. Her career began in the online space at Dotomi, where she led the integration and adoption of real-time bidding. She also founded Cuff &amp; Tweed. She received BA, in Economics &amp; Jewish Studies from McGill University. She also completed BA Coursework, in Economics from Marlboro College.</t>
  </si>
  <si>
    <t>McGill University, BA (Bachelor of Arts), 2002, Economics &amp; Jewish Studies</t>
  </si>
  <si>
    <t>The company raised $4.49 million of Pre-Seed funding in a deal led by Resolute Ventures and Crane Venture Partners on August 28, 2024, putting the company's pre-money valuation at $13.99 million. RMS, HearstLab, Locke Mountain Ventures, Panache Ventures, Jerry Neumann and other undisclosed investors also participated in the round. The funds will be used to expand operations and the company's development efforts.</t>
  </si>
  <si>
    <t>Crane Venture Partners, HearstLab, Jerry Neumann, Locke Mountain Ventures, Panache Ventures, Resolute Ventures, RMS</t>
  </si>
  <si>
    <t>Crane Venture Partners, Resolute Ventures(Michael Hirshland)</t>
  </si>
  <si>
    <t>Fenwick &amp; West (Legal Advisor to Resolute Ventures), Goodwin Procter (Legal Advisor to Company, Kelvin Tsz Ho Chan JD)</t>
  </si>
  <si>
    <t>Goodwin Procter (Legal Advisor to Company, Kelvin Tsz Ho Chan JD)</t>
  </si>
  <si>
    <t>Fenwick &amp; West (Legal Advisor to Resolute Ventures)</t>
  </si>
  <si>
    <t>www.sandgarden.com</t>
  </si>
  <si>
    <t>167746-06T</t>
  </si>
  <si>
    <t>Sangrove</t>
  </si>
  <si>
    <t>433731-07</t>
  </si>
  <si>
    <t>Ideaship, KiwiTech, Startupbootcamp</t>
  </si>
  <si>
    <t>Ideaship (www.ideashipfund.com), KiwiTech (www.kiwitech.com), Startupbootcamp (www.startupbootcamp.org)</t>
  </si>
  <si>
    <t>Developer of B2B platform designed to use blockchain-based smart contract technology to connect brands with retailers. The company's platform addresses the design-driven industries, that produce consumer goods with a short life span, reducing speculative overproduction, excess inventory, and deadstock, enabling retailers to jointly select design products for manufacturing.</t>
  </si>
  <si>
    <t>The company was in talks to receive $1.2 million of seed funding from undisclosed investors on May 6, 2022. Subsequently, the deal was cancelled. Previously, the company graduated from Startupbootcamp FashionTech as a part of its (RE)NAISSANCE 2022 Cohort on February 24, 2022 and received $15,000 in funding in the form of grant.</t>
  </si>
  <si>
    <t>Cryptocurrency/Blockchain, E-Commerce, Marketing Tech, SaaS</t>
  </si>
  <si>
    <t>b2b distribution, b2b ecommerce, b2b platform company, b2b wholesale marketplace, fashion and lifestyle industry, home accessories, marketplace platform, retailer commerce, smart contracts software, sustainable consumption</t>
  </si>
  <si>
    <t>226604-80P</t>
  </si>
  <si>
    <t>Tatiana Alexa</t>
  </si>
  <si>
    <t>+1 (917) 765-3753</t>
  </si>
  <si>
    <t>tatiana.alexa@sangrove.com</t>
  </si>
  <si>
    <t>Dr. Tatiana Alexa is a Co-Founder and serves as Chief Executive Officer at Sangrove. She is a seasoned cross-domain entrepreneur with deep industry knowledge in on-trend consumer products and vertical SaaS markets. Sangrove is a digital marketplace platform that allows brands to efficiently bring new consumer goods products to market. Prior to co-founding Sangrove, Tatiana founded Urbanika, a leading international distribution enterprise of worldwide sourcing of design-driven products built from the ground up. Tatiana was one of the first pioneers of offshore custom software development for internet-based solutions in various domains. Tatiana co-founded Octet Group, a company that developed several highly successful Forex and Options real-time trading platforms for various clients, one of which was later sold to Ameritrade. Tatiana is an MD with a Doctor of Medicine degree from First Moscow State Medical University and holds a Master's Degree from Moscow Financial University. She is passionate about environmental sustainability, using a practical and realistic approach to finding the way to make sustainability a profit center, not a cost.</t>
  </si>
  <si>
    <t>Master's, MD (Doctor of Medicine)</t>
  </si>
  <si>
    <t>The company raised $618,000 of seed funding from KiwiTech, Ideaship and Startupbootcamp on November 29, 2021. The funds will be used to provide a platform which promotes efficiency and sustainability in the production of new designs for the Consumer Goods market.</t>
  </si>
  <si>
    <t>Ideaship Fund I(Ideaship), Ideaship Fund II(Ideaship)</t>
  </si>
  <si>
    <t>www.sangrove.com</t>
  </si>
  <si>
    <t>172079-83T</t>
  </si>
  <si>
    <t>Sanlo</t>
  </si>
  <si>
    <t>466129-00</t>
  </si>
  <si>
    <t>Anjney Midha(Anjney Midha), Charley Ma(Charley Ma), Gokul Rajaram(Gokul Rajaram), Index Ventures(Mark Goldberg), Initial Capital(Kenneth Lamb), Kevin Moore, Kristian Segestrale(Kristian Segestrale), London Venture Partners, Louis Beryl(Louis Beryl), Marc Bhargava, Portage, Siqi Chen(Siqi Chen), XYZ Venture Capital(Ross Fubini)</t>
  </si>
  <si>
    <t>Index Ventures (www.indexventures.com), Initial Capital (www.initialcapital.com), Kevin Moore (www.agileangel.com), London Venture Partners (www.londonvp.com), Portage (portageinvest.com), XYZ Venture Capital (www.xyz.vc)</t>
  </si>
  <si>
    <t>Developer of multi-platform monetization technology designed to manage the finances and get smart capital to grow for gaming and app companies. The company offers guidance, access to technology, tools, and insights into apps and games it finances, enabling companies to achieve smart and scalable growth while remaining financially healthy.</t>
  </si>
  <si>
    <t>The company raised $10.1 million of Series A venture funding in a deal led by Konvoy Ventures on April 26, 2022, putting the company's pre-money valuation at $30 million. FirstCash and 8 other investors also participated in the round. The funds will be used to scale the financial OS and bring $200M of developer-friendly Growth Capital to game and app developers.</t>
  </si>
  <si>
    <t>Business/Productivity Software, Entertainment Software, Financial Software*, Other Financial Services</t>
  </si>
  <si>
    <t>Artificial Intelligence &amp; Machine Learning, FinTech, Gaming</t>
  </si>
  <si>
    <t>financial insights, gaming business, gaming industry, monetization model, monetization tools, payment processing, payment technology, webshop services</t>
  </si>
  <si>
    <t>262616-86P</t>
  </si>
  <si>
    <t>Olya Caliujnaia</t>
  </si>
  <si>
    <t>+1 (415) 787-2656</t>
  </si>
  <si>
    <t>olya@sanlo.io</t>
  </si>
  <si>
    <t>Ms. Olya Caliujnaia is a Co-Founder and serves as Chief Executive Officer at Sanlo.</t>
  </si>
  <si>
    <t>The company raised $3.42 million of seed funding in a deal led by Index Ventures and Initial Capital on May 12, 2021, putting the company's pre-money valuation at $6.5 million. London Venture Partners, Portage, XYZ Venture Capital, Kristian Segestrale, Gokul Rajaram, Charley Ma, Anjney Midha, Kevin Moore, Siqi Chen, Marc Bhargava, and Louis Beryl also participated in the round. The funds will be used to grow the team and continue building out its product suite in preparation for a wider launch.</t>
  </si>
  <si>
    <t>Anjney Midha, Charley Ma, Gokul Rajaram, Index Ventures, Initial Capital, Kevin Moore, Kristian Segestrale, London Venture Partners, Louis Beryl, Marc Bhargava, Portage, Siqi Chen, XYZ Venture Capital</t>
  </si>
  <si>
    <t>Index Ventures(Mark Goldberg), Initial Capital(Kenneth Lamb)</t>
  </si>
  <si>
    <t>LVP Seed Fund III(London Venture Partners), Portag3 Ventures II International(Portage), XYZ Venture Capital Fund II(XYZ Venture Capital)</t>
  </si>
  <si>
    <t>Gunderson Dettmer (Legal Advisor to Company, Andrew Bradley JD)</t>
  </si>
  <si>
    <t>www.sanlo.io</t>
  </si>
  <si>
    <t>133394-68T</t>
  </si>
  <si>
    <t>Satellite (IT Consulting and Outsourcing)</t>
  </si>
  <si>
    <t>433107-73</t>
  </si>
  <si>
    <t>32 Ventures</t>
  </si>
  <si>
    <t>Provider of business scaling solutions intended to help businesses grow business firms efficiently and quickly. The company provides highly skilled engineers, vibrant private workspaces, and complete operations while putting customers in control of the software development process, helping businesses save costs and eliminate engineer recruiting challenges.</t>
  </si>
  <si>
    <t>The company raised $1.85 million of venture funding from 32 Ventures and other undisclosed investors on March 10, 2020.</t>
  </si>
  <si>
    <t>Human Capital Services, IT Consulting and Outsourcing*</t>
  </si>
  <si>
    <t>business scaling services, business scaling solutions, business scaling technology, data science, it services company, team building services</t>
  </si>
  <si>
    <t>224904-79P</t>
  </si>
  <si>
    <t>Eugenia Vanderstarren</t>
  </si>
  <si>
    <t>+1 (646) 397-3373</t>
  </si>
  <si>
    <t>eugenia@satelliteinnovations.io</t>
  </si>
  <si>
    <t>Ms. Eugenia Vanderstarren is a Co-Founder and serves as Chief Executive Officer &amp; Board Observer at Satellite Innovations.</t>
  </si>
  <si>
    <t>www.satelliteinnovations.io</t>
  </si>
  <si>
    <t>257035-06T</t>
  </si>
  <si>
    <t>Scheduler AI</t>
  </si>
  <si>
    <t>464064-67</t>
  </si>
  <si>
    <t>11 Tribes Ventures, 500 Global, Drive Capital, George Bell(George Bell), Gregg Bell(Gregg Bell), Launny Steffens(Launny Steffens), Stephen Wiehe(Stephen Wiehe)</t>
  </si>
  <si>
    <t>11 Tribes Ventures (www.11tribes.vc), 500 Global (500.co), Drive Capital (www.drivecapital.com)</t>
  </si>
  <si>
    <t>Developer of a scheduling application designed to schedule with a message. The company's application integrates AI into its NLP smart-scheduling technology which works in Slack, Microsoft Teams, and Discord, it engages warm leads, books meetings, monitors calendars, sends reminders, re-books instantly, and coordinates group follow-ups using patented AI technology, enabling sales and recruiting teams set and show more revenue-generating meetings to coordinate and collaborate easily.</t>
  </si>
  <si>
    <t>The company raised $2.79 million through a Seed funding led by Drive Capital and participated by 500 Global and 11 Tribes Ventures on April 15, 2024, putting the company's pre-money valuation at $7.21 million. Stephen Wiehe, Launny Steffens, George Bell and Gregg Bell also participated in the round.</t>
  </si>
  <si>
    <t>Business/Productivity Software*, Communication Software, Information Services (B2C)</t>
  </si>
  <si>
    <t>Artificial Intelligence &amp; Machine Learning, Big Data, Mobile, TMT</t>
  </si>
  <si>
    <t>calendaring software, digital calendar, schedule tracker, scheduling system, texting application, texting platform</t>
  </si>
  <si>
    <t>258916-06P</t>
  </si>
  <si>
    <t>Maddie Bell</t>
  </si>
  <si>
    <t>+1 (972) 953-5156</t>
  </si>
  <si>
    <t>maddie@scheduler.ai</t>
  </si>
  <si>
    <t>Ms. Maddie Bell is a Co-Founder and serves as Chief Executive Officer at Scheduler.</t>
  </si>
  <si>
    <t>Duke University, BA (Bachelor of Arts), 2011, Economics/Public Policy</t>
  </si>
  <si>
    <t>500 Global, Drive Capital, George Bell, Gregg Bell, Launny Steffens, Stephen Wiehe</t>
  </si>
  <si>
    <t>11 Tribes Ventures</t>
  </si>
  <si>
    <t>Drive Capital</t>
  </si>
  <si>
    <t>UB Greensfelder (Legal Advisor to Company), Ulmer &amp; Berne (Legal Advisor to Company)</t>
  </si>
  <si>
    <t>Cincinnati, OH</t>
  </si>
  <si>
    <t>Cincinnati</t>
  </si>
  <si>
    <t>45249</t>
  </si>
  <si>
    <t>www.scheduler.ai</t>
  </si>
  <si>
    <t>168512-05T</t>
  </si>
  <si>
    <t>SchooLinks</t>
  </si>
  <si>
    <t>95038-03</t>
  </si>
  <si>
    <t>Capital Factory, Charles Thornburgh(Charles Thornburgh), Juvo Ventures(Maia Sharpley), Kevin Ma(Kevin Ma), LiveOak Ventures(Krishna Srinivasan), SJF Ventures(Arrun Kapoor)</t>
  </si>
  <si>
    <t>Capital Factory (www.capitalfactory.com), Juvo Ventures (juvovc.org), LiveOak Ventures (www.liveoak.vc), SJF Ventures (www.sjfventures.com)</t>
  </si>
  <si>
    <t>Developer of a modern college and career readiness platform designed to support districts and students through all aspects of post-secondary planning. The company's platform leverages machine learning algorithms to streamline back-office logistics, including personal graduation plans, course planning, and endorsement track, enabling students to plan courses that align with their interests and goals.</t>
  </si>
  <si>
    <t>The company raised $80 million of Series B venture funding in a deal led by Susquehanna Growth Equity on October 21, 2024, putting the company's pre-money valuation at $223 million. ASA Ventures,The Stephens Group and Strada Investment Group also participated in the round. The funds will be used in a growing suite of CCR offerings and accelerate its growing ecosystem of products that facilitate connectivity between K-12, higher education, and employers.</t>
  </si>
  <si>
    <t>Artificial Intelligence &amp; Machine Learning, EdTech, Virtual Reality</t>
  </si>
  <si>
    <t>college planning, college readiness, consumer data analytics, education management, educational platform, higher education information, scholarship application, scholarship application platform, vertical application, virtual reality tour</t>
  </si>
  <si>
    <t>171094-24P</t>
  </si>
  <si>
    <t>Katie Fang</t>
  </si>
  <si>
    <t>+1 (512) 710-9922</t>
  </si>
  <si>
    <t>katie@schoolinks.com</t>
  </si>
  <si>
    <t>Ms. Katie Fang is a Co-Founder and serves as Chief Executive Officer and Board Member at SchooLinks.</t>
  </si>
  <si>
    <t>University of British Columbia, Degree, 2014, Finance</t>
  </si>
  <si>
    <t>The company raised $8.32 million of Series A venture funding in a deal led by LiveOak Venture Partners on March 19, 2021, putting the company's pre-money valuation at $15 million. Juvo Ventures, SJF Ventures, Capital Factory, Charles Thornburgh, and Kevin Ma also participated in the round. Of the total amount, $1.41 million was initially raised in the form of convertible debt and subsequently converted to Series A equity. The funds will be used to expand the team, product development, and integrations, and build out new partnerships.</t>
  </si>
  <si>
    <t>Charles Thornburgh, Juvo Ventures, Kevin Ma, LiveOak Ventures, SJF Ventures</t>
  </si>
  <si>
    <t>LiveOak Ventures(Krishna Srinivasan)</t>
  </si>
  <si>
    <t>Capital Factory VI(Capital Factory), LiveOak Venture Partners II(LiveOak Ventures), SJF Ventures V(SJF Ventures)</t>
  </si>
  <si>
    <t>Dentons (Legal Advisor to SJF Ventures, James Jasaitis), DLA Piper (Legal Advisor to LiveOak Ventures, Samer Zabaneh JD)</t>
  </si>
  <si>
    <t>78767</t>
  </si>
  <si>
    <t>www.schoolinks.com</t>
  </si>
  <si>
    <t>131650-30T</t>
  </si>
  <si>
    <t>Scribe</t>
  </si>
  <si>
    <t>431600-41</t>
  </si>
  <si>
    <t>Sweat Equity Ventures</t>
  </si>
  <si>
    <t>Sweat Equity Ventures (www.sweatequity.vc)</t>
  </si>
  <si>
    <t>Developer of a workflow documentation platform designed to analyze, optimize, and standardize processes of information. The company's platform leverages machine learning and artificial intelligence that blends ideas from vision and user experience, enabling companies to generate documentation for repetitive work automatically.</t>
  </si>
  <si>
    <t>The company raised $25 million of Series B venture funding in a deal led by New York Life Ventures and Redpoint Ventures on February 15, 2024, putting the company's pre-money valuation at $220 million. XYZ Venture Capital, Tiger Global Management, and Amplify Partners also participated in the round. The funds will be used to automate internal knowledge capture.</t>
  </si>
  <si>
    <t>ai automation platform, artificial intelligence engine, content services, customer database, document sharing, documentation management, documentation tools, kms, knowledge management system, machine learning data, productivity manager</t>
  </si>
  <si>
    <t>222370-30P</t>
  </si>
  <si>
    <t>Jennifer Smith</t>
  </si>
  <si>
    <t>+1 (408) 716-3792</t>
  </si>
  <si>
    <t>jennifer@colonylabs.io</t>
  </si>
  <si>
    <t>Ms. Jennifer Smith is a Co-Founder and serves as Chief Executive Officer &amp; Board Member at Scribe.</t>
  </si>
  <si>
    <t>Harvard Business School, MBA (Master of Business Administration), 2013, Princeton University, BA (Bachelor of Arts), Economics and Finance</t>
  </si>
  <si>
    <t>The company raised an estimated $1.75 million through a combination of Seed 2 and Seed 3 funding from Sweat Equity Ventures and other undisclosed investors in February 2020, putting the company's pre-money valuation at $8 million.</t>
  </si>
  <si>
    <t>www.scribehow.com</t>
  </si>
  <si>
    <t>206227-27T</t>
  </si>
  <si>
    <t>Seamly</t>
  </si>
  <si>
    <t>510193-54</t>
  </si>
  <si>
    <t>Keyhorse Capital, Render Capital</t>
  </si>
  <si>
    <t>Keyhorse Capital (www.keyhorse.vc), Render Capital (www.render.capital)</t>
  </si>
  <si>
    <t>Developer of computer-aided software designed to increase profitability and lower waste for fashion brands. The company's platform offers tools to create scalable, sharable custom-fit patterns using bespoke tailoring, haute couture, and historical pattern drafting techniques, enabling the fashion industry to increase profits, heighten creativity, and reduce waste through three dimentional-body-scan-to-pattern automation, collaborative design, and simulation.</t>
  </si>
  <si>
    <t>The company raised $100,000 of pre-seed funding in a deal led by Keyhorse Capital (KSTC) and Render Capital on October 1, 2023, putting the company's pre-money valuation at $2.4 million.</t>
  </si>
  <si>
    <t>apparel design platform, artificial intelligence apparel, augmented reality, digital fashion, digital fashion company, fashion software</t>
  </si>
  <si>
    <t>319947-85P</t>
  </si>
  <si>
    <t>Susan Spencer</t>
  </si>
  <si>
    <t>+1 (855) 588-4022</t>
  </si>
  <si>
    <t>sue@seamly.io</t>
  </si>
  <si>
    <t>Ms. Susan Spencer is the Founder and serves as Chief Executive Officer at Seamly.</t>
  </si>
  <si>
    <t>University of Alabama, Tuscaloosa, Degree, 1992, Computer Science</t>
  </si>
  <si>
    <t>The Idea Fund(Keyhorse Capital)</t>
  </si>
  <si>
    <t>Griesing Mazzeo Law (Legal Advisor to Company, Cheryl Borland JD), Pilot (Accounting to Company)</t>
  </si>
  <si>
    <t>Paducah, KY</t>
  </si>
  <si>
    <t>Paducah</t>
  </si>
  <si>
    <t>42001</t>
  </si>
  <si>
    <t>seamly.io</t>
  </si>
  <si>
    <t>192345-58T</t>
  </si>
  <si>
    <t>Seek</t>
  </si>
  <si>
    <t>491754-16</t>
  </si>
  <si>
    <t>ARC Angel Fund, Differential Ventures(David Magerman), Function (Miami)</t>
  </si>
  <si>
    <t>ARC Angel Fund (www.arcangelfund.com), Differential Ventures (www.differential.vc), Function (Miami) (www.function.vc)</t>
  </si>
  <si>
    <t>Developer of data analytics platform designed to solve data bottleneck problems in organizations. The company's platform uses artificial intelligence to reduce human error and inefficiencies from the organization's data team, enabling organizations to deliver projects in less time at a reduced cost.</t>
  </si>
  <si>
    <t>The company raised $2 million of venture funding from undisclosed investors on August 8, 2024.</t>
  </si>
  <si>
    <t>ai automation platform, analytics &amp; business intelligence, analytics and business intelligence, analytics platform, artificial intelligence, data analytics platform, data ecosystem, data feed, generative ai, insightful data, insights system</t>
  </si>
  <si>
    <t>291812-23P</t>
  </si>
  <si>
    <t>Sarah Nagy</t>
  </si>
  <si>
    <t>+1 (650) 268-4404</t>
  </si>
  <si>
    <t>sarah@seekwhatmatters.com</t>
  </si>
  <si>
    <t>Ms. Sarah Nagy is a Co-Founder and serves as Chief Executive Officer and Board Member at Seek. She has most recently led the consumer data team at Citadel's Ashler Capital. Prior to joining Citadel, she led enterprise data product development at two startups, Predata and Edison, which were both successfully acquired by unicorn startups (FiscalNote and YipitData, respectfully). She started her career as a quant at ITG developing algorithmic trading strategies.</t>
  </si>
  <si>
    <t>Princeton University, Master's, Finance, UCLA (Anderson), Bachelor's, Astrophysics, UCLA (Anderson), Bachelor's, Economics</t>
  </si>
  <si>
    <t>The company raised an estimated $1.5 million of Seed-2 funding from Differential Ventures, Function Collective , ARC Angel Fund, and other undisclosed investors on April 1, 2022, putting the company's pre-money valuation at $4 million.</t>
  </si>
  <si>
    <t>ARC Angel Fund, Differential Ventures, Function (Miami)</t>
  </si>
  <si>
    <t>Differential Venture Capital Fund II(Differential Ventures)</t>
  </si>
  <si>
    <t>Reitler Kailas &amp; Rosenblatt (Legal Advisor to Company, Serge Nehama)</t>
  </si>
  <si>
    <t>www.seek.ai</t>
  </si>
  <si>
    <t>244874-53T</t>
  </si>
  <si>
    <t>Seeker Entertainment</t>
  </si>
  <si>
    <t>539449-93</t>
  </si>
  <si>
    <t>1Up Ventures, Anthos Capital(Zachary Zaharis), BITKRAFT Ventures, Dreamhaven, Riot Games</t>
  </si>
  <si>
    <t>1Up Ventures (1upfund.com), Anthos Capital (www.anthoscapital.com), BITKRAFT Ventures (www.bitkraft.vc), Dreamhaven (www.dreamhaven.com), Riot Games (www.riotgames.com)</t>
  </si>
  <si>
    <t>Operator of a video game development studio intended to focus on creating high-quality online games. The company provides deep meaningful social play in kind and inclusive settings while offering skill-based mastery, enabling gamers to get a captivating walkthrough experience.</t>
  </si>
  <si>
    <t>The company raised $5.7 million of venture funding in a deal led by Anthos Capital on July 27, 2023, putting the company's pre-money valuation at $20 million. Dreamhaven, Riot Games, 1Up Ventures, and BITKRAFT Ventures also participated in the round.</t>
  </si>
  <si>
    <t>game development studio, gaming content, gaming developer, gaming publisher, gaming studio, multiplayer games, online gaming, video game developer</t>
  </si>
  <si>
    <t>373028-14P</t>
  </si>
  <si>
    <t>Oksana Kubushyna</t>
  </si>
  <si>
    <t>okubushyna@seekergames.com</t>
  </si>
  <si>
    <t>Ms. Oksana Kubushyna is a Co-Founder and serves as Chief Executive Officer &amp; Board Member at Seeker Entertainment. She spent the first 10 years of her career as a video game programmer and technical director with multiple games shipped. She also served 9 years at Riot Games as Head of Infrastructure, Head of Development for League Of Legends, and Head of Riot Platform.</t>
  </si>
  <si>
    <t>1Up Ventures, Anthos Capital, BITKRAFT Ventures, Dreamhaven, Riot Games</t>
  </si>
  <si>
    <t>Anthos Capital(Zachary Zaharis)</t>
  </si>
  <si>
    <t>1Up Ventures Fund II(1Up Ventures)</t>
  </si>
  <si>
    <t>www.seekergames.com</t>
  </si>
  <si>
    <t>234288-82T</t>
  </si>
  <si>
    <t>SeeMedX</t>
  </si>
  <si>
    <t>484092-37</t>
  </si>
  <si>
    <t>Arben Ventures</t>
  </si>
  <si>
    <t>Arben Ventures (www.arben.ventures)</t>
  </si>
  <si>
    <t>Provider of noninvasive monitors and telehealth devices intended to improve patient care. The company's devices are a wearable doctor reportable technology that makes noninvasive reimbursable accurate tests and scans to predict a heart attack or other problems in advance, with less risk of infection and at significantly lower costs, its patented methods facilitate medical practitioners to monitor the hemodynamics of patients faster and more accurately than current methods, enabling healthcare professionals to save lives, reduce healthcare costs and increase clinician revenue.</t>
  </si>
  <si>
    <t>The company joined Evolution Accelerator on an undisclosed date and received funding in the form of convertible debt.</t>
  </si>
  <si>
    <t>Other Software</t>
  </si>
  <si>
    <t>Other Healthcare Technology Systems, Other Software*</t>
  </si>
  <si>
    <t>HealthTech, Wearables &amp; Quantified Self</t>
  </si>
  <si>
    <t>heart failure, heart monitoring, medical devices, noninvasive device, noninvasive treatment, patient monitoring</t>
  </si>
  <si>
    <t>128772-10P</t>
  </si>
  <si>
    <t>Howard Edelman</t>
  </si>
  <si>
    <t>+1 (415) 517-0867</t>
  </si>
  <si>
    <t>hedelman@vahaticor.com</t>
  </si>
  <si>
    <t>Mr. Howard Edelman serves as Chief Executive Officer at VahatiCor. He serves as an Advisor at iDentical. Previously, he served as Chief Executive Officer at SeeMedX. Most recently, he served as General Manager at Cothera, a division of United Orthopedic Group, a global orthopedic company that provides medical devices and patient services in the secondary orthopedic market. Cothera was purchased by Breg in November of 2014. Mr. Edelman advises a variety of medical device and biotech companies and is an Expert Advisor with the California Life Sciences Association (BayBio), a mentor at the UCSF Lean Launchpad, and a coach at the Alchemist Accelerator. He is also a member of Life Science Angels, the premier angel investment group investing in medical devices, diagnostics, pharmaceuticals, biotechnology, and digital health. Previously, he was the Founder and CEO of VitalWear, a leader in thermal and compression therapy. In 2009, VitalWear was named on the INC 500 list of fastest-growing private companies and on the San Francisco Business Times Fast 100. In 2010, Medical Device &amp; Diagnostic Industry listed VitalWear as one of the top 50 medical device companies to watch. Mr. Edelman has served in management roles in firms such as Johnson &amp; Johnson, Zeiss, CooperVision, and Bio-Rad Laboratories and various startup companies in the Bay Area. Mr. Edelman sat on the Research Committee for the Juvenile Diabetes Research Foundation. Mr. Edelman holds a B.S. in Biomedical Engineering from Boston University.</t>
  </si>
  <si>
    <t>Boston University, BS (Bachelor of Science), Biomedical Engineering</t>
  </si>
  <si>
    <t>The company raised $6.51 million through a combination of Seed, Seed-1, and Seed-2 funding from undisclosed investors on August 22, 2023, putting the company's pre-money valuation at $123.49 million.</t>
  </si>
  <si>
    <t>89118</t>
  </si>
  <si>
    <t>www.seemedx.com</t>
  </si>
  <si>
    <t>Diagnosis, Radio direction-finding</t>
  </si>
  <si>
    <t>188705-35T</t>
  </si>
  <si>
    <t>Seer (San Francisco)</t>
  </si>
  <si>
    <t>463270-78</t>
  </si>
  <si>
    <t>Alarko Ventures, Decentralized VC, ESAS Ventures, Global Founders Capital(Donald Stalter), Immeasurable, Jonathan Ehrlich(Jonathan Ehrlich), Open Opportunity Fund, Pioneer Fund, Red Bike Capital</t>
  </si>
  <si>
    <t>Alarko Ventures (www.alarkoventures.com), Decentralized VC (www.joindvc.com), ESAS Ventures (www.esasventures.com), Global Founders Capital (www.globalfounderscapital.com), Immeasurable (www.immeasurable.com), Open Opportunity Fund (www.theopportunityfund.com), Pioneer Fund (www.pioneerfund.vc), Red Bike Capital (www.redbikecapital.com)</t>
  </si>
  <si>
    <t>Developer of a customer engagement platform designed to help retail salespeople sell more using email and short message service. The company's platform helps retail salespeople create and send personalized shoppable lookbooks to their customers via email and SMS, enabling luxury sales associates to drive sales and attract more customers.</t>
  </si>
  <si>
    <t>Red Bike Capital sold a stake in the company to an undisclosed buyer in approximately June 2023.</t>
  </si>
  <si>
    <t>business promoting, customer engagement, customer engagement platform, retail software developer, retail software platform, retail software system, sales software, sales software platform, software company</t>
  </si>
  <si>
    <t>257562-28P</t>
  </si>
  <si>
    <t>Christina Czap</t>
  </si>
  <si>
    <t>christina@helloseer.com</t>
  </si>
  <si>
    <t>Ms. Christina Czap is a Co-Founder and serves as Chief Executive Officer at Seer. Christina is a former Director at Vogue and top-grossing salesperson at Moda Operandi, Alexander McQueen, Prada, and other globally recognizable brands. The culmination of over 15 years in luxury retail, her intimate knowledge of the expectations of clients, the needs of sales associates, and the shortcomings of existing technologies inspired Seer.</t>
  </si>
  <si>
    <t>The company raised $2.3 million of seed funding from ESAS Ventures, Alarko Ventures, Global Founders Capital, and Pioneer Fund in March 17, 2021. Immeasurable and 4 other investors also participated in the round.</t>
  </si>
  <si>
    <t>Alarko Ventures, Decentralized VC, ESAS Ventures, Global Founders Capital, Immeasurable, Jonathan Ehrlich, Open Opportunity Fund, Pioneer Fund, Red Bike Capital</t>
  </si>
  <si>
    <t>Pioneer Fund II(Pioneer Fund)</t>
  </si>
  <si>
    <t>www.helloseer.com</t>
  </si>
  <si>
    <t>154969-12T</t>
  </si>
  <si>
    <t>Select Star</t>
  </si>
  <si>
    <t>438399-91</t>
  </si>
  <si>
    <t>Background Capital, Bowery Capital, Cardinia Ventures, Jeremy Yap(Jeremy Yap), Michael Li(Michael Li), Nick Caldwell(Nick Caldwell), Ryan Denehy(Ryan Denehy), Scott Belsky(Scott Belsky), Spencer Kimball(Spencer Kimball), TLC Collective</t>
  </si>
  <si>
    <t>Background Capital (background.vc), Bowery Capital (www.bowerycap.com), Cardinia Ventures (www.cardiniaventures.com), Nick Caldwell (nickcaldwell.com), Scott Belsky (www.scottbelsky.com), TLC Collective (tlccollective.space)</t>
  </si>
  <si>
    <t>Developer of a data catalog and management tool designed to solve data discovery problems inside organizations. The company's tool helps in understanding information and its related questions about its structure and being used for enterprises, enabling data scientists and business analysts to fetch the right insights in less time.</t>
  </si>
  <si>
    <t>The company raised $15 million of Series A venture funding in a deal led by Lightspeed Management Company on January 31, 2023, putting the company's pre-money valuation at $50 million. Bowery Capital and 7 other investors also participated in the round. The funds will be used to accelerate expanding business development efforts, helping to reach new customers and drive growth for the company.</t>
  </si>
  <si>
    <t>business intelligence, data analysis, data cataloguing, data discovery, data infrastructure, data quality tools, insights analysis, insights system, integration data, integration model</t>
  </si>
  <si>
    <t>106554-61P</t>
  </si>
  <si>
    <t>Shinji Kim</t>
  </si>
  <si>
    <t>+1 (415) 322-9653</t>
  </si>
  <si>
    <t>skim@getselectstar.com</t>
  </si>
  <si>
    <t>Ms. Shinji Kim is the Founder and serves as Chief Executive Officer and Board Member at Select Star. She co-founded and served as Chief Executive Officer at Concord Systems. She served as Chief Executive Officer at Harmony Systems.</t>
  </si>
  <si>
    <t>University of Waterloo, Bachelor's, 2010, Software Engineeriing</t>
  </si>
  <si>
    <t>The company raised $2.5 million of seed funding in a deal led by Bowery Capital on June 6, 2020, putting the company's pre-money valuation at $9 million. Background Capital, Cardinia Ventures, TLC Collective, and 6 individual investors also participated in the round. The funds will be used to grow the team and make it even easier to onboard users by the end of the year.</t>
  </si>
  <si>
    <t>Background Capital, Bowery Capital, Cardinia Ventures, Jeremy Yap, Michael Li, Nick Caldwell, Ryan Denehy, Scott Belsky, Spencer Kimball, TLC Collective</t>
  </si>
  <si>
    <t>Background Capital Fund I(Background Capital), Bowery Capital II(Bowery Capital)</t>
  </si>
  <si>
    <t>Acceleron Law Group (Legal Advisor to Company, Robert Dang JD)</t>
  </si>
  <si>
    <t>www.selectstar.com</t>
  </si>
  <si>
    <t>169512-67T</t>
  </si>
  <si>
    <t>Sequel (Business/Productivity Software)</t>
  </si>
  <si>
    <t>433807-66</t>
  </si>
  <si>
    <t>Bharati Balakrishnan(Bharati Balakrishnan), Great Oaks Venture Capital, Michael Montero(Michael Montero), Social Leverage, Struck Capital(Adam Struck), V1.vc, while Comcast</t>
  </si>
  <si>
    <t>Great Oaks Venture Capital (www.greatoaksvc.com), Social Leverage (www.socialleverage.com), Struck Capital (www.struckcapital.com), V1.vc (www.v1.vc)</t>
  </si>
  <si>
    <t>Developer of a live branding platform designed to power virtual connections, hybrid live events, and elevated networking. The company's platform helps to engage their audiences and elevate their experience via virtual one-to-one or group networking as well as permits people to build long-lasting meaningful relationships, enabling organizations to turn any website into a virtual stage with pre-built live event components.</t>
  </si>
  <si>
    <t>The company raised $8 million of Series A venture funding in a deal led by Javelin Venture Partners on August 24, 2022, putting the company's pre-money valuation at $20 million. Great Oaks Venture Capital and 7 other investors also participated in the round. The funds will be used to accelerate go-to-market strategies and grow the product and team.</t>
  </si>
  <si>
    <t>CloudTech &amp; DevOps, Marketing Tech, SaaS, TMT</t>
  </si>
  <si>
    <t>crm, customer relationship management, digital events, live streaming, live streaming platform, meeting scheduling software, networking hub, saas platform, video branding, virtual event</t>
  </si>
  <si>
    <t>Virtual Events</t>
  </si>
  <si>
    <t>226830-79P</t>
  </si>
  <si>
    <t>Oana Manolache</t>
  </si>
  <si>
    <t>+1 (470) 572-7449</t>
  </si>
  <si>
    <t>oana@introvoke.com</t>
  </si>
  <si>
    <t>Ms. Oana Manolache is a Co-Founder and serves as Chief Executive Officer and Board Member at Introvoke.</t>
  </si>
  <si>
    <t>The company raised $2.72 million of seed funding in a deal led by Struck Capital on March 20, 2021, putting the company's pre-money valuation at $5 million. while Comcast, Social Leverage, V1.vc, Great Oaks Venture Capital, Bharati Balakrishnan and Mike Montero also participated in the round. The funds will be used to power events that can be embedded anywhere.</t>
  </si>
  <si>
    <t>Bharati Balakrishnan, Great Oaks Venture Capital, Michael Montero, Social Leverage, Struck Capital, V1.vc, while Comcast</t>
  </si>
  <si>
    <t>Struck Capital(Adam Struck)</t>
  </si>
  <si>
    <t>Social Leverage Capital Fund III(Social Leverage), Struck Capital Fund II(Struck Capital), Three Oaks Venture Fund(Great Oaks Venture Capital), V1.vc Fund(V1.vc)</t>
  </si>
  <si>
    <t>Cooley (Legal Advisor to Company), Wilson Sonsini Goodrich &amp; Rosati (Legal Advisor to Struck Capital)</t>
  </si>
  <si>
    <t>Wilson Sonsini Goodrich &amp; Rosati (Legal Advisor to Struck Capital)</t>
  </si>
  <si>
    <t>95128</t>
  </si>
  <si>
    <t>www.sequel.io</t>
  </si>
  <si>
    <t>169066-09T</t>
  </si>
  <si>
    <t>Serenity</t>
  </si>
  <si>
    <t>436978-36</t>
  </si>
  <si>
    <t>Everywhere Ventures, Kokopelli Capital, York IE(Joe Raczka)</t>
  </si>
  <si>
    <t>Everywhere Ventures (everywhere.vc), Kokopelli Capital (www.kokopelli.vc), York IE (www.york.ie)</t>
  </si>
  <si>
    <t>Operator of a communication platform designed to connect senior care providers with each other and with the families of those they serve. The company's platform bridges the communication gaps across the senior care journey including senior living staff, key family members, home health, home care, hospice, doctors, and caregivers, enabling users to increase the quality of care, improve provider productivity, and reduce family anxiety.</t>
  </si>
  <si>
    <t>The company raised $930,000 of Seed-3 funding from 10X Venture Partners, Rines Angel Fund, and other undisclosed investors on June 28, 2023, putting the company's pre-money valuation at $6.07 million.</t>
  </si>
  <si>
    <t>aging population, assisted living, family caregivers, memory care, senior care, senior living, senior living care</t>
  </si>
  <si>
    <t>62704-00P</t>
  </si>
  <si>
    <t>Katherine Wells</t>
  </si>
  <si>
    <t>+1 (720) 515-8839</t>
  </si>
  <si>
    <t>katherine@serenityengage.com</t>
  </si>
  <si>
    <t>Ms. Katherine Wells is the Founder and serves as President, Chief Executive Officer &amp; Board Member at Serenity. She served as Vice President at TurnKey Solutions. She served as Vice President, Sales &amp; Marketing at Botanic. She also podcasts as Mavericks of Senior Living, with the aim to share innovation and forward-thinking in the industry. She is passionate about connecting people with innovative solutions and technology that solve a real problems. She brings 25 years of executive experience in marketing strategy, product management, and communications in software companies, and holds a Masters of Art in Psychology and a Masters of Business Administration.</t>
  </si>
  <si>
    <t>Fort Lewis College, BA (Bachelor of Arts), 1988, business and marketing, Regis University, MA (Master of Arts), 2013, Psychology, Regis University, MBA (Master of Business Administration), 2002, International Business</t>
  </si>
  <si>
    <t>The company raised $1.25 million through a combination of debt and Seed funding in a deal led by York IE on April 29, 2021, putting the company's pre-money valuation at $3 million. Kokopelli Capital and The Fund also participated in the round.</t>
  </si>
  <si>
    <t>Everywhere Ventures, Kokopelli Capital, York IE</t>
  </si>
  <si>
    <t>York IE(Joe Raczka)</t>
  </si>
  <si>
    <t>Everywhere Ventures I(Everywhere Ventures), YR Investments(York IE)</t>
  </si>
  <si>
    <t>Sparks Willson (Legal Advisor to Company, Ben Sparks JD)</t>
  </si>
  <si>
    <t>80203</t>
  </si>
  <si>
    <t>www.serenityconnect.com</t>
  </si>
  <si>
    <t>Other - $0.21M</t>
  </si>
  <si>
    <t>213507-64T</t>
  </si>
  <si>
    <t>Setuply</t>
  </si>
  <si>
    <t>512494-57</t>
  </si>
  <si>
    <t>True Blue Partners</t>
  </si>
  <si>
    <t>True Blue Partners (www.truebluepartners.com)</t>
  </si>
  <si>
    <t>Developer of a client onboarding automation platform intended to streamline data collection, and client engagement, and optimize onboarding capacity. The company's platform helps to eliminate the barriers between closing the deal and unlocking its potential by making the implementation process scalable, expanding team capacity, and allowing to refocus on profitability and business growth, enabling businesses to drive long-term success, reducing implementation costs, improve client and vendor initial experience, and help to re-focus on growth.</t>
  </si>
  <si>
    <t>The company was in talks to receive venture funding on an undisclosed date. Subsequently, the deal was cancelled. Previously, the company raised $3.5 million of venture funding in the form of SAFE notes from True Blue Partners and other undisclosed investors on November 1, 2022, putting the company's post-valuation at $18 million.</t>
  </si>
  <si>
    <t>client engagement platform, compliance process management, customer base engagement, data management tool, data staging, implementation software, onboarding software, project management ai, resource management tool</t>
  </si>
  <si>
    <t>100256-77P</t>
  </si>
  <si>
    <t>Rachel Lyubovitzky</t>
  </si>
  <si>
    <t>+1 (207) 803-6495</t>
  </si>
  <si>
    <t>rachel@setuply.com</t>
  </si>
  <si>
    <t>Ms. Rachel Lyubovitzky is a Co-Founder and serves as Chief Executive Officer and Chairwoman at Setuply. She co-founded and served as President, Chief Executive Officer, and Chairwoman at EverythingBenefits, a complete benefits administration platform. Previously she was co-founder of SaaShr, a SaaS Payroll, HR, and Timekeeping platform (currently UKG's WorkforceReady) and SeachFeed, a patent-holding ad tech company. Lyubovitzky is an accomplished serial entrepreneur with leadership experience that spans the full spectrum of strategic and tactical activities in the software technology industry. She holds a Wharton Executive MBA and Brandeis Computer Science degrees.</t>
  </si>
  <si>
    <t>Brandeis University, BA (Bachelor of Arts), 1998, Computer Science, Brandeis University, MA (Master of Arts), 1999, Computer Science, University of Pennsylvania (Wharton), Executive MBA, 2008, Business</t>
  </si>
  <si>
    <t>The company raised $3.5 million of venture funding in the form of SAFE notes from True Blue Partners and other undisclosed investors on November 1, 2022, putting the company's post-valuation at $18 million.</t>
  </si>
  <si>
    <t>True Blue Partners Venture Fund I(True Blue Partners)</t>
  </si>
  <si>
    <t>North Hampton, NH</t>
  </si>
  <si>
    <t>North Hampton</t>
  </si>
  <si>
    <t>03862</t>
  </si>
  <si>
    <t>www.setuply.com</t>
  </si>
  <si>
    <t>244258-66T</t>
  </si>
  <si>
    <t>Shader</t>
  </si>
  <si>
    <t>538990-12</t>
  </si>
  <si>
    <t>Betaworks, Differential Ventures, Greycroft, Mozilla Ventures, On Deck</t>
  </si>
  <si>
    <t>Betaworks (www.betaworks.com), Differential Ventures (www.differential.vc), Greycroft (www.greycroft.com), Mozilla Ventures (www.mozilla.vc), On Deck (www.beondeck.com)</t>
  </si>
  <si>
    <t>Developer of AR technology intended to allow users to create their digital identity with voice and speech recognition. The company's technology provides voice AR creation as a new option to generate a unique experience on smartphones, enabling users to interact with and create AR, even if they are no-code users.</t>
  </si>
  <si>
    <t>The company raised an $580,000 of venture funding from Mozilla Ventures, Greycroft and Differential Ventures in approximately October 2023. Betaworks and On Deck also participated in the round.</t>
  </si>
  <si>
    <t>Application Software, Entertainment Software, Multimedia and Design Software*</t>
  </si>
  <si>
    <t>Artificial Intelligence &amp; Machine Learning, Augmented Reality</t>
  </si>
  <si>
    <t>ar creation tools, ar technology, digital identity, digital media, speech recognition, voice creation software</t>
  </si>
  <si>
    <t>371874-52P</t>
  </si>
  <si>
    <t>Chris Rojas</t>
  </si>
  <si>
    <t>Mr. Chris Rojas serves as Advisor at Shader. Mr. Rojas co-founded and serves as Chief Technology Officer at Shader.</t>
  </si>
  <si>
    <t>Degree, 2023, Project Managment, Degree, Computer Animation, Degree, Economics, Psychology, Degree, Electronics, Networking, Full Sail University, Degree, Computer Animation</t>
  </si>
  <si>
    <t>www.shaderapp.com</t>
  </si>
  <si>
    <t>189549-91T</t>
  </si>
  <si>
    <t>Shappi</t>
  </si>
  <si>
    <t>465648-94</t>
  </si>
  <si>
    <t>Brickyard, Gaingels, Iterative Accelerator, Lightspeed Venture Partners, Lolita Taub(Lolita Taub), Sixers Innovation Lab, Tina Fitch(Tina Fitch), Westbound Equity Partners</t>
  </si>
  <si>
    <t>Brickyard (www.justlaybrick.com), Gaingels (www.gaingels.com), Iterative Accelerator (www.iterative.vc), Lightspeed Venture Partners (www.lsvp.com), Sixers Innovation Lab (www.sixersinnovationlab.com), Westbound Equity Partners (www.westboundequity.com)</t>
  </si>
  <si>
    <t>Operator of an automated shipping platform intended to connect shoppers with travelers to deliver products by renting the traveler's unused luggage space. The company's platform lets users rent the extra space in a traveler's suitcase and automatically assigns and connects to a verified traveler who provides a shipping address for them to purchase the product directly from the online store, enabling users to ship any goods by saving traditional shipping costs.</t>
  </si>
  <si>
    <t>The company raised an undisclosed amount of venture funding from BAMco Enterprises in approximately October 2024.</t>
  </si>
  <si>
    <t>Application Software, Logistics, Other Services (B2C Non-Financial)*</t>
  </si>
  <si>
    <t>E-Commerce, Mobile, TMT</t>
  </si>
  <si>
    <t>automated shipping, automated shipping platform, delivery service, international logistics, logistics firm, shipping platform</t>
  </si>
  <si>
    <t>261349-30P</t>
  </si>
  <si>
    <t>Karla Valdivieso</t>
  </si>
  <si>
    <t>+1 (213) 241-9282</t>
  </si>
  <si>
    <t>k.valdivieso@shappi.com</t>
  </si>
  <si>
    <t>Ms. Karla Valdivieso is the Founder and serves as Chief Executive Officer and Board Member at Shappi.</t>
  </si>
  <si>
    <t>The company raised $1 million of seed funding in a deal led by Sixers Innovation Lab on October 18, 2021. Iterative Accelerator and 6 other investors also participated in the round.</t>
  </si>
  <si>
    <t>Brickyard, Gaingels, Iterative Accelerator, Lightspeed Venture Partners, Lolita Taub, Sixers Innovation Lab, Tina Fitch, Westbound Equity Partners</t>
  </si>
  <si>
    <t>Sixers Innovation Lab</t>
  </si>
  <si>
    <t>Brickyard Pilot Fund(Brickyard), Concrete Rose Fund(Westbound Equity Partners), Lightspeed Venture Partners XII(Lightspeed Venture Partners), Sixers Innovation Lab Fund I(Sixers Innovation Lab)</t>
  </si>
  <si>
    <t>92626</t>
  </si>
  <si>
    <t>www.shappi.com</t>
  </si>
  <si>
    <t>188791-48T</t>
  </si>
  <si>
    <t>She Matters</t>
  </si>
  <si>
    <t>437487-13</t>
  </si>
  <si>
    <t>Chingona Ventures, Emmeline Ventures, Everywhere Ventures, NYU Entrepreneurial Institute, Oxeon Partners, StartUp Health, Techstars</t>
  </si>
  <si>
    <t>Chingona Ventures (chingona.ventures), Emmeline Ventures (www.emmelineventures.vc), Everywhere Ventures (everywhere.vc), NYU Entrepreneurial Institute (entrepreneur.nyu.edu/resource/innovation-venture-fund), Oxeon Partners (www.oxeon.com), StartUp Health (www.startuphealth.com), Techstars (www.techstars.com)</t>
  </si>
  <si>
    <t>Developer of a digital health platform designed to support postpartum women who experience anxiety and depression. The company's platform provides a safe space to share individual mental wellness journeys by participating in events and accessing culturally competent therapists and wellness professionals, enabling women to improve their mental wellness by overcoming depression in daily life.</t>
  </si>
  <si>
    <t>The company raised $2 million of seed funding from the American Heart Association, Everywhere Ventures, and The Social Entrepreneurs Fund on February 20, 2024. Initially, Out of the total amount $850,000 was raised in the form of SAFE notes, which subsequently, got converted to equity. The funds will be used to launch the company's Symptom Tracker app and expand its Cultural Competence Certification program for providers.</t>
  </si>
  <si>
    <t>Digital Health, HealthTech, Mobile</t>
  </si>
  <si>
    <t>anxiety care, anxiety therapy, depression cure, fitness tools, social media community, wellness tools</t>
  </si>
  <si>
    <t>236456-92P</t>
  </si>
  <si>
    <t>Jade Kearney</t>
  </si>
  <si>
    <t>+1 (917) 679-6369</t>
  </si>
  <si>
    <t>jade@shematters.io</t>
  </si>
  <si>
    <t>Ms. Jade Kearney is a Co-Founder and serves as Chief Executive Officer at She Matters. She founded She Matters after her battle with postpartum anxiety and depression. Through her challenges with family and navigating the healthcare system, she quickly realized that Black mamas' interactions within the Black community and the healthcare system negates our mental health. She is determined to make cultural competency a priority in the maternal mental healthcare space and change the cultural stigma around mental health for Black women by providing a community where Black mamas feel both seen and heard.</t>
  </si>
  <si>
    <t>The company raised $2 million of seed funding from Chingona Ventures, Everywhere Ventures, and Oxeon Partners on April 29, 2022. Emmeline Ventures, StartUp Health, The Fund, NYU Entrepreneurial Institute, and Techstars also participated in the round. The funds will be used to address medical neglect and black maternal morbidity in the United States.</t>
  </si>
  <si>
    <t>Chingona Ventures, Emmeline Ventures, Everywhere Ventures, Oxeon Partners, StartUp Health</t>
  </si>
  <si>
    <t>NYU Entrepreneurial Institute, Techstars</t>
  </si>
  <si>
    <t>Emmeline Ventures Fund I(Emmeline Ventures)</t>
  </si>
  <si>
    <t>10031</t>
  </si>
  <si>
    <t>www.shematters.health</t>
  </si>
  <si>
    <t>247747-78T</t>
  </si>
  <si>
    <t>Shelpful</t>
  </si>
  <si>
    <t>544229-29</t>
  </si>
  <si>
    <t>Apollo Projects(Sam Altman)</t>
  </si>
  <si>
    <t>Apollo Projects (www.apolloprojects.com)</t>
  </si>
  <si>
    <t>Provider of an accountability buddy service intended to help users stick to any goal or habit that is important to them. The company offers a unique service where users can text with their dedication to work through roadblocks, enabling people to create habits, and ultimately meet their goals.</t>
  </si>
  <si>
    <t>The company raised $3 million of venture funding from Apollo Projects on December 15, 2023. The funds will be used to support people in their pursuits, and stick with important habits for their health, happiness and self-care.</t>
  </si>
  <si>
    <t>Application Software, Information Services (B2C), Other Healthcare Services, Other Services (B2C Non-Financial)*</t>
  </si>
  <si>
    <t>accountability system, buddy search, commitment program, habit change, habits training, healthy habits</t>
  </si>
  <si>
    <t>90852-22P</t>
  </si>
  <si>
    <t>Sharon Pope</t>
  </si>
  <si>
    <t>+1 (949) 806-1446</t>
  </si>
  <si>
    <t>sharon@shelpful.com</t>
  </si>
  <si>
    <t>Ms. Sharon Pope is a Co-Founder and serves as Chief Executive Officer at Shelpful. She served as the Chief Marketing Officer at Green Dot. Prior to that, she served as a Head of Marketing &amp; PR at Loopt.</t>
  </si>
  <si>
    <t>University of Oregon, Eugene, BA (Bachelor of Arts), Journalism, University of Salamanca, Degree, Spanish</t>
  </si>
  <si>
    <t>Apollo Projects</t>
  </si>
  <si>
    <t>www.shelpful.com</t>
  </si>
  <si>
    <t>185511-79T</t>
  </si>
  <si>
    <t>Shifty</t>
  </si>
  <si>
    <t>489306-61</t>
  </si>
  <si>
    <t>CitySide Ventures, David Tessler(David Tessler)</t>
  </si>
  <si>
    <t>CitySide Ventures (www.citysideventures.com)</t>
  </si>
  <si>
    <t>Developer of a mobile training software application intended to ease the burden of training service workers. The company's application provides preparation notes, in-training checklists, and after-training study tools, prepares bartenders with long-term retention, and prepares the trainees for a final exam, enabling restaurants to upgrade traditional tag-along instruction with an interactive platform.</t>
  </si>
  <si>
    <t>The company raised $220,000 of pre-seed funding from CitySide Ventures, David Tessler and other undisclosed investors on December 15, 2021.</t>
  </si>
  <si>
    <t>Application Software, Education and Training Services (B2B), Educational Software*</t>
  </si>
  <si>
    <t>communication app, gamified training platform, mobile training platform, restaurant training services, training application, training program, web based application</t>
  </si>
  <si>
    <t>286115-23P</t>
  </si>
  <si>
    <t>Beth Hussey</t>
  </si>
  <si>
    <t>+1 (248) 780-2552</t>
  </si>
  <si>
    <t>beth@hrd.kitchen</t>
  </si>
  <si>
    <t>Ms. Beth Hussey is a Co-Founder and serves as Co-Owner and serves as Chief Executive Officer at Shifty.</t>
  </si>
  <si>
    <t>CitySide Ventures, David Tessler</t>
  </si>
  <si>
    <t>Birmingham Angels Fund(CitySide Ventures)</t>
  </si>
  <si>
    <t>Birmingham, MI</t>
  </si>
  <si>
    <t>48009</t>
  </si>
  <si>
    <t>www.shiftyinc.com</t>
  </si>
  <si>
    <t>202480-39T</t>
  </si>
  <si>
    <t>ShopDot</t>
  </si>
  <si>
    <t>503693-20</t>
  </si>
  <si>
    <t>Kickstart Fund(Kristin Gonzales), Next Frontier Capital(Les Craig), SaaS Ventures</t>
  </si>
  <si>
    <t>Kickstart Fund (www.kickstartfund.com), Next Frontier Capital (www.nextfrontiercapital.com), SaaS Ventures (www.saasventurecapital.com)</t>
  </si>
  <si>
    <t>Developer of inventory management platform intended to create a coalition between retailers and brand suppliers. The company's platform integrates with stores to scale their product offerings beyond the physical constraints or on-hand inventory and creates a digitized supply-chain network between brands and retailers, enabling retailers to access on-demand inventory without operational hassle or inventory risk.</t>
  </si>
  <si>
    <t>The company raised an undisclosed amount of seed funding from The Fund on February 28, 2023. Previously, the company raised $1.59 million of seed funding from Kickstart Seed , SaaS Ventures Fund and Next Frontier Capital on August 17, 2022.</t>
  </si>
  <si>
    <t>Business/Productivity Software*, Internet Retail</t>
  </si>
  <si>
    <t>digital connectivity platform, ecommerce inventory management, ecommerce platform, inventory management, management platform, management platform developer, managing product, product information &amp; inventory management, product information and inventory management, retailers marketplace</t>
  </si>
  <si>
    <t>313840-09P</t>
  </si>
  <si>
    <t>Michelle Huie</t>
  </si>
  <si>
    <t>+1 (406) 830-3178</t>
  </si>
  <si>
    <t>Ms. Michelle Huie is the Founder &amp; serves as Chief Executive Officer at ShopDot. He is the Founder of VIM &amp; VIGR.</t>
  </si>
  <si>
    <t>Degree, Economics, Northwestern University (Kellogg), MBA (Master of Business Administration), Marketing, Entrepreneurship &amp; Innovation, University of Chicago, BA (Bachelor of Arts), Economics</t>
  </si>
  <si>
    <t>The company raised $1.59 million of seed funding from Kickstart Seed , SaaS Ventures Fund and Next Frontier Capital on August 17, 2022.</t>
  </si>
  <si>
    <t>Kickstart Fund, Next Frontier Capital, SaaS Ventures</t>
  </si>
  <si>
    <t>Kickstart Seed Fund VI(Kickstart Fund), Next Frontier Venture Fund III(Next Frontier Capital), SaaS Ventures II(SaaS Ventures)</t>
  </si>
  <si>
    <t>59801</t>
  </si>
  <si>
    <t>shopdotapp.com</t>
  </si>
  <si>
    <t>166279-15T</t>
  </si>
  <si>
    <t>ShuffleMe</t>
  </si>
  <si>
    <t>459793-09</t>
  </si>
  <si>
    <t>Elevate Ventures(Landon Young)</t>
  </si>
  <si>
    <t>Developer of an AI-enabled predictive platform designed to help social media users track the impact of social media content on their mental health. The company's platform automatically tracks social media activity and facial expressions to determine the current mood state of a person, providing mental health practitioners with data-driven recommendations to improve early intervention and treatment.</t>
  </si>
  <si>
    <t>The company joined National Science Foundation Innovation Corps Program Summer 2021 in June 2021.</t>
  </si>
  <si>
    <t>ai software, digital health, mood detection, mood tracker, mood tracking, predictive analysis, sentiment analysis</t>
  </si>
  <si>
    <t>252666-19P</t>
  </si>
  <si>
    <t>Britain Taylor</t>
  </si>
  <si>
    <t>Ms. Britain Taylor is the Founder &amp; serves as Chief Executive Officer at ShuffleMe.</t>
  </si>
  <si>
    <t>The company raised $20,000 of Series 1 seed funding from Elevate Ventures on December 8, 2020.</t>
  </si>
  <si>
    <t>www.shuffleme.app</t>
  </si>
  <si>
    <t>166036-96T</t>
  </si>
  <si>
    <t>SightX</t>
  </si>
  <si>
    <t>343519-12</t>
  </si>
  <si>
    <t>Apollo Intelligence, Baleon Capital, Scout Ventures</t>
  </si>
  <si>
    <t>Apollo Intelligence (www.apollointelligence.net), Baleon Capital (www.baleoncapital.com), Scout Ventures (www.scout.vc)</t>
  </si>
  <si>
    <t>Developer of consumer intelligence software designed to transform the way marketing, branding, and product teams work. The company's platform automatically develops customer personas, engages with surveys via e-mail, text, and social media, and assists in knowing the values, lifestyles, motivations, and preferences, enabling marketers and consumer insights professionals to understand the emotional, cognitive, and behavioral insights of consumers so that they can focus on the strategic insights about business and grow with data-driven decisions.</t>
  </si>
  <si>
    <t>The company joined NYU Summer Launchpad on an undisclosed date.</t>
  </si>
  <si>
    <t>consumer behavior, consumer insights platform, consumer segmentations, go to market solutions, growth platform, market research platform, sentiment analysis platform, vertical application</t>
  </si>
  <si>
    <t>216825-94P</t>
  </si>
  <si>
    <t>Timothy Lawton</t>
  </si>
  <si>
    <t>+1 (917) 397-0454</t>
  </si>
  <si>
    <t>tim@sightx.io</t>
  </si>
  <si>
    <t>Mr. Timothy Lawton is a Co-Founder and serves as Co-Chief Executive Officer, President &amp; Board Member at SightX. After serving as an active-duty Army infantry officer he received his MBA from the MIT Sloan School of Management and went on to work on Wall Street. His experience includes merger and acquisition transactions, financings and sales. Part of his experience on Wall Street was in a sales role for an innovative enterprise trading platform.</t>
  </si>
  <si>
    <t>MIT (Sloan), MBA (Master of Business Administration)</t>
  </si>
  <si>
    <t>The company raised $6.84 million of seed funding in a deal led by Scout Ventures on February 1, 2021, putting the company's pre-money valuation at $9 million. Apollo Intelligence, Baleon Capital, and other undisclosed investors also participated in the round.</t>
  </si>
  <si>
    <t>Scout Ventures</t>
  </si>
  <si>
    <t>Baleon Capital Fund I(Baleon Capital)</t>
  </si>
  <si>
    <t>Freshfields Bruckhaus Deringer (Legal Advisor to Company)</t>
  </si>
  <si>
    <t>www.sightx.io</t>
  </si>
  <si>
    <t>228056-77T</t>
  </si>
  <si>
    <t>Sign-Speak</t>
  </si>
  <si>
    <t>484529-05</t>
  </si>
  <si>
    <t>Women Who Tech</t>
  </si>
  <si>
    <t>Women Who Tech (womenwhotech.org)</t>
  </si>
  <si>
    <t>Developer of a translation and language software designed to translate sign language into the spoken word in real time. The company's application utilizes artificial intelligence and machine learning to translate American sign language to text and voice to text easily, enabling deaf people with hearing impairments to communicate by recognizing gestures and displays.</t>
  </si>
  <si>
    <t>The company joined Comcast NBCUniversal LIFT Labs on an undisclosed date. No equity or funding was exchanged as a result of this program.</t>
  </si>
  <si>
    <t>access service, accessibility technology, language translation, machine learning data, natural language technology, sign language software</t>
  </si>
  <si>
    <t>283985-65P</t>
  </si>
  <si>
    <t>Yamillet Payano</t>
  </si>
  <si>
    <t>+1 (347) 373-1040</t>
  </si>
  <si>
    <t>yamillet_payano@sign-speak.com</t>
  </si>
  <si>
    <t>Ms. Yamillet Payano is a Co-Founder and serves as Chief Executive Officer at Sign-Speak. Yamillet (Yami) Payano is a first-generation Afro-Latina. Currently she is developing the go-to-market strategy, fundraising efforts, and has written technical and business domain documentation for Sign-Speak. Her technical expertise spans a variety of domains, including data based statistical system and data science. Yami is passionate about Diversity and Inclusion, not just from the lens of race and gender but also from the lens of accessibility.</t>
  </si>
  <si>
    <t>American University, BS (Bachelor of Science), Economics &amp; Mathematics</t>
  </si>
  <si>
    <t>The company raised $250,000 of seed funding from Women Who Tech and other undisclosed investors on April 22, 2021, putting the company's post-valuation at $3 million.</t>
  </si>
  <si>
    <t>www.sign-speak.com</t>
  </si>
  <si>
    <t>Electric digital data processing, Image data processing or generation, in general</t>
  </si>
  <si>
    <t>192340-81T</t>
  </si>
  <si>
    <t>Sika Health</t>
  </si>
  <si>
    <t>481553-56</t>
  </si>
  <si>
    <t>Atacama Ventures, Forerunner Ventures(Brian O'Malley), One Planet Group, Pacific Health Ventures, Prime Set, Shine Capital, Socially Financed, Ulu Ventures, William Hockey(William Hockey)</t>
  </si>
  <si>
    <t>Atacama Ventures (www.atacamaventures.com), Forerunner Ventures (www.forerunnerventures.com), One Planet Group (www.oneplanetgroup.com), Pacific Health Ventures (www.pac.vc), Prime Set (www.primeset.com), Shine Capital (www.shine.vc), Socially Financed (www.sociallyfinanced.com), Ulu Ventures (www.uluventures.com)</t>
  </si>
  <si>
    <t>Developer of a payment technology designed to unlock savings with health wallets. The company's technology partners with health and wellness brands and converts new customers by discovering and qualifying them for wallet purchases at the point of sale, with no risk of cart abandonment, enabling consumers to use their health benefits accounts in ways that are personally relevant and impactful as they continue their long-term health journey.</t>
  </si>
  <si>
    <t>The company raised $6.2 million of seed funding in a deal led by Forerunner Ventures on January 4, 2022, putting the company's pre-money valuation at $13.8 million. Shine Capital and 8 other investors also participated in the round.</t>
  </si>
  <si>
    <t>crm, customer relationship management, enterprise payment, fintech platform, health wallets, payment, payment analysis, payment platform, payment technology, payment transaction, payments processing, pos</t>
  </si>
  <si>
    <t>298484-29P</t>
  </si>
  <si>
    <t>Ami Kumordzie</t>
  </si>
  <si>
    <t>+1 (650) 988-8500</t>
  </si>
  <si>
    <t>ami.kumordzie@sikahealth.com</t>
  </si>
  <si>
    <t>Ms. Ami Kumordzie is the Founder &amp; serves as Chief Evangelist and Board Member at Sika Health. She served as Chief Executive Officer at Sika Health.</t>
  </si>
  <si>
    <t>The company raised $6.2 million of seed funding in a deal led by Forerunner Ventures on January 4, 2022, putting the company's pre-money valuation at $13.8 million. Shine Capital, Ulu Ventures, Atacama Ventures, Pacific Health Ventures, One Planet Group, Socially Financed, Prime Set, Matt Prusak and William Hockey also participated in the round.</t>
  </si>
  <si>
    <t>Atacama Ventures, Forerunner Ventures, One Planet Group, Pacific Health Ventures, Prime Set, Shine Capital, Socially Financed, Ulu Ventures, William Hockey</t>
  </si>
  <si>
    <t>Forerunner Ventures(Brian O'Malley)</t>
  </si>
  <si>
    <t>Forerunner Partners V(Forerunner Ventures), Shine Capital I(Shine Capital), Ulu Ventures Fund III(Ulu Ventures)</t>
  </si>
  <si>
    <t>Cooley (Legal Advisor to Forerunner Ventures), Fenwick &amp; West (Legal Advisor to Company), Gunderson Dettmer (Legal Advisor to Shine Capital)</t>
  </si>
  <si>
    <t>Cooley (Legal Advisor to Forerunner Ventures), Gunderson Dettmer (Legal Advisor to Shine Capital)</t>
  </si>
  <si>
    <t>10035</t>
  </si>
  <si>
    <t>www.sikahealth.com</t>
  </si>
  <si>
    <t>206371-18T</t>
  </si>
  <si>
    <t>SilkChart</t>
  </si>
  <si>
    <t>501578-38</t>
  </si>
  <si>
    <t>Amino Capital, Anne Raimondi(Anne Raimondi), Asymmetric Capital Partners, Dentsu Group (TKS: 4324), GarageCapital, Global Founders Capital, Harlem Capital, Kevin Moore(Kevin Moore), Open Opportunity Fund, Phoenix Investment Club (San Francisco), SoftBank Group (TKS: 9984)(Benjamin Lizana), Y Combinator</t>
  </si>
  <si>
    <t>Amino Capital (www.aminocapital.com), Asymmetric Capital Partners (acp.vc), Dentsu Group (TKS: 4324) (www.group.dentsu.com), GarageCapital (www.garage.vc), Global Founders Capital (www.globalfounderscapital.com), Harlem Capital (harlem.capital), Kevin Moore (www.agileangel.com), Open Opportunity Fund (www.theopportunityfund.com), Phoenix Investment Club (San Francisco) (www.phoenixclub.vc), SoftBank Group (TKS: 9984) (www.group.softbank), Y Combinator (www.ycombinator.com)</t>
  </si>
  <si>
    <t>Developer of a business product analysis platform designed to turn product data into revenue growth. The company's platform offers a no-code analytics tool that combines marketing and product usage data to identify channels, audiences, and content about a product or business, enabling growth teams to improve campaigns without relying on expensive data scientists.</t>
  </si>
  <si>
    <t>The company raised $5.2 million of seed funding from SoftBank Group, Dentsu Group, and Global Founders Capital in approximately December 2022. Amino Capital and 8 other investors also participated in the round. The funds will be used to accelerate its growth in three key areas: expanding product capabilities, hiring technical talent, and expanding its enterprise offering. Previously, the company joined Y Combinator as a part of S22 Batch in 2022 and received $500,000 in funding, putting the company's pre-money valuation at $7.14 million. The funding was originally raised in the form of SAFE notes and subsequently converted to equity.</t>
  </si>
  <si>
    <t>analytics tool provider, crm, customer relationship management, learning model, marketing performance analysis, performance metrics, product analysis, sales coaching</t>
  </si>
  <si>
    <t>264752-83P</t>
  </si>
  <si>
    <t>Andreea Francis</t>
  </si>
  <si>
    <t>andreea@silkchart.com</t>
  </si>
  <si>
    <t>Ms. Andreea Francis is a Co-Founder and serves as Chief Executive Officer at SilkChart.</t>
  </si>
  <si>
    <t>The company raised $5.2 million of seed funding from Dentsu Group, Open Opportunity Fund, and Global Founders Capital on December 1, 2022. Amino Capital, Phoenix Investment Club, GarageCapital, Harlem Capital, Asymmetric Capital Partners, Y Combinator, Anne Raimondi, Kevin Moore, and SoftBank Group also participated in the round. The funds will be used to accelerate its growth in three key areas: expanding product capabilities, hiring technical talent, and expanding its enterprise offering.</t>
  </si>
  <si>
    <t>Amino Capital, Anne Raimondi, Asymmetric Capital Partners, Dentsu Group, GarageCapital, Global Founders Capital, Harlem Capital, Kevin Moore, Open Opportunity Fund, Phoenix Investment Club (San Francisco), SoftBank Group</t>
  </si>
  <si>
    <t>Harlem Capital Partners Venture Fund II(Harlem Capital)</t>
  </si>
  <si>
    <t>Brown Rudnick (Legal Advisor to Harlem Capital)</t>
  </si>
  <si>
    <t>www.silkchart.com</t>
  </si>
  <si>
    <t>168909-58T</t>
  </si>
  <si>
    <t>Sivo</t>
  </si>
  <si>
    <t>459548-02</t>
  </si>
  <si>
    <t>Andre Charoo(Andre Charoo), Atypical Ventures, Dash Fund, Day One Ventures, Maple VC, NordStar Capital, Riverside Ventures, Side Door Ventures, Tribe Capital</t>
  </si>
  <si>
    <t>Atypical Ventures (www.atypical.com), Dash Fund (www.dashfund.co), Day One Ventures (dayoneventures.com), Maple VC (www.maplevc.com), NordStar Capital (www.nordstarcapital.ca), Riverside Ventures (www.riversideventures.com), Side Door Ventures (www.sdv.vc), Tribe Capital (www.tribecap.co)</t>
  </si>
  <si>
    <t>Operator of the financial technology platform intended to offer risk scoring and debt funding for companies. The company's platform provides rapid access to debt, pushes the boundaries of risk innovation, and bridges the gap to financial inclusion, enabling fintech, neo banks, and gig platforms to lend money to their users at scale.</t>
  </si>
  <si>
    <t>The company raised an undisclosed amount of Series A venture funding from Think +, Bali Venture Partners and VentureSouq on December 6, 2021. Nordstar Partners and 4 other investors also participated in the round.</t>
  </si>
  <si>
    <t>Financial Software, Other Financial Services*, Private Equity</t>
  </si>
  <si>
    <t>debt capital, debt funding, financial inclusion, financial innovation, financial services, financial services infrastructure, risk scoring</t>
  </si>
  <si>
    <t>252118-09P</t>
  </si>
  <si>
    <t>Daniela Conejo</t>
  </si>
  <si>
    <t>dani@holasivo.com</t>
  </si>
  <si>
    <t>Ms. Daniela Conejo is a Co-Founder and serves as Co-Chief Product Officer &amp; CXO at Sivo.</t>
  </si>
  <si>
    <t>The company raised $5 million of Series 1 seed funding from Side Door Ventures, Tribe Capital and Riverside Ventures on March 21, 2021, putting the company's pre-money valuation at $95 million. Maple VC, Dash Fund, Day One Ventures, Atypical Ventures, Andre Charoo and NordStar Capital also participated in the round.</t>
  </si>
  <si>
    <t>Andre Charoo, Atypical Ventures, Dash Fund, Day One Ventures, Maple VC, NordStar Capital, Riverside Ventures, Side Door Ventures, Tribe Capital</t>
  </si>
  <si>
    <t>www.sivo.com</t>
  </si>
  <si>
    <t>188394-49T</t>
  </si>
  <si>
    <t>Sky Peak Technologies</t>
  </si>
  <si>
    <t>491592-61</t>
  </si>
  <si>
    <t>Greater Colorado Venture Fund</t>
  </si>
  <si>
    <t>Greater Colorado Venture Fund (www.greatercolorado.vc)</t>
  </si>
  <si>
    <t>Developer of a data-intensive mobile content optimization technology intended for mobile operators. The company specializes in content optimization and routing algorithms and optimizes streaming video content being delivered specifically to connected smartphones, by enabling the phone to request rightsized data for its form factor, data plan, network constraints, CORA mobile edge data usage, and the demands on bandwidth, enabling users to shape the content before it is transmitted to the device and save significant money on their data costs.</t>
  </si>
  <si>
    <t>The company raised an undisclosed amount of venture funding in the form of convertible debt in March 2024.</t>
  </si>
  <si>
    <t>content optimization, data transmission, mobile operator, mobile traffic management, routing algorithm, satellite data, streaming video</t>
  </si>
  <si>
    <t>291547-63P</t>
  </si>
  <si>
    <t>Cat Coughran</t>
  </si>
  <si>
    <t>Ms. Cat Coughran is a Co-Founder and serves as Chief Executive Officer &amp; CMO at Sky Peak Technologies. Cat's extensive career in marketing, sales, and business development range from start-ups to Fortune 100 companies. Strong in both B2B and B2C marketing and sales strategies, she has a track record of adapting quickly to new market opportunities and a knack for identifying and leveraging disruption. Cat has directed several multi-million-dollar marketing and sales organizations as well as built and sold an experiential/new media marketing agency. Cat has also developed flexible sales and marketing processes that are used by many global organizations to systematically and quickly gain traction with stakeholders and customers. Cat has an educational background in mass communications and theatre, and a real-world business education from being a serial entrepreneur, working with business incubators and learning from highly successful mentors.</t>
  </si>
  <si>
    <t>The company raised $734,000 through a combination of Seed-1 and Seed-2 funding in a deal led by Greater Colorado Venture Fund in approximately November 2021. Other undisclosed investors also participated in the round. The funds will be used for product development and marketing.</t>
  </si>
  <si>
    <t>Greater Colorado Venture Fund I(Greater Colorado Venture Fund)</t>
  </si>
  <si>
    <t>Grand Junction, CO</t>
  </si>
  <si>
    <t>Grand Junction</t>
  </si>
  <si>
    <t>81505</t>
  </si>
  <si>
    <t>www.skypeaktechnologies.com</t>
  </si>
  <si>
    <t>169419-07T</t>
  </si>
  <si>
    <t>SkySquad</t>
  </si>
  <si>
    <t>463460-68</t>
  </si>
  <si>
    <t>Elevate Capital, TEDCO(Jack Miner)</t>
  </si>
  <si>
    <t>Elevate Capital (www.elevate.vc), TEDCO (www.tedcomd.com)</t>
  </si>
  <si>
    <t>Developer of an airport assistance platform designed to connect travelers with airport employees to provide a helping hand at the airport. The company's platform provides families, seniors and others with a helping hand from car door to plane door, enabling clients to get a hassle-free check-in and check-out at airports.</t>
  </si>
  <si>
    <t>The company raised $1 million of seed funding in a deal led by Elevate Capital on June 7, 2022. 1219 Capital, TEDCO and Citrine Angels also participated in the round.</t>
  </si>
  <si>
    <t>airport agency, airport assistance, airport assistance platform, online airport assistance, ticketing reselling, travel experience books, travel experience platform</t>
  </si>
  <si>
    <t>258011-02P</t>
  </si>
  <si>
    <t>Julie Melnick</t>
  </si>
  <si>
    <t>+1 (877) 359-2256</t>
  </si>
  <si>
    <t>julie@theskysquad.com</t>
  </si>
  <si>
    <t>Ms. Julie Melnick is a Co-Founder and serves as Chief Executive Officer at SkySquad. She has over 15 years of public relations, marketing, and business experience. She served as the Marketing Director for Coldwell Banker Orange County, CA where she assisted in the rollout of their tech products. She founded and developed Nanny in the Clouds, and was a partner at Standout Public Relations. Julie has over 20 years of public relations, marketing, and business experience. She served as the Marketing Director for Coldwell Banker Orange County, CA where she assisted in the rollout of their tech products. She founded and developed Nanny in the Clouds, and was a partner at Standout Public Relations.</t>
  </si>
  <si>
    <t>The company raised $500,000 of venture funding in the form of convertible debt from Elevate Capital and TEDCO on December 29, 2021, putting the company's pre-money valuation at $4.2 million. Originally, the funding was raised in the form of convertibles debt subsequently converted into equity. The company intends to use the finding for improving travel experiences for everyone who would avail themselves of their service.</t>
  </si>
  <si>
    <t>Elevate Capital, TEDCO</t>
  </si>
  <si>
    <t>Elevate Capital Fund II(Elevate Capital), TEDCO Seed Investment Fund(TEDCO)</t>
  </si>
  <si>
    <t>20827</t>
  </si>
  <si>
    <t>www.skysquad.com</t>
  </si>
  <si>
    <t>Bridge Loan - $0.20M (Convertible)</t>
  </si>
  <si>
    <t>193979-62T</t>
  </si>
  <si>
    <t>Sliceup</t>
  </si>
  <si>
    <t>266702-41</t>
  </si>
  <si>
    <t>Array Ventures</t>
  </si>
  <si>
    <t>Array Ventures (www.array.vc)</t>
  </si>
  <si>
    <t>Operator of an artificial intelligence for IT operations (AIOps) platform intended to offer agentless data ingestion and Intelligent pre-processing options. The company's platform automates data collection and onboarding identifies static and variable parts of logs and delivers predictive analytics for network performance and operations in data centers and hybrid environments, enabling users to ingest, aggregate, and stream data in one place.</t>
  </si>
  <si>
    <t>The company raised $850,000 of venture funding in the form of convertible note from Array Ventures and other undisclosed investors on October 25, 2021.</t>
  </si>
  <si>
    <t>Big Data, Internet of Things, Mobile</t>
  </si>
  <si>
    <t>cloud network, cloud network management, connected service, connected vehicles, hybrid cloud network, netops platform, network monitoring, network performance</t>
  </si>
  <si>
    <t>AIOps</t>
  </si>
  <si>
    <t>213269-59P</t>
  </si>
  <si>
    <t>Basia Kubicka</t>
  </si>
  <si>
    <t>+1 (877) 564-7367</t>
  </si>
  <si>
    <t>basia@sliceup.co</t>
  </si>
  <si>
    <t>Ms. Basia Kubicka is a Co-Founder and serves as Chief Executive Officer at Sliceup. Over 10 years of experience in sales, negotiations, and business development. Previously founded Property Sisters - Real Estate Agency and Property Arbitrage Fund.</t>
  </si>
  <si>
    <t>www.sliceup.co</t>
  </si>
  <si>
    <t>Bridge Loan - $0.85M (Convertible)</t>
  </si>
  <si>
    <t>196519-51T</t>
  </si>
  <si>
    <t>SLOMO</t>
  </si>
  <si>
    <t>498575-62</t>
  </si>
  <si>
    <t>Abraham Trust(Jacob Garlick), Jennus Innovation(Christopher Jenny)</t>
  </si>
  <si>
    <t>Abraham Trust (www.abrahamtrust.com), Jennus Innovation (www.jennusinnovation.com)</t>
  </si>
  <si>
    <t>Provider of fitness equipment intended to redefine strength training. The company offers versatile free weight systems made from real firehose and steel shot, enabling customers to train for their next core workout, whole body, or at-home workout.</t>
  </si>
  <si>
    <t>The company raised $2.5 million of seed funding in a deal led by Jennus Innovation on June 6, 2022. Abraham Trust and other undisclosed investors also participated in the round. The funds will be used to build the company's salesforce, expand its gym programs and military training, advance product design, and accelerate production.</t>
  </si>
  <si>
    <t>Application Software, Educational and Training Services (B2C), Recreational Goods*</t>
  </si>
  <si>
    <t>fitness equipment, fitness professional, gym equipment, gym wear, strength training, wellness and fitness service</t>
  </si>
  <si>
    <t>305674-12P</t>
  </si>
  <si>
    <t>Sarah Apgar</t>
  </si>
  <si>
    <t>+1 (201) 252-7269</t>
  </si>
  <si>
    <t>sarah@fitfighter.com</t>
  </si>
  <si>
    <t>Ms. Sarah Apgar is the Founder and serves as President, Chief Executive Officer and Board Member at FitFighter.</t>
  </si>
  <si>
    <t>MBA (Master of Business Administration), 2011, Entrepreneurship, Princeton University, BA (Bachelor of Arts), 2002, History</t>
  </si>
  <si>
    <t>The company raised $2.5 million of seed funding in a deal led by Jennus Innovation on June 20, 2022. Abraham Trust and other undisclosed investors also participated in the round. The funds will be used to build the company's salesforce, expand its gym programs and military training, advance product design, and accelerate production.</t>
  </si>
  <si>
    <t>Abraham Trust, Jennus Innovation</t>
  </si>
  <si>
    <t>Jennus Innovation(Christopher Jenny)</t>
  </si>
  <si>
    <t>Portland, ME</t>
  </si>
  <si>
    <t>04101</t>
  </si>
  <si>
    <t>slomoschool.com</t>
  </si>
  <si>
    <t>194465-98T</t>
  </si>
  <si>
    <t>Smart Kx</t>
  </si>
  <si>
    <t>496923-76</t>
  </si>
  <si>
    <t>Larissa Roesch(Larissa Roesch), Ric Edelman(Ric Edelman)</t>
  </si>
  <si>
    <t>Developer of a fee billing software designed to collect accurate revenue and maintain compliance automatically. The company's platform offers fee calculation automation connecting every fee calculation directly with each client's fee agreement, which helps prevent firms from overbilling or underbilling clients and gain control over revenue, enabling users to eliminate manual processes and errors and serve their clients with confidence.</t>
  </si>
  <si>
    <t>The company raised $750,000 of pre-seed funding from Ric Edelman, Larissa Roesch and other undisclosed investors on May 20, 2022.</t>
  </si>
  <si>
    <t>billing platform, billing process, billing system, fee billing, fee billing operations, fee calculation</t>
  </si>
  <si>
    <t>302115-61P</t>
  </si>
  <si>
    <t>Lacey Shrum</t>
  </si>
  <si>
    <t>+1 (214) 307-2984</t>
  </si>
  <si>
    <t>lacey@smartkx.io</t>
  </si>
  <si>
    <t>Ms. Lacey Shrum is the Founder and serves as Chief Executive Officer at Smart Kx. She is an attorney and former chief compliance officer.</t>
  </si>
  <si>
    <t>Larissa Roesch, Ric Edelman</t>
  </si>
  <si>
    <t>www.smartkx.io</t>
  </si>
  <si>
    <t>214331-68T</t>
  </si>
  <si>
    <t>Smartrr</t>
  </si>
  <si>
    <t>463451-32</t>
  </si>
  <si>
    <t>Expa, Nyca Partners</t>
  </si>
  <si>
    <t>Expa (www.expa.com), Nyca Partners (www.nyca.com)</t>
  </si>
  <si>
    <t>Developer of a checkout and customer account management platform intended to assist in managing subscription businesses. The company's platform uses artificial intelligence and provides a membership experience along with living analytics and reporting, enabling clients to focus on growing their business and not on spreadsheets.</t>
  </si>
  <si>
    <t>The company raised $10 million of Series A venture funding in a deal led by Canvas Ventures on January 26, 2023, putting the company's pre-money valuation at $35 million. Escondido Ventures and 14 other investors also participated in the round.</t>
  </si>
  <si>
    <t>account management platform, ai model management, ai tools, crm, customer account, customer relationship management, ecommerce personalization, subscription billing, subscription business</t>
  </si>
  <si>
    <t>258149-89P</t>
  </si>
  <si>
    <t>Gabriella Tegen</t>
  </si>
  <si>
    <t>+1 (646) 389-2052</t>
  </si>
  <si>
    <t>gabriella@smartrr.com</t>
  </si>
  <si>
    <t>Ms. Gabriella Tegen is a Co-Founder and serves as Chief Executive Officer &amp; Board Member at Smartrr.</t>
  </si>
  <si>
    <t>George Washington University, BBA (Bachelor of Business Administration), 2016, Marketing, International Business, Tel Aviv University, Bachelor's, 2015, Entrepreneurship</t>
  </si>
  <si>
    <t>The company raised $7.3 million of seed funding in a deal led by Nyca Partners and Expa on November 13, 2020, putting the company's pre-money valuation at $70 million.</t>
  </si>
  <si>
    <t>www.smartrr.com</t>
  </si>
  <si>
    <t>168354-73T</t>
  </si>
  <si>
    <t>SnapMagic</t>
  </si>
  <si>
    <t>96724-36</t>
  </si>
  <si>
    <t>79 Studios, Alexander Norman(Alexander Norman), Andrew Van Valer(Andrew Van Valer), Bernard Thompson(Bernard Thompson), Christopher Rowen(Christopher Rowen), Cognite Ventures, Fadi Bishara(Fadi Bishara), Georges Harik(Georges Harik), Jason Gray, Justin Laing(Justin Laing), Panayiotis Papadopoulos(Panayiotis Papadopoulos), Randy Whiting(Randy Whiting), Tamra Johnson(Tamra Johnson), Y Combinator</t>
  </si>
  <si>
    <t>Cognite Ventures (www.cogniteventures.com), Jason Gray (jasongraymusic.com), Y Combinator (www.ycombinator.com)</t>
  </si>
  <si>
    <t>Developer of an AI-powered PCB design platform designed to help engineers design electronics in a fast and efficient manner. The company's platform offers a suite of AI-powered tools that automate repetitive tasks, recommend design optimizations and generate schematics from scratch, enabling engineers to focus on the creative and challenging aspects of their work.</t>
  </si>
  <si>
    <t>The company raised an estimated $4.11 million through a combination of Seed, Seed-2 and Seed -3 funding in a deal led by Bow Capital on October 10, 2023, putting the company's pre-money valuation at $14.03 million. Friends &amp; Family Capital, Jude Gomila, David Hodge, Alok Tayi, Andreas Schobel, Kartik Lamba, Jeff Dean and Tom Preston-Werner also participated in the round.</t>
  </si>
  <si>
    <t>Business/Productivity Software*, Connectivity Products, Electronic Equipment and Instruments, Multimedia and Design Software</t>
  </si>
  <si>
    <t>Artificial Intelligence &amp; Machine Learning, SaaS, TMT</t>
  </si>
  <si>
    <t>circuit board design, circuit design software, circuit design technology, electronic design automation, electronic design automation platform, electronic design automation software, electronic design automation software tool</t>
  </si>
  <si>
    <t>116726-77P</t>
  </si>
  <si>
    <t>Natasha Baker</t>
  </si>
  <si>
    <t>+1 (650) 644-6199</t>
  </si>
  <si>
    <t>natasha@snapeda.com</t>
  </si>
  <si>
    <t>Ms. Natasha Baker is a Co-Founder and serves as Chief Executive Officer at SnapMagic. She started SnapEDA after seeing the lost productivity that designers face during the design flow. Since 2006, Natasha has held roles in research and development, simulation and modeling, and product marketing within the electronic design automation (EDA) industry. She has experience working for several large corporations including National Instruments and Analog Devices, and has consulted for many more. Natasha has a BASc in Electrical Engineering from the University of Toronto. Natasha is also an active contributor to Forbes.</t>
  </si>
  <si>
    <t>University of Toronto, Bachelor's, 2008, Electrical Engineering</t>
  </si>
  <si>
    <t>The company raised an estimated $510,001 of Seed-1 funding from 79 Studios, Cognite Ventures and Y Combinator on March 11, 2021, putting the company's pre-money valuation at $999,999. Georges Harik, Panos Papadopoulos, Justin Laing, Bernard Thompson, Andrew Van Valer, Alexander Norman, Tamra Johnson, Chris Rowen, Randy Whiting, Fadi Bishara and Jason Gray also participated in the round.</t>
  </si>
  <si>
    <t>79 Studios, Alexander Norman, Andrew Van Valer, Bernard Thompson, Christopher Rowen, Cognite Ventures, Fadi Bishara, Georges Harik, Jason Gray, Justin Laing, Panayiotis Papadopoulos, Randy Whiting, Tamra Johnson</t>
  </si>
  <si>
    <t>Norton Rose Fulbright (Legal Advisor to Company)</t>
  </si>
  <si>
    <t>www.snapmagic.com</t>
  </si>
  <si>
    <t>190949-50T</t>
  </si>
  <si>
    <t>Socialize (Social/Platform Software)</t>
  </si>
  <si>
    <t>494112-07</t>
  </si>
  <si>
    <t>Alive Ventures (Los Angeles)(John Zapolski)</t>
  </si>
  <si>
    <t>Alive Ventures (Los Angeles) (www.aliveventures.co)</t>
  </si>
  <si>
    <t>Developer of a socialization platform designed for users of all skill levels to become social media, content creators. The company's platform teaches its users how to express themselves better on social media, and gives them the tools to form deeper connections with their audience, brands, and each other, enabling creators to gain confidence and interact in often in-approachable social media platforms.</t>
  </si>
  <si>
    <t>The company raised $250,000 of pre-seed funding from AliveVentures and other undisclosed investors on March 24, 2022. The funds will be used to democratize social media, fueling new generation of user-generated content enthusiasts at every level.</t>
  </si>
  <si>
    <t>content creator support, content creator tools, social media content, social media help, social media platform, socialization platform</t>
  </si>
  <si>
    <t>295986-43P</t>
  </si>
  <si>
    <t>Helen Polise</t>
  </si>
  <si>
    <t>helen@hellosocialize.com</t>
  </si>
  <si>
    <t>Ms. Helen Polise is the Founder &amp; serves as Chief Executive Officer at Socialize. She demystifies the whole process and teaches people, step-by-step on how to start creating their own TikTok videos. And in a true circle-of-life fashion, her fabulous followers actually inspired her to launch Socialize. As a commercial director specializing in real, authentic content, it makes total sense that Helen's clear, encouraging approach resonates with so many. And with more than 30 years of production experience, She definitely knows her way around a camera. Her storytelling style has elevated global brands like Blistex, Conair, Odor-Eaters, and the NFL, just to name a few. Her expertise, delivered with her trademark positivity, has already helped several high-profile creators raise the bar on their content.</t>
  </si>
  <si>
    <t>Alive Ventures (Los Angeles)</t>
  </si>
  <si>
    <t>www.hellosocialize.com</t>
  </si>
  <si>
    <t>200485-09T</t>
  </si>
  <si>
    <t>Socket (Social Platform Software)</t>
  </si>
  <si>
    <t>502836-22</t>
  </si>
  <si>
    <t>ACME Capital, Anthony Ghosn(Anthony Ghosn), Balaji Shrinivasan, CitizenX, IDEO Crypto, Immersion Partners, Joyce Yang, K5 Global, K5 Ventures, LongHash Ventures, Marky Wagner, OpenSea Ventures, SignalFire, Steel Perlot, Theo Marcu</t>
  </si>
  <si>
    <t>ACME Capital (www.acme.vc), CitizenX (www.citizenx.co), Immersion Partners (www.immersionpartners.com), K5 Global (www.k5global.com), K5 Ventures (www.k5ventures.com), LongHash Ventures (www.longhash.vc), SignalFire (www.signalfire.com), Steel Perlot (www.steelperlot.com)</t>
  </si>
  <si>
    <t>Developer of a web privacy infrastructure platform designed to offer social interactions. The company's platform is used for social interactions for crypto-related purposes, giving read-only access and permissions to the wallet addresses, enabling users with a web3 privacy connection to explore and plug in social information on-chain or off-chain.</t>
  </si>
  <si>
    <t>The company raised $2 million of seed funding in a deal led by IDEO Crypto on July 27, 2022. OpenSea Ventures and 13 others also participated in the round.</t>
  </si>
  <si>
    <t>cryptocurrency application, privacy infrastructure, privacy security, social interaction software, web 3 platform, web3 social network, web3 social platform</t>
  </si>
  <si>
    <t>310455-19P</t>
  </si>
  <si>
    <t>Eva Zhang</t>
  </si>
  <si>
    <t>Ms. Eva Zhang is the Founder and serves as Chief Executive Officer at Socket.</t>
  </si>
  <si>
    <t>Stanford University, Degree</t>
  </si>
  <si>
    <t>ACME Capital, Anthony Ghosn, Balaji Shrinivasan, CitizenX, IDEO Crypto, Immersion Partners, Joyce Yang, K5 Global, K5 Ventures, LongHash Ventures, Marky Wagner, OpenSea Ventures, SignalFire, Steel Perlot, Theo Marcu</t>
  </si>
  <si>
    <t>IDEO Crypto</t>
  </si>
  <si>
    <t>www.mysocket.xyz</t>
  </si>
  <si>
    <t>211901-14T</t>
  </si>
  <si>
    <t>Sol (Application Software)</t>
  </si>
  <si>
    <t>436327-21</t>
  </si>
  <si>
    <t>Advancit Capital, BoxGroup, Brynn Putnam(Brynn Putnam), CASSIUS, Daniel Smith(Daniel Smith), Jennifer Fleiss(Jennifer Fleiss), Matthew Hackett(Matthew Hackett), Northzone Ventures</t>
  </si>
  <si>
    <t>Advancit Capital (www.advancitcapital.com), BoxGroup (www.boxgroup.com), CASSIUS (www.cassius.vc), Northzone Ventures (www.northzone.com)</t>
  </si>
  <si>
    <t>Developer of a digital community application designed to connect women all around the world. The company's application creates guided meditation-like experiences for women and lets them explore their inner spirit and entrepreneurship capabilities through storytelling, enabling women to grow and become more mindful than before.</t>
  </si>
  <si>
    <t>The company raised $5.19 million through a combination of Seed and Seed 1 funding in a deal led by BoxGroup and Northzone Ventures on June 23, 2021, putting the company's pre-money valuation at $15.5 million. Advancit Capital and 5 other investors also participated in the round.</t>
  </si>
  <si>
    <t>Application Software*, Social Content, Social/Platform Software</t>
  </si>
  <si>
    <t>health activation platform, meditation app, networking app, self healing technique, women community, women development program</t>
  </si>
  <si>
    <t>233304-04P</t>
  </si>
  <si>
    <t>Chloë Drimal</t>
  </si>
  <si>
    <t>+1 (203) 554-5922</t>
  </si>
  <si>
    <t>chloe@yonicircle.com</t>
  </si>
  <si>
    <t>Ms. Chloë Drimal is the Founder and serves as Chief Executive Officer at Yoni Circle. She was the 14th employee of Snap Inc. While there she helped to create the Our Story product and ultimately ran it as she grew the team to 80 employees and their stories saw over 40m views in a day. She then transitioned into running women's initiatives, before leaving to create conceptualize and ultimately start Yoni Circle.</t>
  </si>
  <si>
    <t>Yale University, BA (Bachelor of Arts), 2013, American Studies Intensive</t>
  </si>
  <si>
    <t>The company raised $5.19 million through a combination of Seed and Seed 1 funding in a deal led by BoxGroup and Northzone Ventures on June 23, 2021, putting the company's pre-money valuation at $15.5 million. Advancit Capital, CASSIUS, Jenny Fleiss, Brynn Putnam, Matt Hackett and Daniel Smith. also participated in the round.</t>
  </si>
  <si>
    <t>Advancit Capital, BoxGroup, Brynn Putnam, CASSIUS, Daniel Smith, Jennifer Fleiss, Matthew Hackett, Northzone Ventures</t>
  </si>
  <si>
    <t>BoxGroup, Northzone Ventures</t>
  </si>
  <si>
    <t>Northzone VIII(Northzone Ventures)</t>
  </si>
  <si>
    <t>solmindfulness.com</t>
  </si>
  <si>
    <t>218371-69T</t>
  </si>
  <si>
    <t>Solomomo</t>
  </si>
  <si>
    <t>521503-66</t>
  </si>
  <si>
    <t>Loeb.nyc</t>
  </si>
  <si>
    <t>Loeb.nyc (www.loeb.nyc)</t>
  </si>
  <si>
    <t>Developer of a skincare wellness platform designed to help people achieve better skin with personalized care. The company's platform offers a handheld device that combines hardware, software, and artificial intelligence to scan the skin and provides real-time data on various attributes such as pore cleanliness, exfoliation levels, pigmentation, wrinkle quantity, and line depth, enabling users to choose the right products and treatments for their individual needs and avail personalized skincare recommendations</t>
  </si>
  <si>
    <t>The company raised $50,000 of venture funding from Loeb.nyc on July 18, 2023.</t>
  </si>
  <si>
    <t>Application Software, Information Services (B2C), Other Hardware*</t>
  </si>
  <si>
    <t>Artificial Intelligence &amp; Machine Learning, Beauty, SaaS</t>
  </si>
  <si>
    <t>exfoliation products, intelligent device, intelligent sensors, intelligent sensors &amp; devices, intelligent sensors and devices, pigmentation detection, skin data analysis, skincare devices, skincare platform, skincare product, skincare software</t>
  </si>
  <si>
    <t>115867-81P</t>
  </si>
  <si>
    <t>Cindy Engstrom</t>
  </si>
  <si>
    <t>+1 (425) 985-0833</t>
  </si>
  <si>
    <t>cindy@solomomo.com</t>
  </si>
  <si>
    <t>Ms. Cindy Engstrom is a Co-Founder and serves as Co-Chief Executive Officer and Board Memberat Solomomo. Ms.Engstrom co-founded Sircle Ventures and also served as its Chief Executive Officer, President and Board Member. She originally hails from Canada and she loves finding new ways that technology can make people's lives better. Sircle Advertising is Cindy's fourth startup company. Cindy ran her first company at 27 years old, leading the charge for retail startup in the Midwest with a chain of four stores. Eventually the call of high tech lured her westward. Cindy has worked in technology since her first tech job in 1997 when she fell in love with the Internet. Since that time, Cindy has been on the leading edge of new consumer technologies carving award winning (CES, TechTV, Mobile Innovation) marketing paths with a dot com company called @mobile, a wireless application service provider, and then Wildseed Ltd., the innovator of the precursor to the iPhone. Both companies were acquired for their innovative technologies. Cindy is very passionate about the consumer's role in the advertising value chain. She has published a white paper on her thoughts regarding the emerging category she identifies as Advertising Relations. Observing the shifts in online advertising and consumer sentiment in the last decade, Cindy identified a huge market opportunity for intelligent sampling that would fuel customer acquisition. She and the team have since gone onto to prove their hypothesis and are now scaling for growth. Cindy studied business administration at Marquette University, earning her MBA. She also studied at the University of Antwerp in Belgium and earned her BA at the University of Toronto.</t>
  </si>
  <si>
    <t>Marquette University, MBA (Master of Business Administration), 1996, Marketing, University of Toronto, BA (Bachelor of Arts), 1992, English</t>
  </si>
  <si>
    <t>98034</t>
  </si>
  <si>
    <t>www.solomomo.com</t>
  </si>
  <si>
    <t>201240-55T</t>
  </si>
  <si>
    <t>Somalytics</t>
  </si>
  <si>
    <t>500676-85</t>
  </si>
  <si>
    <t>Longview Innovation(John Fijol), WRF Capital</t>
  </si>
  <si>
    <t>Longview Innovation (www.longviewinnovation.com), WRF Capital (www.wrfseattle.org)</t>
  </si>
  <si>
    <t>Developer of carbon nanotube-based capacitive touch sensors designed to offer improved sensitivity and also improve eye-tracking devices. The company's sensors help to improve and replace existing cameras and sensors used in eye tracking, human-machine interface, wearables and industrial safety, thereby enabling clients to improve the human experience through improved sensors.</t>
  </si>
  <si>
    <t>The company is in the process of raising Series B seed funding on March 25, 2024. Previously, the company raised $1.9 million of Series A seed funding through a combination of equity and SAFE from WRF Capital and Longview Innovation on August 3, 2022.</t>
  </si>
  <si>
    <t>Electronic Equipment and Instruments*, Other Hardware</t>
  </si>
  <si>
    <t>E-Commerce, Nanotechnology</t>
  </si>
  <si>
    <t>carbon nanotube technology, gesture recognition technology, healthcare equipment developer, human machine interface, proximity sensors, sleep care device, sleep disorder testing, sleep technology, touch sensor, touch sensor technology</t>
  </si>
  <si>
    <t>Carbon Nanotubes, Sleep Tech</t>
  </si>
  <si>
    <t>114644-71P</t>
  </si>
  <si>
    <t>Barbara Barclay</t>
  </si>
  <si>
    <t>Ms. Barbara Barclay served as the Chief Executive Officer and Board Member at Somalytics. She served as President at RightEye. She is a recognized expert in the field of eye-tracking with 20 years of experience as a successful business executive. An industry expert, she is a frequent speaker at conferences that focus on cutting-edge eye-tracking solutions. She is at the forefront of the eye-tracking field and continues to push the boundaries of this technology across many verticals. Before RightEye she served as the General Manager and Vice President of Tobii Technology North America, an international eye-tracking technology company where she significantly expanded the company's customer base, developed innovative and award-winning product offerings, and successfully increased the company's brand visibility throughout North America. Before Tobii, she served as a Vice President of Marketing for LexisNexis, Head of Global Services for comScore, and General Manager for ACNielsen in the UK. As President of RightEye, she is focused on the expansion of RightEye's product offerings into new markets and industries. She earned her MBA in Marketing from Kelly School of Business at Indiana University and a BA in German and Economics at Vanderbilt University.</t>
  </si>
  <si>
    <t>Indiana University, MBA (Master of Business Administration), Marketing, Vanderbilt University, BA (Bachelor of Arts), Economics</t>
  </si>
  <si>
    <t>The company raised $1.9 million of Series A seed funding through a combination of equity and SAFE from WRF Capital and Longview Innovation on August 3, 2022.</t>
  </si>
  <si>
    <t>Longview Innovation, WRF Capital</t>
  </si>
  <si>
    <t>Redmond, WA</t>
  </si>
  <si>
    <t>Redmond</t>
  </si>
  <si>
    <t>98502</t>
  </si>
  <si>
    <t>www.somalytics.com</t>
  </si>
  <si>
    <t>219789-91T</t>
  </si>
  <si>
    <t>Somewhere Somehow</t>
  </si>
  <si>
    <t>522486-28</t>
  </si>
  <si>
    <t>Ansh Nanda(Ansh Nanda), Cory Levy(Cory Levy), Cyril Berdugo(Cyril Berdugo), Glenn Solomon(Glenn Solomon), MaC Venture Capital(Adrian Fenty), Patrick De Picciotto(Patrick De Picciotto), Richard Li(Richard Li), Stellation Capital(Peter Boyce)</t>
  </si>
  <si>
    <t>MaC Venture Capital (macventurecapital.com), Stellation Capital (www.stellation.vc)</t>
  </si>
  <si>
    <t>Developer of a social app intended to help customers strengthen relationships that matter. The company combines Google's shared calendar feature with Bereal.'s time-based, authentic posting to allow people to make plans and share the happenings nearby, enabling users to share time-based content and see when friends are available.</t>
  </si>
  <si>
    <t>The company raised an undisclosed amount of venture funding from BoxGroup in approximately October 2024.</t>
  </si>
  <si>
    <t>social app, social calendar, social communication, social media</t>
  </si>
  <si>
    <t>342214-84P</t>
  </si>
  <si>
    <t>Alexandra Debow</t>
  </si>
  <si>
    <t>+1 (484) 547-3979</t>
  </si>
  <si>
    <t>alexandra@joinswsh.com</t>
  </si>
  <si>
    <t>Ms. Alexandra Debow is a Co-Founder &amp; serves as Chief Executive Officer at Somewhere Somehow. She received a Bachelor's degree in Economics and Data Science in 2022 and a BS in Computer Engineering in 2024 from New York University, Tandon School of Engineering. She also received a Bachelor's degree in Economics and Data Science from East China Normal University in 022.</t>
  </si>
  <si>
    <t>East China Normal University, Bachelor's, 2022, Economics and Data Science, New York University, Bachelor's, 2022, Economics and Data Science, New York University, BS (Bachelor of Science), 2024, Computer Engineering</t>
  </si>
  <si>
    <t>The company raised $1.7 million of pre-seed funding in a deal led by MaC Venture Capital and Stellation Capital on March 1, 2023. Glenn Solomon, Cory Levy, Cyril Berdugo, Richard Li, Patrick de Picciotto and Ansh Nanda also participated in the round.</t>
  </si>
  <si>
    <t>Ansh Nanda, Cory Levy, Cyril Berdugo, Glenn Solomon, MaC Venture Capital, Patrick De Picciotto, Richard Li, Stellation Capital</t>
  </si>
  <si>
    <t>MaC Venture Capital(Adrian Fenty), Stellation Capital(Peter Boyce)</t>
  </si>
  <si>
    <t>MaC Venture Capital II(MaC Venture Capital)</t>
  </si>
  <si>
    <t>www.joinswsh.com</t>
  </si>
  <si>
    <t>176277-16T</t>
  </si>
  <si>
    <t>Sonera</t>
  </si>
  <si>
    <t>228530-98</t>
  </si>
  <si>
    <t>Spark Capital(Nabeel Hyatt)</t>
  </si>
  <si>
    <t>Spark Capital (www.sparkcapital.com)</t>
  </si>
  <si>
    <t>Developer of a magnetometer designed to measure weak magnetic fields generated by brain activity in a portable and cost-effective device. The company's magnetometer works on acoustically-driven ferromagnetic resonance and can operate at room temperature and in portable form factors with sensitivity, enabling technological industries to expand access to the powerful neurodiagnostic tool, as well as open the door to the first practical, non-invasive brain-computer interface.</t>
  </si>
  <si>
    <t>The company raised $11 million of Series 2 seed funding in a deal led by Amplify Partners on February 15, 2023, putting the company's pre-money valuation at $29.5 million. Spark Capital and 5 other investors also participated in the round. The funds will be used to continue the company's mission to make neural data accessible for a range of applications, from personal computing and smart apparel to healthcare and neurotherapeutics.</t>
  </si>
  <si>
    <t>Electrical Equipment, Electronic Equipment and Instruments*, Other Hardware</t>
  </si>
  <si>
    <t>brain activity measurement, brain computer interface, intelligent device, intelligent sensors, magnetic sensors, magnetoencephalography system</t>
  </si>
  <si>
    <t>Neurotechnology</t>
  </si>
  <si>
    <t>185244-49P</t>
  </si>
  <si>
    <t>Nishita Deka</t>
  </si>
  <si>
    <t>nishita@soneramagnetics.com</t>
  </si>
  <si>
    <t>Dr. Nishita Deka is a Co-Founder and serves as Chief Executive Officer at Sonera.</t>
  </si>
  <si>
    <t>University of California, Berkeley, Ph.D. (Doctor of Philosophy), Computer Science and Electrical Engineering, University of Southern California (USC), BS (Bachelor of Science), Electrical Engineering</t>
  </si>
  <si>
    <t>The company raised an estimated $3.10 million of Seed funding from Spark Capital and other undisclosed investors on September 14, 2020, putting the company's pre-money valuation at $12 million.</t>
  </si>
  <si>
    <t>Spark Capital</t>
  </si>
  <si>
    <t>Spark Capital VI(Spark Capital)</t>
  </si>
  <si>
    <t>94709</t>
  </si>
  <si>
    <t>www.sonera.io</t>
  </si>
  <si>
    <t>Diagnosis, Investigating or analysing materials by determining their chemical or physical properties, Measuring electric variables</t>
  </si>
  <si>
    <t>275674-78T</t>
  </si>
  <si>
    <t>Soopra</t>
  </si>
  <si>
    <t>537535-00</t>
  </si>
  <si>
    <t>R42 Group</t>
  </si>
  <si>
    <t>R42 Group (www.r42group.com)</t>
  </si>
  <si>
    <t>Developer of an educational platform designed to offer accessible, interactive, and personalized learning experiences. The company's platform utilizes artificial intelligence to offer conversational learning courses designed by real human experts and interact with personality versions of renowned educators, enabling students to upskill and learn at their own pace.</t>
  </si>
  <si>
    <t>The company raised $100,000 of venture funding from R42 Group on May 15, 2024.</t>
  </si>
  <si>
    <t>adaptive learning, ai-powered education, dynamic learning, interactive learning, online learning, personalized education</t>
  </si>
  <si>
    <t>368748-82P</t>
  </si>
  <si>
    <t>Praveena Dhanalakota</t>
  </si>
  <si>
    <t>pdhanalakota@soopra.ai</t>
  </si>
  <si>
    <t>Ms. Praveena Dhanalakota the the Founder and serves as Chief Executive Officer at Soopra.</t>
  </si>
  <si>
    <t>R42 Fund 2(R42 Group), R42 Fund 3(R42 Group)</t>
  </si>
  <si>
    <t>www.soopra.ai</t>
  </si>
  <si>
    <t>206737-84T</t>
  </si>
  <si>
    <t>Sortium</t>
  </si>
  <si>
    <t>491499-37</t>
  </si>
  <si>
    <t>Arca (Asset Management)</t>
  </si>
  <si>
    <t>Arca (Asset Management) (www.ar.ca)</t>
  </si>
  <si>
    <t>Developer of a content creation platform intended for real-time generation and modification of 3D assets and textures using natural language. The company's platform allows users to streamline tokenization, simulate economics and behavior, and craft professional assets for game and virtual productions, enabling businesses to produce high-quality content with increased efficiency.</t>
  </si>
  <si>
    <t>The company raised $12.01 million through a combination of Seed-1 and Seed-2 funding in a deal led by Signum Growth Capital on April 10, 2024, putting the company's pre-money valuation at $37.99 million. IDG Vietnam Capital Blockchain, Infinity Ventures Crypto, Polygon Studios, 1881 S Group AG, ARK Venture Fund, Taisu Ventures, Acacia Digital Holdings and ARK Investment Management also participated in the round.</t>
  </si>
  <si>
    <t>Artificial Intelligence &amp; Machine Learning, Cryptocurrency/Blockchain, FinTech, Gaming</t>
  </si>
  <si>
    <t>ai technology, assets control, blockchain gaming ecosystem, blockchain gaming platform, development platform, email and authoring, financial planner, game developer tools, gaming development, kms, knowledge management system, machine learning system, metaverse and gaming</t>
  </si>
  <si>
    <t>Blockchain Gaming</t>
  </si>
  <si>
    <t>140953-87P</t>
  </si>
  <si>
    <t>Marc Seal</t>
  </si>
  <si>
    <t>+1 (347) 830-5275</t>
  </si>
  <si>
    <t>Mr. Marc Seal is a Co-Founder and serves as Chief Executive Officer at Sortium. He served as a Shareholder &amp; Executive Advisor at Appsoft Technologies.</t>
  </si>
  <si>
    <t>AS (Associate of Science), 2014, Computer Science</t>
  </si>
  <si>
    <t>The company raised an estimated $1.15 million of Pre-Seed funding from Arca (Asset Management) and other undisclosed investors on October 20, 2021, putting the company's pre-money valuation at $4 million.</t>
  </si>
  <si>
    <t>Arca Endeavor Fund(Arca (Asset Management))</t>
  </si>
  <si>
    <t>www.sortium.com</t>
  </si>
  <si>
    <t>192478-15T</t>
  </si>
  <si>
    <t>Soundful</t>
  </si>
  <si>
    <t>492956-02</t>
  </si>
  <si>
    <t>Accenture (NYS: ACN), Beatport, Microsoft (NAS: MSFT), SQUEAK E. CLEAN STUDIOS LLC, Thomas Staggs(Thomas Staggs), Universal Music Group (AMS: UMG)</t>
  </si>
  <si>
    <t>Accenture (NYS: ACN) (www.accenture.com), Beatport (www.beatport.com), Microsoft (NAS: MSFT) (www.microsoft.com), Universal Music Group (AMS: UMG) (www.universalmusic.com)</t>
  </si>
  <si>
    <t>Developer of artificial intelligence-based music creation software designed to empower everyone to make content. The company's platform offers different genres and templates to create music and unlock monetization or worldwide commercial use, enabling artists, music producers, and video publishers to produce studio-quality tracks.</t>
  </si>
  <si>
    <t>The company raised $3.8 million of seed funding from Microsoft, Universal Music Group, and Beatport on April 22, 2022. Accenture, SQUEAK E. CLEAN STUDIOS LLC, and Tom Staggs also participated in the round.</t>
  </si>
  <si>
    <t>Business/Productivity Software, Entertainment Software, Media and Information Services (B2B), Multimedia and Design Software*</t>
  </si>
  <si>
    <t>artificial intelligence engine, creativity platform, creativity tools, generative ai, music albums, music content, music creation platform</t>
  </si>
  <si>
    <t>292851-91P</t>
  </si>
  <si>
    <t>Diaa All</t>
  </si>
  <si>
    <t>+1 (480) 544-2529</t>
  </si>
  <si>
    <t>diaa@soundful.com</t>
  </si>
  <si>
    <t>Ms. Diaa All is a Co-Founder and serves as Chief Executive Officer &amp; Chief Financial Officer at Soundful.</t>
  </si>
  <si>
    <t>Pennsylvania State University (Penn State), BS (Bachelor of Science)</t>
  </si>
  <si>
    <t>Accenture, Beatport, Microsoft, SQUEAK E. CLEAN STUDIOS LLC, Thomas Staggs, Universal Music Group</t>
  </si>
  <si>
    <t>www.soundful.com</t>
  </si>
  <si>
    <t>Bridge Loan - $3.80M (Convertible)</t>
  </si>
  <si>
    <t>Electrophonic musical instruments</t>
  </si>
  <si>
    <t>189747-19T</t>
  </si>
  <si>
    <t>Space Runners</t>
  </si>
  <si>
    <t>489735-91</t>
  </si>
  <si>
    <t>Accel, Ashwin Navin(Ashwin Navin), Aulis Ventures, Core Finance, Dan Bunting(Dan Bunting), Divergence Ventures, Goodwater Capital, Holly Liu(Holly Liu), Isaac Zu(Isaac Zu), Jump Capital, Jump Crypto, Justin Kan(Justin Kan), Kevin Lin(Kevin Lin), Kevin Ma(Kevin Ma), Kun Gao(Kun Gao), Megan Kaspar(Megan Kaspar), Mehmet Korutuurk(Mehmet Korutuurk), Pantera Capital(Paul Veradittakit), Patrick Lee(Patrick Lee), Polychain Capital, Randy Chung(Randy Chung), Ray Chan, Steven Goldfeder(Steven Goldfeder), XRM Media, Yat Siu(Yat Siu)</t>
  </si>
  <si>
    <t>Accel (www.accel.com), Aulis Ventures (aulis.ventures), Core Finance (www.core.ist), Divergence Ventures (www.div.vc), Goodwater Capital (www.goodwatercap.com), Jump Capital (jumpcap.com), Jump Crypto (jumpcrypto.com), Justin Kan (www.justinkan.com), Pantera Capital (www.panteracapital.com), Polychain Capital (polychain.capital), XRM Media (xrmmedia.com), Yat Siu (yatsiu.com)</t>
  </si>
  <si>
    <t>Developer of digitally wearable NFTs designed for virtual experiences. The company focuses on cross-chain fashion items that can be plugged into any metaverse and games which uses augmented reality technology to experience a fashionable metaverse, enabling NFT owners the chance to meet their respective athletes and celebrities after games or concerts.</t>
  </si>
  <si>
    <t>The company raised $10 million of seed funding in a deal led by Pantera Capital and Polychain Capital on March 7, 2022. Jump Crypto, and 22 other investors also participated in the round. The funds will be used to build a blockchain-backed fashion metaverse and extend the company's brand to be the largest supplier of interoperable fashion items for different metaverses and games.</t>
  </si>
  <si>
    <t>Business/Productivity Software, Media and Information Services (B2B)*, Other Financial Services</t>
  </si>
  <si>
    <t>Augmented Reality, Cryptocurrency/Blockchain, FemTech, Virtual Reality, Wearables &amp; Quantified Self</t>
  </si>
  <si>
    <t>augmented reality, digital fashion, digital products, metaverse and gaming, metaverse tech, virtual fashion, web4</t>
  </si>
  <si>
    <t>275755-87P</t>
  </si>
  <si>
    <t>Deniz Özgür</t>
  </si>
  <si>
    <t>deniz@spacerunners.com</t>
  </si>
  <si>
    <t>Ms. Deniz Özgür is a Co-Founder and serves as Chief Executive Officer at Space Runners. She is a Co-Founder and serves as Partner at TechSign. She has 5 years of experience in Blockchain growth. She served as Chief Executive Officer at a metaverse startup. She has studied BSc Business and Economics from Bosphorus University.</t>
  </si>
  <si>
    <t>Bosphorus University, BS (Bachelor of Science), Business and Economics</t>
  </si>
  <si>
    <t>The company raised $10 million of seed funding in a deal led by Pantera Capital and Polychain Capital on March 7, 2022. Jump Crypto, Divergence Ventures, Goodwater Capital, Jump Capital, XRM Media, Aulis Ventures, Accel, Steve Goldfeder, Kevin Ma, Ray Chan, Isaac Zu, Kevin Lin, Megan Kaspar, Dan Bunting, Randy Chung, Mehmet Koruturk, Yat Siu, Justin Kan, Patrick Lee, Kun Gao, Ashwin Navin, Holly Liu and Core Finance also participated in the round. The funds will be used to build a blockchain-backed fashion metaverse and extend the company's brand to be the largest supplier of interoperable fashion items for different metaverses and games.</t>
  </si>
  <si>
    <t>Accel, Ashwin Navin, Aulis Ventures, Core Finance, Dan Bunting, Divergence Ventures, Goodwater Capital, Holly Liu, Isaac Zu, Jump Capital, Jump Crypto, Justin Kan, Kevin Lin, Kevin Ma, Kun Gao, Megan Kaspar, Mehmet Korutuurk, Pantera Capital, Patrick Lee, Polychain Capital, Randy Chung, Ray Chan, Steven Goldfeder, XRM Media, Yat Siu</t>
  </si>
  <si>
    <t>Pantera Capital(Paul Veradittakit), Polychain Capital</t>
  </si>
  <si>
    <t>Accel India VI(Accel), Polychain Ventures II(Polychain Capital)</t>
  </si>
  <si>
    <t>spacerunners.com</t>
  </si>
  <si>
    <t>134780-23T</t>
  </si>
  <si>
    <t>Spairo</t>
  </si>
  <si>
    <t>266501-98</t>
  </si>
  <si>
    <t>Connecticut Innovations, NeuroNetworks Fund(Sandra Panem)</t>
  </si>
  <si>
    <t>Connecticut Innovations (www.ctinnovations.com), NeuroNetworks Fund (neuronetworksfund.org)</t>
  </si>
  <si>
    <t>Developer of a digital parent training platform designed to promote children's development to their potential. The company's platform offers programs for ADHD, Autism, and Tantrums that are based on clinically validated approaches that work and help to identify and attain specific goals, enabling parents to practice their new skills first and then use them all day long.</t>
  </si>
  <si>
    <t>The company raised $370,000 of seed funding through a combination of convertible debt and equity on February 9, 2021. The equity portion of funding was led by NeuroNetworks Fund. A $15,000 convertible debt was provided by Connecticut Innovations and other undisclosed lenders. The funds will be used to advance the company's digital parent-training program to beta testing.</t>
  </si>
  <si>
    <t>Application Software*, Other Healthcare Services, Other Healthcare Technology Systems</t>
  </si>
  <si>
    <t>behavioral health, behavioural training, digital parenting platform, digital parenting tools, parents training, training system</t>
  </si>
  <si>
    <t>227245-51P</t>
  </si>
  <si>
    <t>Lauren Belliveau</t>
  </si>
  <si>
    <t>lauren@mindnesthealth.com</t>
  </si>
  <si>
    <t>Ms. Lauren Belliveau serves as Chief Executive Officer at MindNest Health.</t>
  </si>
  <si>
    <t>NeuroNetworks Fund</t>
  </si>
  <si>
    <t>Connecticut Innovations</t>
  </si>
  <si>
    <t>NeuroNetworks Fund(Sandra Panem)</t>
  </si>
  <si>
    <t>Connecticut Bioscience Innovation Fund(Connecticut Innovations)</t>
  </si>
  <si>
    <t>New Haven, CT</t>
  </si>
  <si>
    <t>New Haven</t>
  </si>
  <si>
    <t>06511</t>
  </si>
  <si>
    <t>www.spairo.com</t>
  </si>
  <si>
    <t>188510-50T</t>
  </si>
  <si>
    <t>Sparrow (Business/Productivity Software)</t>
  </si>
  <si>
    <t>436107-70</t>
  </si>
  <si>
    <t>Authentic Ventures, PeopleTech Partners, WndrCo(Jeffrey Katzenberg)</t>
  </si>
  <si>
    <t>Authentic Ventures (www.authentic-ventures.com), PeopleTech Partners (peopletechpartners.com), WndrCo (www.wndrco.com)</t>
  </si>
  <si>
    <t>Developer of human resource management software designed to take care of employee leaves. The company's software-based service manages the details of each leave, creates a personalized payroll plan for each employee's unique circumstances, and files the paperwork for employees so that they can focus on their health and family, enabling clients with the absence management of their employees.</t>
  </si>
  <si>
    <t>The company raised $8.00 million of Series A venture funding from Keiretsu Forum and other undisclosed investors on December 1, 2022, putting the company's pre-money valuation at $120 million.</t>
  </si>
  <si>
    <t>absence management, employee leave management, employee leave software, human resource management, management software, productivity software</t>
  </si>
  <si>
    <t>232579-90P</t>
  </si>
  <si>
    <t>Deborah Hanus</t>
  </si>
  <si>
    <t>dh@trysparrow.com</t>
  </si>
  <si>
    <t>Ms. Deborah Hanus is a Co-Founder &amp; serves as Chief Executive Officer at Sparrow.</t>
  </si>
  <si>
    <t>Harvard University, Degree, MIT (Sloan), Degree, MIT (Sloan), Master's</t>
  </si>
  <si>
    <t>The company raised $19.96 million of Series A venture funding in a deal led by WndrCo on February 15, 2022, putting the company's pre-money valuation at $100.04 million. PeopleTech Partners, South Park Commons and Authentic Ventures also participated in the round.</t>
  </si>
  <si>
    <t>Authentic Ventures, PeopleTech Partners, WndrCo</t>
  </si>
  <si>
    <t>WndrCo(Jeffrey Katzenberg)</t>
  </si>
  <si>
    <t>Authentic Ventures I(Authentic Ventures)</t>
  </si>
  <si>
    <t>Goodwin Procter (Legal Advisor to Company, Darin See JD), Gunderson Dettmer (Legal Advisor to WndrCo)</t>
  </si>
  <si>
    <t>Goodwin Procter (Legal Advisor to Company, Darin See JD)</t>
  </si>
  <si>
    <t>Gunderson Dettmer (Legal Advisor to WndrCo)</t>
  </si>
  <si>
    <t>www.trysparrow.com</t>
  </si>
  <si>
    <t>188145-91T</t>
  </si>
  <si>
    <t>Speak_</t>
  </si>
  <si>
    <t>491405-05</t>
  </si>
  <si>
    <t>Gagan Biyani(Gagan Biyani), Isaac Saldana, Katelin Holloway(Katelin Holloway), Precursor Ventures(Charles Hudson), Tariq Meyers(Tariq Meyers), The Venture Collective(Catherine Hernandez), Wade Foster(Wade Foster)</t>
  </si>
  <si>
    <t>Precursor Ventures (precursorvc.com), The Venture Collective (www.theventurecollective.com)</t>
  </si>
  <si>
    <t>Provider of an artificial intelligence-powered hiring platform designed for fully managed employer talent communities. The company offers custom signals for bias-free screening, seamless applicant tracking system (ATS) integration, and insights on candidate strengths, enabling recruiters to find the most qualified candidates efficiently and make informed hiring decisions.</t>
  </si>
  <si>
    <t>The company is reportedly seeking venture funding. Previously, the company raised $150,000 of pre-seed funding in the form of SAFE notes in a deal led by Precursor Ventures on April 12, 2024.</t>
  </si>
  <si>
    <t>application assessment, candidate assessment, evaluation tool, hiring platform, recruitment technology, resume screening, talent acquisition</t>
  </si>
  <si>
    <t>101156-77P</t>
  </si>
  <si>
    <t>Andrea Guendelman</t>
  </si>
  <si>
    <t>+1 (505) 205-2723</t>
  </si>
  <si>
    <t>andrea@speak.careers</t>
  </si>
  <si>
    <t>Ms. Andrea Guendelman is the Co-Founder &amp; serves as Chief Executive Officer at Speak_. She was a Co-Founder and Board Member of BeVisible, where she served as Chief Executive Officer. She graduated from Harvard Law School and received an MBA from MIT. She was a corporate attorney for 12 years before starting her first company in 2015.</t>
  </si>
  <si>
    <t>Harvard Law School, LLM (Master of Laws), 1998, Law, Universidad de Chile, LLB (Bachelor of Laws), 1994, Law</t>
  </si>
  <si>
    <t>The company raised $1 million of pre-seed funding in a deal led by The Venture Collective and Precursor Ventures on December 1, 2021, putting the company's pre-money valuation at $4.5 million. Isaac Saldana, Gagan Biyani, Katelin Holloway, Wade Foster and Tariq Meyers also participated in the round.</t>
  </si>
  <si>
    <t>Gagan Biyani, Isaac Saldana, Katelin Holloway, Precursor Ventures, Tariq Meyers, The Venture Collective, Wade Foster</t>
  </si>
  <si>
    <t>Precursor Ventures(Charles Hudson), The Venture Collective(Catherine Hernandez)</t>
  </si>
  <si>
    <t>Precursor Ventures Opportunity Fund I(Precursor Ventures)</t>
  </si>
  <si>
    <t>80304</t>
  </si>
  <si>
    <t>www.speak.careers</t>
  </si>
  <si>
    <t>124207-03T</t>
  </si>
  <si>
    <t>Spekit</t>
  </si>
  <si>
    <t>325344-07</t>
  </si>
  <si>
    <t>Bonfire Ventures(Brett Queener), Daniel Scheinman(Daniel Scheinman), Matchstick Ventures(Nathaniel Zola), Operator Collective(Mallun Yen)</t>
  </si>
  <si>
    <t>Bonfire Ventures (www.bonfirevc.com), Matchstick Ventures (www.matchstick.vc), Operator Collective (www.operatorcollective.com)</t>
  </si>
  <si>
    <t>Developer of an e-learning platform intended to deliver bite-sized knowledge to employees, directly in their flow of work. The company's platform delivers training and guidance when and where teams need to navigate new processes, technologies, and methodologies, without disrupting productivity, enabling organizations to reduce onboarding and ramp-up time while driving productivity and digital adoption.</t>
  </si>
  <si>
    <t>The company raised $45 million of Series B venture funding in a deal led by Craft Ventures on January 4, 2022, putting the company's pre-money valuation at $303.93 million. Matchstick Ventures and 6 other investors also participated in the round. Previously, the company raised $12.73 million through a combination of Series A1 and Series A2 venture funding in a deal led by Foundry Group and Renegade Partners on March 23, 2021, putting the company's pre-money valuation at $45 million. Bonfire Ventures and 7 other investors also participated in the round. The funds will be used to further advance the product by developing personalized learning experiences and scaling the company's go-to-market operations.</t>
  </si>
  <si>
    <t>Business/Productivity Software*, Education and Training Services (B2B), Human Capital Services</t>
  </si>
  <si>
    <t>EdTech, HR Tech</t>
  </si>
  <si>
    <t>digital adoption platform, digital adoption solutions, digital enablement platform, employee learning services, enablement services, enterprise resource planning, erp, human capital management, online learning guide, salesforce adoption</t>
  </si>
  <si>
    <t>212307-22P</t>
  </si>
  <si>
    <t>Melanie Fellay</t>
  </si>
  <si>
    <t>+1 (415) 964-0092</t>
  </si>
  <si>
    <t>melanie@spekit.co</t>
  </si>
  <si>
    <t>Ms. Melanie Fellay is a Co-Founder and serves as Board Member &amp; Chief Executive Officer at Spekit.</t>
  </si>
  <si>
    <t>The company raised $3.05 million through the combination of debt, Seed-1, Seed-2 and Seed-3 funding in a deal led by Bonfire Ventures on May 13, 2020, putting the company's pre-money valuation at $6 million. Operator Collective, Matchstick Ventures and Dan Scheinman also participated in the round.</t>
  </si>
  <si>
    <t>Bonfire Ventures, Daniel Scheinman, Matchstick Ventures, Operator Collective</t>
  </si>
  <si>
    <t>Bonfire Ventures(Brett Queener)</t>
  </si>
  <si>
    <t>Bonfire Ventures II(Bonfire Ventures), Matchstick Ventures Fund II(Matchstick Ventures), Operator Collective Fund(Operator Collective)</t>
  </si>
  <si>
    <t>Fenwick &amp; West (Legal Advisor to Operator Collective), Fredrikson (Legal Advisor to Matchstick Ventures), Stradling Yocca Carlson &amp; Rauth (Legal Advisor to Bonfire Ventures, Ryan Azlein JD)</t>
  </si>
  <si>
    <t>www.spekit.com</t>
  </si>
  <si>
    <t>Other - $0.51M</t>
  </si>
  <si>
    <t>179428-06T</t>
  </si>
  <si>
    <t>Sphere (Asset Management)</t>
  </si>
  <si>
    <t>472232-98</t>
  </si>
  <si>
    <t>Climate Capital(Sundeep Ahuja), Knickerbocker Financial Group, Pale blue dot(Heidi Lindvall)</t>
  </si>
  <si>
    <t>Climate Capital (www.climatecapital.co), Knickerbocker Financial Group (www.knickerbockerfg.com), Pale blue dot (www.paleblue.vc)</t>
  </si>
  <si>
    <t>Operator of a registered public benefit corporation intended to offer climate-friendly options in retirement plans. The company provides financial products that allow HR managers and advisors to maintain their commitment to fiduciary duty without having to compromise on climate, making it possible for employers to provide employees with climate-friendly investment options and offer benchmark-type returns at reasonable fees, enabling employers to provide employees with authentic climate-friendly investment options while maintaining fiduciary duty with quality products at reasonable costs.</t>
  </si>
  <si>
    <t>The company raised $1.99 million of venture funding through a combination of debt and equity from Fairbridge, Cool Climate Collective and other undisclosed investors on November 18, 2024.</t>
  </si>
  <si>
    <t>Capital Markets/Institutions</t>
  </si>
  <si>
    <t>Asset Management</t>
  </si>
  <si>
    <t>Asset Management*, Financial Software</t>
  </si>
  <si>
    <t>Climate Tech, LOHAS &amp; Wellness</t>
  </si>
  <si>
    <t>climate friendly, environment investment, investment product, retirement house, retirement investment planning, retirement product, sustainable environment, sustainable investment</t>
  </si>
  <si>
    <t>117018-55P</t>
  </si>
  <si>
    <t>Alex Wright-Gladstein</t>
  </si>
  <si>
    <t>+1 (510) 473-7301</t>
  </si>
  <si>
    <t>alex@oursphere.org</t>
  </si>
  <si>
    <t>Ms. Alex Wright-Gladstein is the Founder and serves as Chief Executive Officer &amp; Board Member at Sphere. She serves as an Advisor at Energyfolks. She was the founding CEO of Ayar Labs, valued at over $500M, which makes data centers and supercomputers faster and more energy-efficient by using light to move data between chips. She has also been the energy entrepreneurship practice leader at MIT, an energy efficiency program manager, and an energy markets specialist at the smart grid company EnerNOC. She received an MBA from MIT and a BA in Political Science and Economics from Tufts University.</t>
  </si>
  <si>
    <t>Massachusetts Institute of Technology (MIT), MBA (Master of Business Administration), 2015, Tufts University, BA (Bachelor of Arts), 2008, Political Science and Economics</t>
  </si>
  <si>
    <t>The company raised $2 million of venture funding in a deal led by Pale blue dot on August 9, 2021, putting the company's pre-money valuation at $8 million. Climate Capital and Knickerbocker Financial Group also participated in the round.</t>
  </si>
  <si>
    <t>Climate Capital, Knickerbocker Financial Group, Pale blue dot</t>
  </si>
  <si>
    <t>Pale blue dot(Heidi Lindvall)</t>
  </si>
  <si>
    <t>www.oursphere.org</t>
  </si>
  <si>
    <t>165413-53T</t>
  </si>
  <si>
    <t>Sphere Technology Solutions</t>
  </si>
  <si>
    <t>128664-55</t>
  </si>
  <si>
    <t>Adnane Charchour(Adnane Charchour), Forgepoint Capital(Donald Dixon), Joel Caminer(Joel Caminer), Omkhar Arasaratnam(Omkhar Arasaratnam), Sounil Yu(Sounil Yu)</t>
  </si>
  <si>
    <t>Forgepoint Capital (www.forgepointcap.com)</t>
  </si>
  <si>
    <t>Developer of an end-to-end security intelligence model designed to improve security and enhance compliance. The company's model combines a software and service solution to seamlessly provide actionable intelligence and remediation capabilities across end-user and privileged entitlements, enabling businesses to secure their sensitive data, create the right governance processes for their systems and assets, and make sure companies are compliant with the regulations.</t>
  </si>
  <si>
    <t>The company raised $31 million of Series B venture funding through a combination of debt and equity on November 30, 2022, putting the company's pre-money valuation at $87 million. The equity portion of $28.25 million was led by led by Edison Partner. Forgepoint Capital and other undisclosed investors also participated in the round. $2.74 million was raised in the form of loan. The funds will be used to expand the company's SaaS offering, channel ecosystem and alliances, and sales and marketing to accelerate growth. Previously, the company raised $10.15 million of Series A venture funding in a deal led by Forgepoint Capital on November 25, 2020, putting the company's pre-money valuation at $17 million. Omkhar Arasaratnam, Sounil Yu, Joel Caminer, and Adnane Charchour also participated in the round. The funds will be used to expand the scope of the company's existing capabilities, with an emphasis on cloud platforms such as Office 365.</t>
  </si>
  <si>
    <t>Media and Information Services (B2B), Network Management Software*, Other Commercial Services</t>
  </si>
  <si>
    <t>Artificial Intelligence &amp; Machine Learning, Cybersecurity, SaaS, TMT</t>
  </si>
  <si>
    <t>compliance data, cybersecurity business, cybersecurity tool, managed security services, regulatory compliance, remediation tools, security assessment, security operations, security reporting, structured data</t>
  </si>
  <si>
    <t>193424-86P</t>
  </si>
  <si>
    <t>Rita Gurevich</t>
  </si>
  <si>
    <t>+1 (201) 659-6204</t>
  </si>
  <si>
    <t>rita.gurevich@sphereco.com</t>
  </si>
  <si>
    <t>Ms. Rita Gurevich is the Founder and serves as Chief Executive Officer, President and Board Member at SPHERE Technology Solutions. As the President and Founder of SPHERE Technology Solutions, Rita Gurevich is charged with leading the strategic growth of the organization in providing business-critical governance, security and compliance solutions to customers spanning multiple geographic locations and industry verticals. Gurevich founded SPHERE after gaining a massive amount of experience in a short time period during the Lehman bankruptcy, the economic downturn of 2008, and the enhanced regulatory environment that dominated the industry. Being in a unique position from this experience, Gurevich founded SPHERE as a single contributor and worked strategically to grow the company into the entity it is currently today. Gurevich is the recipient of multiple honors and awards including recognition from her Entrepreneurial skills from Ernst &amp; Young, and SmartCEO, along with being on the 40 Under 40 list in 2017. In addition, Gurevich sits on the Board of Directors for the New Jersey Technology Council</t>
  </si>
  <si>
    <t>The company raised $10.15 million of Series A venture funding in a deal led by Forgepoint Capital on November 25, 2020, putting the company's pre-money valuation at $17 million. Omkhar Arasaratnam, Sounil Yu, Joel Caminer, and Adnane Charchour also participated in the round. The funds will be used to expand the scope of the company's existing capabilities, with an emphasis on cloud platforms such as Office 365.</t>
  </si>
  <si>
    <t>Adnane Charchour, Forgepoint Capital, Joel Caminer, Omkhar Arasaratnam, Sounil Yu</t>
  </si>
  <si>
    <t>Forgepoint Capital(Donald Dixon)</t>
  </si>
  <si>
    <t>ForgePoint Cyber Affiliates Fund II(Forgepoint Capital), Forgepoint Cybersecurity Fund II(Forgepoint Capital)</t>
  </si>
  <si>
    <t>DLA Piper (Legal Advisor to Company)</t>
  </si>
  <si>
    <t>www.sphereco.com</t>
  </si>
  <si>
    <t>70467-58T</t>
  </si>
  <si>
    <t>Sphir</t>
  </si>
  <si>
    <t>158968-72</t>
  </si>
  <si>
    <t>Tricent Capital</t>
  </si>
  <si>
    <t>Tricent Capital (www.tricentcapital.com)</t>
  </si>
  <si>
    <t>Developer of an information-sharing platform designed for community, content, and commerce. The company's platform offers the facts and data gained through education or experience that is also available all over the internet and holds some mental nutritional value, enabling users to collect, filter, and exchange information with others across the world.</t>
  </si>
  <si>
    <t>Tricent Capital sold a stake in the company to an undisclosed buyer on March 7, 2022.</t>
  </si>
  <si>
    <t>cloud sharing application, exchange information, information app, information sharing platform, marketing acceleration software, marketing analytics tool, social media advertising</t>
  </si>
  <si>
    <t>135829-36P</t>
  </si>
  <si>
    <t>Alissa Desancic</t>
  </si>
  <si>
    <t>+1 (206) 227-8999</t>
  </si>
  <si>
    <t>adesancic@sphir.io</t>
  </si>
  <si>
    <t>Ms. Alissa Desancic is the Founder and serves as Chief Executive Officer, Executive Officer, Promoter &amp; Board Member at Sphir.</t>
  </si>
  <si>
    <t>Gustavus Adolphus College, Degree, 1992, University of Alaska, Anchorage, Bachelor's, 1997, Communication &amp; Journalism</t>
  </si>
  <si>
    <t>The company raised $2.42 million of venture funding from Tricent Capital and other undisclosed investors on July 7, 2020, putting the company's pre-money valuation at $43.6 million.</t>
  </si>
  <si>
    <t>Tricent Early Exits(Tricent Capital)</t>
  </si>
  <si>
    <t>www.sphir.io</t>
  </si>
  <si>
    <t>178362-55T</t>
  </si>
  <si>
    <t>Spiritune</t>
  </si>
  <si>
    <t>471267-55</t>
  </si>
  <si>
    <t>Developer of a data-driven music application intended to offer a scientific approach to balanced mental health. The company's application uses principles of music therapy and neuroscience to reduce stress, regulate emotions, boost productivity, and induce sound sleep, enabling users to overcome anxiety through the power of audio.</t>
  </si>
  <si>
    <t>The company raised $1.7 million of seed funding from Human Ventures and other undisclosed investors on July 20, 2021.</t>
  </si>
  <si>
    <t>Application Software, Entertainment Software*, Movies, Music and Entertainment, Other Healthcare Technology Systems</t>
  </si>
  <si>
    <t>Digital Health, LOHAS &amp; Wellness, Mobile, SaaS</t>
  </si>
  <si>
    <t>brain health, emotional regulation, emotional wellbeing, mental health, mental wellness, music based application, music health, music software developer, music therapy, stress management app</t>
  </si>
  <si>
    <t>272213-47P</t>
  </si>
  <si>
    <t>Jamie Pabst</t>
  </si>
  <si>
    <t>jpabst@spiritune.com</t>
  </si>
  <si>
    <t>Ms. Jamie Pabst is a Co-Founder and serves as Chief Executive Officer at Spiritune. After a stressful 10 years in the NYC finance industry, Jamie Pabst found that her "stress in the workplace" problem was a global problem that needed to be addressed with new science-based solutions. Her personal experience in sound's therapeutic properties from growing up with a mother with hearing loss and a sister entering the world of music therapy led her to start Spiritune. Spiritune is modernizing mental health with it's scientific, music-based approach to mental health, helping users reduce stress, regulate emotions and improve focus and productivity.</t>
  </si>
  <si>
    <t>University of Missouri, Columbia, Degree, 2006, Journalism</t>
  </si>
  <si>
    <t>Human Ventures Fund I(Human Ventures)</t>
  </si>
  <si>
    <t>www.spiritune.com</t>
  </si>
  <si>
    <t>193318-84T</t>
  </si>
  <si>
    <t>Spoak</t>
  </si>
  <si>
    <t>495833-41</t>
  </si>
  <si>
    <t>January Ventures, Maveron</t>
  </si>
  <si>
    <t>January Ventures (january.ventures), Maveron (www.maveron.com)</t>
  </si>
  <si>
    <t>Developer of SaaS-based online interior design platform intended to make interior design easier, faster, and more fun. The company's platform offers a suite of easy-to-use design and business tools, including lifelike room mockups and renderings, to-scale plans and furniture layouts, project management from start to finish, product sourcing, mood boards, and more, enabling clients to design their workspace and manage their projects efficiently.</t>
  </si>
  <si>
    <t>The company raised $8.7 million of Series A venture funding from Neo and other undisclosed investors on December 11, 2022.</t>
  </si>
  <si>
    <t>EdTech, SaaS, TMT</t>
  </si>
  <si>
    <t>design education, design studio, designer tools, enterprise resource planning, human capital management, interior design, professional designer platform, workspace design</t>
  </si>
  <si>
    <t>300120-49P</t>
  </si>
  <si>
    <t>Hilah Stahl</t>
  </si>
  <si>
    <t>hilah@spoak.com</t>
  </si>
  <si>
    <t>Ms. Hilah Stahl is a Co-Founder and serves as Chief Executive Officer at Spoak.</t>
  </si>
  <si>
    <t>Duke University, BA (Bachelor of Arts) Honors, Economics, Universitat Pompeu Fabra, Degree, International Studies</t>
  </si>
  <si>
    <t>The company raised $3.14 million through the combination of Seed-1, Seed-2, Seed-3 and Seed-4 funding in the form of SAFE notes from January Ventures, Maveron and other undisclosed investors on April 24, 2022, putting the company's pre-money valuation at $7 million. Subsequently, it got converted to equity.</t>
  </si>
  <si>
    <t>19801-2230</t>
  </si>
  <si>
    <t>www.spoak.com</t>
  </si>
  <si>
    <t>124539-31T</t>
  </si>
  <si>
    <t>Spoonful (Information Services (B2C))</t>
  </si>
  <si>
    <t>327396-61</t>
  </si>
  <si>
    <t>Carey Ransom(Carey Ransom), Gaingels, Operate (Investor), Precursor Ventures</t>
  </si>
  <si>
    <t>Gaingels (www.gaingels.com), Operate (Investor) (operatestudio.com), Precursor Ventures (precursorvc.com)</t>
  </si>
  <si>
    <t>Developer of a label scanner and food discovery application designed to analyze the ingredients in a particular food product. The company's application offers to place a product under the scanner to analyze its ingredients and find out which ingredient contains high or moderate food maps, enabling consumers to find delicious fodmap eats wherever they shop and combat chronic health conditions with food.</t>
  </si>
  <si>
    <t>The company raised $481,683 of debt financing in the form of a loan via Crowd Lustro on April 30, 2022. Previously, the company raised $500,000 of venture funding in a deal led by Operate on June 1, 2020. Precursor Ventures, Gaingels and Carey Ransom also participated in the round.</t>
  </si>
  <si>
    <t>diet management, discovery &amp; review, discovery and review, food application, food discovery app, food discovery portal, food scanner, personalized nutrition, wellness fitness</t>
  </si>
  <si>
    <t>86707-54P</t>
  </si>
  <si>
    <t>Deepa Krishnan</t>
  </si>
  <si>
    <t>dkrishnan@spoonfuleats.com</t>
  </si>
  <si>
    <t>Ms. Deepa Krishnan is a Co-Founder and serves as Chief Executive Officer at Spoonful. She served as Vice President of Platform Products at Demandbase. She leads product management for Demandbase's Advertising Products, APIs and Data Management capabilities. Previously, she served in a general counsel capacity at Jigsaw, handling all legal affairs including the $175M sale of Jigsaw to salesforce.com in May 2010. She holds a J.D. in Business Law from UCLA and a B.A.in Public Policy from the Woodrow Wilson School of Public and International Affairs at Princeton University.</t>
  </si>
  <si>
    <t>Princeton University, BA (Bachelor of Arts), 2000, University of California, Los Angeles (UCLA), JD (Doctor of Law), 2003, Corporate Law</t>
  </si>
  <si>
    <t>The company raised $500,000 of venture funding in a deal led by Operate on June 1, 2020. Precursor Ventures, Gaingels and Carey Ransom also participated in the round.</t>
  </si>
  <si>
    <t>Carey Ransom, Gaingels, Operate (Investor), Precursor Ventures</t>
  </si>
  <si>
    <t>Operate (Investor)</t>
  </si>
  <si>
    <t>OC4 Ventures Fund I(Operate (Investor))</t>
  </si>
  <si>
    <t>Orinda, CA</t>
  </si>
  <si>
    <t>Orinda</t>
  </si>
  <si>
    <t>94563</t>
  </si>
  <si>
    <t>www.spoonfulapp.com</t>
  </si>
  <si>
    <t>193644-28T</t>
  </si>
  <si>
    <t>Sportsbox AI</t>
  </si>
  <si>
    <t>495917-83</t>
  </si>
  <si>
    <t>Marina Alex(Marina Alex), Michelle Wie West(Michelle Wie West), Randi Zuckerberg</t>
  </si>
  <si>
    <t>Developer of a mobile artificial intelligence coach application designed to help users achieve their goals in Golf. The company's application provides computer vision technology that can capture, measure, and analyze complex athletic motions in 3D, combined with the knowledge and experience of the instructors in each sport, enabling users to get personalized feedback to improve their ideal golf performance.</t>
  </si>
  <si>
    <t>The company raised venture funding from Neowiz Holdings and other undisclosed investors on March 7, 2023. The funds will be used for the successful entry of company into the Korean market and advancement of services.</t>
  </si>
  <si>
    <t>3d motion, ai-powered technology, computer vision, kinematics technology, sports application, sports coaching, sports performance training</t>
  </si>
  <si>
    <t>300565-72P</t>
  </si>
  <si>
    <t>Jeehae Lee</t>
  </si>
  <si>
    <t>jeehael@sportsbox.ai</t>
  </si>
  <si>
    <t>Ms. Jeehae Lee is a Co-Founder and serves as Chief Executive Officer at Sportsbox 3D Golf. Prior to founding Sportsbox, she led strategy and new business development for various divisions at Topgolf, including Toptracer. Jeehae has a BA in Economics from Yale and an MBA from The Wharton School at University of Pennsylvania.</t>
  </si>
  <si>
    <t>University of Pennsylvania (Wharton), MBA (Master of Business Administration), Yale University, BA (Bachelor of Arts), Economics</t>
  </si>
  <si>
    <t>The company raised an estimated $2.5 million through a combination of Seed and Seed-2 funding from Michelle Wie West, Marina Alex and Randi Zuckerberg on October 6, 2021, putting the company's pre-money valuation at $10 million.</t>
  </si>
  <si>
    <t>Marina Alex, Michelle Wie West, Randi Zuckerberg</t>
  </si>
  <si>
    <t>www.sportsbox.ai</t>
  </si>
  <si>
    <t>Image data processing or generation, in general, Image or video recognition or understanding</t>
  </si>
  <si>
    <t>228109-78T</t>
  </si>
  <si>
    <t>Sproxxy</t>
  </si>
  <si>
    <t>521422-75</t>
  </si>
  <si>
    <t>Ivy Ventures (Indianapolis), Solidea Capital, Techstars</t>
  </si>
  <si>
    <t>Ivy Ventures (Indianapolis) (www.ivy.fund), Solidea Capital (www.solideacapital.com), Techstars (www.techstars.com)</t>
  </si>
  <si>
    <t>Developer of an enterprise Saas platform designed to help brands prove the business impact of their conference participation. The company's event intelligence platform quantifies conference activity and helps to identify high-value opportunities that deliver high ROI and participation, allows to find high-value conference opportunities to speak, pitch to conference organizers, track and manage booked speaking opportunities, collaborate across teams, and quantity business impact, enabling corporate event management firms to cut non-useful sponsoring, attending, and speaking at events.</t>
  </si>
  <si>
    <t>The company raised $1.1 million of venture funding in the form of convertible debt from Solidea Capital, Ivy Ventures and Techstars on September 27, 2023. Other undisclosed angel investors also participated in the round.</t>
  </si>
  <si>
    <t>ai automation platform, booking platform, data analysis software, enterprise software, event management system, intelligence platform, management platform, martech platform</t>
  </si>
  <si>
    <t>339733-90P</t>
  </si>
  <si>
    <t>Melanie Samba</t>
  </si>
  <si>
    <t>+1 (212) 878-6687</t>
  </si>
  <si>
    <t>melanie@sproxxy.com</t>
  </si>
  <si>
    <t>Ms. Melanie Samba is the Founder &amp; serves as Chief Executive Officer at Sproxxy.</t>
  </si>
  <si>
    <t>Ivy Ventures (Indianapolis), Solidea Capital</t>
  </si>
  <si>
    <t>Ivy Venture Advisor Fund I(Ivy Ventures (Indianapolis))</t>
  </si>
  <si>
    <t>www.sproxxy.com</t>
  </si>
  <si>
    <t>214338-70T</t>
  </si>
  <si>
    <t>SqlDBM</t>
  </si>
  <si>
    <t>442684-18</t>
  </si>
  <si>
    <t>CEAS Investments I (www.ceasinvestments.com)</t>
  </si>
  <si>
    <t>Developer of online data modeling software designed to import and export databases quickly and conveniently. The company's cloud-based software helps to generate and import script to automatically create a database model, assist in collaborating reports across teams, aids in converting projects into any assembly language, allow making visual effects as well as help to create specification and images, enabling clients to easily send and receive documents without writing a single line of code.</t>
  </si>
  <si>
    <t>The company raised $9.59 million of Series B venture funding from Uncorrelated Ventures, Headline and other undisclosed investors on January 3, 2024, putting the company's pre-money valuation at $60.41 million.</t>
  </si>
  <si>
    <t>data infrastructure, data management software, data modeling, data modeling and analytics, data modeling platform, data modeling service, data modeling technique, data software &amp; systems, data software and systems, database management system, database software</t>
  </si>
  <si>
    <t>327012-31P</t>
  </si>
  <si>
    <t>Anna Abramova</t>
  </si>
  <si>
    <t>anna@sqldbm.com</t>
  </si>
  <si>
    <t>Ms. Anna Abramova is a Co-Founder and serves as GTM, Chief Executive Officer, Director of Client Engagement &amp; Partnerships, Sales Director, Head of Growth &amp; Business Development Executive at SqlDBM.</t>
  </si>
  <si>
    <t>AA (Associate of Arts), 2015, Economics, Degree, 2016, Economics, University of California, San Diego, Bachelor's, 2017, Economics</t>
  </si>
  <si>
    <t>The company raised $2.5 million of seed funding from CEAS Investments and other undisclosed investors on May 3, 2022, putting the company's pre-money valuation at $9.5 million.</t>
  </si>
  <si>
    <t>www.sqldbm.com</t>
  </si>
  <si>
    <t>188736-76T</t>
  </si>
  <si>
    <t>Staax</t>
  </si>
  <si>
    <t>482506-84</t>
  </si>
  <si>
    <t>Harlem Capital, Hustle Fund, Kube VC, Lightspeed Venture Partners, Litquidity Capital, North 50 Venture Capital, Plug and Play Tech Center, Stella Capital (Chicago), Western Union (NYS: WU)</t>
  </si>
  <si>
    <t>Harlem Capital (harlem.capital), Hustle Fund (www.hustlefund.vc), Kube VC (www.kubevc.com), Lightspeed Venture Partners (www.lsvp.com), Litquidity Capital (www.litquidity.co), North 50 Venture Capital (n50vc.com), Plug and Play Tech Center (www.plugandplaytechcenter.com), Stella Capital (Chicago) (www.stellacapital.io), Western Union (NYS: WU) (www.westernunion.com)</t>
  </si>
  <si>
    <t>Developer of a social investment payments platform designed to build wealth by investing in stock shares as easily as receiving payment. The company's platform offers a peer-to-peer payment gateway that creates value from every transaction through investment in stocks, enabling investors to generate wealth by investing socially via fractional shares of stock in the financial market.</t>
  </si>
  <si>
    <t>The company raised $97,100 of equity crowdfunding in the form of SAFE notes via Wefunder in a deal led by Tanvi Lal on April 30, 2023.</t>
  </si>
  <si>
    <t>consumer payment, financial application, financial gateway, online payment, payment gateway, peer-to-peer payment, stock investment, super app, superapp, wallets</t>
  </si>
  <si>
    <t>278940-88P</t>
  </si>
  <si>
    <t>Nikki Varanasi</t>
  </si>
  <si>
    <t>Ms. Nikki Varanasi is the Founder of Parrotfinance. Ms. Nikki Varanasi is a Co-Founder and serves as Chief Executive Officer and Board Member at Staax.</t>
  </si>
  <si>
    <t>St. John's University, Bachelor's, Finance</t>
  </si>
  <si>
    <t>The company raised $1.58 million of seed funding from Western Union, Litquidity Capital and Hustle Fund on April 6, 2022. 9 other investors also participated in the round.</t>
  </si>
  <si>
    <t>Harlem Capital, Hustle Fund, Kube VC, Lightspeed Venture Partners, Litquidity Capital, North 50 Venture Capital, Plug and Play Tech Center, Stella Capital (Chicago), Western Union</t>
  </si>
  <si>
    <t>Folsom, CA</t>
  </si>
  <si>
    <t>Folsom</t>
  </si>
  <si>
    <t>95630</t>
  </si>
  <si>
    <t>www.staaxapp.com</t>
  </si>
  <si>
    <t>219358-36T</t>
  </si>
  <si>
    <t>Stagetime</t>
  </si>
  <si>
    <t>437151-25</t>
  </si>
  <si>
    <t>Flywheel Fund</t>
  </si>
  <si>
    <t>Flywheel Fund (www.flywheelfund.vc)</t>
  </si>
  <si>
    <t>Developer of an online networking software designed to build a professional network for the performing arts. The company builds a professional brand, showcases media and also provides a structured platform for sharing work-related news and for reaching out to connections and collaborators transparently and professionally, enabling artists, artistic administrators and agents to grow and maintain relationships.</t>
  </si>
  <si>
    <t>The company raised an undisclosed amount of venture funding in the form of safe notes from Connetic Ventures and IU Ventures on February 14, 2024.</t>
  </si>
  <si>
    <t>Application Software, Entertainment Software, Movies, Music and Entertainment, Social/Platform Software*</t>
  </si>
  <si>
    <t>AudioTech, Mobile, SaaS</t>
  </si>
  <si>
    <t>entertainment software, music networking platform, network marketing, online networking, online networking platform, performing arts, professional network</t>
  </si>
  <si>
    <t>235467-28P</t>
  </si>
  <si>
    <t>Jennie Moser</t>
  </si>
  <si>
    <t>jennie@stagetimearts.com</t>
  </si>
  <si>
    <t>Ms. Jennie Moser is the Founder and serves as Chief Executive Officer &amp; Board Member at Stagetime.</t>
  </si>
  <si>
    <t>Indiana University, Bloomington, Master's, 2019, Music, Voice and Opera, Northwestern University, Bachelor's, 2016, Music, Voice and Opera</t>
  </si>
  <si>
    <t>The company raised $30,000 of seed funding from Flywheel Fund on September 7, 2020, putting the company's pre-money valuation at $1.47 million.</t>
  </si>
  <si>
    <t>www.stagetime.com</t>
  </si>
  <si>
    <t>168539-14T</t>
  </si>
  <si>
    <t>Stagger</t>
  </si>
  <si>
    <t>462472-93</t>
  </si>
  <si>
    <t>Active Capital(Patrick Matthews), Adapt Ventures, Beam Angel Network, Ben Tossell(Ben Tossell), Claire Diaz-Ortiz, Corner3 Ventures, DO Venture Partners, Great Oaks Venture Capital, Hustle Fund, LoftyInc Capital Management, Natural Bridge Ventures, Operator Partners, Spacecadet Ventures, Trajectory Capital</t>
  </si>
  <si>
    <t>Active Capital (active.vc), Adapt Ventures (www.adaptvc.com), Beam Angel Network (www.beamfounders.org), Claire Diaz-Ortiz (clairediazortiz.com), Corner3 Ventures (www.corner3.vc), DO Venture Partners (www.doventurepartners.com), Great Oaks Venture Capital (www.greatoaksvc.com), Hustle Fund (www.hustlefund.vc), LoftyInc Capital Management (www.loftyinc.vc), Natural Bridge Ventures (www.naturalbridge.fund), Operator Partners (www.operatorpartners.com), Spacecadet Ventures (www.spacecadet.ventures), Trajectory Capital (www.trajectorycapital.com)</t>
  </si>
  <si>
    <t>Developer of a visual storytelling platform designed to serve small and medium-sized businesses. The company's platform has a drag and drops design, includes templates to create social media graphics, and presentations offers an analytics-based dashboard to track viewer engagement and provides actionable insights on content that attracts the most customer engagement, enabling business owners to create better digital marketing content and make informed decisions.</t>
  </si>
  <si>
    <t>Beam Angel Network sold a stake in the company to an undisclosed buyer.</t>
  </si>
  <si>
    <t>advertising platform, advertising services, marketing content, marketing platform, marketing services, online audio</t>
  </si>
  <si>
    <t>227303-20P</t>
  </si>
  <si>
    <t>Chrissy Cowdrey</t>
  </si>
  <si>
    <t>chrissy@stagger.com</t>
  </si>
  <si>
    <t>Ms. Chrissy Cowdrey is the Founder &amp; serves as Chief Executive Officer at Stagger. She serves as Creative Director at GreenStraw Creative. Chrissy is a designer by trade with a passion for visual storytelling. She started Stagger to give people an opportunity to design beautiful stories that make an impact on their audience. While building the company, she loves traveling the world to gain insight into different cultures that help shape her view of the world.</t>
  </si>
  <si>
    <t>Full Sail University, Degree, 2004, Digital Media</t>
  </si>
  <si>
    <t>The company raised $1.3 million of seed funding in a deal led by Active Capital on March 4, 2021. Natural Bridge Fund, LoftyInc Capital Management, Spacecadet Ventures, Operator Partners, Hustle Fund, Adapt Ventures, Corner3, DO Venture Partners, Claire Diaz-Ortiz, Ben Tossell, Trajectory Capital, Great Oaks Venture Capital, and Beam Angel Network also participated in the round.</t>
  </si>
  <si>
    <t>Active Capital, Adapt Ventures, Beam Angel Network, Ben Tossell, Claire Diaz-Ortiz, Corner3 Ventures, DO Venture Partners, Great Oaks Venture Capital, Hustle Fund, LoftyInc Capital Management, Natural Bridge Ventures, Operator Partners, Spacecadet Ventures, Trajectory Capital</t>
  </si>
  <si>
    <t>Active Capital(Patrick Matthews)</t>
  </si>
  <si>
    <t>Active Capital I(Active Capital), Hustle Fund I(Hustle Fund)</t>
  </si>
  <si>
    <t>78721</t>
  </si>
  <si>
    <t>www.stagger.com</t>
  </si>
  <si>
    <t>262830-88T</t>
  </si>
  <si>
    <t>Stanly</t>
  </si>
  <si>
    <t>601807-15</t>
  </si>
  <si>
    <t>AppWorks, C Capital (Hong Kong)(Clive Ng), Goodwater Capital, Palm Drive Capital</t>
  </si>
  <si>
    <t>AppWorks (www.appworks.tw), C Capital (Hong Kong) (www.c.capital.com), Goodwater Capital (www.goodwatercap.com), Palm Drive Capital (www.palmdrive.vc)</t>
  </si>
  <si>
    <t>Operator of a social platform intended to connect fans with fan clubs. The company's application allows to share about their favorite artists and creators by allowing users to join or create fan-generated artist fan clubs, enabling users to discover content, participate in gaming, chat, earn rewards, shop, and stay updated on the latest news and events.</t>
  </si>
  <si>
    <t>The company raised $8 million of venture funding in a deal led by C Capital on June 12, 2024. Palm Drive Capital, Goodwater Capital, AppWorks and other undisclosed investors also participated in the round. The funding will be used to expand its team across various departments, including engineering, operations, creator support, marketing, and sales also to continue to enhance its platform 's capabilities.</t>
  </si>
  <si>
    <t>Application Software, Social Content*</t>
  </si>
  <si>
    <t>celebrity community, celebrity news, discussion forum, fans club, fans community, interaction app, internet application</t>
  </si>
  <si>
    <t>400746-34P</t>
  </si>
  <si>
    <t>Rebecca Leung</t>
  </si>
  <si>
    <t>Ms. Rebecca Leung is a Co-Founder &amp; serves as Chief Executive Officer at Stanly.</t>
  </si>
  <si>
    <t>The company raised $8 million of venture funding in a deal led by C Capital on June 12, 2024. Palm Drive Capital, Goodwater Capital, AppWorks and other undisclosed investors also participated in the round. The funding will be used to expand its team across various departments, including engineering, operations, creator support, marketing, and sales also to continue to enhance its platform's capabilities.</t>
  </si>
  <si>
    <t>AppWorks, C Capital (Hong Kong), Goodwater Capital, Palm Drive Capital</t>
  </si>
  <si>
    <t>C Capital (Hong Kong)(Clive Ng)</t>
  </si>
  <si>
    <t>www.stanlyapp.com</t>
  </si>
  <si>
    <t>260393-77T</t>
  </si>
  <si>
    <t>Stark (Business/Productivity Software)</t>
  </si>
  <si>
    <t>443024-56</t>
  </si>
  <si>
    <t>BaseCamp Ventures, Indicator Ventures, Kleiner Perkins</t>
  </si>
  <si>
    <t>BaseCamp Ventures (www.basecampventures.com), Indicator Ventures (www.indicatorventures.com), Kleiner Perkins (www.kleinerperkins.com)</t>
  </si>
  <si>
    <t>Developer of an integrated suite of tool designed to make software products accessible and compliant. The company's tools design accessible products by optimizing workflows through intelligent automation, enabling enterprises to improve production efficiency by reducing cost and time spent on compliance.</t>
  </si>
  <si>
    <t>The company raised an undisclosed amount of venture funding from K5 Global on February 14, 2024.</t>
  </si>
  <si>
    <t>app designing tool, devops, enterprise product, product compliance, product development, software product, workflow management</t>
  </si>
  <si>
    <t>239067-91P</t>
  </si>
  <si>
    <t>Catherine Noone</t>
  </si>
  <si>
    <t>+1 (347) 201-2621</t>
  </si>
  <si>
    <t>cat@getstark.co</t>
  </si>
  <si>
    <t>Ms. Catherine Noone is a Co-Founder and serves as Chief Executive Officer &amp; Board Member at Stark Lab. She co-founded and served as Chief Design Officer at Liberio.</t>
  </si>
  <si>
    <t>The company raised $1.5 million of pre-seed funding from Indicator Ventures, Focal (VC) and Kleiner Perkins Scout Fund on October 27, 2020. BaseCamp Ventures and other undisclosed investors also participated in the round.</t>
  </si>
  <si>
    <t>www.getstark.co</t>
  </si>
  <si>
    <t>194519-17T</t>
  </si>
  <si>
    <t>Statera</t>
  </si>
  <si>
    <t>432634-42</t>
  </si>
  <si>
    <t>DWP Capital, Golden Section, Walnut Ventures</t>
  </si>
  <si>
    <t>DWP Capital (www.dwpcapital.com), Golden Section (www.goldensection.com), Walnut Ventures (www.walnutventures.com)</t>
  </si>
  <si>
    <t>Developer of a clinician compensation and performance management software designed to provide timely and actionable compensation and care insights to hospitals, medical groups, and clinicians. The company's software provides tools to monitor and communicate compensation equity by using compensation models, enabling physicians to read performance, salary, and earned compensation by reducing error-prone manual calculations.</t>
  </si>
  <si>
    <t>The company raised $2.5 million of seed funding in a deal led by DWP Capital on February 14, 2023, putting the company's pre-money valuation at $7.5 million. Income Capital, Revenue Capital, SoftWrap, In Revenue Capital and other undisclosed investors also participated in the round. The funds will be used to increase operations and improvement efforts.</t>
  </si>
  <si>
    <t>clinical management software, compensation data, compensation model, equity compensation, equity compensation service, financial management</t>
  </si>
  <si>
    <t>223559-83P</t>
  </si>
  <si>
    <t>Amy Jackson</t>
  </si>
  <si>
    <t>amy@hellostatera.com</t>
  </si>
  <si>
    <t>Ms. Amy Jackson is a Co-Founder and serves as Chief Executive Officer at Statera. Amy Jackson has built a career in healthcare change management and process improvement through technology. Trained at Harvard, Northwestern, and Brandeis, Amy started her career designing and implementing clinician-facing software. She collaborated with teams across all clinical specialties and care settings to build and implement clinician-centric solutions before moving into administration at Brigham and Women's Hospital. Struck by her daily conversations with physicians to connect the dots between opaque compensation, job satisfaction, healthcare finance flow, and patient experience, Amy founded Statera. Statera is a provider compensation and performance management software company that helps organizations move past spreadsheets so they can #stayhuman.</t>
  </si>
  <si>
    <t>Brandeis University, BA (Bachelor of Arts), 2012, Spanish Language and Literature, Northwestern University, MS (Master of Science), 2008, Medical Informatics</t>
  </si>
  <si>
    <t>The company raised $850,000 of seed funding in a deal led by Golden Section in May 2022, putting the company's pre-money valuation at $2.65 million. DWP Capital, Walnut Ventures and other undisclosed investors also participated in the round.</t>
  </si>
  <si>
    <t>Golden Section</t>
  </si>
  <si>
    <t>Osborne Maledon (Legal Advisor to Company)</t>
  </si>
  <si>
    <t>Brookline, MA</t>
  </si>
  <si>
    <t>Brookline</t>
  </si>
  <si>
    <t>02446</t>
  </si>
  <si>
    <t>www.hellostatera.com</t>
  </si>
  <si>
    <t>192714-85T</t>
  </si>
  <si>
    <t>Stay AI</t>
  </si>
  <si>
    <t>495383-86</t>
  </si>
  <si>
    <t>Adam Turner(Adam Turner), Barrel Ventures, BFG Partners, Monogram Capital Partners, Nik Sharma(Nik Sharma), Propeller Industries, RiverPark Ventures, Telescope Partners(Amit Parekh), Vanterra Ventures, Watchfire Ventures, York IE</t>
  </si>
  <si>
    <t>Barrel Ventures (www.barrelvc.com), BFG Partners (www.bfgpartners.com), Monogram Capital Partners (www.monogramcapital.com), Propeller Industries (www.propellerindustries.com), RiverPark Ventures (www.riverparkvc.com), Telescope Partners (telescopepartners.com), Vanterra Ventures (www.vanterraventures.com), Watchfire Ventures (www.watchfireventures.com), York IE (www.york.ie)</t>
  </si>
  <si>
    <t>Developer of a commerce enablement platform designed to grow subscription revenue. The company's platform provides loyalty tools including a short message service chatbot, surveying, and rewards programs to test, learn, and scale different discount types, helping businesses to increase customer lifetime value.</t>
  </si>
  <si>
    <t>The company raised $4 million of Series A-6 venture funding from undisclosed investors on March 21, 2023, putting the company's pre-money valuation at $73 million.</t>
  </si>
  <si>
    <t>analytical tool, artificial system, crm, customer relationship management, ecommerce personalization, machine learning, marketing technology company, predictive analytics, subscription program, vertical application</t>
  </si>
  <si>
    <t>258121-99P</t>
  </si>
  <si>
    <t>Gina Perrelli</t>
  </si>
  <si>
    <t>gperrelli@lunarsolargroup.com</t>
  </si>
  <si>
    <t>Ms. Gina Perrelli is the Co-Founder &amp; serves as Director, CRM at Lunar Solar Group. Ms. Perrelli is a Co-Founder &amp; serves as Chief Executive Officer and Board Member at Stay AI. She started her career at a large four-season resort where she eventually ran a team managing content calendars across 10+ business units. She first got into retention marketing developing the automation strategy to improve customer experience and LTV across a multi-million person database. She was then recruited by a partner agency to stay on the resort's account but also manage all other clients retention marketing and content calendars. After working on the agency side for two years Ms. Perrelli made the move back in-house to an app startup focused mostly on their direct-to-consumer offerings and developing customer lifecycle management strategies. After 5 years with a blend of working in-house and agency side, she joined Lunar Solar to start the CRM division. She now oversees a team of CRM specialists and digital designers that aid her in managing millions a month in CRM revenue. Over her career, she has worked with 50+ brands and now specializes in building omni-channel retention flows that increase LTV, AOV, and engagement. Ms. Perrelli takes an aggressive approach to becoming part of her clients team's to fully understand the brand and the customer. Creating custom dashboards, she has been able to identify crucial points of the customer journey and layer in the right touch points to best nurture customers to conversion.</t>
  </si>
  <si>
    <t>Montclair State University, BBA (Bachelor of Business Administration)</t>
  </si>
  <si>
    <t>The company raised $15.09 million of Series A venture funding in a deal led by Telescope Partners and Watchfire Ventures on August 1, 2023, putting the company's pre-money valuation at $45 million. Propeller Industries, Vanterra Ventures, Monogram Capital Partners, York IE, RiverPark Ventures, BFG Partners, Barrel Ventures, Nik Sharma and Adam Turner also participated in the round. The funds will be used to expand the company's team of 50, accelerating its innovation roadmap and additional acquisitions.</t>
  </si>
  <si>
    <t>Adam Turner, Barrel Ventures, BFG Partners, Monogram Capital Partners, Nik Sharma, Propeller Industries, RiverPark Ventures, Telescope Partners, Vanterra Ventures, Watchfire Ventures</t>
  </si>
  <si>
    <t>York IE</t>
  </si>
  <si>
    <t>Telescope Partners(Amit Parekh), Watchfire Ventures</t>
  </si>
  <si>
    <t>YR Investments(York IE)</t>
  </si>
  <si>
    <t>Park City, UT</t>
  </si>
  <si>
    <t>Park City</t>
  </si>
  <si>
    <t>84098</t>
  </si>
  <si>
    <t>www.stay.ai</t>
  </si>
  <si>
    <t>213126-31T</t>
  </si>
  <si>
    <t>Stell</t>
  </si>
  <si>
    <t>515628-82</t>
  </si>
  <si>
    <t>Banter Capital, Forward Deployed VC, Fulcrum Venture Group, Picks and Shovels, Rolling Fun, Third Prime, Urban Innovation Fund, Wischoff Ventures</t>
  </si>
  <si>
    <t>Forward Deployed VC (www.deployed.vc), Fulcrum Venture Group (www.fulcrumvg.com), Picks and Shovels (www.picksandshovelsvc.com), Rolling Fun (www.rolling.fun), Third Prime (www.thirdprime.vc), Urban Innovation Fund (www.urbaninnovationfund.com), Wischoff Ventures (www.wischoff.com)</t>
  </si>
  <si>
    <t>Developer of aerospace and defense supply chain software designed to digitize the relationship between aerospace companies and their suppliers with a living specification workflow. The company's platform offers various solutions such as requirement intake, workflow planning, quoting process, approval cycles solutions, feedback tracking, and more, enabling the aerospace and defense industry to eliminate the use of outdated PDFs, back-and-forth email threads, and communication errors due to complicated paperwork.</t>
  </si>
  <si>
    <t>The company raised $4.4 million of Seed-1 funding in a deal led by Long Journey Ventures, Scott Banister, and Cyan Banister on March 11, 2024, putting the company's pre-money valuation at $15.6 million. Wischoff Ventures, Third Prime, Fulcrum Venture Group, Forward Deployed VC, and Urban Innovation Fund also participated in the round. The funds will be used to hire a few more engineers and an individual dedicated to compliance and cybersecurity.</t>
  </si>
  <si>
    <t>Aerospace and Defense, Automation/Workflow Software, Business/Productivity Software*</t>
  </si>
  <si>
    <t>aerospace software, feedback tracking, quote process, supply chain software, supplychain software, workflow planning</t>
  </si>
  <si>
    <t>326324-89P</t>
  </si>
  <si>
    <t>Malory McLemore</t>
  </si>
  <si>
    <t>+1 (310) 878-1001</t>
  </si>
  <si>
    <t>malory@stell-engineering.com</t>
  </si>
  <si>
    <t>Ms. Malory McLemore is a Co-Founder &amp; serves as Chief Executive Officer at Stell. She has served in a variety of engineering, supply chain, and quality roles in Aerospace &amp; Defense. She has worked in large OEMs, building cockpit doors at Airbus and missile defense infrared detectors at Raytheon. She was an intern at Anduril Industries during her MBA. She was an early Product Manager at Hadrian, helping build the internal ERP system Flow and creating an AS9100-compliant system from scratch in less than 6 months. She has filled out and reviewed hundreds of First Article Inspection Reports and used countless customer portals and software solutions. She was trained in IBM DOORS requirements management at Airbus and has completed many large certification campaigns for complex systems. She has a bachelor's in Aerospace Engineering from the University of Alabama and an MBA from Harvard Business School.</t>
  </si>
  <si>
    <t>Harvard Business School, MBA (Master of Business Administration), University of Alabama, Tuscaloosa, Bachelor's, Aerospace Engineering</t>
  </si>
  <si>
    <t>The company raised $2.78 million of Seed-2 funding in a deal led by Wischoff Ventures and Third Prime on January 17, 2023, putting the company's pre-money valuation at $8 million. Banter Capital, Forward Deployed VC, Urban Innovation Fund, Fulcrum Venture Group, Picks and Shovels and Rolling Fun also participated in the round. The funds will be used to scale the team, build out the Stell product, and work with first design partners and customers.</t>
  </si>
  <si>
    <t>Third Prime, Wischoff Ventures</t>
  </si>
  <si>
    <t>Third Prime Alpha Fund III(Third Prime)</t>
  </si>
  <si>
    <t>Crowell &amp; Moring (Legal Advisor to Company)</t>
  </si>
  <si>
    <t>Marina Del Rey, CA</t>
  </si>
  <si>
    <t>Marina Del Rey</t>
  </si>
  <si>
    <t>www.stell-engineering.com</t>
  </si>
  <si>
    <t>194189-59T</t>
  </si>
  <si>
    <t>Stemuli</t>
  </si>
  <si>
    <t>482264-02</t>
  </si>
  <si>
    <t>Draper Associates(Timothy Draper), Slauson &amp; Co.(Austin Clements), Valor Ventures(Renee Montgomery)</t>
  </si>
  <si>
    <t>Draper Associates (www.draper.vc), Slauson &amp; Co. (www.slauson.co), Valor Ventures (www.valor.vc)</t>
  </si>
  <si>
    <t>Developer of college and career readiness platform designed to help students get virtually prepared for workspace across industries. The company's platform provides utilization of their connectivity features, career exploration, virtual mentorship, ability to employ students via virtual job fairs, creation of digital portfolios that showcase achievements, and more, enabling students to engage and prepare for their dream jobs.</t>
  </si>
  <si>
    <t>The company joined Google for Startups on February 2024. No equity or funding was exchanged as a result of this program.</t>
  </si>
  <si>
    <t>Educational and Training Services (B2C), Educational Software*, Social/Platform Software</t>
  </si>
  <si>
    <t>career exploration, career readiness, career readiness platform, college readiness, digital portfolio, e learning platform, education technology, job fairs, social networking portal, video production, virtual job fairs, virtual platform</t>
  </si>
  <si>
    <t>277933-51P</t>
  </si>
  <si>
    <t>Taylor Shead</t>
  </si>
  <si>
    <t>+1 (214) 668-6738</t>
  </si>
  <si>
    <t>taylor@stemuli.net</t>
  </si>
  <si>
    <t>Ms. Taylor Shead is a Co-Founder and serves as Chief Executive Officer at Stemuli. Ms. Shead mentors 60 students a year at Conrad Collegiate Academy and works with the Vickery Meadow Eagle Scholars. She is Leadership ISD's Fellow of the Year for 2018.</t>
  </si>
  <si>
    <t>The company raised $3.25 million of Series 1 seed funding in a deal led by Slauson &amp; Co. and Valor Ventures on May 1, 2022. Draper Associates also participated in the round. The funds will be used by the company to expand its reach nationwide to New York, California, Illinois, Georgia, and Washington D.C.</t>
  </si>
  <si>
    <t>Draper Associates, Slauson &amp; Co., Valor Ventures</t>
  </si>
  <si>
    <t>Slauson &amp; Co.(Austin Clements), Valor Ventures(Renee Montgomery)</t>
  </si>
  <si>
    <t>Slauson &amp; Co. Fund I(Slauson &amp; Co.), Valor Ventures Fund 2(Valor Ventures)</t>
  </si>
  <si>
    <t>www.stemuli.net</t>
  </si>
  <si>
    <t>200070-01T</t>
  </si>
  <si>
    <t>Stimulus</t>
  </si>
  <si>
    <t>454723-03</t>
  </si>
  <si>
    <t>Black Operator Ventures(James Norman), Bronze Valley, Darco Capital, Gabriel Investments, gener8tor, Genius Guild(Kathryn Finney), Juno Capital (United States), Microsoft Partner Capital Fund, Morgan Stanley (NYS: MS), Northwestern Mutual Future Ventures(Moiz Dawoodbhai), Plain Sight Capital, REFASHIOND Ventures(Brian Aoaeh), Right Side Capital Management, Scott Petty, Segal Ventures, Standing Oaks Venture Partners, The BFM Fund, University of Pennsylvania Health System</t>
  </si>
  <si>
    <t>Black Operator Ventures (blackopsvc.com), Bronze Valley (www.bronzevalley.com), Darco Capital (www.darcocapital.com), Gabriel Investments (www.gabriel-investments.com), gener8tor (www.gener8tor.com), Genius Guild (www.geniusguild.co), Juno Capital (United States) (www.juno.capital), Microsoft Partner Capital Fund (www.microsoftpartnercommunity.com/t5/take-advantage-of-key-benefits/apply-for-the-microsoft-partner-capital-fund/m-p/47490), Morgan Stanley (NYS: MS) (www.morganstanley.com), Northwestern Mutual Future Ventures (venture.northwesternmutual.com/future-ventures.html), Plain Sight Capital (www.plainsightcapital.com), REFASHIOND Ventures (www.refashiond.com), Right Side Capital Management (www.rightsidecapital.com), Standing Oaks Venture Partners (www.standingoaksvc.com), The BFM Fund (www.bfm.fund), University of Pennsylvania Health System (www.pennmedicine.org)</t>
  </si>
  <si>
    <t>Operator of an intelligence platform intended to help companies make better sourcing, procurement, and purchasing decisions. The company's platform uses data and analytics to offer features such as supplier comparing and measuring, data collection, custom reports, and real-time data analysis, enabling businesses to avoid risks and save costs by identifying opportunities and disruptions across the supply chain.</t>
  </si>
  <si>
    <t>The company joined Comcast NBCUniversal LIFT Labs in October 2024. No equity or funding was exchanged as a result of this program.</t>
  </si>
  <si>
    <t>data access, data analysis, purchasing decision, relationship intelligence platform, supplier diversity, supply chain, vendor search</t>
  </si>
  <si>
    <t>248073-76P</t>
  </si>
  <si>
    <t>Tiffanie Stanard</t>
  </si>
  <si>
    <t>+1 (215) 370-3018</t>
  </si>
  <si>
    <t>tstanard@getstimulus.io</t>
  </si>
  <si>
    <t>Ms. Tiffanie Stanard is a Co-Founder and serves as Chief Executive Officer at Stimulus. She has 15+ years of experience in marketing, business, technology, and a former executive in vendor management working for some of the largest publicly traded companies in the U.S. Award-winning entrepreneur and Founder of 3 companies. She holds a bachelor's degree in Business Management.</t>
  </si>
  <si>
    <t>Bachelor's, Business Management</t>
  </si>
  <si>
    <t>The company raised $2.5 million of seed funding in a deal led by Black Operator Ventures on July 11, 2022, putting the company's pre-money valuation at $6 million. Northwestern Mutual Future Ventures, The BFM Fund, University of Pennsylvania Health System, Microsoft Partner Capital Fund, Right Side Capital Management, Segal Ventures, Plain Sight Capital, Juno Capital, Gabriel Investments, Standing Oaks Venture Partners, Genius Guild, Bronze Valley, REFASHIOND Ventures, gener8tor, Scott Petty, Darco Capital and Morgan Stanley also participated in the round. The funds will be used by the company for hiring in three areas: engineering, data, and sales; and expanding partnerships with companies that have a shared goal of building better relationships with their suppliers and diversifying their supply chain.</t>
  </si>
  <si>
    <t>Black Operator Ventures, Bronze Valley, Darco Capital, Gabriel Investments, Genius Guild, Juno Capital (United States), Microsoft Partner Capital Fund, Morgan Stanley, Northwestern Mutual Future Ventures, Plain Sight Capital, REFASHIOND Ventures, Right Side Capital Management, Scott Petty, Segal Ventures, Standing Oaks Venture Partners, The BFM Fund, University of Pennsylvania Health System</t>
  </si>
  <si>
    <t>Black Operator Ventures(James Norman)</t>
  </si>
  <si>
    <t>GG Greenhouse Fund I(Genius Guild)</t>
  </si>
  <si>
    <t>Cozen O'Connor (Legal Advisor to Plain Sight Capital, Christopher McDemus), DLA Piper (Legal Advisor to Black Operator Ventures, Kevin Nolan), Morgan Lewis (Legal Advisor to Company, Jeffrey Bodle JD)</t>
  </si>
  <si>
    <t>Morgan Lewis (Legal Advisor to Company, Jeffrey Bodle JD)</t>
  </si>
  <si>
    <t>Cozen O'Connor (Legal Advisor to Plain Sight Capital, Christopher McDemus), DLA Piper (Legal Advisor to Black Operator Ventures, Kevin Nolan)</t>
  </si>
  <si>
    <t>19104</t>
  </si>
  <si>
    <t>getstimulus.io</t>
  </si>
  <si>
    <t>190652-95T</t>
  </si>
  <si>
    <t>Stockpress</t>
  </si>
  <si>
    <t>493701-85</t>
  </si>
  <si>
    <t>Alumni Ventures(David Cynn), Deftly Ventures(Arie Abecassis), Stage 2 Capital(Jay Po)</t>
  </si>
  <si>
    <t>Alumni Ventures (www.av.vc), Deftly Ventures (www.deftly.vc), Stage 2 Capital (www.stage2.capital)</t>
  </si>
  <si>
    <t>Developer of file management platform designed for teams to process and organize data easily. The company's platform allows teams to organize, manage, collaborate and share any file type, from anywhere in the world, enabling businesses to efficiently manage files and data.</t>
  </si>
  <si>
    <t>The company raised $1.8 million of Series 2 seed funding in a deal led by Argon Ventures on September 14, 2023, putting the company's pre-money valuation at $4.2 million. Stage 2 Capital, Deftly Ventures, Everywhere Ventures, York IE and Two Lanterns Venture Partners also participated in the round. The fund will be used to grow its team and invest in its motion to attract, engage, and convert new customers from the content, marketing, and creative communities.</t>
  </si>
  <si>
    <t>Automation/Workflow Software, Business/Productivity Software*, Database Software</t>
  </si>
  <si>
    <t>data center, data infrastructure, data management, data management platorm, data management system, file sharing platform, files management, files manager</t>
  </si>
  <si>
    <t>295388-74P</t>
  </si>
  <si>
    <t>Jessica Storry</t>
  </si>
  <si>
    <t>jessica@stockpress.co</t>
  </si>
  <si>
    <t>Ms. Jessica Storry is a Co-Founder and serves as Chief Executive Officer at Stockpress.</t>
  </si>
  <si>
    <t>The company raised an estimated $714,999 Seed 2 funding from Stage 2 Capital and Deftly Ventures on March 1, 2022, putting the company's pre-money valuation at $2.15 million. Alumni Ventures and other undisclosed investors also participated in the round.</t>
  </si>
  <si>
    <t>Alumni Ventures, Deftly Ventures, Stage 2 Capital</t>
  </si>
  <si>
    <t>Stage 2 Capital Fund II(Stage 2 Capital), Triphammer Ventures Fund 3(Alumni Ventures)</t>
  </si>
  <si>
    <t>www.stockpress.co</t>
  </si>
  <si>
    <t>170082-37T</t>
  </si>
  <si>
    <t>Stopwatch (Business/Productivity Software)</t>
  </si>
  <si>
    <t>279813-34</t>
  </si>
  <si>
    <t>Angeles Investors(Carlos Covarrubias), Bonfire Ventures, Bread &amp; Butter Ventures(Brett Brohl), Diana Keating(Diana Keating), Gaingels, IrishAngels, Living Grace Partners(Terry Knoploh), Red Tail Ventures, Score3 Ventures</t>
  </si>
  <si>
    <t>Angeles Investors (www.angelesinvestors.com), Bonfire Ventures (www.bonfirevc.com), Bread &amp; Butter Ventures (www.breadandbutterventures.com), Gaingels (www.gaingels.com), IrishAngels (www.irishangels.com), Red Tail Ventures (www.redtailventuresllc.com), Score3 Ventures (www.score3.vc)</t>
  </si>
  <si>
    <t>Developer of an augmented platform intended to execute real-time updates based on business rules. The company's platform offers real-time data signals to drive normalized analysis, works around the clock pulling both public and private data so marketers and supply chain leaders approve it, AI-automated workers drive cross-channel, collaborative execution between human SMEs so decisions that used to take days or even weeks execute can be done in minutes, enabling clients to empower talent and create simple services to complex challenges.</t>
  </si>
  <si>
    <t>The company raised $2 million of venture funding in the form of SAFE notes from undisclosed investors on February 3, 2023.</t>
  </si>
  <si>
    <t>ai automation platform, artificial intelligence, artificial intelligence automation, cloud software, commerce software, cross-channel, data signal, digital analyst, games theorists, syndication software</t>
  </si>
  <si>
    <t>210171-25P</t>
  </si>
  <si>
    <t>Meagan Bowman</t>
  </si>
  <si>
    <t>+1 (314) 495-7629</t>
  </si>
  <si>
    <t>mbowman@stopwatch.tech</t>
  </si>
  <si>
    <t>Ms. Meagan Bowman is a Co-Founder and serves as Chief Executive Officer and Board Member at Stopwatch. She founded OneStone Solutions Group alongside Bill Waitsman in 2017 of which Stonehenge served as the software technology and data science backbone for one of the top Omni-commerce consulting/managed services providers in the U.S. At Stonehenge, her ideas and experience led her team to develop industry-changing software that focuses on cross-platform technology including integration across over 101 online retail sites and brick&amp;mortar outlets. Prior, she consulted large CPG companies on their Amazon strategy while serving as Group Director at The MARS Agency for clients including Campbell Soup, Colgate-Palmolive, and Sun Products. In 2013, she led product development, digital integration, and eCommerce retail strategy for Hallmark including Crayola. Before moving to Bentonville, Arkansas, she built and sold 2 startup concepts focused on the intersection of consumer behavior and digital technology in 2006 and 2012 respectively. She serves as an advisor to the University of Arkansas' McMillon Innovation Studio and is on Dean Matthew Waller's Dream Board. She is a graduate of St. Louis University with an MBA from Washington University in St. Louis.</t>
  </si>
  <si>
    <t>St. Louis University, Graduate, Washington University in St. Louis, MBA (Master of Business Administration)</t>
  </si>
  <si>
    <t>The company raised $2.18 million of seed funding in the form of SAFE notes in a deal led by IrishAngels on December 20, 2021, putting the company's pre-money valuation at $10.32 million. Living Grace Partners, Gaingels, Bonfire Ventures, Red Tail Ventures, Bread &amp; Butter Ventures, Score3 Ventures, Diana Keating and Angeles Investors also participated in the round. The funds will be used to hire a sales team and go after some strategic relationships.</t>
  </si>
  <si>
    <t>Angeles Investors, Bonfire Ventures, Bread &amp; Butter Ventures, Diana Keating, Gaingels, IrishAngels, Living Grace Partners, Red Tail Ventures, Score3 Ventures</t>
  </si>
  <si>
    <t>IrishAngels</t>
  </si>
  <si>
    <t>Bread &amp; Butter Ventures Fund III(Bread &amp; Butter Ventures), IrishAngels Fund(IrishAngels)</t>
  </si>
  <si>
    <t>Anders CPAs + Advisors (Accounting to Company, Dave Finklang), Bryan Cave Leighton Paisner (Legal Advisor to Company, Taavi Annus Ph.D), Merchant &amp; Gould (Legal Advisor to Company, Heather Kliebenstein JD)</t>
  </si>
  <si>
    <t>72758</t>
  </si>
  <si>
    <t>www.stopwatch.tech</t>
  </si>
  <si>
    <t>173594-35T</t>
  </si>
  <si>
    <t>Storey</t>
  </si>
  <si>
    <t>464224-15</t>
  </si>
  <si>
    <t>Newfund Management, Progression Fund</t>
  </si>
  <si>
    <t>Newfund Management (www.newfundcap.com), Progression Fund (www.progression.fund)</t>
  </si>
  <si>
    <t>Operator of a virtual wardrobe social application intended to help users to store and share their wardrobe. The company's marketplace makes fashion circular and sustainable by closing the loop from purchase to resale by tracking online purchases and the apparel's resale value, one wardrobe at a time, enabling users to digitize closets by automatically uploading items they buy online as well as earn rewards for sharing.</t>
  </si>
  <si>
    <t>The company raised seed funding on May 1, 2022.</t>
  </si>
  <si>
    <t>apparel clothing, apparel online, closet organization, clothing firm, clothing portal, clothing style, fashion marketplace, retail items, retail website</t>
  </si>
  <si>
    <t>259408-90P</t>
  </si>
  <si>
    <t>Nicole Kobilansky</t>
  </si>
  <si>
    <t>nicole@storeytheapp.com</t>
  </si>
  <si>
    <t>Ms. Nicole Kobilansky is a Co-Founder and serves as Chief Executive Officer at Storey [Information Services (B2C)].</t>
  </si>
  <si>
    <t>MA (Master of Arts), Innovation Management, University of Toronto, Degree, 2007, Psychology</t>
  </si>
  <si>
    <t>The company raised $400,000 of Series 1 seed funding from Progression Fund and Newfund Management on April 20, 2021.</t>
  </si>
  <si>
    <t>Newfund North America I(Newfund Management)</t>
  </si>
  <si>
    <t>www.storeytheapp.com</t>
  </si>
  <si>
    <t>247352-23T</t>
  </si>
  <si>
    <t>Stork</t>
  </si>
  <si>
    <t>541499-77</t>
  </si>
  <si>
    <t>Jordan Gotberg(Jordan Gotberg), Moises Gilinski(Moises Gilinski), Tal Ventures, Tiferes Ventures</t>
  </si>
  <si>
    <t>Tal Ventures (tal-ventures.com), Tiferes Ventures (www.tiferes.vc)</t>
  </si>
  <si>
    <t>Developer of a product discovery and sourcing platform intended for jewelry retailers and suppliers to discover and connect with the luxury industry, bridging the gap between suppliers and digital sellers. The company's AI-driven platform addresses the challenges of luxury wholesale and strengthens the market demand supply and ensures e-sellers have the right products at the right time, providing e-sellers with easy access to on-demand supply that aligns well with market trends.</t>
  </si>
  <si>
    <t>The company is in the process of raising $10 million of Series A venture funding from Tal Ventures on July 24, 2024. It plans to close the round by October 24, 2024. Previously, the company raised $8.89 million of seed funding from Tal Ventures, Tiferes Ventures and Jordan Gotberg on November 27, 2023, putting the company's pre-money valuation at $12 million. Moises Gilinski also participated in the round.</t>
  </si>
  <si>
    <t>digital warehouse, green logistics, inventory stock, logistics online, supply chain data, supply management, warehouse platform</t>
  </si>
  <si>
    <t>170883-46P</t>
  </si>
  <si>
    <t>Roy Lugasi</t>
  </si>
  <si>
    <t>+1 (516) 603-8809</t>
  </si>
  <si>
    <t>roy@stork.inc</t>
  </si>
  <si>
    <t>Mr. Roy Lugasi is a Co-Founder and serves as Co-Chief Executive Officer at Stork. He Co-Founded &amp; served as Chief Executive Officer at Weepo.</t>
  </si>
  <si>
    <t>The company raised $8.89 million of seed funding from Tal Ventures, Tiferes Ventures and Jordan Gotberg on November 27, 2023, putting the company's pre-money valuation at $12 million. Moises Gilinski also participated in the round.</t>
  </si>
  <si>
    <t>Jordan Gotberg, Moises Gilinski, Tal Ventures, Tiferes Ventures</t>
  </si>
  <si>
    <t>www.stork.inc</t>
  </si>
  <si>
    <t>268923-97T</t>
  </si>
  <si>
    <t>Stork (Financial Services)</t>
  </si>
  <si>
    <t>620743-78</t>
  </si>
  <si>
    <t>CMS Holdings, Faction Ventures(Will Leas), Lattice Capital, Wintermute Ventures</t>
  </si>
  <si>
    <t>CMS Holdings (www.cms2020.com), Faction Ventures (www.faction.vc), Lattice Capital (www.lattice.fund)</t>
  </si>
  <si>
    <t>Developer of an open data marketplace designed to address the limitations of traditional blockchain oracles. The company's open data market unlocks access to decentralized, reliable and unique data, enabling users to build their vision without compromise.</t>
  </si>
  <si>
    <t>The company raised $4.71 million through a combination of Seed-1 and Seed-2 funding in a deal led by Faction Ventures and Lattice Capital on August 22, 2024, putting the company's pre-money valuation at $14.5 million. CMS Holdings, Wintermute Ventures, and other undisclosed investors also participated in the round. The funds will be used to expand company's product suite including building out and bringing to market the Open Data Market, among other initiatives.</t>
  </si>
  <si>
    <t>data provisioning, data quality, low-latency, open data, open data tool, open dataset</t>
  </si>
  <si>
    <t>407901-88P</t>
  </si>
  <si>
    <t>Meredith Pitkoff</t>
  </si>
  <si>
    <t>+1 (973) 820-1665</t>
  </si>
  <si>
    <t>mpitkoff@stork.network</t>
  </si>
  <si>
    <t>Ms. Meredith Pitkoff is a Co-Founder and serves as Chief Executive Officer, President &amp; Board Member at Stork.</t>
  </si>
  <si>
    <t>Barnard College, BA (Bachelor of Arts), 2015, Economics</t>
  </si>
  <si>
    <t>CMS Holdings, Faction Ventures, Lattice Capital, Wintermute Ventures</t>
  </si>
  <si>
    <t>Faction Ventures(Will Leas), Lattice Capital</t>
  </si>
  <si>
    <t>www.stork.network</t>
  </si>
  <si>
    <t>211360-42T</t>
  </si>
  <si>
    <t>Storyblaster</t>
  </si>
  <si>
    <t>235076-50</t>
  </si>
  <si>
    <t>412 Venture Fund, Act One Ventures(Alejandro Guerrero), Jordan Rothstein(Jordan Rothstein), Michael Montgomery(Michael Montgomery), Ron Simons(Ron Simons), Sify Ventures, Stage Venture Partners</t>
  </si>
  <si>
    <t>412 Venture Fund (www.412venturefund.com), Act One Ventures (www.actoneventures.com), Michael Montgomery (johnmichael.com), Sify Ventures (www.sifyventures.com), Stage Venture Partners (www.stagevp.com)</t>
  </si>
  <si>
    <t>Developer of social media marketing software designed to increase customer engagement. The company's software offers strategy, content expertise, video content, promotion, ad-buying capabilities, packing, and everything needed to market a product in a single place, enabling brands to connect emotionally and authentically with their target audience, increasing engagement and sales.</t>
  </si>
  <si>
    <t>The company raised $2.5 million through a combination of Seed and Seed-1 funding in a deal led by Stage Venture Partners and Act One Ventures on March 5, 2020, putting the company's pre-money valuation at $4.5 million. Sify Ventures and 4 other investors also participated in the round.</t>
  </si>
  <si>
    <t>Business/Productivity Software, Consulting Services (B2B), Media and Information Services (B2B)*</t>
  </si>
  <si>
    <t>marketing platform, marketing service agency, media marketing, paid media planning, saas-based product, sales growth</t>
  </si>
  <si>
    <t>197725-24P</t>
  </si>
  <si>
    <t>Hillary Carlip</t>
  </si>
  <si>
    <t>+1 (323) 882-8275</t>
  </si>
  <si>
    <t>hillary@storyblaster.com</t>
  </si>
  <si>
    <t>Ms. Hillary Carlip is a Co-Founder serves as Chief Creative Officer &amp; Board Member at Storyblaster. She is an award-winning, best-selling author of 5 books, noted visual artist whose work has toured museums and is featured in permanent collections, and digital innovator-writing and designing content, web platforms, and social campaigns since 1999.</t>
  </si>
  <si>
    <t>The company raised $2.5 million through a combination of Seed and Seed-1 funding in a deal led by Stage Venture Partners and Act One Ventures on March 5, 2020, putting the company's pre-money valuation at $4.5 million. Sify Ventures, 412 Venture Fund, Ron Simons, Michael Montgomery and Jordan Rothstein also participated in the round.</t>
  </si>
  <si>
    <t>412 Venture Fund, Act One Ventures, Jordan Rothstein, Michael Montgomery, Ron Simons, Sify Ventures, Stage Venture Partners</t>
  </si>
  <si>
    <t>Act One Ventures(Alejandro Guerrero), Stage Venture Partners</t>
  </si>
  <si>
    <t>www.storyblaster.com</t>
  </si>
  <si>
    <t>172081-00T</t>
  </si>
  <si>
    <t>STRATAFOLIO</t>
  </si>
  <si>
    <t>308594-35</t>
  </si>
  <si>
    <t>FIN Capital Angels, ISA Ventures, Second Century Ventures</t>
  </si>
  <si>
    <t>FIN Capital Angels (fincapitalangels.com), ISA Ventures (www.isaventures.com), Second Century Ventures (scv.vc)</t>
  </si>
  <si>
    <t>Developer of property management platform designed to provide real-time data analytics for commercial real estate portfolios. The company's platform offers wide range of services including cash flow management, debt management, file management, lease management, and investor management, enabling portfolio managers in real-time analytics and integration of data seamlessly.</t>
  </si>
  <si>
    <t>The company raised an undisclosed amount of venture funding from InnoVenture Iowa on June 15, 2023.</t>
  </si>
  <si>
    <t>Real Estate Technology, SaaS</t>
  </si>
  <si>
    <t>business management software, commercial real estate, management software product, non commercial estate, portfolio management software, real estate company, real estate management software</t>
  </si>
  <si>
    <t>144821-71P</t>
  </si>
  <si>
    <t>Jeri Frank</t>
  </si>
  <si>
    <t>+1 (319) 214-3092</t>
  </si>
  <si>
    <t>jeri@stratafolio.com</t>
  </si>
  <si>
    <t>Ms. Jeri Frank is a Co-Founder and serves as Chief Executive Officer, President and Board Member at Stratafolio. She also co-founded AssetRover and also served as its Chief Executive Officer.</t>
  </si>
  <si>
    <t>The company raised $1.18 million of Series A venture funding from Second Century Ventures, ISA Ventures and FIN Capital Angels on September 23, 2021, putting the company's pre-money valuation at $5 million.</t>
  </si>
  <si>
    <t>Cedar Rapids, IA</t>
  </si>
  <si>
    <t>Cedar Rapids</t>
  </si>
  <si>
    <t>52401</t>
  </si>
  <si>
    <t>stratafolio.com</t>
  </si>
  <si>
    <t>207513-01T</t>
  </si>
  <si>
    <t>Streamline AI</t>
  </si>
  <si>
    <t>501883-30</t>
  </si>
  <si>
    <t>Oceans Ventures(Steven Rosenblatt), Operator Partners, Pareto Holdings, Ridge Ventures, RiverPark Ventures, Scribble Ventures, The Legal Tech Fund</t>
  </si>
  <si>
    <t>Oceans Ventures (www.oceans.ventures), Operator Partners (www.operatorpartners.com), Pareto Holdings (www.pareto20.com), Ridge Ventures (www.ridge.vc), RiverPark Ventures (www.riverparkvc.com), Scribble Ventures (www.scribble.vc), The Legal Tech Fund (www.legaltech.com)</t>
  </si>
  <si>
    <t>Developer of a cloud-based intelligent intake and workflow platform designed for in-house legal teams to collaborate better with the business and to work more efficiently internally with each other. The company's dashboard helps teams to improve legal and business relationships by giving automated updates and workflow by eliminating manual tasks and creating built-in reports for clients balancing intuitive and delightful design with robust infrastructure and security, enabling clients to automate legal requests and bring order to chaos.</t>
  </si>
  <si>
    <t>The company raised $2.25 million of venture funding from Scribble Ventures on an undisclosed date.</t>
  </si>
  <si>
    <t>legal analytics, legal data, legal database, legal platform, legal platform provider, legal process, legal solution, no coding workflow</t>
  </si>
  <si>
    <t>309775-87P</t>
  </si>
  <si>
    <t>Kathy Zhu</t>
  </si>
  <si>
    <t>kzhu@streamline.ai</t>
  </si>
  <si>
    <t>Ms. Kathy Zhu is a Co-Founder and serves as Chief Executive Officer and GC at Streamline AI. She is Senior Director, Associate General Counsel, Commercial &amp; Legal Operations at DoorDash. She is also an advisor to LegalDesk, a workflow optimization platform designed to help in-house legal teams to manage requests as well as visualize workflow metrics on a beautiful dashboard. She advises LegalDesk on product strategy and design based on learnings from her own experience from scaling a commercial team, managing multiple workstreams, and dealing with volume challenges. She was formally Senior Counsel at Medallia, where she worked on key customer accounts including Hilton, Shell, Farmer's Insurance, and Toyota. Before moving to Medallia, she worked as an associate in corporate practice for the private Palo Alto law firm of Wilson Sonsini Goodrich &amp; Rosati. She is a graduate of Notre Dame and the University of Michigan Law School and is based in San Francisco, CA.advisor to LegalDesk, a workflow optimization platform designed to help in-house legal teams to manage requests as well as visualize workflow metrics on a beautiful dashboard. She advises LegalDesk on product strategy and design.</t>
  </si>
  <si>
    <t>University of Michigan Law School, JD (Doctor of Law), University of Notre Dame, BA (Bachelor of Arts), English Literature</t>
  </si>
  <si>
    <t>The company raised $3 million of pre-seed funding in a deal led by Oceans Ventures on November 2, 2022. Scribble Ventures, Ridge Ventures, RiverPark Ventures, The Legal Tech Fund, Pareto Holdings and Operator Partners also participated in the round. The funds will be used to supercharge how business teams work.</t>
  </si>
  <si>
    <t>Oceans Ventures, Operator Partners, Pareto Holdings, Ridge Ventures, RiverPark Ventures, Scribble Ventures, The Legal Tech Fund</t>
  </si>
  <si>
    <t>Oceans Ventures(Steven Rosenblatt)</t>
  </si>
  <si>
    <t>Oceans Ventures II(Oceans Ventures), Ridge Venture IV(Ridge Ventures), Ridge Ventures V(Ridge Ventures), Scribble Ventures I(Scribble Ventures)</t>
  </si>
  <si>
    <t>Gunderson Dettmer (Legal Advisor to Oceans Ventures), Wilson Sonsini Goodrich &amp; Rosati (Legal Advisor to Company, Lang Liu JD)</t>
  </si>
  <si>
    <t>Gunderson Dettmer (Legal Advisor to Oceans Ventures)</t>
  </si>
  <si>
    <t>www.streamline.ai</t>
  </si>
  <si>
    <t>135265-96T</t>
  </si>
  <si>
    <t>Strella</t>
  </si>
  <si>
    <t>228583-00</t>
  </si>
  <si>
    <t>Arthur Mesher(Arthur Mesher), Catapult Ventures (Los Altos), Mark Cuban(Mark Cuban), Red &amp; Blue Ventures(Brett Topche), UNION Labs VC, Yamaha Motor Ventures &amp; Laboratory Silicon Valley(Nolan Paul)</t>
  </si>
  <si>
    <t>Catapult Ventures (Los Altos) (www.catapult.vc), Mark Cuban (markcubancompanies.com), Red &amp; Blue Ventures (www.redandblue.vc), UNION Labs VC (www.unionlabs.com), Yamaha Motor Ventures &amp; Laboratory Silicon Valley (www.yamahamotor.vc)</t>
  </si>
  <si>
    <t>Developer of a biosensing platform designed to predict fruit ripeness. The company's platform offers a biosensor technology fueled by algorithm capabilities to offer a data-driven approach to ensure fruit quality throughout every segment of the supply chain, enabling clients and customers to deliver better products and reduce food waste.</t>
  </si>
  <si>
    <t>The company raised $5.6 million of debt financing on September 10, 2024. Previously, the company raised an undisclosed amount of venture funding from The 98 in approximately June 2024.</t>
  </si>
  <si>
    <t>Business/Productivity Software*, Electronic Equipment and Instruments</t>
  </si>
  <si>
    <t>Internet of Things</t>
  </si>
  <si>
    <t>agriculture technology firm, biosensing platform, biosensing technology, connected agriculture, industrial iot, natural resources, wireless sensor products, wireless sensor services, wireless sensor technology</t>
  </si>
  <si>
    <t>185400-91P</t>
  </si>
  <si>
    <t>Katherine Sizov</t>
  </si>
  <si>
    <t>+1 (703) 909-4543</t>
  </si>
  <si>
    <t>katya@strellabiotech.com</t>
  </si>
  <si>
    <t>Ms. Katherine Sizov is a Co-Founder and serves as Chief Executive Officer, President and Board Member at Strella.</t>
  </si>
  <si>
    <t>Degree, University of Pennsylvania, Bachelor's, Molecular Biology</t>
  </si>
  <si>
    <t>The company raised $3.32 million of Seed funding in a deal led by Yamaha Motor Ventures &amp; Laboratory Silicon Valley and Catapult Ventures (Los Altos) on April 17, 2020, putting the company's pre-money valuation at $7 million. Red &amp; Blue Ventures, Union Labs, Arthur Mesher and Mark Cuban also participated in the round. The funds will be used to support its product expansion into the retail distribution market, refining its technology for on-pallet sensing to allow data streaming throughout transportation to ensure better product selection by distributors and product quality at delivery to grocery stores.</t>
  </si>
  <si>
    <t>Arthur Mesher, Catapult Ventures (Los Altos), Mark Cuban, Red &amp; Blue Ventures, UNION Labs VC, Yamaha Motor Ventures &amp; Laboratory Silicon Valley</t>
  </si>
  <si>
    <t>Catapult Ventures (Los Altos), Yamaha Motor Ventures &amp; Laboratory Silicon Valley(Nolan Paul)</t>
  </si>
  <si>
    <t>Catapult Ventures I(Catapult Ventures (Los Altos)), Red &amp; Blue Ventures I(Red &amp; Blue Ventures), Union Labs Ventures(UNION Labs VC), Yamaha Motor Exploratory Fund(Yamaha Motor Ventures &amp; Laboratory Silicon Valley)</t>
  </si>
  <si>
    <t>DLA Piper (Legal Advisor to Yamaha Motor Ventures &amp; Laboratory Silicon Valley, Richard Bull JD), Silicon Legal Strategy (Legal Advisor to UNION Labs VC, Andre Gharakhanian JD)</t>
  </si>
  <si>
    <t>www.strellabiotech.com</t>
  </si>
  <si>
    <t>Investigating or analysing materials by determining their chemical or physical properties, Peptides</t>
  </si>
  <si>
    <t>274741-30T</t>
  </si>
  <si>
    <t>Strella (Business/Productivity Software)</t>
  </si>
  <si>
    <t>691856-74</t>
  </si>
  <si>
    <t>Decibel Partners(Jéssica Leão), Unusual Ventures</t>
  </si>
  <si>
    <t>Decibel Partners (www.decibel.vc), Unusual Ventures (www.unusual.vc)</t>
  </si>
  <si>
    <t>Developer of a customer research platform designed for brands to analyze responses in real time. The company's platform uses artificial intelligence to analyze interviews in real-time, with insights tailored to user's objectives, backed by underlying verbatim and highlight clips, enabling enterprises to capture participants' real-time reactions and interactions at any place any time.</t>
  </si>
  <si>
    <t>The company raised $3.98 million through a combination of Seed-1 and Seed-2 funding in a deal led by Decibel Partners on October 15, 2024, putting the company's pre-money valuation at $12 million. Unusual Ventures and other undisclosed investors also participated in the round. The funds will be used to expand its reach across industries and company sizes.</t>
  </si>
  <si>
    <t>ai insights, customer analytics tool, customer insights monitoring, customer insights platform, customer research platform, customer research technology</t>
  </si>
  <si>
    <t>266607-91P</t>
  </si>
  <si>
    <t>Lydia Hylton</t>
  </si>
  <si>
    <t>Ms. Lydia Hylton is a Co-Founder &amp; serves as Chief Executive Officer at Strella. Ms. Hylton served as Partner at Bain Capital Crypto. Ms. Hylton served as Investor at Redpoint Ventures. Ms. Hylton also serves as Executive at Bain Capital Crypto. Before joining Bain Capital Crypto, Ms. Hylton was investing in Web3 infrastructure at Redpoint Ventures. Originally trained in software engineering and data science, Ms. Hylton is an analytics nerd and moonlights as a Dune Wizard.</t>
  </si>
  <si>
    <t>Decibel Partners, Unusual Ventures</t>
  </si>
  <si>
    <t>Decibel Partners(Jéssica Leão)</t>
  </si>
  <si>
    <t>www.strella.io</t>
  </si>
  <si>
    <t>126826-84T</t>
  </si>
  <si>
    <t>Strongsuit</t>
  </si>
  <si>
    <t>322943-86</t>
  </si>
  <si>
    <t>Alumni Ventures, Bloomberg Beta, MGV(Marc Schroeder), Precursor Ventures, Rev1 Ventures, Tuesday Capital</t>
  </si>
  <si>
    <t>Alumni Ventures (www.av.vc), Bloomberg Beta (www.bloombergbeta.com), MGV (www.mgv.vc), Precursor Ventures (precursorvc.com), Rev1 Ventures (www.rev1ventures.com), Tuesday Capital (www.tuesday.vc)</t>
  </si>
  <si>
    <t>Developer a professional task management services platform designed to help busy professionals manage life outside the office. The company offers a task management platform, which is based on technology and predictive analytics, along with a touch of human service, providing employers a new way to retain talent, enabling employees to remember their unfinished tasks and helping to manage their life outside their office.</t>
  </si>
  <si>
    <t>The company raised $3 million of venture funding from Bloomberg Beta, Rev1 Ventures, Eudemian Ventures and 10X Capital on November 23, 2022, putting the company's pre-money valuation at $10 million. North Coast Ventures and 4 other investors also participated in the round.</t>
  </si>
  <si>
    <t>HR Tech, LOHAS &amp; Wellness</t>
  </si>
  <si>
    <t>employee mental health, employee wellbeing, employee wellness application, employee wellness platform, employee wellness solutions, task management dashboard, task management software</t>
  </si>
  <si>
    <t>212831-92P</t>
  </si>
  <si>
    <t>Lindsey Michaelides</t>
  </si>
  <si>
    <t>+1 (216) 389-0037</t>
  </si>
  <si>
    <t>lindsey@strongsuit.co</t>
  </si>
  <si>
    <t>Ms. Lindsey Michaelides is a Co-Founder &amp; serves as Chief Executive Officer, President, and Board Member at Strongsuit. Lindsey was a business strategist and management consultant with McKinsey &amp; Company. Lindsey has more than 10 years of experience in business strategy with experience across the healthcare, retail, and media industries. Both as a consultant and corporate strategy leader, Lindsey focused largely on business model transformation and large-scale M&amp;A and joint venture creation. She has an MBA from Duke University and an undergraduate degree from DePauw University.</t>
  </si>
  <si>
    <t>DePauw University, Degree, 2005, Duke University, MBA (Master of Business Administration), 2012</t>
  </si>
  <si>
    <t>The company raised $875,000 through a combination of Seed-1 and Seed-2 funding from Bloomberg Beta, Maschmeyer Group Ventures and Tuesday Capital on March 17, 2020, putting the company's pre-money valuation at $2.5 million. Precursor Ventures, Alumni Ventures, Rev1 Ventures, and other undisclosed investors also participated in the round.</t>
  </si>
  <si>
    <t>Alumni Ventures, Bloomberg Beta, MGV, Precursor Ventures, Rev1 Ventures, Tuesday Capital</t>
  </si>
  <si>
    <t>AVG Emerging Markets Fund 2021(Alumni Ventures), AVG Select Fund(Alumni Ventures), Bloomberg Beta II(Bloomberg Beta), MGV I(MGV), Precursor Ventures III(Precursor Ventures), Rev1 Fund I(Rev1 Ventures), Tuesday Capital IV(Tuesday Capital)</t>
  </si>
  <si>
    <t>Columbus, OH</t>
  </si>
  <si>
    <t>Columbus</t>
  </si>
  <si>
    <t>43215</t>
  </si>
  <si>
    <t>www.strongsuit.co</t>
  </si>
  <si>
    <t>160674-94T</t>
  </si>
  <si>
    <t>Stuf</t>
  </si>
  <si>
    <t>454787-83</t>
  </si>
  <si>
    <t>ANIM Fund, Good Friends, Harlem Capital(Henri Pierre-Jacques), Wilshire Lane Capital</t>
  </si>
  <si>
    <t>ANIM Fund (www.animfund.com), Good Friends (www.goodfriends.com), Harlem Capital (harlem.capital), Wilshire Lane Capital (www.wilshirelanecapital.com)</t>
  </si>
  <si>
    <t>Provider of self-storage services intended to provide storage in a warm and inviting environment for tech-enabled users. The company partners with real estate owners to monetize underutilized spaces in commercial buildings, creating new cash flow opportunities while providing neighborhoods with new amenities, enabling house owners and tenants to search for new renting options.</t>
  </si>
  <si>
    <t>The company raised $11 million of Series A venture funding in a deal led by Allegion Ventures and Altos Venture on February 16, 2023, putting the company's pre-money valuation at $19 million. Cerity Partners Ventures and 5 other investors also participated in the round. The funds will be used to expand nationally, bringing its tech-enabled storage closer to more people and businesses across the U.S.</t>
  </si>
  <si>
    <t>Application Software, Other Services (B2C Non-Financial)*, Real Estate Services (B2C)</t>
  </si>
  <si>
    <t>consumer services platform, consumer services provider, real estate services, renting platform, renting platform operator, renting service, renting service firm, self storage, self storage operator, storage services</t>
  </si>
  <si>
    <t>247815-82P</t>
  </si>
  <si>
    <t>Katharine Lau</t>
  </si>
  <si>
    <t>+1 (212) 677-0180</t>
  </si>
  <si>
    <t>kat@stufstorage.com</t>
  </si>
  <si>
    <t>Ms. Katharine Lau is a Co-Founder and serves as Chief Executive Officer and Board Member at Stuf.</t>
  </si>
  <si>
    <t>The company raised $1.8 million through a combination of Seed-1 and Seed-2 funding in a deal led by Harlem Capital Partners and Wilshire Lane Capital on December 9, 2020, putting the company's pre-money valuation at $5.2 million. Good Friends, ANIM Fund and other undisclosed investors also participated in the round.</t>
  </si>
  <si>
    <t>ANIM Fund, Good Friends, Harlem Capital, Wilshire Lane Capital</t>
  </si>
  <si>
    <t>Harlem Capital(Henri Pierre-Jacques), Wilshire Lane Capital</t>
  </si>
  <si>
    <t>Harlem Capital Partners Venture Fund I(Harlem Capital)</t>
  </si>
  <si>
    <t>www.stufstorage.com</t>
  </si>
  <si>
    <t>241032-07T</t>
  </si>
  <si>
    <t>Succinct</t>
  </si>
  <si>
    <t>533382-31</t>
  </si>
  <si>
    <t>Bluebirds Capital, F.actor</t>
  </si>
  <si>
    <t>Bluebirds Capital (www.bluebirds.capital), F.actor (www.f.actor)</t>
  </si>
  <si>
    <t>Developer of proof of stake consensus blockchain technology designed to read the Ethereum state securely on any chain. The company provides an open-source platform to write programs, reuse existing crates and libraries, and generate proofs blazingly fast, helping developers write rust without sacrificing performance.</t>
  </si>
  <si>
    <t>The company raised $43 million of Series A venture funding in a deal led by Paradigm (Crypto Fund) on March 21, 2024, putting the company's pre-money valuation at $227 million. Zero Knowledge Validation, Bankless Ventures, Robot Ventures, John Adler , Geometry, Sandeep Nailwal, Daniel Lubarov, Standard Crypto ,and Sreeram Kannan also participated in the round.</t>
  </si>
  <si>
    <t>Cryptocurrency/Blockchain, SaaS</t>
  </si>
  <si>
    <t>blockchain technology company, blockchain technology developer, ethereum blockchain, ethereum network, proof of stake, proof of stake protocol</t>
  </si>
  <si>
    <t>360065-71P</t>
  </si>
  <si>
    <t>Uma Roy</t>
  </si>
  <si>
    <t>Ms. Uma Roy is a Co-Founder and serves as Chief Executive Officer at Succinct Labs. She was formerly a Software Engineer at Gantry, AI/Brain Resident at Google.</t>
  </si>
  <si>
    <t>The company raised an estimated $12 million of seed funding from Bluebirds Capital and F.actor on November 15, 2022, putting the company's pre-money valuation at $38 million. Originally the amount was raised in the form of SAFE notes which subsequently got converted to equity.</t>
  </si>
  <si>
    <t>www.succinct.xyz</t>
  </si>
  <si>
    <t>201187-99T</t>
  </si>
  <si>
    <t>Sugarwork</t>
  </si>
  <si>
    <t>503061-49</t>
  </si>
  <si>
    <t>Altari Ventures, Blue Lion Global, Charge Ventures, Everywhere Ventures</t>
  </si>
  <si>
    <t>Altari Ventures (altariventures.com), Blue Lion Global (www.bluelion.co), Charge Ventures (www.charge.vc), Everywhere Ventures (everywhere.vc)</t>
  </si>
  <si>
    <t>Developer of an AI-powered technology platform designed to improve team empowerment. The company's platform offers customized templates and tracks the knowledge-sharing progress of employees to reduce reorganisation expenses, enabling clients to accelerate business growth and invest in on-boarding.</t>
  </si>
  <si>
    <t>The company joined Harvard Alumni Entrepreneurs as a part of 2024 Cohort on March 12, 2024.</t>
  </si>
  <si>
    <t>ai-powered technology, knowledge-based software, pre-retirement planning, retirement help, retirement plan, retirement planning, team empowerment, team management, wealthtech</t>
  </si>
  <si>
    <t>133697-80P</t>
  </si>
  <si>
    <t>Judith Williams</t>
  </si>
  <si>
    <t>judith@sugarwork.com</t>
  </si>
  <si>
    <t>Dr. Judith Williams is a Co-Founder of Sugarwork. She is an internationally recognized leader. As a metrics-driven human resources strategist, she is known for focusing on cross-functional outcomes across the organizations she leads and advises. With more than twenty years of global human resources and cross-cultural diversity experience, she has developed deep expertise in building and developing diverse talent pipelines, creating inclusive cultures, and building leadership accountability for all talent outcomes. Before her role at Sugarwork, she served as Senior Vice President, Chief Diversity and Inclusion Officer, and Global Head of People Sustainability, and at SAP, SE. where she was responsible for building and maintaining a healthy and inclusive culture for SAP's more than 100,000 global employees. She led both the Global Health and Wellbeing Team and the Global Diversity and Inclusion Office. She serves as a Board Member at Siteimprove, Inc. She also serves as a Special Advisor for Brighton Park Capital. In addition, she serves as a member of the international Advisory Board of ESSEC, a French business school that educates business leaders on all levels - undergraduate, postgraduate, and doctoral, as well as providing executive education programs, and is an executive sponsor for its Generation Africa Executive Certificate. She holds an A.B. from Harvard College and an MA and PhD from Stanford University. She has served the university as a College Director for the Harvard Alumni Association and is currently both an Elected Director of the Harvard Alumni Association and a member of the Radcliffe Dean's Advisory Committee.</t>
  </si>
  <si>
    <t>Harvard University, BA (Bachelor of Arts), Government, Stanford University, MA (Master of Arts), Stanford University, Ph.D. (Doctor of Philosophy), drama</t>
  </si>
  <si>
    <t>The company raised $3.1 million of seed funding from Charge Ventures, Everywhere Ventures, Blue Lion Global, and Altari Ventures on April 19, 2022, putting the company's pre-money valuation at $7.5 million.</t>
  </si>
  <si>
    <t>www.sugarwork.com</t>
  </si>
  <si>
    <t>158657-41T</t>
  </si>
  <si>
    <t>Suma (Financial Services)</t>
  </si>
  <si>
    <t>443135-80</t>
  </si>
  <si>
    <t>2045 Ventures, Anna Barber(Anna Barber), Arlan Hamilton(Arlan Hamilton), Backstage Capital, Carmen Palafox(Carmen Palafox), Chingona Ventures(Samara Hernandez), Everywhere Ventures, Female Founders Fund, Gale Wilkinson(Gale Wilkinson), Ilse Calderon(Ilse Calderon), Ivelisse Simon(Ivelisse Simon), Lolita Taub(Lolita Taub), Noramay Cadena(Noramay Cadena), OVO Fund, Portfolia, Raina Kumra(Raina Kumra), Samara Hernández(Samara Hernández), VITALIZE Venture Capital(Gale Wilkinson)</t>
  </si>
  <si>
    <t>2045 Ventures (www.2045vc.com), Backstage Capital (www.backstagecapital.com), Chingona Ventures (chingona.ventures), Everywhere Ventures (everywhere.vc), Female Founders Fund (www.femalefoundersfund.com), OVO Fund (www.ovofund.com), Portfolia (www.portfolia.co), VITALIZE Venture Capital (vitalize.vc)</t>
  </si>
  <si>
    <t>Developer of a digital platform designed to teach the Latino community how to build and sustain wealth. The company's platform uses the holistic approach of digital media, fin-tech, and virtual experiences to teach topics of investment, debt management, and creating and sustaining wealth, enabling clients in the Latino community to deal with their financial issues and get them resolved in a hassle-free manner.</t>
  </si>
  <si>
    <t>The company raised $2.2 million of seed funding in a deal led by Radicle Impact on February 6, 2024. Resilience VC, American Heart Association, Altalurra Ventures, Chingona Ventures, OVO Fund, Female Founders Fund, VamosVentures, Acumen America, Ulu Ventures, Gaingels, RevTech Labs Capital and One World also participated in the round.</t>
  </si>
  <si>
    <t>debt management, financial inclusion, financial inclusion platform, financial inclusion services, financial issues, financial technology, personal financial management, wealthtech</t>
  </si>
  <si>
    <t>44877-97P</t>
  </si>
  <si>
    <t>Beatriz Greiff Acevedo</t>
  </si>
  <si>
    <t>+1 (323) 629-8732</t>
  </si>
  <si>
    <t>bea@sumawealth.com</t>
  </si>
  <si>
    <t>Ms. Beatriz Acevedo is a Co-Founder and serves as Chief Executive Officer at Suma. She serves as Board Member at PocketWatch. She also co-founded MiTu. She also served as President at Mitu. Acevedo is the Co-Founder at MiTu. Currently, She is also the Founder and President of HIP Entertainment Group. She is a three-time Emmy award-winning producer, community builder, entrepreneur, and philanthropist. She is a sought-after keynote speaker and mentor to the next generation of Latino/a/x leaders. Her previous startup mitú continues to be the leading digital media brand for U.S. Latinx millennials. She sits on numerous boards and advisory boards lending her unique cultural insights to The LA2028 Olympics, Annenberg Foundation's PledgeLA, Delta Airlines, The Latino Community Foundation, Homeboy Industries, 9th Wonder, Latino Donor Collaborative, LA Collab, Pocketwatch, and Encantos Media. She is also an advisor to the Mayor of Los Angeles, Eric Garcetti, as part of his Tech Council.</t>
  </si>
  <si>
    <t>University of California, San Diego, BA (Bachelor of Arts), Marketing Communication</t>
  </si>
  <si>
    <t>The company raised $1.3 million of pre-seed funding in a deal led by Samara Hernández on September 3, 2020, putting the company's pre-money valuation at $2.5 million. Chingona Ventures, VITALIZE Venture Capital, OVO Fund, Female Founders Fund, Backstage Capital, The Fund, 2045 Ventures, Portfolia, Raina Kumra, Arlan Hamilton, Anna Barber, Carmen Palafox, Gale Wilkinson, Ivelisse Rodriguez Simon, Lolita Taub, Noramay Cadena and Ilse Calderon also participated in the round. The funds will be used to grow the community and expand financial services capabilities.</t>
  </si>
  <si>
    <t>2045 Ventures, Anna Barber, Arlan Hamilton, Backstage Capital, Carmen Palafox, Chingona Ventures, Everywhere Ventures, Female Founders Fund, Gale Wilkinson, Ilse Calderon, Ivelisse Simon, Lolita Taub, Noramay Cadena, OVO Fund, Portfolia, Raina Kumra, Samara Hernández, VITALIZE Venture Capital</t>
  </si>
  <si>
    <t>Samara Hernández(Samara Hernández)</t>
  </si>
  <si>
    <t>Backstage Capital Fund II(Backstage Capital), Everywhere Ventures I-B(Everywhere Ventures), Female Founders Fund II(Female Founders Fund), Portfolia Rising America Fund(Portfolia), Vitalize Fund I(VITALIZE Venture Capital)</t>
  </si>
  <si>
    <t>Cooley (Legal Advisor to Chingona Ventures)</t>
  </si>
  <si>
    <t>www.sumawealth.com</t>
  </si>
  <si>
    <t>170357-41T</t>
  </si>
  <si>
    <t>Sunday (Financial Software)</t>
  </si>
  <si>
    <t>464385-52</t>
  </si>
  <si>
    <t>Coatue Management, HEC ventures, New Wave VC(Pia d'Iribarne)</t>
  </si>
  <si>
    <t>Coatue Management (www.coatue.com), HEC ventures (www.hecalumni.fr), New Wave VC (www.newwave.vc)</t>
  </si>
  <si>
    <t>Developer of a QR-based payment application designed to make payments in restaurants. The company's application uses artificial intelligence to track past bills and food allergies and saves users' favorite payment methods, enabling restaurants to increase table turnover rates by offering a way to check the menu and pay without touching anything.</t>
  </si>
  <si>
    <t>The company raised $100 million of Series A venture funding in a deal led by Coatue Management on September 22, 2021. Convivialité Ventures, French Partners, DST Global, Xavier Niel and other undisclosed investors also participated in the round. The funds will be used to expand to new restaurants, launch new features, such as table booking, ordering, and loyalty programs, and double the company's number of team members over the next twelve months. Previously, the company raised $24 million of seed funding in a deal led by Coatue Management on April 14, 2021, putting the company's pre-money valuation at $116 million. New Wave VC, HEC ventures and other undisclosed investors also participated in the round.</t>
  </si>
  <si>
    <t>Artificial Intelligence &amp; Machine Learning, FinTech, Mobile, Restaurant Technology</t>
  </si>
  <si>
    <t>customer relationship management, digital commerce, ecommerce payment, enterprise payment, online payment, online payment app, payment platform, qr code developer, qr code reader, qr coding payment, restaurant payment application</t>
  </si>
  <si>
    <t>367334-56P</t>
  </si>
  <si>
    <t>Christine Wendel</t>
  </si>
  <si>
    <t>christine.dewendel@sundayapp.com</t>
  </si>
  <si>
    <t>Ms. Christine de Wendel is a Co-Founder and serves as Co-Chief Executive Officer at Sunday. She is an Angel Investor. She served as Chief Operating Officer at ManoMano. She started her professional career in France at Bain &amp; Company as a consultant in 2004. She then worked on the development of Starwood Hotels &amp; Resorts Worldwide in 2007, before taking an MBA at Insead in 2009.</t>
  </si>
  <si>
    <t>Georgetown University, Degree, 2002, INSEAD, MBA (Master of Business Administration), 2010, London School of Economics and Political Science, Degree, 2003</t>
  </si>
  <si>
    <t>The company raised $24 million of seed funding in a deal led by Coatue Management on April 14, 2021, putting the company's pre-money valuation at $116 million. New Wave VC, HEC ventures and other undisclosed investors also participated in the round.</t>
  </si>
  <si>
    <t>Coatue Management, HEC ventures, New Wave VC</t>
  </si>
  <si>
    <t>Coatue Management</t>
  </si>
  <si>
    <t>New Wave Fund(New Wave VC)</t>
  </si>
  <si>
    <t>Cooley (Legal Advisor to Company), Orrick (Legal Advisor to Coatue Management)</t>
  </si>
  <si>
    <t>Orrick (Legal Advisor to Coatue Management)</t>
  </si>
  <si>
    <t>www.sundayapp.com</t>
  </si>
  <si>
    <t>269198-83T</t>
  </si>
  <si>
    <t>Sundial</t>
  </si>
  <si>
    <t>460096-66</t>
  </si>
  <si>
    <t>515 Ventures, F7 Ventures, GreatPoint Ventures, Mantis VC, Milkbox Partners, Sequoia Capital, Slow Ventures, Tribe Capital</t>
  </si>
  <si>
    <t>515 Ventures (www.515ventures.com), F7 Ventures (www.f7ventures.com), GreatPoint Ventures (www.gpv.com), Mantis VC (www.mantisvc.com), Milkbox Partners (www.milkboxpartners.com), Sequoia Capital (www.sequoiacap.com), Slow Ventures (www.slow.co), Tribe Capital (www.tribecap.co)</t>
  </si>
  <si>
    <t>Developer of a data insights system designed to automate product analysis. The company's software helps understand the product's story and provides insights related to the mission and vision with raw data to entities, metrics, and visualizations, enabling team members to prioritize meaningful goals, strategies, and tasks.</t>
  </si>
  <si>
    <t>The company raised $23.35 million through a combination of Series A, Series A-1, and Series A-2 of venture funding in a deal led by GreatPoint Ventures on August 6, 2024, putting the company's pre-money valuation at $78.65 million. Mantis VC, Slow Ventures, Tribe Capital, Sequoia Capital, F7 Ventures, 515 Ventures, and Milkbox Partners also participated in the round.</t>
  </si>
  <si>
    <t>business dashboard, business data, product analysis, product data, product insights, visual design</t>
  </si>
  <si>
    <t>253507-33P</t>
  </si>
  <si>
    <t>Julie Zhuo</t>
  </si>
  <si>
    <t>+1 (650) 644-8257</t>
  </si>
  <si>
    <t>julie@sundial.so</t>
  </si>
  <si>
    <t>Ms. Julie Zhuo is a Co-Founder and serves as Chief Executive Officer and Board Member at Sundial. She was most recently VP of design and research for the Facebook app, where she helped scale the service from 8 million users to over 2 billion in her 13 years there. She has worked on products spanning news feeds and stories, groups, video, commerce, and the workplace. She authorises a field guide for new managers, The Making of a Manager, an instant Wall Street Journal bestseller and one of Amazon's Best Business and Leadership Books of 2019. She graduated with a computer science degree from Stanford University.</t>
  </si>
  <si>
    <t>Stanford University, Graduate, Computer Science</t>
  </si>
  <si>
    <t>The company raised $23.35 million through a combination of Series A, Series A-1, and Series A-2 venture funding in a deal led by GreatPoint Ventures on August 6, 2024, putting the company's pre-money valuation at $78.65 million. Mantis VC, Slow Ventures, Tribe Capital, Sequoia Capital, F7 Ventures, 515 Ventures, and Milkbox Partners also participated in the round.</t>
  </si>
  <si>
    <t>GreatPoint Ventures</t>
  </si>
  <si>
    <t>www.sundial.so</t>
  </si>
  <si>
    <t>134661-25T</t>
  </si>
  <si>
    <t>Sunshine</t>
  </si>
  <si>
    <t>433891-63</t>
  </si>
  <si>
    <t>Amino Capital, Dorothee Fisher(Dorothee Fisher), Felicis, Incubate Fund US, Liquid 2 Ventures, Next Play Capital, Norwest Venture Partners, Reform Ventures, Steffen Ehrhardt(Steffen Ehrhardt), Unusual Ventures, Webb Investment Network</t>
  </si>
  <si>
    <t>Amino Capital (www.aminocapital.com), Felicis (www.felicis.com), Incubate Fund US (www.incubatefundus.com), Liquid 2 Ventures (www.liquid2.vc), Next Play Capital (www.nextplaycapital.com), Norwest Venture Partners (www.nvp.com), Reform Ventures (www.reformventures.com), Unusual Ventures (www.unusual.vc), Webb Investment Network (www.winfunding.com)</t>
  </si>
  <si>
    <t>Developer of a mobile application designed to keep mobile contact lists up to date and organized with the help of artificial intelligence. The company's applications use artificial intelligence to make mundane tasks effortless, organize contacts, eliminate duplicates, and keep contact information up to date, as well as help people with scheduling, event organization, and small group communication, enabling people to get the job done in a hassle-free manner.</t>
  </si>
  <si>
    <t>Application Software*, Information Services (B2C)</t>
  </si>
  <si>
    <t>artificial intelligence software, consumer application, contact management, contact manager, mobile application system, mobile applications</t>
  </si>
  <si>
    <t>42377-59P</t>
  </si>
  <si>
    <t>Marissa Mayer</t>
  </si>
  <si>
    <t>+1 (800) 925-6278</t>
  </si>
  <si>
    <t>Ms. Marissa Mayer serves as Board Member and Member of the Compensation and Management Development &amp; Technology and eCommerce Committee at Walmart. She is a Co-Founder &amp; serves as Chief Executive Officer at Sunshine. She served as Advisor at Forward. From July 2012 through June 2017, Ms. Mayer served as the President and Chief Executive Officer and a member of the board of directors of Yahoo! Inc. (Yahoo) (now Altaba Inc.). At Yahoo, she led the internet giant's push to reinvent itself for the mobile era. With a renewed focus on user experience, Ms. Mayer grew Yahoo to serve over 1 billion people worldwide - with over 600 million mobile users - and transformed its advertising approach. Prior to her role at Yahoo, Ms. Mayer spent 13 years at Google Inc. (Google) where she led various initiatives including Google Search for more than a decade, and other products such as Google Maps, Gmail, and Google News. Ms. Mayer holds a bachelor's degree in symbolic systems and a master's degree in computer science from Stanford University. From March 2013 until October 2016, Ms. Mayer served on the board of directors for AliphCom, Jawbone. She also serves on the boards of the Stanford Children's Hospital, the San Francisco Museum of Modern Art, the San Francisco Ballet, and the foundation board for the Forum of Young Global Leaders at the World Economic Forum. She is also an Angel Investor.</t>
  </si>
  <si>
    <t>Stanford University, BS (Bachelor of Science), 1997, Symbolic Systems, Stanford University, MS (Master of Science), 1999, Computer Science</t>
  </si>
  <si>
    <t>The company raised $19.96 million of seed funding from Unusual Ventures, Felicis and Webb Investment Network on May 15, 2020, putting the company's pre-money valuation at $40 million. Amino Capital, Next Play Capital, Incubate Fund US, Reform Ventures, Liquid 2 Ventures, Norwest Venture Partners, Steffen Ehrhardt and Dorothee Gutierrez Fisher also participated in the round.</t>
  </si>
  <si>
    <t>Amino Capital, Dorothee Fisher, Felicis, Incubate Fund US, Liquid 2 Ventures, Next Play Capital, Norwest Venture Partners, Reform Ventures, Steffen Ehrhardt, Unusual Ventures, Webb Investment Network</t>
  </si>
  <si>
    <t>Amino Capital II(Amino Capital), Incubate Fund US I(Incubate Fund US), Norwest Venture Partners XIII(Norwest Venture Partners), NPC Opportunity Fund(Next Play Capital), Unusual Ventures Fund II(Unusual Ventures), Webb Investment Network Fund(Webb Investment Network)</t>
  </si>
  <si>
    <t>Silicon Legal Strategy (Legal Advisor to Felicis, Gaurav Mathur JD)</t>
  </si>
  <si>
    <t>www.sunshine.com</t>
  </si>
  <si>
    <t>Coating compositions</t>
  </si>
  <si>
    <t>220953-25T</t>
  </si>
  <si>
    <t>Super Duper Secret</t>
  </si>
  <si>
    <t>523434-79</t>
  </si>
  <si>
    <t>Big Brain Holdings, Cristian Manea(Cristian Manea), Gabby Dizon(Gabby Dizon), LD Capital, Merit Circle(Marco Van Den Heuvel), Overwolf, P2 Ventures, Round 13 Digital Asset Fund, Round13 Capital, Sebastien Borget(Sebastien Borget), Solana Ventures</t>
  </si>
  <si>
    <t>Big Brain Holdings (www.bigbrain.holdings), LD Capital (www.ldcap.com), Merit Circle (www.meritcircle.io), Overwolf (www.overwolf.com), P2 Ventures (www.p2v.ventures), Round 13 Digital Asset Fund (r13daf.com), Round13 Capital (www.round13.com), Solana Ventures (solana.ventures)</t>
  </si>
  <si>
    <t>Operator of a meta-game platform intended to make a chess battle game. The company's platform offers ten players face off in a blazingly paced showdown, making their moves in synchronous matches against each of the other nine players, enabling users with a multiplayer game.</t>
  </si>
  <si>
    <t>The company raised $1 million of seed funding from Overwolf, Big Brain Holdings and LD Capital on April 21, 2023. Round 13 Digital Asset Fund and 7 other investors also participated in the round.</t>
  </si>
  <si>
    <t>Entertainment Software*, Information Services (B2C)</t>
  </si>
  <si>
    <t>Gaming, TMT</t>
  </si>
  <si>
    <t>chess games, chess platform, gaming content, gaming platform, meta games, multiplayer games, web 3 games</t>
  </si>
  <si>
    <t>344589-94P</t>
  </si>
  <si>
    <t>Jazzlyn O'Reilly</t>
  </si>
  <si>
    <t>Ms. Jazzlyn O'Reilly is a Co-Founder &amp; serves as Chief Executive Officer at Super Duper Secret.</t>
  </si>
  <si>
    <t>The company raised $1 million of seed funding from Overwolf, Big Brain Holdings and LD Capital on April 21, 2023. Round 13 Digital Asset Fund, Solana Ventures, Merit Circle, Polygon Ventures, Round13 Capital, Sebastien Borget, Gabby Dizon and Cristian Manea also participated in the round.</t>
  </si>
  <si>
    <t>Big Brain Holdings, Cristian Manea, Gabby Dizon, LD Capital, Merit Circle, Overwolf, P2 Ventures, Round 13 Digital Asset Fund, Round13 Capital, Sebastien Borget, Solana Ventures</t>
  </si>
  <si>
    <t>Digital Asset Fund(Round13 Capital)</t>
  </si>
  <si>
    <t>Cooley (Legal Advisor to Solana Ventures)</t>
  </si>
  <si>
    <t>Weston, FL</t>
  </si>
  <si>
    <t>Weston</t>
  </si>
  <si>
    <t>www.superdupersecret.co</t>
  </si>
  <si>
    <t>175346-20T</t>
  </si>
  <si>
    <t>Super Software (Business/Productivity Software)</t>
  </si>
  <si>
    <t>469228-69</t>
  </si>
  <si>
    <t>Plug and Play Tech Center</t>
  </si>
  <si>
    <t>Plug and Play Tech Center (www.plugandplaytechcenter.com)</t>
  </si>
  <si>
    <t>Developer of operating system software designed for residential real estate. The company's platform is designed to support multifamily and homeowner association-focused property managers, real estate developers, boards, and residents, property management software makes buildings smarter by streamlining communications and enhancing accountability, enabling property management teams to save time and money while building better relationships with residents.</t>
  </si>
  <si>
    <t>The company raised $5 million of seed funding from Plug and Play Tech Center and undisclosed investors on June 24, 2021, putting the company's pre-money valuation at $7.8 million.</t>
  </si>
  <si>
    <t>Real Estate Technology, TMT</t>
  </si>
  <si>
    <t>enterprise resource planning, erp, operating system software, property management platform, property management software, property management system, property software, proptech, real estate software</t>
  </si>
  <si>
    <t>267275-17P</t>
  </si>
  <si>
    <t>Lindsay Liu</t>
  </si>
  <si>
    <t>+1 (505) 600-1103</t>
  </si>
  <si>
    <t>lindsay@hiresuper.com</t>
  </si>
  <si>
    <t>Ms. Lindsay Liu is a Co-Founder and serves as Chief Executive Officer, President &amp; Board Member at Super Software.</t>
  </si>
  <si>
    <t>Carnegie Mellon University, BS (Bachelor of Science), Biological Sciences</t>
  </si>
  <si>
    <t>11222</t>
  </si>
  <si>
    <t>www.hiresuper.com</t>
  </si>
  <si>
    <t>199994-14T</t>
  </si>
  <si>
    <t>Superb (Human Capital Services)</t>
  </si>
  <si>
    <t>498312-19</t>
  </si>
  <si>
    <t>Black Dog Ventures (PGSA), Invest Nebraska, Nebraska Angels, Nelnet Ventures, Proven Ventures(Erica Wassinger)</t>
  </si>
  <si>
    <t>Black Dog Ventures (PGSA) (www.pgsallc.com), Invest Nebraska (www.investnebraska.com), Nebraska Angels (www.nebraskaangels.org), Proven Ventures (www.proven.ventures)</t>
  </si>
  <si>
    <t>Developer of a healthcare staffing platform intended to connect healthcare workers to open shifts in senior living. The company's platform gives healthcare workers flexibility in their schedules by helping them to pick up shifts when and where they want which benefits both the healthcare worker and the facilities, enabling workers to get adequately paid for the shifts that they work for.</t>
  </si>
  <si>
    <t>The company joined Tampa Bay Wave as a part of HealthTech|X Accelerator on July 24, 2024. Previously, the company raised $2 million of venture funding in the form of convertible debt from Invest Nebraska, Nebraska Angels and Black Dog Ventures on April 3, 2024.</t>
  </si>
  <si>
    <t>Application Software, Human Capital Services*, Other Healthcare Services</t>
  </si>
  <si>
    <t>contract worker, healthcare staff, healthcare staffing, healthcare staffing app, staffing platform developer, staffing platform provider</t>
  </si>
  <si>
    <t>304964-65P</t>
  </si>
  <si>
    <t>Molly O'Neil</t>
  </si>
  <si>
    <t>+1 (402) 630-3522</t>
  </si>
  <si>
    <t>molly@superbshifts.com</t>
  </si>
  <si>
    <t>Ms. Molly O'Neil is the Founder and serves as Chief Executive Officer &amp; Board Member at Superb. She has been working in the field of geriatrics for over ten years and has a master's degree in Gerantology. She holds an executive position at one of Nebraska's largest skilled nursing facilities. She initiated the Superb platform's development and performed extensive market research surrounding staffing and communication barriers in senior care.</t>
  </si>
  <si>
    <t>Master's, Gerontology</t>
  </si>
  <si>
    <t>The company raised $1.5 million of seed funding from Nelnet Ventures, Proven Ventures and Invest Nebraska on July 28, 2022. Nebraska Angels and Black Dog Ventures (PGSA) also participated in the round.</t>
  </si>
  <si>
    <t>Black Dog Ventures (PGSA), Invest Nebraska, Nebraska Angels, Nelnet Ventures, Proven Ventures</t>
  </si>
  <si>
    <t>Proven Ventures Fund One(Proven Ventures)</t>
  </si>
  <si>
    <t>68144</t>
  </si>
  <si>
    <t>www.superbshifts.com</t>
  </si>
  <si>
    <t>191349-64T</t>
  </si>
  <si>
    <t>Superbloom</t>
  </si>
  <si>
    <t>494477-47</t>
  </si>
  <si>
    <t>1Up Ventures, BITKRAFT Ventures(Scott Rupp), Joakim Achrén(Joakim Achrén)</t>
  </si>
  <si>
    <t>1Up Ventures (1upfund.com), BITKRAFT Ventures (www.bitkraft.vc)</t>
  </si>
  <si>
    <t>Developer of a lifestyle game studio designed to create meaningful connections for women through play. The company's platform offers diverse and elevated games, enabling female audiences to enjoy a broader spectrum of games.</t>
  </si>
  <si>
    <t>The company raised an undisclosed amount of venture funding from Mantis VC in approximately December 2023. Nuard Ventures also participated in this round.</t>
  </si>
  <si>
    <t>Business/Productivity Software, Entertainment Software*</t>
  </si>
  <si>
    <t>computer game application, computer games interface, computer games software, connection building platform, game studio, gaming content, gaming developer, gaming publisher, gaming studio, lifestyle games, mobile game studio, social gameplay, social games, social lifestyle games</t>
  </si>
  <si>
    <t>296681-86P</t>
  </si>
  <si>
    <t>Ksusha Zito</t>
  </si>
  <si>
    <t>ksusha@superbloomgames.com</t>
  </si>
  <si>
    <t>Ms. Ksusha Zito is a Co-Founder &amp; serves as Chief Technology Officer at Superbloom. Ksusha has over a decade of experience in building mobile games. Ksusha was an early member of Dots Studio and helped the company to grow from 6 to over 70. As a former Sr. Engineering Manager at New York Times Games, Ksusha shaped highly scalable and efficient systems that power games played by millions of daily users, as well as fostering a healthy environment for teams to flourish. Amongst many other hobbies, Ksusha's latest obsession is fermentation, from cider and kombucha brewing to kimchi making. Ksusha is a mother of a 2-year-old and has 2 cats. She's based in New York, USA.</t>
  </si>
  <si>
    <t>The company raised $3 million of seed funding from BITKRAFT Ventures, 1Up Ventures, and Joakim Achrén on February 17, 2022, putting the company's pre-money valuation at $11 million. Other undisclosed investors also participated in the round. The funds will be used to develop the first title.</t>
  </si>
  <si>
    <t>1Up Ventures, BITKRAFT Ventures, Joakim Achrén</t>
  </si>
  <si>
    <t>1Up Ventures(1Up Ventures), BITKRAFT Ventures Fund II(BITKRAFT Ventures)</t>
  </si>
  <si>
    <t>Fenwick &amp; West (Legal Advisor to Company, Mark Stevens JD), Gunderson Dettmer (Legal Advisor to BITKRAFT Ventures)</t>
  </si>
  <si>
    <t>Fenwick &amp; West (Legal Advisor to Company, Mark Stevens JD)</t>
  </si>
  <si>
    <t>Gunderson Dettmer (Legal Advisor to BITKRAFT Ventures)</t>
  </si>
  <si>
    <t>12508</t>
  </si>
  <si>
    <t>www.superbloomgames.com</t>
  </si>
  <si>
    <t>133802-20T</t>
  </si>
  <si>
    <t>Superkind</t>
  </si>
  <si>
    <t>433369-63</t>
  </si>
  <si>
    <t>1Up Ventures, Alpha Edison(Fen Zhao), Everblue Management, Firstminute Capital, G9 Ventures, GC VR Gaming Tracker Fund, Hearst Ventures, London Venture Partners(Are Growen), PLG Ventures, Third Kind Venture Capital</t>
  </si>
  <si>
    <t>1Up Ventures (1upfund.com), Alpha Edison (www.alphaedison.com), Firstminute Capital (www.firstminute.capital), G9 Ventures (www.g9.ventures), London Venture Partners (www.londonvp.com), PLG Ventures (www.plgventures.com), Third Kind Venture Capital (www.3kvc.com)</t>
  </si>
  <si>
    <t>Operator of a scanning platform intended to peep and find the clothing details. The company's platform offers people the details of the products others wear by scanning, enabling users to save their search time.</t>
  </si>
  <si>
    <t>GC VR Gaming Tracker Fund and Chapman Office sold their stake in the company to undisclosed buyers.</t>
  </si>
  <si>
    <t>gaming content, gaming publisher, gaming studio, online platform, product search, scanning platform, scanning technology, search platform</t>
  </si>
  <si>
    <t>225561-61P</t>
  </si>
  <si>
    <t>Jill Wilson</t>
  </si>
  <si>
    <t>+1 (310) 205-4800</t>
  </si>
  <si>
    <t>jill-wilson@robingames.com</t>
  </si>
  <si>
    <t>Ms. Jill Wilson is the Founder and serves as Chief Executive Officer at Robin Games.</t>
  </si>
  <si>
    <t>The company raised $7 million of seed funding in a deal led by London Venture Partners on March 19, 2020, putting the company's pre-money valuation at $15 million. Hearst Ventures, Third Kind Venture Capital, PLG Ventures, G9 Ventures, 1Up Ventures, Alpha Edison, Firstminute Capital, GC VR Gaming Tracker Fund and Everblue Management also participated in the round.</t>
  </si>
  <si>
    <t>1Up Ventures, Alpha Edison, Everblue Management, Firstminute Capital, G9 Ventures, GC VR Gaming Tracker Fund, Hearst Ventures, London Venture Partners, PLG Ventures, Third Kind Venture Capital</t>
  </si>
  <si>
    <t>London Venture Partners(Are Growen)</t>
  </si>
  <si>
    <t>1Up Ventures(1Up Ventures), Alpha Edison II(Alpha Edison), GC VR Gaming Tracker Fund(GC VR Gaming Tracker Fund), Healthcare IT Venture Fund(Hearst Ventures), LVP Seed Fund III(London Venture Partners), The Firstminute Capital Fund(Firstminute Capital), Third Kind Venture Capital I(Third Kind Venture Capital)</t>
  </si>
  <si>
    <t>www.joinpeep.io</t>
  </si>
  <si>
    <t>164453-32T</t>
  </si>
  <si>
    <t>Surfboard (San Francisco)</t>
  </si>
  <si>
    <t>458377-93</t>
  </si>
  <si>
    <t>Philip Libin(Philip Libin), Precursor Ventures, South Park Commons</t>
  </si>
  <si>
    <t>Precursor Ventures (precursorvc.com), South Park Commons (www.southparkcommons.com)</t>
  </si>
  <si>
    <t>Developer of a work optimization platform designed to help startups manage and collaborate with their company board. The company's platform offers a meeting interface purpose-built for all investor touchpoints from earnings calls to meetings, direct access, and feedback channel to company management in and after meetings, enabling clients to have access to a module plug-in to automate repetitive company intros and updates.</t>
  </si>
  <si>
    <t>The company raised $2.5 million of seed funding from Social Leverage, Soma Capital, Gold House Ventures and other undisclosed investors on October 1, 2022, putting the company's pre-money valuation at $10 million.</t>
  </si>
  <si>
    <t>Business/Productivity Software, Communication Software, Information Services (B2C)*</t>
  </si>
  <si>
    <t>company management, company management service, company management software, work automation, work automation software, work optimization, work optimization platform</t>
  </si>
  <si>
    <t>249683-23P</t>
  </si>
  <si>
    <t>Chuhan Wang</t>
  </si>
  <si>
    <t>+1 (650) 475-2150</t>
  </si>
  <si>
    <t>chuhan@get-surfboard.com</t>
  </si>
  <si>
    <t>Ms. Chuhan Wang is the Founder and serves as Chief Executive Officer at Surfboard.</t>
  </si>
  <si>
    <t>Stanford University, MS (Master of Science), University of Virginia, BS (Bachelor of Science), Commerce</t>
  </si>
  <si>
    <t>The company raised an estimated $1 million of pre-seed funding from Precursor Ventures, South Park Commons and Phil Libin on October 1, 2020, putting the company's pre-money valuation at $3 million.</t>
  </si>
  <si>
    <t>Philip Libin, Precursor Ventures, South Park Commons</t>
  </si>
  <si>
    <t>Precursor Ventures Opportunity Fund I(Precursor Ventures), South Park Commons Fund I(South Park Commons)</t>
  </si>
  <si>
    <t>www.surfboard.team</t>
  </si>
  <si>
    <t>155866-42T</t>
  </si>
  <si>
    <t>Swantide</t>
  </si>
  <si>
    <t>267777-01</t>
  </si>
  <si>
    <t>Arash Ferdowsi(Arash Ferdowsi), Frederic Kerrest(Frederic Kerrest), Jean-Denis Greze(Jean-Denis Greze), Mathilde Collin(Mathilde Collin), Neo (Consulting Services (B2B))(Ali Partovi), Ramsey Homsany(Ramsey Homsany), Ryan Carlson(Ryan Carlson), Ryan Johnson, Stephanie Friedman(Stephanie Friedman), Village Global, Waseem Daher</t>
  </si>
  <si>
    <t>Neo (Consulting Services (B2B)) (www.neo.com), Village Global (www.villageglobal.vc)</t>
  </si>
  <si>
    <t>Developer of customer relationship management software designed for sales, marketing, and operations teams. The company's software provides an effortless way to set up and manage customer interactions and engagements to design, build, and manage the global transportation management systems and increase engagement, enabling businesses to grow and unlock better visibility and accuracy for their revenue teams.</t>
  </si>
  <si>
    <t>The company raised $7 million of seed funding in a deal led by Menlo Ventures on October 27, 2022. Neo, Village Global, Burst Capital, and Scribble Ventures also participated in the round. The funds will be used to continue to expand operations and business reach.</t>
  </si>
  <si>
    <t>ai-powered application, customer interaction, customer interaction platform, customer relationship management, customer relationship platform, relationship management software, sale system management, sales management platform</t>
  </si>
  <si>
    <t>240443-65P</t>
  </si>
  <si>
    <t>Taylor Lint</t>
  </si>
  <si>
    <t>+1 (914) 787-1923</t>
  </si>
  <si>
    <t>taylor@swantide.com</t>
  </si>
  <si>
    <t>Ms. Taylor Lint is a Co-Founder and serves as Chief Executive Officer &amp; Board Member at Swantide. She co-founded and served as Head of Product Engineering at Replica. Previously she served as Chief Technology Officer at Swantide. She is an Engineering and Product leader. She specialized in data-powered products at LinkedIn, Alphabet, and Replica. She studied Information Science at Cornell.</t>
  </si>
  <si>
    <t>Cornell University, BA (Bachelor of Arts), Information Science</t>
  </si>
  <si>
    <t>The company raised an estimated $260,000 of Seed 4 funding from Neo, Village Global and Frederic Kerrest on July 7, 2020, putting the company's pre-money valuation at $2.24 million. Arash Ferdowsi, Ryan Carlson, Ramsey Homsany, Stephanie Schatz Friedman, Jean-Denis Greze, Ryan Johnson, Waseem Daher and Mathilde Collin also participated in the round.</t>
  </si>
  <si>
    <t>Arash Ferdowsi, Frederic Kerrest, Jean-Denis Greze, Mathilde Collin, Neo (Consulting Services (B2B)), Ramsey Homsany, Ryan Carlson, Ryan Johnson, Stephanie Friedman, Village Global, Waseem Daher</t>
  </si>
  <si>
    <t>Neo Venture Capital Fund I(Neo (Consulting Services (B2B)))</t>
  </si>
  <si>
    <t>www.swantide.com</t>
  </si>
  <si>
    <t>137359-99T</t>
  </si>
  <si>
    <t>Sware</t>
  </si>
  <si>
    <t>322824-43</t>
  </si>
  <si>
    <t>Jumpstart Foundry, Right Side Capital Management</t>
  </si>
  <si>
    <t>Jumpstart Foundry (www.jsf.co), Right Side Capital Management (www.rightsidecapital.com)</t>
  </si>
  <si>
    <t>Developer of enterprise-wide software designed to automate how companies ensure compliance with domestic and international regulatory requirements. The company's services include quality management implementation and remediation, risk management, auditing and training, computer systems validation, and many more, enabling clients to get product efficiency and cost reduction through the systems implementation process and integrated compliance ecosystem methodology.</t>
  </si>
  <si>
    <t>The company raised $6.02 million of Series B venture funding in a deal led by First Analysis on April 29, 2024. Insight Partners, Simplex Ventures, LRVHealth, and New Stack Ventures also participated in the round. Out of which $1.5 million was raised in the form of convertible debt and subsequently was converted to equity. The funds will be used to expand the company's sales team; the company began the year with 40 employees and has now brought that number up to 50 and to incorporate artificial intelligence into the platform as way further reduce the time and cost for its customers, including by allowing them to content with concepts.</t>
  </si>
  <si>
    <t>Business/Productivity Software, Consulting Services (B2B), IT Consulting and Outsourcing*</t>
  </si>
  <si>
    <t>automated testing, life science firm, life sciences market, regulatory compliance audits, validation platform, validation services</t>
  </si>
  <si>
    <t>212113-00P</t>
  </si>
  <si>
    <t>Bryan Ennis</t>
  </si>
  <si>
    <t>+1 (978) 884-4275</t>
  </si>
  <si>
    <t>b.ennis@sware.com</t>
  </si>
  <si>
    <t>Mr. Bryan Ennis is a Co-Founder and serves as Chief Quality Officer at Sware. He previously served as Chief Executive Officer for the Sware.</t>
  </si>
  <si>
    <t>University of Hartford, Degree, 2001, Management Information Systems</t>
  </si>
  <si>
    <t>The company raised $510,000 of seed funding from Right Side Capital Management, Jumpstart Foundry and other undisclosed investors on May 22, 2020, putting the company's pre-money valuation at $3.49 million.</t>
  </si>
  <si>
    <t>RSCM Fund IV(Right Side Capital Management)</t>
  </si>
  <si>
    <t>Chelsea, MA</t>
  </si>
  <si>
    <t>Chelsea</t>
  </si>
  <si>
    <t>02150</t>
  </si>
  <si>
    <t>www.sware.com</t>
  </si>
  <si>
    <t>219423-88T</t>
  </si>
  <si>
    <t>Swarm Vision</t>
  </si>
  <si>
    <t>234370-00</t>
  </si>
  <si>
    <t>Developer of an innovative talent analytics platform designed to identify innovative talent among a company's workforce. The company's platform identifies and engages in innovation talent and helps in involvement and competitiveness, enabling Fortune 1000s and federal government agencies to accelerate speed to market and growth.</t>
  </si>
  <si>
    <t>The company raised $760,000 of pre-seed funding from Plug and Play Tech Center on July 5, 2022, putting the company's pre-money valuation at $10 million.</t>
  </si>
  <si>
    <t>talent analytics platform, talent analytics software, talent analytics technology, talent assessment platform, talent identification, team structure, workforce analytics</t>
  </si>
  <si>
    <t>206486-20P</t>
  </si>
  <si>
    <t>Suzan Briganti</t>
  </si>
  <si>
    <t>+1 (415) 290-2476</t>
  </si>
  <si>
    <t>suzan@swarmvision.com</t>
  </si>
  <si>
    <t>Ms. Suzan Briganti is a Co-Founder &amp; serves as Chief Executive Officer &amp; Head of Products at Swarm Vision. She brings 25 years of experience in research, strategy and innovation. She has patents pending in innovation software. She has grown Swarm Vision from a garage start-up to a trusted solution provider to global Fortune 500 clients. She leads Swarm Vision with a focus on building great products and teams. She has an MBA summa cum laude from Boston University and a design degree from Italy.</t>
  </si>
  <si>
    <t>Boston University, MBA (Master of Business Administration), Degree, Design</t>
  </si>
  <si>
    <t>94023</t>
  </si>
  <si>
    <t>www.swarmvision.com</t>
  </si>
  <si>
    <t>183535-12T</t>
  </si>
  <si>
    <t>SwayID</t>
  </si>
  <si>
    <t>442374-85</t>
  </si>
  <si>
    <t>Andrew Gluck(Andrew Gluck), Anthemis, AOL Ventures, Barclays (LON: BARC), BBG Ventures (North America), Centre Street Partners, Core91 VC, irrvrntVC, Jeremy Voss(Jeremy Voss), Not Boring, Rajiv Kapoor(Rajiv Kapoor), Revolution (Washington DC), Sequoia Benefits &amp; Insurance Services, Service Provider Capital, TechNexus Venture Collaborative, Tribe Capital</t>
  </si>
  <si>
    <t>Anthemis (www.anthemis.com), AOL Ventures (www.aolventures.com), Barclays (LON: BARC) (www.home.barclays), BBG Ventures (North America) (www.bbgventures.com), Centre Street Partners (www.centrestreet.partners), Core91 VC (core91.vc), irrvrntVC (www.irrvrnt.com), Not Boring (www.notboring.co), Revolution (Washington DC) (www.revolution.com), Sequoia Benefits &amp; Insurance Services (www.sequoia.com), Service Provider Capital (www.serviceprovidercapital.com), TechNexus Venture Collaborative (www.technexus.com), Tribe Capital (www.tribecap.co)</t>
  </si>
  <si>
    <t>Developer of a digital verification platform designed to instantly authenticate the identities of creator-consumers. The company leverages thousands of authoritative data sources, and accurately verifies a shopper's status as a creator in real-time, seamlessly integrating within a retailer's shopping journey, this integration ensures a customer experience, diminishing churn and enhancing loyalty, enabling merchants to offer gated promotions specifically tailored to the valuable creator-consumer segment</t>
  </si>
  <si>
    <t>The company raised an undisclosed amount of venture funding from Big Sky Capital and Plug and Play Tech Center in February 2023.</t>
  </si>
  <si>
    <t>Application Software, Business/Productivity Software, Financial Software, Media and Information Services (B2B)*</t>
  </si>
  <si>
    <t>E-Commerce, FinTech, Mobile, Mobile Commerce</t>
  </si>
  <si>
    <t>digital verification, digital verification services, ecommerce personalization, enterprise payment, online shopping rewards, payment platform, pos, promotion platform, social commerce, social media shopping</t>
  </si>
  <si>
    <t>242936-92P</t>
  </si>
  <si>
    <t>Kaeya Majmundar</t>
  </si>
  <si>
    <t>+1 (847) 915-1271</t>
  </si>
  <si>
    <t>kaeya@swaypayit.com</t>
  </si>
  <si>
    <t>Ms. Kaeya Majmundar is a Co-Founder and serves as Chief Executive Officer at SwayID.</t>
  </si>
  <si>
    <t>Emory University, BA (Bachelor of Arts), 2015, Economics &amp; Sociology</t>
  </si>
  <si>
    <t>The company raised $4.17 million of seed funding in a deal led by Anthemis and BBG Ventures on November 11, 2021, putting the company's pre-money valuation at $8 million. AOL Ventures, Sequoia, irrvrntVC, Service Provider Capital, TechNexus Venture Collaborative, Core91 VC, Tribe Capital, Centre Street Partners, Revolution (Washington DC), Not Boring, Rajiv Kapoor, Jeremy Voss, Andrew Gluck and Barclays also participated in the round.</t>
  </si>
  <si>
    <t>Andrew Gluck, Anthemis, AOL Ventures, Barclays, BBG Ventures (North America), Centre Street Partners, Core91 VC, irrvrntVC, Jeremy Voss, Not Boring, Rajiv Kapoor, Revolution (Washington DC), Sequoia Benefits &amp; Insurance Services, Service Provider Capital, TechNexus Venture Collaborative, Tribe Capital</t>
  </si>
  <si>
    <t>Anthemis, BBG Ventures (North America)</t>
  </si>
  <si>
    <t>Anthemis Venture Fund II(Anthemis), BBG Ventures III(BBG Ventures (North America))</t>
  </si>
  <si>
    <t>swayid.com</t>
  </si>
  <si>
    <t>208823-32T</t>
  </si>
  <si>
    <t>Swishboom</t>
  </si>
  <si>
    <t>459611-83</t>
  </si>
  <si>
    <t>Husker Venture Fund, Invest Nebraska, Nebraska Angels</t>
  </si>
  <si>
    <t>Invest Nebraska (www.investnebraska.com), Nebraska Angels (www.nebraskaangels.org)</t>
  </si>
  <si>
    <t>Developer of babysitting application designed to help families schedule their babysitters and grow their sitter network. The company's application is used to post babysitting jobs that will get notified of the sitter's availability in real-time and helps families schedule their babysitters and grow their sitter network while making babysitter jobs easy to claim, enabling parents not to worry about their kids while they are out.</t>
  </si>
  <si>
    <t>The company received $10,000 of grant funding as a part of its Minority Small Business Summit Pitch Competition from University of Nebraska and Omaha on June 14, 2023. The funds will be used to expand Corporate Partnership platform, a component of the app that allows employers to offer its services as an employee benefit. Previously, the company raised $650,000 of seed funding from Husker Venture Fund, Invest Nebraska and Nebraska Angels in April 2023, putting the company's pre-money valuation at $2.35 million.</t>
  </si>
  <si>
    <t>baby sitting service, babysitters app, babysitters recruitment, babysitters services, networking products, secure babysitters</t>
  </si>
  <si>
    <t>252296-56P</t>
  </si>
  <si>
    <t>Kellee Mikuls</t>
  </si>
  <si>
    <t>+1 (808) 247-7352</t>
  </si>
  <si>
    <t>kellee.mikuls@swishboom.com</t>
  </si>
  <si>
    <t>Ms. Kellee Mikuls is a Co-Founder &amp; serves as Chief Executive Officer at Swishboom.</t>
  </si>
  <si>
    <t>The company raised $650,000 of seed funding from Husker Venture Fund, Invest Nebraska and Nebraska Angels in April 2023, putting the company's pre-money valuation at $2.35 million.</t>
  </si>
  <si>
    <t>Enterprise Legal Studio (Legal Advisor to Company, Grant Maynard JD)</t>
  </si>
  <si>
    <t>68132</t>
  </si>
  <si>
    <t>www.swishboom.com</t>
  </si>
  <si>
    <t>180359-65T</t>
  </si>
  <si>
    <t>Swoovy</t>
  </si>
  <si>
    <t>439184-35</t>
  </si>
  <si>
    <t>Golden Section (www.goldensection.com)</t>
  </si>
  <si>
    <t>Developer of an employee volunteer platform intended to help clients focus on strategies to attract and retain talents in their organization. The company's SaaS-based employee volunteer platform makes it easy for companies to book volunteer events, connect colleagues through shared interests, and track impact, enabling companies to reduce turnover and achieve higher profitability.</t>
  </si>
  <si>
    <t>The company graduated from Sputnik ATX as a part of its Summer 2022 program on November 4, 2022 and received $100,000 in the form of SAFE notes.</t>
  </si>
  <si>
    <t>b2b platform, corporate social responsibility, corporate volunteering, employee engagement, employee engagement platform, service platform</t>
  </si>
  <si>
    <t>241012-45P</t>
  </si>
  <si>
    <t>Brooke Waupsh</t>
  </si>
  <si>
    <t>brooke.waupsh@swoovy.com</t>
  </si>
  <si>
    <t>Ms. Brooke Waupsh is a Co-Founder and serves as Chief Executive Officer at Swoovy.</t>
  </si>
  <si>
    <t>The company raised $1.2 million of seed funding from Golden Section and other undisclosed investors on September 16, 2021.</t>
  </si>
  <si>
    <t>78746</t>
  </si>
  <si>
    <t>www.swoovy.com</t>
  </si>
  <si>
    <t>225546-76T</t>
  </si>
  <si>
    <t>Sword &amp; Wand</t>
  </si>
  <si>
    <t>528872-86</t>
  </si>
  <si>
    <t>1Up Ventures, Galaxy Interactive</t>
  </si>
  <si>
    <t>1Up Ventures (1upfund.com), Galaxy Interactive (interactive.galaxy.com)</t>
  </si>
  <si>
    <t>Developer of AAA-quality video games designed for shared online experiences. The company's platform features support, tools, opportunities for developers to do the work, and systemically driven replayability, enabling players to create their own unique stories and experiences.</t>
  </si>
  <si>
    <t>The company raised an estimated $4.3 million of seed funding from Galaxy Interactive, 1Up Ventures, and other undisclosed investors on October 25, 2022, putting the company's pre-money valuation at $10 million.</t>
  </si>
  <si>
    <t>Entertainment Software*, Publishing</t>
  </si>
  <si>
    <t>Augmented Reality, Esports, Gaming, Mobile, SaaS</t>
  </si>
  <si>
    <t>action games, computer games, console games, content media, game development, gaming content, gaming developer, gaming publisher, gaming studio, gaming world, online gameplay, video games</t>
  </si>
  <si>
    <t>350801-74P</t>
  </si>
  <si>
    <t>Christina Hernandez</t>
  </si>
  <si>
    <t>+1 (818) 259-7726</t>
  </si>
  <si>
    <t>Ms. Christina Hernandez serves as Chief Executive Officer &amp; Production Director at Sword &amp; Wand.</t>
  </si>
  <si>
    <t>Kissimmee, FL</t>
  </si>
  <si>
    <t>Kissimmee</t>
  </si>
  <si>
    <t>34746</t>
  </si>
  <si>
    <t>www.swordandwand.com</t>
  </si>
  <si>
    <t>213090-58T</t>
  </si>
  <si>
    <t>Syky</t>
  </si>
  <si>
    <t>518299-93</t>
  </si>
  <si>
    <t>Brevan Howard Asset Management, CMT Digital, First Light Capital Group, Leadout Capital, P2 Ventures, Seven Seven Six</t>
  </si>
  <si>
    <t>Brevan Howard Asset Management (www.brevanhoward.com), CMT Digital (cmt.digital), First Light Capital Group (www.firstlightcapitalgroup.com), Leadout Capital (www.leadoutcapital.com), P2 Ventures (www.p2v.ventures), Seven Seven Six (www.sevensevensix.com)</t>
  </si>
  <si>
    <t>Operator of a Web 3-based fashion platform intended to provide creative fashion designs. The company's platform helps to showcase fashion designs in the form of non-fungible tokens from emerging and established brands, enabling designers to grow and create communities.</t>
  </si>
  <si>
    <t>The company joined The World Economic Forum on an undisclosed date. No equity or funding was exchanged as a result of this program.</t>
  </si>
  <si>
    <t>fashion creative, fashion design, nft platform and collectibles, nft project, non-fungible tokens, non-fungible tokens platform, web 3-based platform, web4</t>
  </si>
  <si>
    <t>331830-19P</t>
  </si>
  <si>
    <t>Alice Delahunt</t>
  </si>
  <si>
    <t>alice@syky.com</t>
  </si>
  <si>
    <t>Ms. Alice Delahunt is the Founder &amp; serves as Chief Executive Officer at Syky.</t>
  </si>
  <si>
    <t>Trinity College Dublin, BA (Bachelor of Arts) Honors, Business and Political Science</t>
  </si>
  <si>
    <t>The company raised $9.5 million of Series A venture funding in a deal led by Seven Seven Six on January 17, 2023, putting the company's pre-money valuation at $44 million. Leadout Capital, First Light Capital Group, Polygon Ventures, CMT Digital, and Brevan Howard Asset Management also participated in the round.</t>
  </si>
  <si>
    <t>www.syky.com</t>
  </si>
  <si>
    <t>179900-29T</t>
  </si>
  <si>
    <t>Tabi</t>
  </si>
  <si>
    <t>472352-32</t>
  </si>
  <si>
    <t>Assembly Ventures, Digital Finance Group, GBV Capital, Hashkey Capital, Mask Network, NGC Ventures, SNZ Holding, Spark Digital Capital, Youbi Capital</t>
  </si>
  <si>
    <t>Assembly Ventures (www.assemblyventures.com), Digital Finance Group (www.dfg.group), GBV Capital (gbv.capital), Hashkey Capital (capital.hashkey.com), Mask Network (www.mask.io), NGC Ventures (www.ngc.fund), SNZ Holding (www.snzholding.com), Spark Digital Capital (www.sparkdigitalcapital.com), Youbi Capital (www.youbicapital.com)</t>
  </si>
  <si>
    <t>Developer of a non-fungible token (NFT) issuance and trading platform designed to conveniently buy, sell, and auction NFTs. The company's platform provides an online marketplace to connect NFT creators, users and consumers in a decentralized way where users can connect blockchain wallets for accessing their crypto-collectibles, enabling users with an efficient and simple gateway in the crypto world.</t>
  </si>
  <si>
    <t>The company raised an undisclosed amount of venture funding from Undefined Labs and Zonff Partners in 2024.</t>
  </si>
  <si>
    <t>crypto collectibles, crypto trading platform, defi space, nft auction, nft trading platform, non fungible token platform, online marketplace</t>
  </si>
  <si>
    <t>301008-25P</t>
  </si>
  <si>
    <t>Briana Chamoun</t>
  </si>
  <si>
    <t>Ms. Briana Chamoun serves as Chief Executive Officer at Tabi.</t>
  </si>
  <si>
    <t>The company raised $1 million of seed funding in a deal led by Youbi Capital and Hashkey Capital on April 12, 2021. Mask Network, Assembly Ventures, NGC Ventures, GBV Capital, Digital Finance Group, Spark Digital Capital and SNZ Holding also participated in the round.</t>
  </si>
  <si>
    <t>Hashkey Capital, Youbi Capital</t>
  </si>
  <si>
    <t>Assembly Ventures Fund I(Assembly Ventures), NGC Fund II(NGC Ventures)</t>
  </si>
  <si>
    <t>tabi.lol</t>
  </si>
  <si>
    <t>Containers for storage or transport of articles or materials</t>
  </si>
  <si>
    <t>188476-03T</t>
  </si>
  <si>
    <t>Taelor</t>
  </si>
  <si>
    <t>491624-56</t>
  </si>
  <si>
    <t>Bling Capital(Benjamin Ling), Chicago Early Growth Ventures, Fundamental Ventures, Golden Seeds, Kai Huang(Kai Huang), Samantha Chien(Samantha Chien), Sean Chao(Sean Chao)</t>
  </si>
  <si>
    <t>Bling Capital (www.blingcap.com), Chicago Early Growth Ventures (www.chicagoearly.com), Fundamental Ventures (www.fundamentalventures.com), Golden Seeds (www.goldenseeds.com)</t>
  </si>
  <si>
    <t>Provider of on-demand men's clothing rental services intended to elevate everyday styles through branded clothes. The company's platform offers an AI-powered clothing service with a monthly subscription along with selection, return, and free dry cleaning service for the clothes, enabling men to wear fashionable clothes by getting them on rent instead of buying them.</t>
  </si>
  <si>
    <t>The company raised $4.07 million of pre-seed funding in the form of SAFE notes in a deal led by Bling Capital on September 9, 2024. Chicago Early Growth Ventures and 5 other investors also participated in the round. The funds will be used to open the company's service to customers on the waitlist, as well as expand its offerings and operations and refine its styling algorithms.</t>
  </si>
  <si>
    <t>Application Software, Clothing, Other Services (B2C Non-Financial)*</t>
  </si>
  <si>
    <t>clothing online marketplace, clothing rental, clothing rental service, clothing service, mens clothing, rental services</t>
  </si>
  <si>
    <t>291443-77P</t>
  </si>
  <si>
    <t>Anya Cheng</t>
  </si>
  <si>
    <t>+1 (650) 546-1143</t>
  </si>
  <si>
    <t>Ms. Anya Cheng is a Co-Founder &amp; serves as Chief Executive Officer at Taelor. She is also teaches at Northwestern's Medill School of Journalism and Integrated Marketing Communications, has a strong background in both the digital and retail space. A graduate of Northwestern University's Integrated Marketing Communications program and the University of Chicago's Booth School of Business, Cheng spent several years leading digital innovation teams at Facebook, eBay, Target, McDonald's and Sears before launching Taelor. She said she originally got the idea to start a clothing rental subscription service for men after becoming a huge fan of other clothing rental subscription services herself. She used to live near a Rent the Runway store and visited it daily to pick out a new outfit to wear the next day.</t>
  </si>
  <si>
    <t>Northwestern University, MBA (Master of Business Administration), University of Chicago (Booth), Graduate</t>
  </si>
  <si>
    <t>The company raised $4.07 million of pre-seed funding in the form of SAFE notes in a deal led by Bling Capital on September 9, 2024. Chicago Early Growth Ventures, Golden Seeds, Fundamental Ventures, Samantha Chien, Kai Huang and Sean Chao also participated in the round. The funds will be used to open the company's service to customers on the waitlist, as well as expand its offerings and operations and refine its styling algorithms.</t>
  </si>
  <si>
    <t>Bling Capital, Chicago Early Growth Ventures, Fundamental Ventures, Golden Seeds, Kai Huang, Samantha Chien, Sean Chao</t>
  </si>
  <si>
    <t>Bling Capital(Benjamin Ling)</t>
  </si>
  <si>
    <t>Hayward, CA</t>
  </si>
  <si>
    <t>Hayward</t>
  </si>
  <si>
    <t>94545</t>
  </si>
  <si>
    <t>www.taelor.style</t>
  </si>
  <si>
    <t>202215-52T</t>
  </si>
  <si>
    <t>Talkbase</t>
  </si>
  <si>
    <t>493366-24</t>
  </si>
  <si>
    <t>Credo Ventures, European Investment Fund, Fiedler Capital, J&amp;T Ventures, m]x[v Capital, Plug and Play Tech Center</t>
  </si>
  <si>
    <t>Credo Ventures (www.credoventures.com), European Investment Fund (www.eif.org), Fiedler Capital (www.fiedler.capital), J&amp;T Ventures (www.jtventures.cz), m]x[v Capital (www.mxv.vc), Plug and Play Tech Center (www.plugandplaytechcenter.com)</t>
  </si>
  <si>
    <t>Operator of a community operations platform intended to build and execute community programs. The company provides services to create and manage communities by tracking community members' information, resources, and activities, from road mapping, and content preparation to collaborating with community advocates, enabling community managers to collaborate and communicate with members easily.</t>
  </si>
  <si>
    <t>The company joined Female Founders - Grow F on an undisclosed date.</t>
  </si>
  <si>
    <t>Business/Productivity Software, Communication Software, Media and Information Services (B2B)*</t>
  </si>
  <si>
    <t>business data, business reporting, collaboration software, community collaboration, community communication, community management, data management, project management saas</t>
  </si>
  <si>
    <t>294108-85P</t>
  </si>
  <si>
    <t>Klara Losert</t>
  </si>
  <si>
    <t>+1 (646) 522-0314</t>
  </si>
  <si>
    <t>klara@talkbase.io</t>
  </si>
  <si>
    <t>Ms. Klara Losert is a Co-Founder and serves as Chief Executive Officer &amp; Board Member at Talkbase. After leading Community, People Ops, and Customer Success teams in multiple startups, she co-founded Talkbase. In addition to her day-to-day work on Talkbase, she helps startups set up their community and operations strategy and is the founder of the largest startup community in Czechia.</t>
  </si>
  <si>
    <t>The company raised $2.08 million of pre-seed funding from European Investment Fund, Fiedler Capital, and J&amp;T Ventures on October 12, 2022, putting the company's pre-money valuation at $4 million. Credo Ventures, m]x[v Capital, and Plug and Play Tech Center also participated in the round.</t>
  </si>
  <si>
    <t>J&amp;T Ventures Fund II(J&amp;T Ventures)</t>
  </si>
  <si>
    <t>CEE Legal Matters (Legal Advisor to Company)</t>
  </si>
  <si>
    <t>www.talkbase.io</t>
  </si>
  <si>
    <t>123261-49T</t>
  </si>
  <si>
    <t>TalkMeUp</t>
  </si>
  <si>
    <t>266403-52</t>
  </si>
  <si>
    <t>412 Venture Fund, Andrew Rabin(Andrew Rabin), Bruce Gebhardt(Bruce Gebhardt), Innovation Works</t>
  </si>
  <si>
    <t>412 Venture Fund (www.412venturefund.com), Innovation Works (www.innovationworks.org)</t>
  </si>
  <si>
    <t>Developer of an artificial intelligence-based platform designed to provide instant and personalized coaching on communication skills. The company's platform uses a combination of learning management systems and personalized training tools and provides on-demand, manageable and customized communication training services, enabling organizations to improve employee competence in all professional scenarios.</t>
  </si>
  <si>
    <t>The company raised $200,000 of seed funding from Innovation Works on September 12, 2023.</t>
  </si>
  <si>
    <t>Business/Productivity Software, Education and Training Services (B2B)*</t>
  </si>
  <si>
    <t>communication training, learning management system, natural language technology, personalized coaching, personalized training tools, soft skill training</t>
  </si>
  <si>
    <t>The company raised $150,000 of seed funding from Innovation Works, Bruce Gebhardt and Andrew Rabin on June 24, 2020. 412 Venture Fund also participated in this round.</t>
  </si>
  <si>
    <t>412 Venture Fund, Andrew Rabin, Bruce Gebhardt, Innovation Works</t>
  </si>
  <si>
    <t>15213</t>
  </si>
  <si>
    <t>www.talkmeup.co</t>
  </si>
  <si>
    <t>Speech analysis techniques or speech synthesis, Transmission of digital information</t>
  </si>
  <si>
    <t>158356-18T</t>
  </si>
  <si>
    <t>Talli</t>
  </si>
  <si>
    <t>432703-63</t>
  </si>
  <si>
    <t>Cleo Capital, Osparna, Outlander VC(Leura Craig), Oval Park Capital, Reform Ventures</t>
  </si>
  <si>
    <t>Cleo Capital (www.cleocap.com), Osparna (www.osparna.com), Outlander VC (www.outlander.vc), Oval Park Capital (www.ovalpark.com), Reform Ventures (www.reformventures.com)</t>
  </si>
  <si>
    <t>Developer of a baby-tracking device designed to provide innovative solutions for tracking health events. The company simplifies the process of capturing and sharing this information, reducing the mental burden of caregiving for hands-on caregivers, care managers, and medical professionals who utilize care and symptom data to enhance diagnosis, treatment, and outcomes, enabling parents to reduce the mental burden of caregiving.</t>
  </si>
  <si>
    <t>The company raised $1.10 million of venture funding in the form of equity, debt, options and warrants from Fulcrum Financial Partners, Oval Park Capital and other undisclosed investors on May 8, 2024, putting the company's post-valuation at $3 million.</t>
  </si>
  <si>
    <t>Application Software, Business/Productivity Software, Electronics (B2C)*, Other Healthcare</t>
  </si>
  <si>
    <t>Digital Health, E-Commerce, HealthTech, Internet of Things, Mobile</t>
  </si>
  <si>
    <t>activities of daily living, aging population, baby care product, baby tracking, baby tracking app, care team, caregiver information, consumer electronics product, ease of use, elderly care, internet of things, maternal care application, parental care services</t>
  </si>
  <si>
    <t>243860-14P</t>
  </si>
  <si>
    <t>Lauren Longo</t>
  </si>
  <si>
    <t>Ms. Lauren Longo co-founded and served as Chief Executive Officer and Board Member at Talli. She has 16 years in user experience and product management.</t>
  </si>
  <si>
    <t>The company raised $220,000 of pre-seed funding in the form of convertible debt in a deal led by Reform Ventures and Outlander Management on October 28, 2020. Osparna, Cleo Capital, and Oval Park Capital also participated in the round. Subsequently, debt was converted into equity. The funds will be used to grow the company's impact in the baby tech space and expand to additional markets across care tech more generally (senior care, chronic conditions, etc.).</t>
  </si>
  <si>
    <t>Cleo Capital, Osparna, Outlander VC, Oval Park Capital, Reform Ventures</t>
  </si>
  <si>
    <t>Outlander VC(Leura Craig), Reform Ventures</t>
  </si>
  <si>
    <t>OPC Venture Fund I(Oval Park Capital), Outlander 2 Edison(Outlander VC)</t>
  </si>
  <si>
    <t>Holly Springs, NC</t>
  </si>
  <si>
    <t>Holly Springs</t>
  </si>
  <si>
    <t>27540</t>
  </si>
  <si>
    <t>www.talli.me</t>
  </si>
  <si>
    <t>235061-11T</t>
  </si>
  <si>
    <t>Talofa Games</t>
  </si>
  <si>
    <t>471621-25</t>
  </si>
  <si>
    <t>1Up Ventures, Andover Ventures, Andreessen Horowitz, Basis Set Ventures, Blizzard Avalanche Fund, Chamaeleon, Fusion Fund(Lu Zhang), Insight Partners, Kicker Ventures</t>
  </si>
  <si>
    <t>1Up Ventures (1upfund.com), Andover Ventures (www.andovervc.com), Andreessen Horowitz (www.a16z.com), Basis Set Ventures (www.basisset.com), Blizzard Avalanche Fund (www.blizzard.fund), Chamaeleon (www.chamaeleon.vc), Fusion Fund (www.fusionfund.com), Insight Partners (www.insightpartners.com), Kicker Ventures (www.kickerventures.com)</t>
  </si>
  <si>
    <t>Developer of a mobile fitness game designed to make exercise enjoyable and engaging. The company offers immersive gameplay, real-time battles, and personalized fitness experiences with virtual running companions to explore new locations, enabling users to improve their physical and mental health while having fun.</t>
  </si>
  <si>
    <t>The company raised $6.28 million of seed funding in a deal led by Chamaeleon on August 31, 2023, putting the company's pre-money valuation at $9.72 million. Insight Partners, Andreessen Horowitz, Fusion Fund, Andover Ventures, Kicker Ventures, 1Up Ventures, Blizzard Avalanche Fund and Basis Set Ventures also participated in the round.</t>
  </si>
  <si>
    <t>Entertainment Software*, Other Healthcare Services, Publishing</t>
  </si>
  <si>
    <t>Artificial Intelligence &amp; Machine Learning, Augmented Reality, Gaming</t>
  </si>
  <si>
    <t>exercise app, gaming content, gaming platform, gaming software, outdoor fitness, running games, social fitness application</t>
  </si>
  <si>
    <t>272372-68P</t>
  </si>
  <si>
    <t>Jenny Xu</t>
  </si>
  <si>
    <t>+1 (408) 219-1709</t>
  </si>
  <si>
    <t>Ms. Jenny Xu is a Co-Founder and serves as Chief Executive Officer &amp; Board Member at Talofa Games. She is a long-distance runner, artist, programmer, gamer, farmer, Forbes 30 Under 30: Games recipient, and Chief Executive Officer at the company located in Cupertino, CA. She is passionate about the intersection of fitness and gaming and is currently developing a social running game that won the Niantic Beyond Reality Contest in 2019. She solo develops horror-comedy mobile games for her indie game company, JCSoft Inc., which began when she was 12. In her free time, she runs Abs With her, a gamified virtual fitness class that has taught over 430 people and raised over $10,000 for charity. After graduating from MIT with a computer science degree, she's worked in the intersection of AR and fitness to explore how gaming motivates healthy habits. In her 12 years in the gaming industry, she's created more than 130 games for web and mobile with 10 shipped titles on the mobile app stores with over 9.2 million downloads. She's also completed internships at Google, Electronic Arts, Sony PlayStation and N3TWORK.</t>
  </si>
  <si>
    <t>Massachusetts Institute of Technology (MIT), Degree, Computer Science</t>
  </si>
  <si>
    <t>1Up Ventures, Andover Ventures, Andreessen Horowitz, Basis Set Ventures, Blizzard Avalanche Fund, Chamaeleon, Fusion Fund, Insight Partners, Kicker Ventures</t>
  </si>
  <si>
    <t>Chamaeleon</t>
  </si>
  <si>
    <t>1Up Ventures Fund II(1Up Ventures), Fusion Fund III(Fusion Fund), Kicker Ventures I(Kicker Ventures)</t>
  </si>
  <si>
    <t>Gunderson Dettmer (Legal Advisor to Basis Set Ventures)</t>
  </si>
  <si>
    <t>www.talofagames.com</t>
  </si>
  <si>
    <t>195219-37T</t>
  </si>
  <si>
    <t>Tandym</t>
  </si>
  <si>
    <t>491652-46</t>
  </si>
  <si>
    <t>Alinea Ventures, Foundation Capital, Gradient Ventures(Zachary Bratun-Glennon), Milkbox Partners, Obvious Ventures, Riverside Ventures, SuperAngel.Fund</t>
  </si>
  <si>
    <t>Alinea Ventures (alinea.vc), Foundation Capital (www.foundationcapital.com), Gradient Ventures (www.gradient.com), Milkbox Partners (www.milkboxpartners.com), Obvious Ventures (www.obvious.com), Riverside Ventures (www.riversideventures.com), SuperAngel.Fund (www.superangel.vc)</t>
  </si>
  <si>
    <t>Developer of a payments platform designed to convert transaction fees into future revenues. The company's platform connects people directly by cutting out the middle people, provides a calculator and allows the provision of fund rewards to customers, enabling merchants with a better payment option that saves processing costs, rewards customers and grows revenues.</t>
  </si>
  <si>
    <t>The company raised $60 million of seed funding in June 2022. $10 million of venture funding was led in a deal by Gradient Ventures with participation from Obvious Ventures, Milkbox Partners, Riverside Ventures, Foundation Capital and SuperAngel.Fund. $50 million of loan was provided by Rivonia Road, Alinea Ventures, and other undisclosed lenders. The funds will be used to expand its internal team and operations while raising awareness of its platform's ability to help merchants strengthen their connections to the consumers they serve.</t>
  </si>
  <si>
    <t>branding payment, consumer payment, credit card, crm, customer relationship management, digital commerce, ecommerce payment, financial platform, loyalty &amp; rewards, merchant dashboard, payment platform, payment technology, retail loyalty, retail rewards, transaction processing</t>
  </si>
  <si>
    <t>303393-88P</t>
  </si>
  <si>
    <t>Jennifer Lundstrom</t>
  </si>
  <si>
    <t>+1 (888) 874-4889</t>
  </si>
  <si>
    <t>jennifer@bytandym.com</t>
  </si>
  <si>
    <t>Ms. Jennifer Lundstrom is a Co-Founder &amp; serves as Chief Executive Officer at Tandym. She also serves as Board Member at Productfy. She served as Venture Partner at NextGen Venture Partners.</t>
  </si>
  <si>
    <t>The company raised $60 million of seed funding in June 2022. $10 million of venture funding was led in a deal by Gradient Ventures with participation from Obvious Ventures, Milkbox Partners, Riverside Ventures, Foundation Capital, Alinea Ventures, and SuperAngel.Fund. $50 million of loan was provided by Rivonia Road and other undisclosed lenders. The funds will be used to expand its internal team and operations while raising awareness of its platform's ability to help merchants strengthen their connections to the consumers they serve.</t>
  </si>
  <si>
    <t>Alinea Ventures, Foundation Capital, Gradient Ventures, Milkbox Partners, Obvious Ventures, Riverside Ventures, SuperAngel.Fund</t>
  </si>
  <si>
    <t>Gradient Ventures(Zachary Bratun-Glennon)</t>
  </si>
  <si>
    <t>Cooley (Legal Advisor to Gradient Ventures), Fenwick &amp; West (Legal Advisor to Company)</t>
  </si>
  <si>
    <t>Other - $50.00M (Rivonia Road Capital)</t>
  </si>
  <si>
    <t>www.bytandym.com</t>
  </si>
  <si>
    <t>Other - $50.00M</t>
  </si>
  <si>
    <t>Rivonia Road Capital</t>
  </si>
  <si>
    <t>169439-77T</t>
  </si>
  <si>
    <t>TANGGapp</t>
  </si>
  <si>
    <t>454464-55</t>
  </si>
  <si>
    <t>Bolster Ventures, Brighter Capital, Goodwater Capital, Katrina Razon(Katrina Razon), TEN13, Visible Hands</t>
  </si>
  <si>
    <t>Bolster Ventures (bolsterventures.com), Brighter Capital (www.brightercapital.com), Goodwater Capital (www.goodwatercap.com), TEN13 (www.ten13.vc), Visible Hands (www.visiblehands.vc)</t>
  </si>
  <si>
    <t>Developer of an online payment application platform designed to boost financial inclusion for people in the Philippines who don't have a bank account. The company's application facilitates sending airtime and money home and the receiver in the Philippines to pay bills with the same application, enabling customers to accept, process, and disburse money with its product suite.</t>
  </si>
  <si>
    <t>The company is in the process of raising pre-Series A venture funding on February 6, 2024. Previously, the company raised $2.5 million of seed funding in a deal led by Goodwater Capital, TEN13 and Foxmont Capital Partners on September 5, 2023. North Fifth Asia and Manila Angel Investors Network also participated in the round. The company is being actively tracked by PitchBook.</t>
  </si>
  <si>
    <t>FinTech, Mobile, TMT</t>
  </si>
  <si>
    <t>consumer payment, debit, debit &amp; p2p, money transfer app, online money transfer, online payment app, online payment gateway, p2p, p2p money transfer, payment application</t>
  </si>
  <si>
    <t>247230-37P</t>
  </si>
  <si>
    <t>Rebecca Kersh</t>
  </si>
  <si>
    <t>+1 (205) 990-6691</t>
  </si>
  <si>
    <t>rebecca@tangapp.org</t>
  </si>
  <si>
    <t>Ms. Rebecca Kersh is the Founder and serves as Chief Executive Officer at Tang App.</t>
  </si>
  <si>
    <t>The company raised $1.5 million of pre-seed funding from Bolster Ventures, Brighter Capital and Goodwater Capital on March 30, 2021. TEN13, Visible Hands and Katrina Razon also participated in the round.</t>
  </si>
  <si>
    <t>Bolster Ventures, Brighter Capital, Goodwater Capital, Katrina Razon, TEN13, Visible Hands</t>
  </si>
  <si>
    <t>Londonderry, VT</t>
  </si>
  <si>
    <t>Londonderry</t>
  </si>
  <si>
    <t>05148</t>
  </si>
  <si>
    <t>www.tanggapp.com</t>
  </si>
  <si>
    <t>212393-08T</t>
  </si>
  <si>
    <t>Tangible (Environmental Services (B2B))</t>
  </si>
  <si>
    <t>501802-75</t>
  </si>
  <si>
    <t>Asymmetric Capital Partners, BuildTech VC, Climate Capital, Deco Ventures, Fifty Years, Flybridge Capital Partners, Foundamental, Pi Labs, Plug and Play Tech Center, Redstone VC</t>
  </si>
  <si>
    <t>Asymmetric Capital Partners (acp.vc), BuildTech VC (www.buildtech.vc), Climate Capital (www.climatecapital.co), Deco Ventures (www.decoventures.com), Fifty Years (www.fiftyyears.com), Flybridge Capital Partners (www.flybridge.com), Foundamental (www.foundamental.com), Pi Labs (www.pilabs.vc), Plug and Play Tech Center (www.plugandplaytechcenter.com), Redstone VC (www.redstone.vc)</t>
  </si>
  <si>
    <t>Developer of a unified software platform designed for sustainable building materials. The company's platform offers a wide range of sustainable products including lines of carbon, material health, and resource consumption, enabling architects and contractors to identify, procure, manage, and report on products that meet their carbon, environmental, and social goals.</t>
  </si>
  <si>
    <t>The company raised $1 million of venture funding in the form of SAFE notes from undisclosed investors on October 8, 2024. JLL Foundation also participated in this round. Previously, the company joined Suffolk Technologies on September 9, 2024 as a part of its fifth annual BOOST program. No equity or funding was exchanged as a result of this program.</t>
  </si>
  <si>
    <t>Business/Productivity Software, Construction and Engineering, Environmental Services (B2B)*</t>
  </si>
  <si>
    <t>CleanTech, Climate Tech, Construction Technology</t>
  </si>
  <si>
    <t>building materials, built environment, carbon data, carbon emission control, carbon emission data, climate solutions, green construction, greenhouse solution, sustainable building materials, sustainable products</t>
  </si>
  <si>
    <t>309458-71P</t>
  </si>
  <si>
    <t>Anneli Tostar</t>
  </si>
  <si>
    <t>+1 (203) 858-1123</t>
  </si>
  <si>
    <t>anneli@tangiblematerials.com</t>
  </si>
  <si>
    <t>Ms. Anneli Tostar is a Co-Founder and serves as Chief Executive Officer &amp; Board Member at Tangible (Environmental Services (B2B)).</t>
  </si>
  <si>
    <t>The company raised $3 million through the combination of Seed-1, Seed-2, Seed-3, and Seed-4 funding in a deal led by Fifty Years, and Foundamental on May 16, 2023, putting the company's pre-money valuation at $10 million. Redstone VC, Pi Labs, Deco Ventures, BuildTech VC, Climate Capital, Asymmetric Capital Partners, Flybridge Capital Partners, and Plug and Play Tech Center also participated in the round. Of the total amount, $1.083 million was originally raised in the form of SAFE notes which subsequently got converted into equity.</t>
  </si>
  <si>
    <t>Fifty Years, Foundamental</t>
  </si>
  <si>
    <t>Flybridge Capital Partners VI(Flybridge Capital Partners), Redstone Built World(Redstone VC)</t>
  </si>
  <si>
    <t>94122</t>
  </si>
  <si>
    <t>www.tangiblematerials.com</t>
  </si>
  <si>
    <t>188910-91T</t>
  </si>
  <si>
    <t>Tangram (Software Development Applications)</t>
  </si>
  <si>
    <t>432617-86</t>
  </si>
  <si>
    <t>Dorm Room Fund</t>
  </si>
  <si>
    <t>Dorm Room Fund (www.dormroomfund.com)</t>
  </si>
  <si>
    <t>Developer of an online business automation platform intended to help freelancers build a booking website and get booked through social media. The company's platform offers automation of repetitive business logistics for scheduling, payment, appointment reminders, and travel fees, enabling freelancers to earn more money by serving more clientele on their own time.</t>
  </si>
  <si>
    <t>The company raised an estimated $5.5 million of pre-seed funding from Dorm Room Fund and other undisclosed investors on October 11, 2021, putting the company's pre-money valuation at $10 million.</t>
  </si>
  <si>
    <t>Media and Information Services (B2B), Software Development Applications*</t>
  </si>
  <si>
    <t>automatic scheduling, business automation, business automation application, business automation service, business logistics automation, business logistics software, devops, ecommerce platform, online booking, online booking platform, storefronts &amp; headless apis, storefronts and headless apis</t>
  </si>
  <si>
    <t>223527-16P</t>
  </si>
  <si>
    <t>Paris Mielke</t>
  </si>
  <si>
    <t>paris@tangram.co</t>
  </si>
  <si>
    <t>Ms. Paris Mielke is a Co-Founder &amp; serves as Chief Executive Officer at Tangram.</t>
  </si>
  <si>
    <t>15233</t>
  </si>
  <si>
    <t>www.tangram.co</t>
  </si>
  <si>
    <t>254222-65T</t>
  </si>
  <si>
    <t>Tastry</t>
  </si>
  <si>
    <t>148658-59</t>
  </si>
  <si>
    <t>3Lines, Beyond the Bounds Ventures, BLD Capital, Frind Properties, Gentian Investments, Sentiero Ventures, SUM Ventures, UST Global</t>
  </si>
  <si>
    <t>3Lines (www.3lines.vc), Beyond the Bounds Ventures (www.beyondthebounds.vc), BLD Capital (bld.capital), Frind Properties (www.frindproperties.com), Gentian Investments (gentian.investments), Sentiero Ventures (www.sentiero.vc), SUM Ventures (www.sum.vc), UST Global (www.ust.com)</t>
  </si>
  <si>
    <t>Developer of sensory sciences technology intended to offer science-based suggestions for product development, inventory purchase, and direct-to-consumer recommendation. The company's platform uses chemistry, machine learning, and artificial intelligence that analyze products chemically to determine what flavors are present, even in tenuous forms, enabling retailers to optimize product mix, which increases sales, margins, and store loyalty.</t>
  </si>
  <si>
    <t>The company raised $12.38 million through the combination of Seed funding from UST Global, 3Lines and SUM Ventures on March 12, 2024, putting the company's pre-money valuation at $102.85 million. Sentiero Ventures, Beyond the Bounds Ventures, BLD Capital, and 2 other investors also participated in the round.</t>
  </si>
  <si>
    <t>Beverages, Business/Productivity Software*, Media and Information Services (B2B)</t>
  </si>
  <si>
    <t>Artificial Intelligence &amp; Machine Learning, Big Data, SaaS, TMT</t>
  </si>
  <si>
    <t>ai automation platform, consumer app, cross-marketing platform, customer demographics, customer satisfaction, science technology, tasting preferences, wine sales</t>
  </si>
  <si>
    <t>127900-36P</t>
  </si>
  <si>
    <t>Katerina Axelsson</t>
  </si>
  <si>
    <t>+1 (619) 366-4643</t>
  </si>
  <si>
    <t>kat@tastry.com</t>
  </si>
  <si>
    <t>Ms. Katerina Axelsson is a Co-Founder and serves as Chief Executive Officer and Board Member at Tastry. Previously, she served as a Lab Intern at Tolosa Winery. She is a graduate of Cal Poly with a B.S. in Chemistry. While in school, Katerina worked at a custom-crush facility and noticed that one of their batches imprinted with two different labels received drastically different industry scores: it was then that she knew there had to be a more science-based way to rate wine. Thus, Tastry was born.</t>
  </si>
  <si>
    <t>California Polytechnic State University, BS (Bachelor of Science), 2014, Chemistry</t>
  </si>
  <si>
    <t>The company raised $12.38 million through the combination of Seed funding from UST Global, 3Lines and SUM Ventures on March 12, 2024, putting the company's pre-money valuation at $102.85 million. Sentiero Ventures, Beyond the Bounds Ventures, BLD Capital, Gentian Investments, Frind Properties and other undisclosed investors also participated in the round.</t>
  </si>
  <si>
    <t>San Luis Obispo, CA</t>
  </si>
  <si>
    <t>San Luis Obispo</t>
  </si>
  <si>
    <t>93401</t>
  </si>
  <si>
    <t>www.tastry.com</t>
  </si>
  <si>
    <t>169772-86T</t>
  </si>
  <si>
    <t>Tato (Business/Productivity Software)</t>
  </si>
  <si>
    <t>463961-17</t>
  </si>
  <si>
    <t>Developer of queue management software designed to create a virtual line and manage limited capacity or waiting areas. The company's platform offers line-management technology, enabling clients to create and manage virtual lines and queues.</t>
  </si>
  <si>
    <t>The company raised $20,000 of Series 1 seed funding from Elevate Ventures on March 10, 2021. The funds will be used to make virtual queueing the norm by jumpstarting company sales and marketing efforts.</t>
  </si>
  <si>
    <t>application platform, customer queues management, data privacy, online application, queues manager, virtual system</t>
  </si>
  <si>
    <t>258665-50P</t>
  </si>
  <si>
    <t>Peter Rodgers</t>
  </si>
  <si>
    <t>+1 (812) 369-1774</t>
  </si>
  <si>
    <t>peter.rodgers@oursafeq.com</t>
  </si>
  <si>
    <t>Mr. Peter Rodgers is a Co-Founder and serves as Chief Technology Officer and Chief Quantum Officer at Tato. He is co-founder of 1060® Research LTD (NetKernel®), founded in 2002. He holds a PhD in Solid State Quantum Physics from the University of Nottingham. Dr. Rodgers led and initiated the Dexter Research Program at Hewlett-Packard Research Labs. He has been widely recognized as the father of microservices and in 2005 is on record as giving the first public discussion of microservice architecture. Until recently, Dr. Rodgers' interests were focused on developing NetKernel®, a microservices engine, based on his deepening understanding of information theory and a subset of Turing's model of computation, called Turing's oracle machine. However, in June of this year, Dr. Rodgers was inspired to create the OsQ system after a personal experience with COVID-19. He conceived that his experience of cloud scale microservice architectures could be applied to transform the physical problem of queue management into a set of logical parallelizable services.</t>
  </si>
  <si>
    <t>University of Nottingham, Ph.D. (Doctor of Philosophy), Solid State Quantum Physics</t>
  </si>
  <si>
    <t>www.tatollc.com</t>
  </si>
  <si>
    <t>199413-46T</t>
  </si>
  <si>
    <t>Taygo</t>
  </si>
  <si>
    <t>235069-30</t>
  </si>
  <si>
    <t>4D Capital, Global Catalyst Partners Japan, Sage Hill Capital</t>
  </si>
  <si>
    <t>4D Capital (www.4datx.com), Global Catalyst Partners Japan (gcp-j.com)</t>
  </si>
  <si>
    <t>Developer of a digital branding and marketing platform designed to expand business outreach. The company's platform offers a digital workspace, digital branding, a mortgage-specific website, search engine optimization and social media automation, enabling clients to set up their digital shop and access all necessary integration for maximum productivity.</t>
  </si>
  <si>
    <t>The company raised an undisclosed amount of venture funding from Sage Hill Investors in 2023. Previously, the company raised $4.13 million of seed funding from Global Catalyst Partners Japan, 4D Capital and Sage Hill Capital on July 27, 2022, putting the company's pre-money valuation at $8 million.</t>
  </si>
  <si>
    <t>Artificial Intelligence &amp; Machine Learning, Big Data, Marketing Tech, Mobile, Real Estate Technology, SaaS</t>
  </si>
  <si>
    <t>business automation systems, business automation tools, crm tool, digital marketing platform, lead management platform, mortgage management service, mortgage management system, vertical application</t>
  </si>
  <si>
    <t>197697-97P</t>
  </si>
  <si>
    <t>Sepideh Ghajar</t>
  </si>
  <si>
    <t>+1 (646) 573-2209</t>
  </si>
  <si>
    <t>sepi@taygo.com</t>
  </si>
  <si>
    <t>Ms. Sepideh Ghajar is a Co-Founder and serves as Chief Executive Officer &amp; Board Member at Taygo. She has more than 16 years of Experience in Enterprise Web Applications, SaaS and Cloud Platform Architecture, Enterprise System Integrations and Data Aggregation.</t>
  </si>
  <si>
    <t>BS (Bachelor of Science)</t>
  </si>
  <si>
    <t>The company raised $4.13 million of seed funding from Global Catalyst Partners Japan, 4D Capital and Sage Hill Capital on July 27, 2022, putting the company's pre-money valuation at $8 million.</t>
  </si>
  <si>
    <t>94402</t>
  </si>
  <si>
    <t>www.taygo.com</t>
  </si>
  <si>
    <t>195335-11T</t>
  </si>
  <si>
    <t>TeaDAO</t>
  </si>
  <si>
    <t>497827-72</t>
  </si>
  <si>
    <t>7 O'clock Capital, AU21 Capital, AVstar Capital, Basics Capital, CoinW Ventures, Digital Finance Group, Dutch Flower Group, Fomocraft Ventures, HG Ventures (South Korea), HyperChain Capital, Jsquare, LD Capital, Mapleblock, Momentum 6, MXC Capital, Newave Capital, NFVentures, Parsiq, Pnyx Ventures, SatoshiPay, Shima Capital, Signum Capital, Spark Digital Capital, TokenHunter, UOB Venture Management, X21, ZBS Capital</t>
  </si>
  <si>
    <t>7 O'clock Capital (www.7oclockcapital.com), AU21 Capital (www.au21.capital), AVstar Capital (avstar.capital), Basics Capital (www.basics.capital), CoinW Ventures (www.coinw.com/front/ventures), Digital Finance Group (www.dfg.group), Dutch Flower Group (www.dfg.nl), Fomocraft Ventures (fomocraft.com), HG Ventures (South Korea) (www.hgventures.io), HyperChain Capital (www.hyperchain.capital), Jsquare (www.jsquare.co), LD Capital (www.ldcap.com), Mapleblock (www.mapleblock.capital), Momentum 6 (www.momentum6.com), MXC Capital (www.mxccapital.com), Newave Capital (www.newave.fund), NFVentures (nf-venture.com), Parsiq (www.parsiq.net), Pnyx Ventures (pnyx.ventures), SatoshiPay (www.satoshipay.io), Shima Capital (www.shima.capital), Signum Capital (www.signum.capital), Spark Digital Capital (www.sparkdigitalcapital.com), TokenHunter (www.tokenhunter.fund), UOB Venture Management (www.uobvm.com.sg), ZBS Capital (www.zbs.capital)</t>
  </si>
  <si>
    <t>Opeartor of a metaverse reserve currency platform intended to facilitate illiquidity for NFTs. The company's platform specializes in the community-owned decentralized, and censorship-resistant reserve currency, asset-backed, deep liquid, and used widely across web3, enabling users with a fair, community-governed, financial infrastructure for stable and dependable growth.</t>
  </si>
  <si>
    <t>NFVentures sold a stake in the company to an undisclosed buyer.</t>
  </si>
  <si>
    <t>bnb chain, community-owned platform, decentralized nft, metaverse gaming, multi-chain gamefi, nft games, web3 platform</t>
  </si>
  <si>
    <t>303599-44P</t>
  </si>
  <si>
    <t>Avalia A.</t>
  </si>
  <si>
    <t>Ms. Avalia A. is a Co-Founder and serves as Chief Executive Officer at TeaDAO.</t>
  </si>
  <si>
    <t>Bachelor's, University of Tokyo, Bachelor's</t>
  </si>
  <si>
    <t>The company raised $4.6 million of seed funding from Dutch Flower Group, SatoshiPay and Parsiq on March 24, 2022. TokenHunter, CoinW Ventures, HG Ventures (South Korea), Digital Finance Group, Jsquare, AU21 Capital, Shima Capital, Signum Capital, UOB Venture Management, LD Capital, Pnyx Ventures, Spark Digital Capital, Mapleblock, Momentum 6, Fomocraft Ventures, Basics Capital, NFVentures, 7 O'clock Capital, ZBS Capital, AVSTAR Capital, X21, Newave Capital, HyperChain Capital, MXC Capital and Satoshi Capital Advisors also participated in the round.</t>
  </si>
  <si>
    <t>DFG Crypto Fund(Digital Finance Group)</t>
  </si>
  <si>
    <t>teadao.money</t>
  </si>
  <si>
    <t>228300-67T</t>
  </si>
  <si>
    <t>Teleskope</t>
  </si>
  <si>
    <t>507341-89</t>
  </si>
  <si>
    <t>A'Z Angels, AirAngels, Correlation Ventures, CyLon Ventures, Essence Global, Essence Venture Capital, Lerer Hippeau(Graham Brown), Plug and Play Tech Center, Primary Venture Partners(Brian Schechter), Sequoia Capital</t>
  </si>
  <si>
    <t>AirAngels (airangels.co), A'Z Angels (azangels.vc), Correlation Ventures (www.correlationvc.com), CyLon Ventures (www.cylonventures.com), Essence Global (www.essenceglobal.com), Essence Venture Capital (www.essencevc.fund), Lerer Hippeau (www.lererhippeau.com), Plug and Play Tech Center (www.plugandplaytechcenter.com), Primary Venture Partners (www.primary.vc), Sequoia Capital (www.sequoiacap.com)</t>
  </si>
  <si>
    <t>Developer of a data security platform designed to give a complete picture of data security and privacy posture. The company's platform supports structured and unstructured data stores, classifies the content of each data asset, and pinpoints what types of personal and sensitive data are stored within them, enabling organizations to comply with regulations like GDPR and CCPA and to customize detection rules to identify data elements and get a real-time catalog that continuously keeps track of their evergrowing data.</t>
  </si>
  <si>
    <t>The company raised $7.2 million through a combination of Seed, and Seed-1 funding in a deal led by Lerer Hippeau on April 30, 2024, putting the company's pre-money valuation at $10 million. Essence Global, Sequoia Capital, Primary Venture Partners, Correlation Ventures, AirAngels, Essence Venture Capital, A'Z Angels, Plug and Play Tech Center and CyLon Ventures also participated in the round. The funds will be used to expand operations and the company's business. Primary Venture Partners has also lead the round.</t>
  </si>
  <si>
    <t>Business/Productivity Software, Network Management Software*, Other Commercial Services</t>
  </si>
  <si>
    <t>data assets management, data classification platform, data compliance, data privacy, data privacy &amp; compliance, data privacy and compliance, data privacy tools, data security, data security platform, gdpr compliance tool, risk classification solutions</t>
  </si>
  <si>
    <t>317384-20P</t>
  </si>
  <si>
    <t>Elizabeth Nammour</t>
  </si>
  <si>
    <t>+1 (202) 320-0455</t>
  </si>
  <si>
    <t>Ms. Elizabeth Nammour is a Co-Founder and serves as Chief Executive Officer, President and Board Member at Teleskope.</t>
  </si>
  <si>
    <t>University of Pennsylvania, BS (Bachelor of Science), Computer Science</t>
  </si>
  <si>
    <t>AirAngels, A'Z Angels, Correlation Ventures, CyLon Ventures, Essence Global, Essence Venture Capital, Lerer Hippeau, Plug and Play Tech Center, Primary Venture Partners, Sequoia Capital</t>
  </si>
  <si>
    <t>Lerer Hippeau(Graham Brown), Primary Venture Partners(Brian Schechter)</t>
  </si>
  <si>
    <t>Orrick (Legal Advisor to Company, Paul Klimos), Wilson Sonsini Goodrich &amp; Rosati (Legal Advisor to Sequoia Capital)</t>
  </si>
  <si>
    <t>Orrick (Legal Advisor to Company, Paul Klimos)</t>
  </si>
  <si>
    <t>www.teleskope.ai</t>
  </si>
  <si>
    <t>192561-49T</t>
  </si>
  <si>
    <t>TellTail</t>
  </si>
  <si>
    <t>494154-91</t>
  </si>
  <si>
    <t>Amy Sezak(Amy Sezak), Digitalis Ventures, Edward Chiu(Edward Chiu), Garrett Smallwood(Garrett Smallwood), General Catalyst(Zak Kukoff), Kevin Chiu(Kevin Chiu), Mike Volpe(Mike Volpe), Olivia Tam(Olivia Tam), Paul Luning(Paul Luning), Scribble Ventures</t>
  </si>
  <si>
    <t>Digitalis Ventures (www.digitalisventures.com), General Catalyst (www.generalcatalyst.com), Mike Volpe (www.mikevolpe.com), Scribble Ventures (www.scribble.vc)</t>
  </si>
  <si>
    <t>Operator of a premier platform intended to match certified dog breeders with pet buyers, while emphasizing ethical breeding and responsible ownership. The company's platform addition to screening breeders, provides tools, including learning modules and a breed library, to ensure transparency and trust, allowing its users to seek modernized pet parenthood at every step of the journey.</t>
  </si>
  <si>
    <t>The company raised $3.4 million of seed funding in a deal led by General Catalyst on April 11, 2022. Scribble Ventures and 8 other investors also participated in the round. The funds will be used to support and accelerate the launch of their breeder community and provide "nose to tail," customizable business solutions for breeders.</t>
  </si>
  <si>
    <t>Information Services (B2C)*, Social/Platform Software</t>
  </si>
  <si>
    <t>Pet Technology</t>
  </si>
  <si>
    <t>breeder feed, breeding firm, dog breeder, parenthood guide, pet parents, pet service</t>
  </si>
  <si>
    <t>264934-27P</t>
  </si>
  <si>
    <t>Brittany Brody</t>
  </si>
  <si>
    <t>+1 (213) 322-0008</t>
  </si>
  <si>
    <t>brittany@telltail.com</t>
  </si>
  <si>
    <t>Ms. Brittany Brody is the Founder and serves as Chief Executive Officer and Board Member at TellTail. She previously served as Associate at Founder Collective, as well as an attorney at Skadden, Arps, Slate, Meagher &amp; Flom LLP.</t>
  </si>
  <si>
    <t>The company raised $3.4 million of seed funding in a deal led by General Catalyst on April 11, 2022. Scribble Ventures, Digitalis Ventures, Garrett Smallwood, Edward Chiu, Kevin Chiu, Mike Volpe, Paul Luning, Amy Sezak, and Olivia Tam also participated in the round. The funds will be used to support and accelerate the launch of their breeder community and provide "nose to tail," customizable business solutions for breeders.</t>
  </si>
  <si>
    <t>Amy Sezak, Digitalis Ventures, Edward Chiu, Garrett Smallwood, General Catalyst, Kevin Chiu, Mike Volpe, Olivia Tam, Paul Luning, Scribble Ventures</t>
  </si>
  <si>
    <t>General Catalyst(Zak Kukoff)</t>
  </si>
  <si>
    <t>Companion Fund I(Digitalis Ventures)</t>
  </si>
  <si>
    <t>Cooley (Legal Advisor to General Catalyst)</t>
  </si>
  <si>
    <t>www.telltail.com</t>
  </si>
  <si>
    <t>224068-87T</t>
  </si>
  <si>
    <t>Telmai</t>
  </si>
  <si>
    <t>483471-64</t>
  </si>
  <si>
    <t>.406 Ventures(Graham Brooks), Glasswing Ventures, Manish Sood(Manish Sood), Sam Ramji(Sam Ramji), Venkat Varadachary(Venkat Varadachary), Y Combinator, Zetta Venture Partners</t>
  </si>
  <si>
    <t>.406 Ventures (www.406ventures.com), Glasswing Ventures (www.glasswing.vc), Y Combinator (www.ycombinator.com), Zetta Venture Partners (www.zettavp.com)</t>
  </si>
  <si>
    <t>Developer of data analytics platform designed to monitor and automate the quality of data across the entire pipeline. The company's artificial intelligence-based platform analyzes data across all data and automatically detects duplicates to ensure completeness and correctness, enabling businesses to reduce the time spent on analyzing and investigating data quality and build a secure, scalable system across the organization.</t>
  </si>
  <si>
    <t>The company raised $8.46 million through a combination of Seed-1, Seed-2, and Seed-3 in a deal led by .406 Ventures and Glasswing Ventures on June 15, 2023, putting the company's pre-money valuation at $10 million. Zetta Venture Partners, Y Combinator, Sam Ramji, Venkat Varadachary, Manish Sood, and other undisclosed investors also participated in the round. The funds will be used to expand the company's team and meet increased demand for its AI-driven data observability platform.</t>
  </si>
  <si>
    <t>ai automation platform, ai platform, analytics platform, data analysis trends, data infrastructure, data management software, data quality, data quality testing, data quality tools, data science platform, data search software, data software &amp; systems, data software and systems, proactive alerts, quality checking system</t>
  </si>
  <si>
    <t>281060-92P</t>
  </si>
  <si>
    <t>Mona Rakibe</t>
  </si>
  <si>
    <t>+1 (650) 275-3848</t>
  </si>
  <si>
    <t>mona.rakibe@telm.ai</t>
  </si>
  <si>
    <t>Ms. Mona Rakibe is a Co-Founder &amp; serves as Chief Executive Officer &amp; Board Member at Telmai. She is responsible for driving business, growth, corporate strategy, and operations at Telmai. She has spent over 15 years of her career in driving product innovation, growth strategies in startups and enterprises like Reltio, EMC, Oracle, and BEA. In her last role as a founding product manager at Reltio, she played a key role in driving product strategy and growth from its early stages to its hyper success.She is an established leader in the Data Management space and was nominated for Silicon Valley Women Data Leader award in 2019.</t>
  </si>
  <si>
    <t>.406 Ventures, Glasswing Ventures, Manish Sood, Sam Ramji, Venkat Varadachary, Zetta Venture Partners</t>
  </si>
  <si>
    <t>.406 Ventures(Graham Brooks), Glasswing Ventures</t>
  </si>
  <si>
    <t>Zetta Venture Partners III(Zetta Venture Partners)</t>
  </si>
  <si>
    <t>Goodwin Procter (Legal Advisor to .406 Ventures, Daniel Lang JD), Goodwin Procter (Legal Advisor to Glasswing Ventures, Daniel Lang JD), Gunderson Dettmer (Legal Advisor to Company), Orrick (Legal Advisor to Company), Thomas Kwong (Advisor: General to Company)</t>
  </si>
  <si>
    <t>Gunderson Dettmer (Legal Advisor to Company), Orrick (Legal Advisor to Company), Thomas Kwong (Advisor: General to Company)</t>
  </si>
  <si>
    <t>Thomas Kwong (Advisor: General to Company)</t>
  </si>
  <si>
    <t>Goodwin Procter (Legal Advisor to .406 Ventures, Daniel Lang JD), Goodwin Procter (Legal Advisor to Glasswing Ventures, Daniel Lang JD)</t>
  </si>
  <si>
    <t>www.telm.ai</t>
  </si>
  <si>
    <t>209026-72T</t>
  </si>
  <si>
    <t>Tendo Technologies</t>
  </si>
  <si>
    <t>222045-31</t>
  </si>
  <si>
    <t>Rhapsody Venture Partners, True Capital Management</t>
  </si>
  <si>
    <t>Rhapsody Venture Partners (www.rhapsodyvp.com), True Capital Management (www.truecapitalmgmt.com)</t>
  </si>
  <si>
    <t>Manufacturer of flow sensors and dispensing systems intended for commercial and industrial applications. The company offers miniature sensors based on the novel EFV technology to detect flow rates and measure temperature and provides medical injections, infusion pumps, tube sets, HVAC, and AUV, enabling medical, agriculture, food, and manufacturing sector industries to monitor flow rate and pressure measurements with cost-effective dispensing systems. 
.</t>
  </si>
  <si>
    <t>The company raised an undisclosed amount of venture funding from Fitz Gate Ventures on July 1, 2024.</t>
  </si>
  <si>
    <t>Electronic Equipment and Instruments*, Machinery (B2B), Other Commercial Products, Other Healthcare Technology Systems</t>
  </si>
  <si>
    <t>discovery &amp; review, discovery and review, dispensing systems, dispensing systems manufacturer, flow sensors, miniature sensors, personalized nutrition, precision meter, pressure measurement</t>
  </si>
  <si>
    <t>173885-59P</t>
  </si>
  <si>
    <t>Marcus Hultmark</t>
  </si>
  <si>
    <t>+1 (609) 423-1567</t>
  </si>
  <si>
    <t>mhultmark@tendo.tech</t>
  </si>
  <si>
    <t>Dr. Marcus Hultmark is a Co-Founder and serves as Chief Technology Officer at Tendo Technologies. He is a Co-Founder of Instruments. He is an Assistant Professor in the Department of Mechanical and Aerospace Engineering at Princeton University. His research interests include a variety of problems related to fluid mechanics, with a focus on problems involving turbulence, such as heat and mass transfer as well as drag reduction and wind energy. He is an Associate Professor at Princeton University.</t>
  </si>
  <si>
    <t>Princeton University, Ph.D. (Doctor of Philosophy)</t>
  </si>
  <si>
    <t>The company raised an estimated $1.4 million of Seed funding from Rhapsody Venture Partners and True Capital Management on April 11, 2022, putting the company's pre-money valuation at $4 million.</t>
  </si>
  <si>
    <t>RVP III(Rhapsody Venture Partners)</t>
  </si>
  <si>
    <t>www.tendo.tech</t>
  </si>
  <si>
    <t>Measuring linear or angular speed, acceleration, deceleration, or shock</t>
  </si>
  <si>
    <t>208052-38T</t>
  </si>
  <si>
    <t>Tephra Labs</t>
  </si>
  <si>
    <t>513025-57</t>
  </si>
  <si>
    <t>Archetype (venture firm), BlueYard Capital, Protocol VC, Variant (Brooklyn)</t>
  </si>
  <si>
    <t>Archetype (venture firm) (www.archetype.fund), BlueYard Capital (www.blueyard.com), Protocol VC (www.protocol.vc), Variant (Brooklyn) (variant.fund)</t>
  </si>
  <si>
    <t>Operator of a large-scale human coordination platform intended for connecting independent workers and teams to projects in web3.The company's platform specializes in building decentralized reputation systems, skills attestation protocols, and a user-owned and value-accretive economy, enabling workers with educational curricula and programs that onboard them successfully into web3 work opportunities.</t>
  </si>
  <si>
    <t>The company raised $6.5 million of seed funding from BlueYard Capital, Variant Fund and Archetype on August 1, 2022. Protocol VC also participated in this round.</t>
  </si>
  <si>
    <t>coordination platform, decentralized network, educational curriculum, enterprise resource planning, erp, financial operation, human capital management, infrastructure market, tooling systems</t>
  </si>
  <si>
    <t>323097-49P</t>
  </si>
  <si>
    <t>Pooja Shah</t>
  </si>
  <si>
    <t>Ms. Pooja Shah is the Founder &amp; serves as Chief Executive Officer at Tephra Labs. She was the Head of Product at Protocol Labs and worked at Palantir Technologies. She holds a BS in Symbolic Systems from Stanford University. An organization that aims to enable large-scale human coordination to address humanity's most important challenges &amp; opportunities. Tephra Labs' first project is a decentralized work marketplace called Radius. Previously, Shah was the Head of Product at Protocol Labs (IPFS, Filecoin, libp2p, nft.storage, etc.) and worked at Palantir Technologies. She holds a BS in Symbolic Systems from Stanford University.</t>
  </si>
  <si>
    <t>MBA (Master of Business Administration), Stanford University, BS (Bachelor of Science), Symbolic Systems, Stanford University, MS (Master of Science), University of Pennsylvania, MS (Master of Science)</t>
  </si>
  <si>
    <t>Variant Fund(Variant (Brooklyn))</t>
  </si>
  <si>
    <t>12207-2543</t>
  </si>
  <si>
    <t>www.tephra.com</t>
  </si>
  <si>
    <t>256818-79T</t>
  </si>
  <si>
    <t>Termina (Software Development Applications)</t>
  </si>
  <si>
    <t>593870-77</t>
  </si>
  <si>
    <t>Animoca Ventures, Bing Ventures, Borderless Capital, Finality Capital Partners, Lemniscap(Shaishav Todi), No Limit Holdings, Race Capital</t>
  </si>
  <si>
    <t>Animoca Ventures (www.animoca.ventures), Bing Ventures (www.bing-ventures.com), Borderless Capital (www.borderlesscapital.io), Finality Capital Partners (www.finality.capital), Lemniscap (lemniscap.com), No Limit Holdings (www.nolimitholdings.xyz), Race Capital (www.race.capital)</t>
  </si>
  <si>
    <t>Developer of a SVM cloud platform designed for running applications built with blockchain's virtual machine. The company's platform offers features like parallel processing, local fee markets and token extensions that can leverage the speed and security of a wider user base and access liquidity from other blockchain ecosystems, enabling developers to build interoperable blockchain applications.</t>
  </si>
  <si>
    <t>The company raised $4 million of seed funding in a deal led by Lemniscap on October 30, 2024. Bing Ventures and 5 other investors also participated in the round. The funds will be used to accelerate Termina's growth, support its open-source development efforts, and pave the way for an upcoming testnet launch this year.</t>
  </si>
  <si>
    <t>Financial Software, Other Financial Services, Software Development Applications*</t>
  </si>
  <si>
    <t>CloudTech &amp; DevOps, Cryptocurrency/Blockchain, FinTech</t>
  </si>
  <si>
    <t>blockchain network, blockchain program, gateway systems, token development, transaction management, web3 tools</t>
  </si>
  <si>
    <t>419569-75P</t>
  </si>
  <si>
    <t>Yiwen Gao</t>
  </si>
  <si>
    <t>ygao@termina.technology</t>
  </si>
  <si>
    <t>Ms. Yiwen Gao is the Founder &amp; serves as Chief Executive Officer at Termina.</t>
  </si>
  <si>
    <t>The company raised $4 million of seed funding in a deal led by Lemniscap on October 30, 2024. Bing Ventures, No Limit Holdings, Race Capital, Borderless Capital, Animoca Ventures and Finality Capital Partners also participated in the round. The funds will be used to accelerate Termina's growth, support its open-source development efforts, and pave the way for an upcoming testnet launch this year.</t>
  </si>
  <si>
    <t>Animoca Ventures, Bing Ventures, Borderless Capital, Finality Capital Partners, Lemniscap, No Limit Holdings, Race Capital</t>
  </si>
  <si>
    <t>Lemniscap(Shaishav Todi)</t>
  </si>
  <si>
    <t>www.termina.technology</t>
  </si>
  <si>
    <t>257246-56T</t>
  </si>
  <si>
    <t>Tesorai</t>
  </si>
  <si>
    <t>594260-47</t>
  </si>
  <si>
    <t>New Stack Ventures, NextGen Venture Partners</t>
  </si>
  <si>
    <t>New Stack Ventures (www.newstack.com), NextGen Venture Partners (www.nextgenvp.com)</t>
  </si>
  <si>
    <t>Developer of artificial intelligence platform designed to facilitate analyses of life science data. The company's application aims to tackle key challenges in data workflows, including small labeled datasets, multi-modal data integration, and information loss in pre-processing, enabling companies to integrate with drug discovery workflows seamlessly.</t>
  </si>
  <si>
    <t>The company raised $200,000 of Series 1 seed funding from NextGen Venture Partners and New Stack Ventures on April 1, 2024, putting the company's pre-money valuation at $600,000.</t>
  </si>
  <si>
    <t>Automation/Workflow Software, Business/Productivity Software*, Other Healthcare Technology Systems</t>
  </si>
  <si>
    <t>artficial intelligence platform, artificial intelligence, big data, biotech research, drug development, drug discovery</t>
  </si>
  <si>
    <t>185023-99P</t>
  </si>
  <si>
    <t>Melissa Miao</t>
  </si>
  <si>
    <t>Ms. Melissa Miao is a Co-Founder &amp; serves as Chief Executive Officer at Tesorai. She served as Vice President, Business Development at Alto (Pharmacy).</t>
  </si>
  <si>
    <t>Harvard Business School, MBA (Master of Business Administration), Stanford University, BS (Bachelor of Science), Industrial Engineering</t>
  </si>
  <si>
    <t>92130</t>
  </si>
  <si>
    <t>www.tesorai.com</t>
  </si>
  <si>
    <t>171832-06T</t>
  </si>
  <si>
    <t>The Archivist</t>
  </si>
  <si>
    <t>453401-83</t>
  </si>
  <si>
    <t>Ashton Kutcher(Ashton Kutcher), Edward Norton(Edward Norton)</t>
  </si>
  <si>
    <t>Developer of a cloud-based online platform designed to help in brand management. The company's platform offers to sell, rent, or buy pre-owned, archive, and vintage fashion and jewelry, enabling clients to manage their heritage through conservation and commerce.</t>
  </si>
  <si>
    <t>The company raised $3.34 million of venture funding from Amplifyher Ventures, Sound Ventures and LAUNCH Fund on November 19, 2021, putting the company's pre-money valuation at $20 million. Other undisclosed investors also participated in the round. Previously, the company raised $2 million of seed funding from Ashton Kutcher, Edward Norton and and other undisclosed investors on May 7, 2021, putting the company's pre-money valuation at $4 million.</t>
  </si>
  <si>
    <t>Accessories, Business/Productivity Software, Media and Information Services (B2B)*</t>
  </si>
  <si>
    <t>accessories apparel, accessories rent, accessories retail, accessories retailer, accessories seller, ecommerce-as-a-service, online platform</t>
  </si>
  <si>
    <t>40377-79P</t>
  </si>
  <si>
    <t>Ashley Granata</t>
  </si>
  <si>
    <t>+1 (646) 538-1500</t>
  </si>
  <si>
    <t>Ms. Ashley Granata is a Co-Founder and serves as Chief Executive Officer, President and Board Member at The Archivist. She is also a Co-Founder and serves as General Manager at Amigo. She is also a Co-Founder and serves as Chief Marketing Officer at Fashism.</t>
  </si>
  <si>
    <t>The company raised $2 million of seed funding from Ashton Kutcher, Edward Norton and and other undisclosed investors on May 7, 2021, putting the company's pre-money valuation at $4 million.</t>
  </si>
  <si>
    <t>Ashton Kutcher, Edward Norton</t>
  </si>
  <si>
    <t>thearchivist.com</t>
  </si>
  <si>
    <t>178322-77T</t>
  </si>
  <si>
    <t>The ARIA Network</t>
  </si>
  <si>
    <t>471554-38</t>
  </si>
  <si>
    <t>Visible Ventures</t>
  </si>
  <si>
    <t>Visible Ventures (visibleventures.com)</t>
  </si>
  <si>
    <t>Developer of an integrated media network designed to provide physical and digital marketing services. The company immerses consumers and fans into a virtual world and builds disruptive augmented reality through proprietary recognition technology, and also powers an NFT trading platform that is more efficient, transparent, secure, and carbon-neutral, enabling clients with innovative marketing services and expanding brand reach.</t>
  </si>
  <si>
    <t>The company raised $200,000 of venture funding in the form of SAFE notes from undisclosed investors on May 19, 2022.</t>
  </si>
  <si>
    <t>Business/Productivity Software, Financial Software, Media and Information Services (B2B)*</t>
  </si>
  <si>
    <t>AdTech, Augmented Reality, Marketing Tech, Virtual Reality</t>
  </si>
  <si>
    <t>ar technology, digital marketing, product marketing, technolo marketingy, vr marketing, vr technology</t>
  </si>
  <si>
    <t>110875-60P</t>
  </si>
  <si>
    <t>Darren Mann</t>
  </si>
  <si>
    <t>+1 (310) 804-7425</t>
  </si>
  <si>
    <t>Mr. Darren Mann is a Co-Founder &amp; serves as Co-Chief Executive Officer at The ARIA Network. He served as President, Co-Chief Executive Officer and Board Member at Digital Display Networks. He joined Explorer TV seven years ago and serves as Executive in Charge of Production and co-CEO. Under Darren's direction Explorer TV secured projects with Candies, Lucky Brand, Bongo, Bath &amp; Body Works, MTV, 7-Eleven, FOX, ABC Family, American Express, Carnival Corporation (Holland America Lines) and the United States Postal Service.</t>
  </si>
  <si>
    <t>The company raised $13.44 million of seed funding from Victress Capital and and other undisclosed investors on June 30, 2021.</t>
  </si>
  <si>
    <t>Victress Capital Fund(Visible Ventures)</t>
  </si>
  <si>
    <t>90077</t>
  </si>
  <si>
    <t>www.thearianetwork.com</t>
  </si>
  <si>
    <t>254500-48T</t>
  </si>
  <si>
    <t>The Design League</t>
  </si>
  <si>
    <t>501211-36</t>
  </si>
  <si>
    <t>Precursor Ventures, StoryHouse Ventures</t>
  </si>
  <si>
    <t>Precursor Ventures (precursorvc.com), StoryHouse Ventures (www.storyhousevc.com)</t>
  </si>
  <si>
    <t>Developer of a design platform intended to assist and enhance the wedding planning experience. The company's platform offers visual inspiration, creative tools, and custom recommendations, and provides easy-to-use design board tools to organize photos into a visual guide, enabling planners and event designers to inspire potential customers and demonstrate their expertise.</t>
  </si>
  <si>
    <t>The company raised $850,000 of pre-seed funding in a deal led by Precursor Ventures on January 1, 2024, putting the company's pre-money valuation at $6.15 million. StoryHouse Ventures also participated in the round.</t>
  </si>
  <si>
    <t>creative tools, design collaboration, design portfolio, visual guide, wedding design, wedding planner platform</t>
  </si>
  <si>
    <t>308372-77P</t>
  </si>
  <si>
    <t>Lauren Geissler</t>
  </si>
  <si>
    <t>+1 (415) 909-5909</t>
  </si>
  <si>
    <t>Ms. Lauren Geissler is a Co-Founder and serves as Chief Executive Officer and Board Member at The Design League.</t>
  </si>
  <si>
    <t>Stanford Law School, Degree</t>
  </si>
  <si>
    <t>www.designleague.co</t>
  </si>
  <si>
    <t>135532-18T</t>
  </si>
  <si>
    <t>The Dipp</t>
  </si>
  <si>
    <t>434440-63</t>
  </si>
  <si>
    <t>Defy Partners Management, Imagination Capital, Tribe Capital</t>
  </si>
  <si>
    <t>Defy Partners Management (www.defy.vc), Imagination Capital (www.imaginationvc.com), Tribe Capital (www.tribecap.co)</t>
  </si>
  <si>
    <t>Developer of a subscription-based platform designed to offer media information related to TV shows and movies. The company offers an online community, prioritizing women and their passion, and provides personalized subscription news, shows, and reading content, enabling audiences and readers to enjoy niche fandoms created daily.</t>
  </si>
  <si>
    <t>Tribe Capital sold a stake in the company to an undisclosed buyer.</t>
  </si>
  <si>
    <t>beauty community, culture and entertainment, entertainment community, lifestyle community, podcast network, women community</t>
  </si>
  <si>
    <t>130818-43P</t>
  </si>
  <si>
    <t>Kate Ward</t>
  </si>
  <si>
    <t>+1 (646) 461-7331</t>
  </si>
  <si>
    <t>kate@thedipp.com</t>
  </si>
  <si>
    <t>Ms. Kate Ward is a Co-Founder and serves as Chief Executive Officer at The Dipp. She also serves as Chief Content Officer at BETCHES. She also served as an Editor-in-Chief at Bustle. She has previously worked with PLAY Magazine.</t>
  </si>
  <si>
    <t>Northwestern University, BS (Bachelor of Science), 2002, Journalism, Northwestern University, BS (Bachelor of Science), 2007</t>
  </si>
  <si>
    <t>The company raised $2.5 million of seed funding in a deal led by Defy Partners Management on April 22, 2020, putting the company's pre-money valuation at $5.5 million. Imagination Capital, Tribe Capital and other undisclosed investors also participated in the round.</t>
  </si>
  <si>
    <t>Defy Partners Management</t>
  </si>
  <si>
    <t>DEFY Partners II(Defy Partners Management)</t>
  </si>
  <si>
    <t>11231</t>
  </si>
  <si>
    <t>www.thedipp.com</t>
  </si>
  <si>
    <t>175345-12T</t>
  </si>
  <si>
    <t>The Equity Brain Trust</t>
  </si>
  <si>
    <t>469226-71</t>
  </si>
  <si>
    <t>Fearless (IT Consulting and Outsourcing)(Delali Dzirasa), The Harbor Bank of Maryland Community Development</t>
  </si>
  <si>
    <t>Fearless (IT Consulting and Outsourcing) (www.fearless.tech), The Harbor Bank of Maryland Community Development (www.harborcdc.org)</t>
  </si>
  <si>
    <t>Operator of a social technology platform intended to help individual and corporate citizens to take data-driven actions. The company's platform aims to empower leaders who are serious about equity to track the data they need to create an equitable company and offers a clear and easy scoring process, enabling clients to avail the required data and make proper decisions.</t>
  </si>
  <si>
    <t>The company raised $300,000 of venture funding from TEDCO and other undisclosed investors on March 10, 2023. Out of the total amount, $200,000 was raised in the form of convertible debt.</t>
  </si>
  <si>
    <t>business decision, business decision tools, business operations, equity analysis, equity data, social technology</t>
  </si>
  <si>
    <t>267271-48P</t>
  </si>
  <si>
    <t>Angel Jean</t>
  </si>
  <si>
    <t>ajean@equiscorebi.com</t>
  </si>
  <si>
    <t>Ms. Angel Jean is the Founder &amp; serves as Chief Executive Officer at The Black Brain Trust.</t>
  </si>
  <si>
    <t>The company raised $150,000 of seed funding from Fearless (Software Development Applications) and The Habor Bank of Maryland Community Development on June 28, 2021.</t>
  </si>
  <si>
    <t>Fearless (IT Consulting and Outsourcing), The Harbor Bank of Maryland Community Development</t>
  </si>
  <si>
    <t>21217</t>
  </si>
  <si>
    <t>www.equitybraintrust.com</t>
  </si>
  <si>
    <t>189508-78T</t>
  </si>
  <si>
    <t>The Host Co.</t>
  </si>
  <si>
    <t>491635-81</t>
  </si>
  <si>
    <t>Hearst Communications(Eve Burton), The Artemis Fund(Diana Murakhovskaya), Untapped Capital(Yohei Nakajima)</t>
  </si>
  <si>
    <t>Hearst Communications (www.hearst.com), The Artemis Fund (www.theartemisfund.com), Untapped Capital (www.untapped.vc)</t>
  </si>
  <si>
    <t>Operator of a travel tech platform intended for community, resource, and retail for short-term rental hosts. The company offers a mini-bar, concierge, and gift shop for their clients, enabling guests to sell products in their short-term rental spaces.</t>
  </si>
  <si>
    <t>The company joined Techstars as part of its Techstars Oakland powered by J.P. Morgan on March 27, 2023 and received $20,000 in funding.</t>
  </si>
  <si>
    <t>Business/Productivity Software, Other Restaurants, Hotels and Leisure*, Other Services (B2C Non-Financial)</t>
  </si>
  <si>
    <t>Industrials, Restaurant Technology, SaaS</t>
  </si>
  <si>
    <t>community solutions, gift shop, mini bar, rental solutions, retail solutions, travel tech, travel technology platform</t>
  </si>
  <si>
    <t>291399-67P</t>
  </si>
  <si>
    <t>Annie Sloan</t>
  </si>
  <si>
    <t>annie@thehost.co</t>
  </si>
  <si>
    <t>Ms. Annie Sloan is a Co-Founder and serves as Chief Executive Officer at The Host Co..</t>
  </si>
  <si>
    <t>The company raised $1.85 million of seed funding in a deal led by Hearst Communications on March 2, 2022. The Artemis Fund and Untapped Capital also participated in the round. The funds will be used to scale and expand logistical capabilities, partner with more short-term rental hosts, and further enhance the guest experience.</t>
  </si>
  <si>
    <t>Hearst Communications, The Artemis Fund, Untapped Capital</t>
  </si>
  <si>
    <t>Hearst Communications(Eve Burton)</t>
  </si>
  <si>
    <t>94608</t>
  </si>
  <si>
    <t>www.thehost.co</t>
  </si>
  <si>
    <t>211412-26T</t>
  </si>
  <si>
    <t>The Humane Space</t>
  </si>
  <si>
    <t>491214-61</t>
  </si>
  <si>
    <t>Copper Wire Ventures, Maine Venture Fund</t>
  </si>
  <si>
    <t>Copper Wire Ventures (www.copperwire.ventures), Maine Venture Fund (www.maineventurefund.com)</t>
  </si>
  <si>
    <t>Developer of an application designed to feed curiosity, encourage lifelong learning, and prompt deep thinking. The company's application unpacks complex ideas in curated, easy-to-understand presentations of data, historical reference, artistic rigor, and common sense, enabling users to learn through wellness programs.</t>
  </si>
  <si>
    <t>The company raised $750,000 of seed funding from Maine Venture Fund and Copper Wire Ventures in February 2023.</t>
  </si>
  <si>
    <t>creative thinking, learning app, lifelong learning, lifelong learning program, mental health care, public relations, wellness service, workplace wellness</t>
  </si>
  <si>
    <t>290253-79P</t>
  </si>
  <si>
    <t>Lauren Henkin</t>
  </si>
  <si>
    <t>henkin@thehumane.space</t>
  </si>
  <si>
    <t>Ms. Lauren Henkin is the Founder and serves as Chief Executive Officer at The Humane Space.</t>
  </si>
  <si>
    <t>Rockland, ME</t>
  </si>
  <si>
    <t>Rockland</t>
  </si>
  <si>
    <t>04841</t>
  </si>
  <si>
    <t>www.thehumane.space</t>
  </si>
  <si>
    <t>195758-92T</t>
  </si>
  <si>
    <t>The Mintable</t>
  </si>
  <si>
    <t>481586-59</t>
  </si>
  <si>
    <t>Black Nova Venture Capital, Blackbird Ventures(Michael Tolo), Blackbird Ventures (US), Startmate, Treble (San Francisco)</t>
  </si>
  <si>
    <t>Black Nova Venture Capital (blacknova.vc), Blackbird Ventures (www.blackbird.vc), Blackbird Ventures (US) (www.blackbirdventures.com), Startmate (www.startmate.com), Treble (San Francisco) (www.treble.vc)</t>
  </si>
  <si>
    <t>Developer of virtual learning and training platform intended to empower managers. The company's platform provides cohort-based learning for individuals as well as partners with organizations, enabling managers to raise the performance of teams through the habit of feedback</t>
  </si>
  <si>
    <t>The company raised venture funding from Recall Capital on an undisclosed date.</t>
  </si>
  <si>
    <t>business productivity, cohort-based learning, content services, kms, knowledge management system, learning platform, organizational skills, people tech, skills building, talent management, training and development</t>
  </si>
  <si>
    <t>276103-45P</t>
  </si>
  <si>
    <t>Lauren Humphrey</t>
  </si>
  <si>
    <t>+1 (720) 772-1639</t>
  </si>
  <si>
    <t>lauren@getmintable.com</t>
  </si>
  <si>
    <t>Ms. Lauren Humphrey is a Co-Founder &amp; serves as Chief Executive Officer and Board Member at The Mintable.</t>
  </si>
  <si>
    <t>The company raised $1.3 million of pre-seed funding from Black Nova Venture Capital, Treble, Blackbird Ventures, and Blackbird Ventures in 2021. Startmate and other undisclosed investors also participated in the round.</t>
  </si>
  <si>
    <t>Black Nova Venture Capital, Blackbird Ventures, Blackbird Ventures (US), Startmate, Treble (San Francisco)</t>
  </si>
  <si>
    <t>Blackbird Ventures 2020(Blackbird Ventures)</t>
  </si>
  <si>
    <t>Arvada, CO</t>
  </si>
  <si>
    <t>Arvada</t>
  </si>
  <si>
    <t>80005</t>
  </si>
  <si>
    <t>www.themintable.co</t>
  </si>
  <si>
    <t>182990-62T</t>
  </si>
  <si>
    <t>The Postage</t>
  </si>
  <si>
    <t>466551-55</t>
  </si>
  <si>
    <t>Ben Jen Holdings, Long View Tech Ventures</t>
  </si>
  <si>
    <t>Ben Jen Holdings (www.benjenholdings.com), Long View Tech Ventures (www.longviewtechventures.com)</t>
  </si>
  <si>
    <t>Operator of a fintech software platform designed to offer comprehensive life planning and succession planning for families and small businesses. The company's platform helps banks, credit unions, and partners across the US build multi-generational relationships with retail and small business customers while increasing deposits, new accounts, and non-interest income, enabling people to become more prepared for the event of death and provide a clear and straightforward way to organize the affairs without hassle.</t>
  </si>
  <si>
    <t>The company raised $85,311 of equity crowdfunding in the form of convertible notes via MicroVentures on April 05, 2022. Previously, the company raised $1.31 million of venture funding in the form of convertible debt from Ben Jen Holdings, Long View Tech Ventures, and other undisclosed investors on October 21, 2021.</t>
  </si>
  <si>
    <t>business succession, digital asset, digital platform, digital platform gift, digital vault, estate plan, funeral planning, legacy planning, password management</t>
  </si>
  <si>
    <t>263140-12P</t>
  </si>
  <si>
    <t>Emily Cisek</t>
  </si>
  <si>
    <t>+1 (844) 977-2437</t>
  </si>
  <si>
    <t>ecisek@thepostage.com</t>
  </si>
  <si>
    <t>Ms. Emily Cisek is a Co-Founder and serves as Chief Executive Officer &amp; Board Member at The Postage. Prior to founding The Postage, she was the Director of Sales at Integrate Agency, a full-service digital and traditional marketing agency, specializing in technology, energy, and real estate throughout Texas. With her extensive experience in leading, developing, and launching robust marketing and communication programs, she led efforts for a number of clients across various industries to build out their digital initiatives. She received her BS degree in Business Administration from Bryant University then grew her professional career in Houston at Bounce Energy and Direct Energy as a Digital Marketing Manager, before spending several years in Austin leading a branch of Integrate Agency. She decided to headquarters The Postage in Houston, in an environment filled with energy and potential for growth.</t>
  </si>
  <si>
    <t>Bryant University, BS (Bachelor of Science), Business Administration</t>
  </si>
  <si>
    <t>The company raised $1.31 million of venture funding in the form of convertible debt from Ben Jen Holdings, Long View Tech Ventures, and other undisclosed investors on October 21, 2021.</t>
  </si>
  <si>
    <t>www.thepostage.com</t>
  </si>
  <si>
    <t>Bridge Loan - $1.31M (Convertible)</t>
  </si>
  <si>
    <t>168680-89T</t>
  </si>
  <si>
    <t>The*gamehers</t>
  </si>
  <si>
    <t>462949-21</t>
  </si>
  <si>
    <t>Madison Paige Capital</t>
  </si>
  <si>
    <t>Madison Paige Capital (maddiecap.com)</t>
  </si>
  <si>
    <t>Provider of gaming community services intended to create a community for women gamers who want to connect. The company's services are a women-led community dedicated to amplifying and centering the voices of women, femme-identifying gamers, and non-binary gamers, enabling women gamers to advance their role, voice, and image of the gaming world.</t>
  </si>
  <si>
    <t>The company joined Tampa Bay Wave on an undisclosed date. Previously, the company raised $355,458 of equity crowdfunding in the form of convertible debt via Wefunder as of March 15, 2024. Amanda Solomon and other undisclosed investors also participated in the round. The funds will be used by the company to complete its strategic hires and to continue growing its community and platform to unlock new and emerging revenue streams. The company is actively tracked by PitchBook.</t>
  </si>
  <si>
    <t>Entertainment Software, Other Services (B2C Non-Financial), Social Content*</t>
  </si>
  <si>
    <t>gaming community, gaming experience, gaming social, video games, women network, women's community</t>
  </si>
  <si>
    <t>164511-19P</t>
  </si>
  <si>
    <t>Rebecca Dixon</t>
  </si>
  <si>
    <t>+1 (917) 572-9192</t>
  </si>
  <si>
    <t>rebecca@thegamehers.com</t>
  </si>
  <si>
    <t>Ms. Rebecca Dixon is a Co-Founder and serves as Chief Marketing Officer &amp; Chief Executive Officer at The gameHERs. She served as Managing Director and General Manager at Mommybites. She is responsible for securing advertising, marketing, and sponsorship opportunities for Mommybites' website, events, and all other aspects of the business. She is also involved with strategic planning and business development for Mommybites. Prior to Mommybites, she co-founded BE Designs, a fashion design, and marketing company. She also worked in media advertising at CBS Television, Turner Broadcasting, and Carat USA for 8 years following her graduation from Vanderbilt University. While in media, she worked in various capacities securing and maintaining partnerships between television networks and their advertising clients.</t>
  </si>
  <si>
    <t>Vanderbilt University, BS (Bachelor of Science), 1999, Mathematics</t>
  </si>
  <si>
    <t>The company raised $1.2 million of seed funding from Madison Paige Capital and other undisclosed investors on March 1, 2020. The amount was originally raised in the form of convertible debt and subsequently got converted into equity.</t>
  </si>
  <si>
    <t>www.thegamehers.com</t>
  </si>
  <si>
    <t>179350-21T</t>
  </si>
  <si>
    <t>TheLoops</t>
  </si>
  <si>
    <t>454253-14</t>
  </si>
  <si>
    <t>Dell Technologies Capital, Tidal Ventures (Australia)</t>
  </si>
  <si>
    <t>Dell Technologies Capital (www.delltechnologiescapital.com), Tidal Ventures (Australia) (www.tidalvc.com)</t>
  </si>
  <si>
    <t>Developer of an all-in-one intelligent platform designed to provide actionable insights for CX teams using prediction and GenAI to increase team's productivity. The company's platform offers real-time prediction, trends, sentiment, topics and all in one easy to use AI platform and unifies data from multiple sources and provides a 360-degree view of customers, and automates ticket classification and routing, enabling customer experience teams to deliver personalized and efficient support to customers, while reducing costs and increasing customer satisfaction.</t>
  </si>
  <si>
    <t>The company raised an undisclosed amount of venture funding from GoingVC Partners on August 22, 2023.</t>
  </si>
  <si>
    <t>customer interaction data, data integration platform, data integration system, enterprise resource planning, erp, intelligent operations, productivity software, tooling interaction</t>
  </si>
  <si>
    <t>266782-06P</t>
  </si>
  <si>
    <t>Somya Kapoor</t>
  </si>
  <si>
    <t>somya@theloops.ai</t>
  </si>
  <si>
    <t>Ms. Somya Kapoor is a Co-Founder and serves as Chief Executive Officer at TheLoops. Her experience spans from building ML and predictive analytics products to product go-to-market at major software companies in Silicon Valley. At her previous startup, she built an autonomous service desk solution. Now she aims to transform the technical support experience with data and automation.</t>
  </si>
  <si>
    <t>The company raised $3 million of Seed funding from Dell Technologies Capital, Tidal Ventures (Australia), and other undisclosed investors on August 21, 2020, putting the company's pre-money valuation at $7 million.</t>
  </si>
  <si>
    <t>www.theloops.io</t>
  </si>
  <si>
    <t>192479-68T</t>
  </si>
  <si>
    <t>Themis (Business/Productivity Software)</t>
  </si>
  <si>
    <t>484612-48</t>
  </si>
  <si>
    <t>Felicis(Victoria Treyger), FIS Ventures(Elaine Duff), TTV Capital(Neil Kapur), Walkabout Ventures(Joshua Diamond)</t>
  </si>
  <si>
    <t>Felicis (www.felicis.com), TTV Capital (www.ttvcapital.com), Walkabout Ventures (www.walkabout.vc)</t>
  </si>
  <si>
    <t>Developer of a governance, risk, and compliance platform designed to help companies accelerate partnerships with vendors, banks, and fintech. The company's platform offers a strong compliance environment to onboard vendors, conduct due diligence and receive documentation using secure, private workspaces, track policy approvals collaborate on marketing material, and provide auditors, consultants, and regulators access to the internal control environment, enabling businesses to make informed decisions and contribute to sales and strategy, increasing top-line revenue.</t>
  </si>
  <si>
    <t>The company raised an undisclosed amount of venture funding from The Fintech Fund in approximately October 2022. Previously, the company joined The Venture Center as a part of the 2022 Cohort of IS Fintech Accelerator program on August 17, 2022, and received an undisclosed amount in funding. The funding was originally raised in the form of SAFE Notes and was subsequently converted into equity.</t>
  </si>
  <si>
    <t>compliance data, compliance risk, compliance solution, digital transformations, risk engine, risk management system</t>
  </si>
  <si>
    <t>196613-38P</t>
  </si>
  <si>
    <t>Neepa Patel</t>
  </si>
  <si>
    <t>neepa@askthemis.com</t>
  </si>
  <si>
    <t>Ms. Neepa Patel is the Founder and serves as Chief Executive Officer &amp; Board Member at Themis (Business/ Productivity Software). Ms. Patel joined our company as a Director on November 15, 2021. She has 15+ years of experience in various regulatory and compliance positions across the public and private sectors. Prior to founding Themis in March 2020, she was the Head of Compliance for an enterprise blockchain company, R3 from 2016 through December 2019. Before that, she had several risk and compliance positions at Deutsche Bank from 2014 to 2016 and at Morgan Stanley between 2011 and 2014. At Morgan Stanley, she helped develop a compliance framework for the newly formed banking entities, Morgan Stanley Bank and Morgan Stanley Private Bank post-crisis. She began her career as a Bank Examiner at the Office of the Comptroller of the Currency (OCC), where she worked from 2005 to 2011. She attended Georgia Tech.</t>
  </si>
  <si>
    <t>The company raised $9 million of seed funding in a deal led by TTV Capital on April 19, 2022, putting the company's pre-money valuation at $29.00 million. FIS Impact Ventures, Felicis, Walkabout Ventures and other undisclosed investors also participated in the round. The funds will be used to solve compliance and risk challenges stemming from cross-sector and cross-border partnerships.</t>
  </si>
  <si>
    <t>Felicis, FIS Ventures, TTV Capital, Walkabout Ventures</t>
  </si>
  <si>
    <t>TTV Capital(Neil Kapur)</t>
  </si>
  <si>
    <t>TTV Fund VI(TTV Capital), Walkabout Ventures Fund I(Walkabout Ventures)</t>
  </si>
  <si>
    <t>Fenwick &amp; West (Legal Advisor to Company), Gunderson Dettmer (Legal Advisor to Company), Silicon Legal Strategy (Legal Advisor to Felicis, Gaurav Mathur JD)</t>
  </si>
  <si>
    <t>Fenwick &amp; West (Legal Advisor to Company), Gunderson Dettmer (Legal Advisor to Company)</t>
  </si>
  <si>
    <t>www.themis.com</t>
  </si>
  <si>
    <t>243951-04T</t>
  </si>
  <si>
    <t>TheraDriver</t>
  </si>
  <si>
    <t>538936-03</t>
  </si>
  <si>
    <t>Eniac Ventures(Timothy Young), Euclid Ventures</t>
  </si>
  <si>
    <t>Eniac Ventures (www.eniac.vc), Euclid Ventures (www.euclid.vc)</t>
  </si>
  <si>
    <t>Developer of an applied behavior analysis (ABA) software designed to improve productivity in behavioral health clinics. The company's software offers an artificial intelligence-powered smart scheduling system, one-click cancellation management, staff optimization based on intelligent data tags, push-notification-based parent training, automated staff notifications on schedule changes and electronic health record (EHR) integration to streamline workflows and enhance staff training, enabling clients to improve team efficiency and deliver good-quality care.</t>
  </si>
  <si>
    <t>The company raised $1.78 million of venture funding from Euclid Ventures and Eniac Ventures on August 21, 2023.</t>
  </si>
  <si>
    <t>Artificial Intelligence &amp; Machine Learning, HealthTech, SaaS</t>
  </si>
  <si>
    <t>applied behavior analysis firm, data driven analytics, ehr integration, health staffing services, hospital and health care, staff optimization</t>
  </si>
  <si>
    <t>186057-28P</t>
  </si>
  <si>
    <t>Malavica Sridhar</t>
  </si>
  <si>
    <t>+1 (630) 306-4136</t>
  </si>
  <si>
    <t>mal@theradriver.com</t>
  </si>
  <si>
    <t>Ms. Malavica Sridhar is a Co-Founder and serves as Chief Executive Officer at TheraDriver. She served as Product Manager at CircleUp Network. She has been building software in Silicon Valley, most recently leading product management for Google's self-driving team. She's consulted over a dozen companies on their software and ML strategy. Her belief is that AI-powered software should be built via a problem-first approach, heavily considering the quality and infrastructure of data. She hopes technology significantly supercharges ABA teams across the country, accelerating the quality and access to high-quality care.</t>
  </si>
  <si>
    <t>Eniac Ventures, Euclid Ventures</t>
  </si>
  <si>
    <t>Reitler Kailas &amp; Rosenblatt (Legal Advisor to Eniac Ventures)</t>
  </si>
  <si>
    <t>www.theradriver.com</t>
  </si>
  <si>
    <t>164136-79T</t>
  </si>
  <si>
    <t>TheXPlace</t>
  </si>
  <si>
    <t>458160-13</t>
  </si>
  <si>
    <t>Angel Ventures Mexico, Brighter Capital</t>
  </si>
  <si>
    <t>Angel Ventures Mexico (www.angelventures.vc), Brighter Capital (www.brightercapital.com)</t>
  </si>
  <si>
    <t>Developer of a professional networking platform designed to handle any project, scope, and need. The company's platform connects verified talent and studios to build exceptional teams and create epic gaming experiences, enabling the video game community to find rewarding work that matches their skills and ambitions, and studios to hire top talent efficiently.</t>
  </si>
  <si>
    <t>The company raised $1.5 million of Series 1 venture funding from Hustle Fund, XFactor Ventures, and 05 Ventures on March 26, 2021, putting the company's pre-money valuation at $5.5 million. Two Lanterns Venture Partners, Angel Ventures Mexico, Gimmel Ventures, and other undisclosed investors also participated in the round. Of the total amount, $100,000 was originally raised in the form of convertible debt and subsequently converted to equity. Previously, the company raised $500,000 of seed funding from Angel Ventures Mexico and Brighter Capital on October 29, 2020.</t>
  </si>
  <si>
    <t>Entertainment Software, Human Capital Services*</t>
  </si>
  <si>
    <t>Artificial Intelligence &amp; Machine Learning, Gaming, HR Tech</t>
  </si>
  <si>
    <t>gaming community management, gaming experience, gaming talent, jobs offer, professional gaming portal, professional networking, video game community</t>
  </si>
  <si>
    <t>249229-27P</t>
  </si>
  <si>
    <t>Maya Rand</t>
  </si>
  <si>
    <t>maya@thexplace.ai</t>
  </si>
  <si>
    <t>Ms. Maya Rand is the Founder and serves as Chief Executive Officer at TheXPlace.</t>
  </si>
  <si>
    <t>The company raised $500,000 of seed funding from Angel Ventures Mexico and Brighter Capital on October 29, 2020.</t>
  </si>
  <si>
    <t>AV Pacific Alliance Fund II(Angel Ventures Mexico)</t>
  </si>
  <si>
    <t>www.thexplace.ai</t>
  </si>
  <si>
    <t>170902-18T</t>
  </si>
  <si>
    <t>Thistle Technologies</t>
  </si>
  <si>
    <t>465330-34</t>
  </si>
  <si>
    <t>DCVC, Operator Collective, True Ventures(Philip Black)</t>
  </si>
  <si>
    <t>DCVC (www.dcvc.com), Operator Collective (www.operatorcollective.com), True Ventures (www.trueventures.com)</t>
  </si>
  <si>
    <t>Developer of a comprehensive security platform designed for IoT and embedded device manufacturers. The company's platform offers a set of security tools and services designed for embedded devices that allow teams to address major areas of security risk immediately and build verifiable security improvements into their products, enabling developers to create a security architecture for devices, quickly and easily.</t>
  </si>
  <si>
    <t>The company raised an undisclosed amount of venture funding from Newtype Ventures in 2023.</t>
  </si>
  <si>
    <t>application security, device security, device security solutions, endpoint security, iot security, iot security platform, iot software, iot/ot security, ot security, security architecture, security software, security updates</t>
  </si>
  <si>
    <t>188394-31P</t>
  </si>
  <si>
    <t>Window Snyder</t>
  </si>
  <si>
    <t>window@thistle.tech</t>
  </si>
  <si>
    <t>Ms. Window Snyder is the Founder &amp; serves as Chief Executive Officer at Thistle Technologies. Mr. Snyder is an Angel Investor. She serves as Board Member at DevColor. She served as Chief Software Security Officer at Intel. She was most recently the Chief Security Officer at cloud computing company Fastly and formerly spent five years helping to overhaul Apple's security and privacy work. She also spent several years at Mozilla.</t>
  </si>
  <si>
    <t>The company raised $2.5 million of seed funding from Operator Collective, DCVC and True Ventures on April 22, 2021. The funds will be used to help IoT manufacturers reliably and securely deliver software updates to their devices</t>
  </si>
  <si>
    <t>DCVC, Operator Collective, True Ventures</t>
  </si>
  <si>
    <t>Operator Collective Fund(Operator Collective), True Ventures VII(True Ventures)</t>
  </si>
  <si>
    <t>Goodwin Procter (Legal Advisor to True Ventures, John Casnocha JD)</t>
  </si>
  <si>
    <t>www.thistle.tech</t>
  </si>
  <si>
    <t>206226-91T</t>
  </si>
  <si>
    <t>Thola</t>
  </si>
  <si>
    <t>482383-72</t>
  </si>
  <si>
    <t>Catalyst Fund, Hustle Fund</t>
  </si>
  <si>
    <t>Catalyst Fund (www.thecatalystfund.com), Hustle Fund (www.hustlefund.vc)</t>
  </si>
  <si>
    <t>Operator of a community-based marketplace platform intended to help prospective asset buyers make informed purchasing or rental decisions by providing technical safety, compliance, and integrity insights. The company offers an on-demand auditing marketplace that connects buyers with the nearest independent compliance auditors to assess assets before purchase, ensuring buyers receive safety and compliance assurance before committing, enhances asset safety, integrity, compliance, and performance while optimizing management costs, helping investors to invest in agricultural commodities without any barriers.</t>
  </si>
  <si>
    <t>The company raised an undisclosed amount of venture funding from The Baobab Network, Forum Ventures, and Catalyst Fund on December 7, 2023. Other undisclosed investors also participated in the round. Previously, the company joined Roux Institute at Northeastern University on September 13, 2023, and received $25,000 in the form of grant funding.</t>
  </si>
  <si>
    <t>biosecurity services, business compliance, climate tech, commercial finance, compliance automation, data analytics, non-dilutive finance, sustainable agricultural</t>
  </si>
  <si>
    <t>278611-39P</t>
  </si>
  <si>
    <t>Nneile Nkholise</t>
  </si>
  <si>
    <t>+1 (415) 847-5116</t>
  </si>
  <si>
    <t>nneilen@getthola.com</t>
  </si>
  <si>
    <t>Ms. Nneile Nkholise is a Co-Founder &amp; serves as Chief Executive Officer at Thola.</t>
  </si>
  <si>
    <t>M.Tech (Master of Technology), 2017, Mechanical Engineering, University of the Witwatersrand, BS (Bachelor of Science), 2007, Computer Science</t>
  </si>
  <si>
    <t>The company raised $227,000 of venture funding from Hustle Fund and Catalyst Fund on October 1, 2022, putting the company's pre-money valuation at $3.77 million.</t>
  </si>
  <si>
    <t>Hustle Fund II(Hustle Fund)</t>
  </si>
  <si>
    <t>www.getthola.com</t>
  </si>
  <si>
    <t>254304-91T</t>
  </si>
  <si>
    <t>Thoras AI</t>
  </si>
  <si>
    <t>590209-48</t>
  </si>
  <si>
    <t>Focal (VC)(Pascal Unger), Hustle Fund, Long Journey Ventures, Northside Ventures, Precursor Ventures, Storytime Capital(Neil Grunberg), The Pitch Fund &amp; Syndicate</t>
  </si>
  <si>
    <t>Focal (VC) (www.focal.vc), Hustle Fund (www.hustlefund.vc), Long Journey Ventures (www.longjourney.vc), Northside Ventures (www.northside.ventures), Precursor Ventures (precursorvc.com), Storytime Capital (www.storytime.capital)</t>
  </si>
  <si>
    <t>Developer of an adaptive reliability platform designed to proactively detect and resolve system issues to prevent downtime and optimize cloud operations. The company's platform offers AI-driven performance monitoring, autonomous scaling, cloud forecasting, prevention of system failures, fault prevention, and cost management, enabling businesses to achieve reliability, minimize costs, and ensure seamless performance at scale.</t>
  </si>
  <si>
    <t>The company raised $1.5 million in pre-seed funding in the form of SAFE notes in a deal led by Storytime Capital and Focal on March 26, 2024, putting the company's pre-money valuation at $4.5 million. Precursor Ventures and 4 other investors also participated in the round. The funds will be used to fuel the rapid product development of the company's platform to optimize and strengthen enterprise cloud computing.</t>
  </si>
  <si>
    <t>Artificial Intelligence &amp; Machine Learning, CloudTech &amp; DevOps, SaaS</t>
  </si>
  <si>
    <t>cloud app, cloud management tool, cloud storage, cloud system management, data safety, downtime management, fault management</t>
  </si>
  <si>
    <t>389076-40P</t>
  </si>
  <si>
    <t>Nilo Rahmani</t>
  </si>
  <si>
    <t>+1 (571) 888-5169</t>
  </si>
  <si>
    <t>nilo@thoras.ai</t>
  </si>
  <si>
    <t>Ms. Nilo Rahmani is a Co-Founder and serves as a Chief Executive Officer at Thoras AI.</t>
  </si>
  <si>
    <t>The company raised $1.5 million in pre-seed funding in the form of SAFE notes in a deal led by Storytime Capital and Focal on March 26, 2024, putting the company's pre-money valuation at $4.5 million. Hustle Fund, The Pitch Fund &amp; Syndicate, Northside Ventures, Long Journey Ventures and Precursor Ventures also participated in the round. The funds will be used to fuel the rapid product development of the company's platform to optimize and strengthen enterprise cloud computing.</t>
  </si>
  <si>
    <t>Focal (VC), Hustle Fund, Long Journey Ventures, Northside Ventures, Precursor Ventures, Storytime Capital, The Pitch Fund &amp; Syndicate</t>
  </si>
  <si>
    <t>Focal (VC)(Pascal Unger), Storytime Capital(Neil Grunberg)</t>
  </si>
  <si>
    <t>Hustle Fund III(Hustle Fund), Storytime Capital Venture Fund(Storytime Capital)</t>
  </si>
  <si>
    <t>Orrick (Legal Advisor to Company), Reitler Kailas &amp; Rosenblatt (Legal Advisor to Focal (VC))</t>
  </si>
  <si>
    <t>Reitler Kailas &amp; Rosenblatt (Legal Advisor to Focal (VC))</t>
  </si>
  <si>
    <t>www.thoras.ai</t>
  </si>
  <si>
    <t>243947-62T</t>
  </si>
  <si>
    <t>Thoughtful (Social/Platform Software)</t>
  </si>
  <si>
    <t>538929-01</t>
  </si>
  <si>
    <t>A-Rod, VCP Ventures(Alexander Rodriguez)</t>
  </si>
  <si>
    <t>A-Rod (www.arodcorp.com), VCP Ventures (www.vcpventures.com)</t>
  </si>
  <si>
    <t>Developer of a social connection application designed for people to improve their mental health. The company's application helps to connect to family and friends to combat loneliness and isolation by reaching out to people in their lives, enabling users to address their mental health needs by deepening our connections with others.</t>
  </si>
  <si>
    <t>The company raised $7 million of seed funding in a deal led by VCP Ventures and A-Rod on October 24, 2023. Other undisclosed individual investors also participated in the round.</t>
  </si>
  <si>
    <t>communication application, mental wellness, mental wellness app, relationship app, wellness app, wellness platform</t>
  </si>
  <si>
    <t>74176-03P</t>
  </si>
  <si>
    <t>Elizabeth Shaffer</t>
  </si>
  <si>
    <t>elizabeth@thoughtful.com</t>
  </si>
  <si>
    <t>Ms. Elizabeth Shaffer is a Co-Founder &amp; serves as Chief Executive Officer at Thoughtful. She co-founded Masse and served as its President, Chief Executive Officer and Board Member. Ms. Shaffer also served as Director of Product and Category Experience at Jet. Previously, she served as Director of Product at Moda Operandi. Prior to this, she worked as Online Store Manager USA at YOOX. She received a degree in Politics, Philosophy and Economics from Oxford University in 2008.</t>
  </si>
  <si>
    <t>University of Oxford, Degree, 2008, Politics, Philosophy and Economics</t>
  </si>
  <si>
    <t>A-Rod, VCP Ventures</t>
  </si>
  <si>
    <t>VCP Ventures(Alexander Rodriguez)</t>
  </si>
  <si>
    <t>www.thoughtful.com</t>
  </si>
  <si>
    <t>273597-49T</t>
  </si>
  <si>
    <t>Thread AI</t>
  </si>
  <si>
    <t>615663-55</t>
  </si>
  <si>
    <t>Daniel Sturman(Daniel Sturman), Greycroft, Hunter Walk(Hunter Walk), Index Ventures(Shardul Shah), Olivier Pomel(Olivier Pomel), Satya Patel(Satya Patel)</t>
  </si>
  <si>
    <t>Greycroft (www.greycroft.com), Index Ventures (www.indexventures.com)</t>
  </si>
  <si>
    <t>Developer of composable Artificial Intelligence (AI) infrastructure platform intended to design, implement, and manage an organization's mission-critical workflows. The company's platform integrates combinations of models and services, infrastructure, and applications into one cohesive system to solve complex workflows securely and at scale, enabling companies to easily build mission-critical, automated workflows while seamlessly incorporating important constraints, like cost and human-in-the-loop handoffs.</t>
  </si>
  <si>
    <t>The company raised $6 million of seed funding in a deal led by Index Ventures on October 1, 2024. Greycroft and other investors also participated in the round. The funds will be used to fuel growth as the company seeks to hire aggressively in the coming months and expand its public sector footprint.</t>
  </si>
  <si>
    <t>ai model, ai systems, automated workflow, human augmentation, identity management, model service, workflow planning</t>
  </si>
  <si>
    <t>415285-75P</t>
  </si>
  <si>
    <t>Angela McNeal</t>
  </si>
  <si>
    <t>Ms. Angela McNeal is a Co-Founder &amp; serves as Chief Executive Officer at Thread AI.</t>
  </si>
  <si>
    <t>Columbia University, Bachelor's, Computer Science, applied math</t>
  </si>
  <si>
    <t>The company raised $6 million of seed funding in a deal led by Index Ventures on October 1, 2024. Greycroft, Satya Patel, Hunter Walk, Dan Sturman, Olivier Pomel and other undisclosed investors also participated in the round. The funds will be used to fuel growth as the company seeks to hire aggressively in the coming months and expand its public sector footprint.</t>
  </si>
  <si>
    <t>Daniel Sturman, Greycroft, Hunter Walk, Index Ventures, Olivier Pomel, Satya Patel</t>
  </si>
  <si>
    <t>Index Ventures(Shardul Shah)</t>
  </si>
  <si>
    <t>www.threadai.com</t>
  </si>
  <si>
    <t>267285-79T</t>
  </si>
  <si>
    <t>Thumbprint</t>
  </si>
  <si>
    <t>608856-58</t>
  </si>
  <si>
    <t>Iron Prairie Ventures(Maggie Kenefake)</t>
  </si>
  <si>
    <t>Iron Prairie Ventures (www.ironprairie.vc)</t>
  </si>
  <si>
    <t>Operator of a furniture design platform intended to simplify the customized furniture purchase. The company's platform connects commercial furniture manufacturers with buyers, simplifying the commercial furniture design and specification process by automatically generating fully specified furniture packages using artificial intelligence, enabling customers to have a simplified process for buying customized furniture.</t>
  </si>
  <si>
    <t>The company raised $1.5 million of seed funding from Iron Prairie Ventures in July 2024.</t>
  </si>
  <si>
    <t>automation tools, commercial furniture, customized design, customized furniture, furniture design, furniture marketplace, furniture package</t>
  </si>
  <si>
    <t>405499-42P</t>
  </si>
  <si>
    <t>Katherine Friedman</t>
  </si>
  <si>
    <t>Ms. Katherine Friedman is a Co-Founder and serves as Chief Executive Officer at Thumbprint.</t>
  </si>
  <si>
    <t>Iron Prairie Ventures</t>
  </si>
  <si>
    <t>www.thumbprintfurniture.com</t>
  </si>
  <si>
    <t>264402-37T</t>
  </si>
  <si>
    <t>Tidalwave</t>
  </si>
  <si>
    <t>519670-54</t>
  </si>
  <si>
    <t>RevTech Labs Capital</t>
  </si>
  <si>
    <t>RevTech Labs Capital (www.rtl.capital)</t>
  </si>
  <si>
    <t>Developer of a fintech platform intended to streamline the mortgage loan origination process. The company's AI-powered platform helps to provide banks, credit unions, and mortgage brokers with an automated system for loan approvals by automating tasks like eligibility checks, pricing calculations, and document reviews, enabling clients to reduce the processing time and manual workload.</t>
  </si>
  <si>
    <t>The company raised an estimated $2.08 million of seed funding from RevTech Labs Capital, and other undisclosed investors on March 6, 2023, putting the company's pre-money valuation at $10 million.</t>
  </si>
  <si>
    <t>Artificial Intelligence &amp; Machine Learning, FinTech, Mortgage Tech, Real Estate Technology, SaaS</t>
  </si>
  <si>
    <t>digital mortgage platform, digital mortgage service, financial technology, fintech platform, mortgage automation, mortgage platform</t>
  </si>
  <si>
    <t>46320-94P</t>
  </si>
  <si>
    <t>Diane Yu</t>
  </si>
  <si>
    <t>dyu@tidalwave.ai</t>
  </si>
  <si>
    <t>Ms. Diane Yu is a Co-Founder and serves as Chief Executive Officer at Tidalwave. Ms. Yu served as Chief Technology Officer at Better. She had Co-Founded and served as CTO at FreeWheel Media. She served as an Advisor at EverString.</t>
  </si>
  <si>
    <t>Ohio University, MS (Master of Science), 1998, Computer Science, Peking University, BS (Bachelor of Science), 1995</t>
  </si>
  <si>
    <t>RevTechLabs Capital Fund 2(RevTech Labs Capital)</t>
  </si>
  <si>
    <t>28202</t>
  </si>
  <si>
    <t>tidalwave.ai</t>
  </si>
  <si>
    <t>131122-90T</t>
  </si>
  <si>
    <t>Tilt (Human Capital Services)</t>
  </si>
  <si>
    <t>280133-65</t>
  </si>
  <si>
    <t>Rockies Venture Club</t>
  </si>
  <si>
    <t>Rockies Venture Club (www.rockiesventureclub.org)</t>
  </si>
  <si>
    <t>Developer of an employee retention platform designed to automate leave workflow management. The company's platform tracks legal changes like compliance with local, state, and federal leave laws, offers leave planning, and a dashboard to access employee leave, enabling companies to improve retention, streamline processes, reinforce culture, support teams and stay compliant.</t>
  </si>
  <si>
    <t>The company raised $15 million of Series B venture funding from HearstLab, and other undisclosed investors on May 3, 2024, putting the company's pre-money valuation at $58.5 million.</t>
  </si>
  <si>
    <t>enterprise resource planning, erp, hr technology, human capital management, human resources program, leave management, recruitment platform, retention platform, talent acquisition, workflow management</t>
  </si>
  <si>
    <t>212981-14P</t>
  </si>
  <si>
    <t>Jennifer Henderson</t>
  </si>
  <si>
    <t>+1 (970) 999-4999</t>
  </si>
  <si>
    <t>jen@hellotilt.com</t>
  </si>
  <si>
    <t>Ms. Jennifer Henderson is the Founder and serves as Chief Executive Officer and Board Member at TiLT.</t>
  </si>
  <si>
    <t>The company raised $187,000 of Seed funding from Rockies Venture Club, and other undisclosed investors on February 25, 2020, putting the company's pre-money valuation at $1.81 million.</t>
  </si>
  <si>
    <t>Fort Collins, CO</t>
  </si>
  <si>
    <t>Fort Collins</t>
  </si>
  <si>
    <t>80524</t>
  </si>
  <si>
    <t>www.hellotilt.com</t>
  </si>
  <si>
    <t>191602-18T</t>
  </si>
  <si>
    <t>TitanSpace</t>
  </si>
  <si>
    <t>494415-64</t>
  </si>
  <si>
    <t>Accenture Ventures, Monochrome Capital, Scrum Ventures(Ryan Mendoza), Untapped Capital(Yohei Nakajima), Village Global</t>
  </si>
  <si>
    <t>Monochrome Capital (www.monochrome.vc), Scrum Ventures (www.scrum.vc), Untapped Capital (www.untapped.vc), Village Global (www.villageglobal.vc)</t>
  </si>
  <si>
    <t>Developer a commercial research and development system designed to increase the speed and efficiency of real-time data analysis for space research. The company's platform accelerates the next generation of medical research, climate technology, and materials science, enabling companies to solve mission-critical problems for humanity.</t>
  </si>
  <si>
    <t>The company raised $10.5 million of seed funding from Accenture Ventures, Untapped Capital and Scrum Ventures on April 1, 2022, putting the company's pre-money valuation at $30 million. Village Global, Monochrome Capital and other undisclosed investors also participated in the round.</t>
  </si>
  <si>
    <t>Aerospace and Defense, Business/Productivity Software*</t>
  </si>
  <si>
    <t>aerospace components, data analysis, materials science, medical research, space economy, space research</t>
  </si>
  <si>
    <t>297125-29P</t>
  </si>
  <si>
    <t>Ashley Pilipiszyn</t>
  </si>
  <si>
    <t>Ms. Ashley Pilipiszyn co-founded and served as Chief Executive Officer at TitanSpace. she is an applied scientist, pilot, engineer, marathon runner, and astronaut-in-training. She was previously at OpenAI, SLAC National Accelerator Lab, and Stanford University.</t>
  </si>
  <si>
    <t>The company raised $10.5 million of seed funding from Accenture Ventures, Untapped Capital and Scrum Ventures on April 1, 2022, putting the company's pre-money valuation at $30 million. Village Global and Monochrome Capital also participated in the round.</t>
  </si>
  <si>
    <t>Accenture Ventures, Monochrome Capital, Scrum Ventures, Untapped Capital, Village Global</t>
  </si>
  <si>
    <t>www.titanspace.co</t>
  </si>
  <si>
    <t>194150-26T</t>
  </si>
  <si>
    <t>Toki (Business/Productivity Software)</t>
  </si>
  <si>
    <t>496327-33</t>
  </si>
  <si>
    <t>MaC Venture Capital(Adrian Fenty), The Venture Collective</t>
  </si>
  <si>
    <t>MaC Venture Capital (macventurecapital.com), The Venture Collective (www.theventurecollective.com)</t>
  </si>
  <si>
    <t>Developer of an incentive infrastructure platform designed for brands and communities. The company's platform is engaged in creating growth programs that incentivize loyal customers and followers to promote business with tools for retention, affiliate management and cross-brand acquisition, enabling clients to boost customer engagement and overall company growth.</t>
  </si>
  <si>
    <t>The company raised $2 million of venture funding from MaC Venture Capital and The Venture Collective on April 26, 2022.</t>
  </si>
  <si>
    <t>affiliate management agency, affiliate management platform, infrastructure planning service, infrastructure planning software, infrastructure platform, infrastructure platform developer, loyalty and incentive</t>
  </si>
  <si>
    <t>301516-66P</t>
  </si>
  <si>
    <t>Elise Decamp</t>
  </si>
  <si>
    <t>Ms. Elise Decamp is a Co-Founder and serves as Chief Executive Officer at Toki.</t>
  </si>
  <si>
    <t>MaC Venture Capital, The Venture Collective</t>
  </si>
  <si>
    <t>www.buildwithtoki.com</t>
  </si>
  <si>
    <t>233914-42T</t>
  </si>
  <si>
    <t>Tokki</t>
  </si>
  <si>
    <t>483772-87</t>
  </si>
  <si>
    <t>Graham &amp; Walker</t>
  </si>
  <si>
    <t>Graham &amp; Walker (www.grahamwalker.com)</t>
  </si>
  <si>
    <t>Operator of a gift wrap company intended to provide sustainable design for every customer's gifting moments. The company combines technology with elegant, reusable designs and utilizes reusable gift wraps as an environment-friendly way to wrap any type of gift, enabling customers to make their gifts cost-effective, eco-friendly and unforgettable.</t>
  </si>
  <si>
    <t>The company raised an estimated $1.47 million of Seed funding from Graham &amp; Walker and other undisclosed investors on April 10, 2023, putting the company's pre-money valuation at $3.53 million. Previously, the company raised $201,990 of equity crowdfunding via StartEngine on March 8, 2023, putting the company's pre-money valuation at $20 million.</t>
  </si>
  <si>
    <t>Other Consumer Durables</t>
  </si>
  <si>
    <t>Application Software, Other Consumer Durables*</t>
  </si>
  <si>
    <t>corporate gifting platform, digital card, gift wrap product, gifting platform, online gift shop, sustainable gift</t>
  </si>
  <si>
    <t>281375-20P</t>
  </si>
  <si>
    <t>Jane Park</t>
  </si>
  <si>
    <t>+1 (833) 468-6554</t>
  </si>
  <si>
    <t>janepark@tokki.com</t>
  </si>
  <si>
    <t>Ms. Jane Park was a Co-Founder and served as Chief Executive Officer and board Member at Athena Technology Acquisition II. She serves as Board Member at Glo Skin Beauty. She is a Co-Founder and served as Chief Executive Officer at Tokki. In both her personal and professional life, Jane is deeply committed to the idea of doing better each day. That's why she starts companies. Before Tokki, she grew her brand Julep from a Seattle-based brick-and-mortar nail parlor into a beloved social beauty brand distributed nationally at Sephora, Nordstrom, Ulta, and QVC. Before that, she worked on innovation at Starbucks and consumer goods &amp; retail at the Boston Consulting Group. Jane melds her leadership experience and empathy to create an engaging and entrepreneurial culture at Tokki.</t>
  </si>
  <si>
    <t>The company raised an estimated $1.47 million of Seed funding from Graham &amp; Walker and other undisclosed investors on April 10, 2023, putting the company's pre-money valuation at $3.53 million.</t>
  </si>
  <si>
    <t>shop.tokki.com</t>
  </si>
  <si>
    <t>189038-98T</t>
  </si>
  <si>
    <t>Topanga.io</t>
  </si>
  <si>
    <t>491797-72</t>
  </si>
  <si>
    <t>Amasia(Ramanan Raghavendran), Edward Lando(Edward Lando), Jetstream (San Francisco), Kiran Bhatraju(Kiran Bhatraju), Orrick, Pareto Holdings(Nadav Ben-Chanoch), Wonder Ventures</t>
  </si>
  <si>
    <t>Amasia (www.amasia.vc), Jetstream (San Francisco) (www.jetstream.io), Orrick (www.orrick.com), Pareto Holdings (www.pareto20.com), Wonder Ventures (www.wondervc.com)</t>
  </si>
  <si>
    <t>Operator of a climate tech company intended to manage operations and prepare reusable packaging programs. The company's track-and-trace technology makes it possible to see the economic and environmental return on investment (ROI) through a reusable packaging program, enterprise-grade application programming interface (API), and a suite of connected products, helping companies and organizations switch from single-use to reusable packaging at scale.</t>
  </si>
  <si>
    <t>The company raised $3.6 million of seed funding in a deal led by Amasia and Struck Capital on May 19, 2023, putting the company's pre-money valuation at $7.81 million. Wonder Ventures and Clocktower Ventures also participated in the round.</t>
  </si>
  <si>
    <t>Business/Productivity Software, Environmental Services (B2B)*, Media and Information Services (B2B), Other Containers and Packaging</t>
  </si>
  <si>
    <t>circular economy, climate tech, digital tools, environmental impact, management platform, reusable packaging, reusable packaging product, reusable packaging program, track and trace software</t>
  </si>
  <si>
    <t>292398-04P</t>
  </si>
  <si>
    <t>Page Schult</t>
  </si>
  <si>
    <t>+1 (816) 678-2954</t>
  </si>
  <si>
    <t>page@topanga.io</t>
  </si>
  <si>
    <t>Ms. Page Schult is a Co-Founder and serves as Chief Executive Officer &amp; Board Member at Topanga.io.</t>
  </si>
  <si>
    <t>University of Virginia, BA (Bachelor of Arts), 2015, University of Virginia, Bachelor's, 2015, History, Philosophy And Media Studies</t>
  </si>
  <si>
    <t>The company raised $600,000 of pre-seed funding from Orrick, Wonder Ventures, and Jetstream on November 9, 2021, putting the company's pre-money valuation at $999,999. Amasia, Pareto Holdings, Kiran Bhatraju, and Edward Lando also participated in the round.</t>
  </si>
  <si>
    <t>Amasia, Edward Lando, Jetstream (San Francisco), Kiran Bhatraju, Orrick, Pareto Holdings, Wonder Ventures</t>
  </si>
  <si>
    <t>Amasia Fund II(Amasia), Wonder Ventures II(Wonder Ventures)</t>
  </si>
  <si>
    <t>90066</t>
  </si>
  <si>
    <t>www.topanga.io</t>
  </si>
  <si>
    <t>188525-71T</t>
  </si>
  <si>
    <t>Topsort</t>
  </si>
  <si>
    <t>491509-90</t>
  </si>
  <si>
    <t>Akhil Paul(Akhil Paul), Comma Capital, Deciens Capital, FJ Labs, Lydia Jett(Lydia Jett), Micky Malka(Micky Malka), Pear (California), Quiet Capital</t>
  </si>
  <si>
    <t>Comma Capital (comma.vc), Deciens Capital (www.deciens.com), FJ Labs (www.fjlabs.com), Pear (California) (www.pear.vc), Quiet Capital (www.quiet.com)</t>
  </si>
  <si>
    <t>Developer of auction-based native ad infrastructure and API (Application Programming Interface) software designed to monetize marketplaces, retailers, and super apps with fast, easy-to-use, and modular technology. The company provides auction-powered API that accelerates marketplace growth, from multi-brand retailers and marketplaces, to create better relevancy, and margin, enabling marketplaces and brands to give customers democratized access to modern marketplace services.</t>
  </si>
  <si>
    <t>The company raised $25 million of Series A venture funding in a deal led by Upload Ventures (Sao Paulo) on July 1, 2024, putting the company's pre-money valuation at $130 million. Moloco, Lojas Renner, RX Ventures, Quiet Capital, and Pear (California) also participated in the round. The funds will be used to fuel the company's mission of accelerating the clean advertising revolution, which is free of third-party cookie tracking and invasive privacy sharing data.</t>
  </si>
  <si>
    <t>ad network, api infrastructure, crm, customer relationship management, media platform developer, media platform operator, media platform provider, retail media services</t>
  </si>
  <si>
    <t>291522-97P</t>
  </si>
  <si>
    <t>Regina Ye</t>
  </si>
  <si>
    <t>+1 (202) 256-1269</t>
  </si>
  <si>
    <t>regina@topsort.com</t>
  </si>
  <si>
    <t>Ms. Regina Ye is a Co-Founder &amp; serves as Co-Chief Executive Officer and Board Member at Topsort. She is a classic Gen-Z entrepreneur who secretly wishes she could just be a full-time food influencer. She studied computer science and philosophy (fun fact she read all the books written by Plato and Aristotle at the age of 16 in New Mexico's high deserts) and started an e-commerce company Zirui in college. She later decided to embark on a career in Product Management and found herself back to her entrepreneurial itch.</t>
  </si>
  <si>
    <t>Bachelor's, Mount Holyoke College</t>
  </si>
  <si>
    <t>The company raised $8.35 million of seed funding from Quiet Capital, FJ Labs, and Pear (California) on February 17, 2022, putting the company's pre-money valuation at $101.65 million. Deciens Capital, Comma Capital, Micky Malka, Lydia Jett, Akhil Paul, and other undisclosed investors also participated in the round. The funds will be used to grow a sales and marketing team and deepen the footprint the company has in Latin America and Asia.</t>
  </si>
  <si>
    <t>Akhil Paul, Comma Capital, Deciens Capital, FJ Labs, Lydia Jett, Micky Malka, Pear (California), Quiet Capital</t>
  </si>
  <si>
    <t>Gunderson Dettmer (Legal Advisor to Deciens Capital), Gunderson Dettmer (Legal Advisor to Quiet Capital), WilmerHale (Legal Advisor to Pear (California))</t>
  </si>
  <si>
    <t>94303-3513</t>
  </si>
  <si>
    <t>www.topsort.com</t>
  </si>
  <si>
    <t>225207-10T</t>
  </si>
  <si>
    <t>Total Life</t>
  </si>
  <si>
    <t>484809-13</t>
  </si>
  <si>
    <t>CABHI, HDS Capital, Primetime Partners(Abby Levy)</t>
  </si>
  <si>
    <t>CABHI (www.cabhi.com), HDS Capital (www.hdscapital.com), Primetime Partners (www.primetimepartners.com)</t>
  </si>
  <si>
    <t>Developer of an artificial intelligence-powered digital health services platform designed to offer senior mental health services to older adults to live happier, fulfilling lives together. The company's therapists specialize in helping older adults reclaim their joy through online talk therapy, work across diverse specialties, cultures, and languages, and offer mental health tools and support seniors who deserve to live longer, enabling customers to work through their mental health issues including dealing with chronic health conditions.</t>
  </si>
  <si>
    <t>The company is reportedly seeking $20 million of Series A venture funding. The company plans to start the round by the first quarter of 2025. Previously,The company joined AARP Innovation Labs on an undisclosed date.</t>
  </si>
  <si>
    <t>Application Software, Business/Productivity Software, Clinics/Outpatient Services*, Other Healthcare Technology Systems</t>
  </si>
  <si>
    <t>Digital Health</t>
  </si>
  <si>
    <t>artificial intelligence healthcare platform, digital health, digital health platform, longevity and aging, mental health therapy, mental healthcare, online counseling, online therapy, rcm solutions, remote monitoring software, revenue cycle management rcm, senior care application, senior care service provider, senior mental health, talk therapy, telehealth platform, teletherapy platform, therapist care, therapy platform, value based care solutions, virtual therapy session</t>
  </si>
  <si>
    <t>15799-60P</t>
  </si>
  <si>
    <t>Neelam Brar</t>
  </si>
  <si>
    <t>+1 (604) 404-5666</t>
  </si>
  <si>
    <t>neelam@totallife.com</t>
  </si>
  <si>
    <t>Ms. Neelam Brar is the Founder and serves as Chief Executive Officer at Total Life. Ms. Brar also served as Managing Director, Venture and Partnerships at Roynat and as a Venture Partner at Versatile Venture Capital. She served as Venture Partner at NextGen Venture Partners.</t>
  </si>
  <si>
    <t>The company raised $3.3 million of seed funding in the form of equity and debt from CABHI, HDS Capital, and Primetime Partners on June 1, 2023.</t>
  </si>
  <si>
    <t>CABHI, HDS Capital, Primetime Partners</t>
  </si>
  <si>
    <t>Jupiter, FL</t>
  </si>
  <si>
    <t>Jupiter</t>
  </si>
  <si>
    <t>33477</t>
  </si>
  <si>
    <t>www.totallife.com</t>
  </si>
  <si>
    <t>Revolving Credit - $0.80M</t>
  </si>
  <si>
    <t>199331-65T</t>
  </si>
  <si>
    <t>Totem (Application Software)</t>
  </si>
  <si>
    <t>501440-14</t>
  </si>
  <si>
    <t>Alloy Labs(Jason Henrichs), Candide Group, Debut Capital, Impact Assets, Raven Indigenous Capital Partners, Ruthless for Good Fund</t>
  </si>
  <si>
    <t>Alloy Labs (www.alloylabs.com), Candide Group (www.candidegroup.com), Debut Capital (debutcapital.com), Impact Assets (www.impactassets.org), Raven Indigenous Capital Partners (www.ravencapitalpartners.com), Ruthless for Good Fund (www.ruthlessforgood.com)</t>
  </si>
  <si>
    <t>Operator of a digital bank intended to create pathways for financial inclusion. The company provides digital banking facilities like checking accounts, debit cards, credit-building features, and other key financial products via mobile application services, enabling tribal communities to have easy access to financial services in the palms of their hand and fully participate in the modern economy.</t>
  </si>
  <si>
    <t>The company raised an undisclosed amount of venture funding in the form of convertible debt from ImpactAssets on March 1, 2024.</t>
  </si>
  <si>
    <t>banking application, banking services, credit &amp; banking, credit and banking, digital banking, financial inclusion, financial system, mobile banking</t>
  </si>
  <si>
    <t>308525-68P</t>
  </si>
  <si>
    <t>Amber Buker</t>
  </si>
  <si>
    <t>+1 (888) 426-0895</t>
  </si>
  <si>
    <t>Dr. Amber Buker is a Co-Founder and serves as Chief Executive Officer at Totem (Application Software). She also serves as a Venture Partner &amp; Advisor at Alloy Labs</t>
  </si>
  <si>
    <t>The company raised $2.2 million of pre-seed funding in a deal led by Raven Indigenous Capital Partners on November 29, 2022. Debut Capital, Ruthless for Good Fund, FinTech Forge, ImpactAssets, and Candide Group also participated in the round. Of the total amount, an undisclosed sum was raised in the form of convertible debt which was subsequently converted to equity. The funds will be used to continue developing the company's technology and building out its staff.</t>
  </si>
  <si>
    <t>Alloy Labs, Candide Group, Debut Capital, Impact Assets, Raven Indigenous Capital Partners, Ruthless for Good Fund</t>
  </si>
  <si>
    <t>Raven Indigenous Capital Partners</t>
  </si>
  <si>
    <t>Alloy Alchemist Fund(Alloy Labs), Raven Indigenous Impact Capital Fund I(Raven Indigenous Capital Partners)</t>
  </si>
  <si>
    <t>Exbo Group (Advisor: Financial Due Diligence to Company)</t>
  </si>
  <si>
    <t>74133-3188</t>
  </si>
  <si>
    <t>www.mytotem.app</t>
  </si>
  <si>
    <t>127662-40T</t>
  </si>
  <si>
    <t>TraknProtect</t>
  </si>
  <si>
    <t>120322-00</t>
  </si>
  <si>
    <t>InvestHER Ventures, Marc Realty, Spark Growth Ventures(Hem Suri), Standing Oaks Venture Partners</t>
  </si>
  <si>
    <t>InvestHER Ventures (www.investherventures.com), Marc Realty (www.marcrealty.com), Spark Growth Ventures (www.sparkgv.com), Standing Oaks Venture Partners (www.standingoaksvc.com)</t>
  </si>
  <si>
    <t>Developer of a real-time location platform designed to permit hotels to integrate and harness the power of location data into their safety and operations systems. The company's platform provides a suite encompassing employee safety devices, asset, and inventory tracking, cleanliness tracking, room tray, and vendor tracking, enabling clients to integrate easily and efficiently with the hotel's existing back-of-the-house systems, offering effortless maintenance and convenient monitoring options.</t>
  </si>
  <si>
    <t>Standing Oaks Venture Partners sold a stake in the company to an undisclosed buyer.</t>
  </si>
  <si>
    <t>Business/Productivity Software, Electronic Equipment and Instruments*</t>
  </si>
  <si>
    <t>Internet of Things, Mobile, TMT</t>
  </si>
  <si>
    <t>connected buildings, connected commercial real estate, hospitality facility, inventory management, inventory tracking system, room service tracking, safety alarm, vendor tracking platform</t>
  </si>
  <si>
    <t>147982-06P</t>
  </si>
  <si>
    <t>Parminder Batra</t>
  </si>
  <si>
    <t>+1 (833) 827-3970</t>
  </si>
  <si>
    <t>parminder.batra@traknprotect.com</t>
  </si>
  <si>
    <t>Ms. Parminder Batra is a Co-Founder and serves as Chief Executive Officer and Board Member at Traknprotect . A member of the founding team, she has helped build the TraknProtect brand from day one. She oversees all aspects of the company and manages long-term business strategy and client relationships. Previously, she was an attorney focused on ACAMS and Anti-Money Laundering specifically licensed to practice in Illinois and Ontario, Canada.</t>
  </si>
  <si>
    <t>The company raised $2.59 million of venture funding through the combination of debt and equity from InvestHER Ventures, Spark Growth Ventures and Standing Oaks Venture Partners on May 17, 2022. Marc Realty also participated in the round. Subsequently, it got converted into equity.</t>
  </si>
  <si>
    <t>InvestHER Ventures, Marc Realty, Spark Growth Ventures, Standing Oaks Venture Partners</t>
  </si>
  <si>
    <t>60610</t>
  </si>
  <si>
    <t>www.traknprotect.com</t>
  </si>
  <si>
    <t>Signalling or calling systems, Wireless communication networks</t>
  </si>
  <si>
    <t>243277-66T</t>
  </si>
  <si>
    <t>Trayd (Business/Productivity Software)</t>
  </si>
  <si>
    <t>534513-43</t>
  </si>
  <si>
    <t>468 Capital, Bloomberg Beta, Dupe Ventures, Leonis Investissement, Oasis Capital (United States), Olive Hill Group, Pioneer Fund, Sunstone Management</t>
  </si>
  <si>
    <t>468 Capital (www.468cap.com), Bloomberg Beta (www.bloombergbeta.com), Dupe Ventures (dupeventures.com), Leonis Investissement (www.leonis.vc), Oasis Capital (United States) (oasiscap.vc), Olive Hill Group (www.olivehill.com), Pioneer Fund (www.pioneerfund.vc), Sunstone Management (www.sunstoneinvestment.com)</t>
  </si>
  <si>
    <t>Developer of a construction payroll platform designed for same-day pay &amp; attendance capture. The company's platform offers a back office management system that includes time-tracking, schedule management, people management, and payroll automation, enabling clients to get hassle-free payroll services.</t>
  </si>
  <si>
    <t>The company raised $1.87 million of venture funding from Sunstone Management, Bloomberg Beta, Olive Hill Group, Oasis Capital (United States) and 468 Capital on September 30, 2023. Dupe Ventures, Pioneer Fund and Leonis Investissement also participated in the round. Previously, the company joined Y Combinator on June 1, 2023 and received $125,000 in funding. The funding was raised initially in the form of SAFE notes and subsequently converted into equity.</t>
  </si>
  <si>
    <t>Application Software, Business/Productivity Software*, Media and Information Services (B2B)</t>
  </si>
  <si>
    <t>construction payroll, construction payroll platform, construction payroll platform developer, payroll platform, payroll platform software, time tracking tools</t>
  </si>
  <si>
    <t>361389-07P</t>
  </si>
  <si>
    <t>Anna Berger</t>
  </si>
  <si>
    <t>anna@buildtrayd.com</t>
  </si>
  <si>
    <t>Ms. Anna Berger is a Co-Founder and serves as Chief Executive Officer at Trayd.</t>
  </si>
  <si>
    <t>The company raised $1.87 million of venture funding from Sunstone Management, Bloomberg Beta, Olive Hill Group, Oasis Capital (United States) and 468 Capital on September 30, 2023. Dupe Ventures, Pioneer Fund and Leonis Investissement also participated in the round.</t>
  </si>
  <si>
    <t>Bloomberg Beta IV(Bloomberg Beta)</t>
  </si>
  <si>
    <t>www.buildtrayd.com</t>
  </si>
  <si>
    <t>178047-64T</t>
  </si>
  <si>
    <t>Tribe (Educational Software)</t>
  </si>
  <si>
    <t>471041-92</t>
  </si>
  <si>
    <t>Executive Venture Fund, KB Partners, Precursor Ventures, Stacey Seldin(Stacey Seldin)</t>
  </si>
  <si>
    <t>Executive Venture Fund (www.evf.vc), KB Partners (www.kbpartners.com), Precursor Ventures (precursorvc.com)</t>
  </si>
  <si>
    <t>Operator of an e-fitness platform intended for boutique studios and local gyms to deliver a digital workout experience. The company's platform provides online, live workout classes, and functional training, enabling users with the real boutique experience to digital by providing ways to connect and interact with members as they would in the physical location.</t>
  </si>
  <si>
    <t>KB Partners sold its stake in the company to an undisclosed buyer.</t>
  </si>
  <si>
    <t>digital workout, fitness platform, functional training, gym space, gym training, live workout, wellness fitness</t>
  </si>
  <si>
    <t>212790-70P</t>
  </si>
  <si>
    <t>Justin Marston</t>
  </si>
  <si>
    <t>+1 (512) 559-7568</t>
  </si>
  <si>
    <t>Mr. Justin Marston is a Co-Founder of Tribe. Mr. Justin Marston co-founded and served as Chief Executive Officer &amp; Chairman at Bamboo. He has founded and run two venture capital backed enterprise software companies (BlueSpace and Hypori), counting as customers various parts of the US Federal Government as well as financial services, telco and healthcare organizations.</t>
  </si>
  <si>
    <t>The company raised an estimated $1.4 million of seed funding from KB Partners, Executive Venture Fund, Precursor Ventures and Stacey Seldin on July 9, 2021, putting the company's pre-money valuation at $3 million.</t>
  </si>
  <si>
    <t>Executive Venture Fund, KB Partners, Precursor Ventures, Stacey Seldin</t>
  </si>
  <si>
    <t>KB Partners Myriad Opportunity Fund(KB Partners), Precursor Ventures III(Precursor Ventures)</t>
  </si>
  <si>
    <t>78750</t>
  </si>
  <si>
    <t>www.tribe.fitness</t>
  </si>
  <si>
    <t>267301-00T</t>
  </si>
  <si>
    <t>Tribe AI</t>
  </si>
  <si>
    <t>398871-10</t>
  </si>
  <si>
    <t>Bryce Roberts</t>
  </si>
  <si>
    <t>Operator of a modern talent agency intended to help clients with the intersection of strategy, technology and data to improve performance outcomes for organizations. The company specializes in building and executing a complete ML strategy from the ground up, enabling organizations to drive change with machine learning and applied artificial intelligence adoption to drive real results.</t>
  </si>
  <si>
    <t>The company raised $3.25 million of seed funding in a deal led by Bryce Roberts on July 17, 2024. Other undisclosed individual investor also participated in the round.</t>
  </si>
  <si>
    <t>Artificial Intelligence &amp; Machine Learning, Big Data, HR Tech</t>
  </si>
  <si>
    <t>advanced analytics agency, analytics, analytics platform, applied ai, machine learning, talent agency</t>
  </si>
  <si>
    <t>143662-87P</t>
  </si>
  <si>
    <t>Jaclyn Nelson</t>
  </si>
  <si>
    <t>jaclyn@tribeai.com</t>
  </si>
  <si>
    <t>Ms. Jaclyn Nelson is a Co-Founder &amp; serves as General Partner at Coalition Operators. She is a Co-Founder and serves as Chief Executive Officer at Tribe AI. Ms. Nelson is an Angel Investor. She served as Vice President, Growth Team at CapitalG. She joined Google in 2011 and is a Growth Lead at Google Capital. Before Google Capital, she drove the business strategy for Health Helpouts and also helped launch and grow multiple categories for Helpouts, a marketplace for online services. Previously, she worked in Google's sales organization, developing digital marketing strategies for Fortune 500 and emerging, high-growth Tech B2B companies. Prior to joining Google, she worked at Citigroup in New York. She holds a BA in Political Science from the University of Michigan.</t>
  </si>
  <si>
    <t>University of Michigan, Ann Arbor, BA (Bachelor of Arts), Political Science</t>
  </si>
  <si>
    <t>Incline Village, NV</t>
  </si>
  <si>
    <t>Incline Village</t>
  </si>
  <si>
    <t>89451</t>
  </si>
  <si>
    <t>www.tribe.ai</t>
  </si>
  <si>
    <t>124514-47T</t>
  </si>
  <si>
    <t>Tribute</t>
  </si>
  <si>
    <t>327340-63</t>
  </si>
  <si>
    <t>Alliance of Angels, Avalanche VC, Founders First(Jeremy Levine), Portland Seed Fund, Tapas Capital</t>
  </si>
  <si>
    <t>Alliance of Angels (www.allianceofangels.com), Avalanche VC (www.avalanche.vc), Founders First (www.foundersfirst.fund), Portland Seed Fund (portlandseedfund.com), Tapas Capital (www.tapas.capital)</t>
  </si>
  <si>
    <t>Developer of peer-to-peer mentorship platform designed to redefine and improve mentorship for both employers and employees. The company's platform uses the transformative power of personal stories and shared life experiences to create the next-gen learning experience as well as create real-time access to knowledge sharing via micro-mentorship to enhance team collaboration, learning, and productivity, enabling employees to have a mentorship experience that provides long-term engagement, connection, and success.</t>
  </si>
  <si>
    <t>The company raised an undisclosed amount of venture funding from Capital Eleven, Scout Fund, and Stout Street Capital on January 28, 2023. Engage Venture Partners, Portland Seed Fund, Mastersfund, Tech Square Ventures, and Kickstart Fund also participated in the round. Previously, the company raised an undisclosed amount of venture funding from Tech Square Ventures and Kickstart Fund on June 24, 2022. The funding was originally raised as promissory notes and subsequently converted into equity.</t>
  </si>
  <si>
    <t>enterprise saas, enterprise saas platform, human resources, hybrid work, knowledge sharing, mentorship program, productivity tool, remote work</t>
  </si>
  <si>
    <t>212761-72P</t>
  </si>
  <si>
    <t>Sarah Haggard</t>
  </si>
  <si>
    <t>+1 (206) 973-2530</t>
  </si>
  <si>
    <t>sarah@tributementorship.com</t>
  </si>
  <si>
    <t>Ms. Sarah Haggard is a Co-Founder and serves as Chief Executive Officer, Board Member and President at Tribute. Ms. Haggard is a proven business leader who has led multiple start-up initiatives within her decade-long career in product marketing at Microsoft, raising $40M to scale her last business. Expert in P&amp;L management, enterprise software, and GTM strategy, her tenacity and drive for results led to her being widely recognized as a turnaround expert and new business incubator. her leadership style is engaging and authentic. Her superpower is her ability to spot patterns, create high-performing teams and activate the right people at the right time to deliver results.</t>
  </si>
  <si>
    <t>Augustana College, Bachelor's, Anthropology and Business Administration, Seattle University, Master's, Business Administration</t>
  </si>
  <si>
    <t>The company raised $275,000 of venture funding from Tapas Capital, Avalanche VC and Founders First on September 3, 2021. Portland Seed Fund and Alliance of Angels also participated in the round. The total amount was originally raised in the form of convertible debt and subsequently converted to equity.</t>
  </si>
  <si>
    <t>Alliance of Angels, Avalanche VC, Founders First, Portland Seed Fund, Tapas Capital</t>
  </si>
  <si>
    <t>Alliance of Angels Seed Fund II(Alliance of Angels), Avalanche VC Fund I(Avalanche VC), Bridge Boys(Founders First), Portland Seed Fund III(Portland Seed Fund), Tapas Capital Compounders Fund II(Tapas Capital)</t>
  </si>
  <si>
    <t>98117</t>
  </si>
  <si>
    <t>www.tributeapp.co</t>
  </si>
  <si>
    <t>232969-06T</t>
  </si>
  <si>
    <t>TripSuite</t>
  </si>
  <si>
    <t>532917-28</t>
  </si>
  <si>
    <t>Fractal Software</t>
  </si>
  <si>
    <t>Fractal Software (www.fractalsoftware.com)</t>
  </si>
  <si>
    <t>Operator of a financial platform intended to grow the travel agency business. The company's platform generate supplier invoices that automatically match commission payments, and resolve unknown commissions and also manage the revenue, enabling businesses to avoid manual work.</t>
  </si>
  <si>
    <t>The company raised $2.5 million through a combination of Seed-3 and Seed-4 funding from Thayer Ventures and other undisclosed investors on September 17, 2024, putting the company's pre-money valuation at $14.5 million.</t>
  </si>
  <si>
    <t>ap automation, ar automation, cfo stack, commissioning payment, expense management, inputting payment, supplier invoice, travel agency</t>
  </si>
  <si>
    <t>358278-85P</t>
  </si>
  <si>
    <t>Jacey Jones</t>
  </si>
  <si>
    <t>+1 (201) 632-3891</t>
  </si>
  <si>
    <t>jacey@tripsuite.com</t>
  </si>
  <si>
    <t>Ms. Jacey Jones is a Co-Founder and serves as Chief Executive Officer and Board Member at TripSuite.</t>
  </si>
  <si>
    <t>Arizona State University, BS (Bachelor of Science), MBA (Master of Business Administration)</t>
  </si>
  <si>
    <t>The company raised $2 million through a combination of Seed-1 and Seed-2 funding from Fractal Software and other undisclosed investors on August 1, 2023, putting the company's pre-money valuation at $7 million. Of the total amount $1 million was initially raised in the form of convertible debt which was subsequently converted to equity.</t>
  </si>
  <si>
    <t>www.tripsuite.com</t>
  </si>
  <si>
    <t>258057-64T</t>
  </si>
  <si>
    <t>TrueClaim</t>
  </si>
  <si>
    <t>98752-06</t>
  </si>
  <si>
    <t>Kaya VC, Litquidity Capital, N1 (Prague), Orange Collective, Rebel Fund, Surge Ventures, SurgePoint Capital, The Explorer Fund, Y Combinator</t>
  </si>
  <si>
    <t>Kaya VC (www.kaya.vc), Litquidity Capital (www.litquidity.co), N1 (Prague) (n1.rocks), Orange Collective (www.orangecollective.vc), Rebel Fund (www.rebelfund.vc), Surge Ventures (www.surgeventures.com), SurgePoint Capital (www.surgepointcap.com), The Explorer Fund (www.theexplorer.fund), Y Combinator (www.ycombinator.com)</t>
  </si>
  <si>
    <t>Operator of a medical claims verification platform designed to reduce the cost of fraud, waste, abuse, and errors in medical billing for patients. The company's platform communicates with health insurance plan members during the billing cycle to substantiate claims that have been made on their behalf through simple, specific question-and-answer dialogue, enabling patients to see healthcare providers and also offer feedback regarding medical consultations.</t>
  </si>
  <si>
    <t>The company raised $2.1 million of seed funding in the form of SAFE notes from Kaya VC, Rebel Fund and Surge Ventures on April 5, 2024. The Explorer Fund, Litquidity Capital, SurgePoint Capital, Y Combinator and Orange Collective also participated in the round. Previously, the company joined Y Combinator in 2024 and received $500,000 in funding, putting the company's pre-money valuation at $6.66 million. The funding was initially raised in the form of SAFE notes and was subsequently converted into equity.</t>
  </si>
  <si>
    <t>Financial Software, Other Healthcare Technology Systems*</t>
  </si>
  <si>
    <t>InsurTech, TMT</t>
  </si>
  <si>
    <t>bill processing, claims analysis, healthcare automation, insurance fraud, medical bill analysis, medical claims</t>
  </si>
  <si>
    <t>379831-60P</t>
  </si>
  <si>
    <t>Barbora Howell</t>
  </si>
  <si>
    <t>bhowell@trytrueclaim.com</t>
  </si>
  <si>
    <t>Ms. Barbora Howell is a Co-Founder and serves as Chief Executive Officer at TrueClaim. Before TrueClaim, she built out the Clinical Operations and Support teams at Pine Park Health as VP, of Operations. Before that, she launched and scaled several products and teams as Senior Director of Operations and Strategy at Hinge Health while the company grew from 30 to 700+ employees. Originally from the Czech Republic, she moved to the Bay Area to pursue her education (BsC at Wharton, MBA at Stanford) and dreams of making people's lives better at scale.</t>
  </si>
  <si>
    <t>The company raised $2.1 million of seed funding in the form of SAFE notes from Kaya VC, Rebel Fund and Surge Ventures on April 5, 2024. The Explorer Fund, Litquidity Capital, SurgePoint Capital, Y Combinator and Orange Collective also participated in the round.</t>
  </si>
  <si>
    <t>Kaya VC, Litquidity Capital, N1 (Prague), Orange Collective, Rebel Fund, Surge Ventures, SurgePoint Capital, The Explorer Fund</t>
  </si>
  <si>
    <t>Nation 1 Fund(N1 (Prague))</t>
  </si>
  <si>
    <t>Brown Rudnick (Legal Advisor to SurgePoint Capital)</t>
  </si>
  <si>
    <t>www.trytrueclaim.com</t>
  </si>
  <si>
    <t>134732-71T</t>
  </si>
  <si>
    <t>TrueNorth</t>
  </si>
  <si>
    <t>432820-00</t>
  </si>
  <si>
    <t>Holly Liu(Holly Liu), Jack Altman(Jack Altman), Kevin Lin(Kevin Lin), Liquid 2 Ventures, Parker Conrad(Parker Conrad), Peter Fishman(Peter Fishman), PJC, Sam Altman(Sam Altman), Script Capital (United States)</t>
  </si>
  <si>
    <t>Jack Altman (jackealtman.com), Liquid 2 Ventures (www.liquid2.vc), PJC (www.pjc.vc), Script Capital (United States) (www.script.capital)</t>
  </si>
  <si>
    <t>Developer of a logistics platform designed to manage insurance, fuel, and maintenance. The company's platform offers large-fleet resources with a lower take rate as an alternative to solve various pain points that come with running personal operations like finding good routes and consistently well-paying jobs, enabling businesses to set up route optimization, load coordination, and dispatch.</t>
  </si>
  <si>
    <t>The company raised $60 million of venture funding through a combination of debt and equity on December 8, 2021. $50 million of equity was raised in a deal led by Sam Altman, and Lachy Groom with participation from Snow Fox Partners and 10 other investors. A $10 million loan was provided by undisclosed lenders. The funds will be used to further invest in the company's platform.</t>
  </si>
  <si>
    <t>Business/Productivity Software*, Logistics, Road</t>
  </si>
  <si>
    <t>Artificial Intelligence &amp; Machine Learning, Supply Chain Tech</t>
  </si>
  <si>
    <t>auto commerce, carrier network, enterprise resource planning, erp, fleet management, freight technology, loading systems, logistics service, transportation services, trucking industry, trucking logistics, trucking management, trucking services</t>
  </si>
  <si>
    <t>Auto Commerce</t>
  </si>
  <si>
    <t>224140-96P</t>
  </si>
  <si>
    <t>Jin Stedge</t>
  </si>
  <si>
    <t>+1 (512) 807-0881</t>
  </si>
  <si>
    <t>jin@truenorthfleet.com</t>
  </si>
  <si>
    <t>Ms. Jin Stedge is a Co-Founder and serves as the Chief Executive Officer at TrueNorth. Ms. Stedge had worked at Scotty Labs.</t>
  </si>
  <si>
    <t>The company raised $3.6 million of seed funding from Liquid 2 Ventures, 122 West Ventures and PJC on April 7, 2020, putting the company's pre-money valuation at $11.4 million. Holly Liu, Kevin Lin, Sam Altman, Jack Altman, Parker Conrad and Peter Fishman also participated in the round.</t>
  </si>
  <si>
    <t>Holly Liu, Jack Altman, Kevin Lin, Liquid 2 Ventures, Parker Conrad, Peter Fishman, PJC, Sam Altman, Script Capital (United States)</t>
  </si>
  <si>
    <t>122 West Ventures Fund(Script Capital (United States)), Liquid 2 Opportunities Fund I(Liquid 2 Ventures), Point Judith Venture Fund V(PJC)</t>
  </si>
  <si>
    <t>www.gettruenorth.com</t>
  </si>
  <si>
    <t>228258-19T</t>
  </si>
  <si>
    <t>Trunk Tools</t>
  </si>
  <si>
    <t>528225-04</t>
  </si>
  <si>
    <t>Alumni Ventures(Laura Rippy), Definition, Fifth Wall, Foundation Capital, Innovation Endeavors, Suffolk Technologies</t>
  </si>
  <si>
    <t>Alumni Ventures (www.av.vc), Definition (www.definitioncap.com), Fifth Wall (www.fifthwall.com), Foundation Capital (www.foundationcapital.com), Innovation Endeavors (www.innovationendeavors.com), Suffolk Technologies (suffolktech.com)</t>
  </si>
  <si>
    <t>Developer of an AI-powered cloud-based workforce construction management software designed to augment teams using construction-specific workflows trained for their job site. The company's platform tracks the productivity of workers on the field and shortlists them and also offers features such as workplace security and safety for employees, enabling construction clients to increase workforce productivity and safety throughout the building process and to help them attract, retain, and employ talent effectively.</t>
  </si>
  <si>
    <t>The company raised $20 million of Series A venture funding in a deal led by Redpoint Ventures on July 17, 2024, putting the company's pre-money valuation at $55 million. Liberty Mutual Strategic Ventures and other investors also participated in the round. The funds will be used to grow the company's 30-person, New York-based team as well as develop new services.</t>
  </si>
  <si>
    <t>Artificial Intelligence &amp; Machine Learning, Construction Technology, SaaS</t>
  </si>
  <si>
    <t>employee payment platform, enterprise resource planning, human capital management, labor productivity, workforce management, workforce management firm</t>
  </si>
  <si>
    <t>348742-27P</t>
  </si>
  <si>
    <t>Sarah Buchner</t>
  </si>
  <si>
    <t>+1 (833) 878-6524</t>
  </si>
  <si>
    <t>sarah@trunktools.com</t>
  </si>
  <si>
    <t>Dr. Sarah Buchner is the Founder and serves as Chief Executive Officer at Trunk Tools. She holds a Ph.D. in Civil Systems Engineering from Technische Universität Wien, an MBA from Stanford University, a Degree in Engineering and Construction Management from McGill University, a BS and a Degree in Architectural Engineering from Technische Universität Wien and La Sapienza University of Rome.</t>
  </si>
  <si>
    <t>BS (Bachelor of Science), 2014, Architectural Engineering, Degree, 2013, Architectural Engineering, McGill University, Degree, 2016, Engineering and Construction Management, Ph.D. (Doctor of Philosophy), 2019, Civil Systems Engineering, Stanford University, MBA (Master of Business Administration), 2019</t>
  </si>
  <si>
    <t>The company raised $9.9 million of seed funding through a combination of debt and equity on July 13, 2023, putting the company's pre-money valuation at $15 million. $8.92 million of seed funding was led by Innovation Endeavors with participation from Fifth Wall, Foundation Capital, Alumni Ventures, and Suffolk Technologies. The transaction was supported by $975,020 of debt financing.</t>
  </si>
  <si>
    <t>Alumni Ventures, Definition, Fifth Wall, Foundation Capital, Innovation Endeavors, Suffolk Technologies</t>
  </si>
  <si>
    <t>Innovation Endeavors</t>
  </si>
  <si>
    <t>Green D Ventures Fund 8(Alumni Ventures), Innovation Endeavors IV(Innovation Endeavors)</t>
  </si>
  <si>
    <t>www.trunktools.com</t>
  </si>
  <si>
    <t>Other - $0.98M</t>
  </si>
  <si>
    <t>251700-58T</t>
  </si>
  <si>
    <t>Trusli</t>
  </si>
  <si>
    <t>501215-32</t>
  </si>
  <si>
    <t>Rackhouse Venture Capital</t>
  </si>
  <si>
    <t>Rackhouse Venture Capital (www.rackhouse.vc)</t>
  </si>
  <si>
    <t>Developer of a no-code automation software designed to empower in-house legal teams at hyper-growth companies. The company's platform leverages large language models to empower in-house legal teams, it collects, extracts, and classifies data from clients for various business functions such as business, employment, immigration, and IP, enabling clients with affordable and reliable legal services.</t>
  </si>
  <si>
    <t>The company raised $150,000 of seed funding from Plug and Play Tech Center on September 29, 2023.</t>
  </si>
  <si>
    <t>Automation/Workflow Software, Business/Productivity Software*, Legal Services (B2B)</t>
  </si>
  <si>
    <t>Artificial Intelligence &amp; Machine Learning, Big Data, Legal Tech</t>
  </si>
  <si>
    <t>contract automation, contract automation software, contract lifecycle management, contract system, generative ai, legal automation software, legal paperwork</t>
  </si>
  <si>
    <t>Generative AI, Contract Management Automation</t>
  </si>
  <si>
    <t>308125-36P</t>
  </si>
  <si>
    <t>Charlotte Tao</t>
  </si>
  <si>
    <t>charlotte@trusli.com</t>
  </si>
  <si>
    <t>Ms. Charlotte Tao is a Co-Founder and serves as Chief Technology and Product Officer at Trusli. Charlotte leads the technical teams at Trusli with her extensive expensive in machine learning and product management. Charlotte earned her MS in Information Science from the University of Illinois in Urbana Champaign and MBA from Kent State University with full scholarships. She spent the first few years of her career as a data scientist in Salesforce and Uber where she launched multiple automated analytics pipelines. Later on, she transitioned to technical product management with self-driving car teams, including Zoox and Lyft Level 5. Before founding Trusli, she launched complex machine learning products, such as simulation platforms for self-driving cars, data security, high-definition mapping, sensor localization, and computer vision.</t>
  </si>
  <si>
    <t>Kent State University, MBA (Master of Business Administration), University of Illinois, Urbana-Champaign, MS (Master of Science), Information Science</t>
  </si>
  <si>
    <t>The company raised $750,000 of pre-seed funding from Rackhouse Venture Capital on November 1, 2021.</t>
  </si>
  <si>
    <t>www.trusli.com</t>
  </si>
  <si>
    <t>190761-67T</t>
  </si>
  <si>
    <t>Try Your Best</t>
  </si>
  <si>
    <t>493816-15</t>
  </si>
  <si>
    <t>Castle Island Ventures(Sean Judge), Color (Portland), Great Wave Ventures, Intersection Growth Partners, Pentas Ventures, SoGal Ventures, Unusual Ventures</t>
  </si>
  <si>
    <t>Castle Island Ventures (www.castleislandventures.com), Color (Portland) (color.capital), Great Wave Ventures (www.greatwave.vc), Intersection Growth Partners (www.intersectiongp.com), Pentas Ventures (www.pentasventures.com), SoGal Ventures (www.sogalventures.com), Unusual Ventures (www.unusual.vc)</t>
  </si>
  <si>
    <t>Developer of an online play-to-earn portal intended to influence the brands and get rewarded. The company's portal is dedicated to building an energy-efficient and sustainable web3 experience where engagement is rewarded and redeemed for perks, enabling users and their communities to participate mindfully.</t>
  </si>
  <si>
    <t>The company raised $4 million of venture funding in the form of SAFE notes from Castle Island Ventures, Blizzard Avalanche Fund, Araya Ventures, and Sfermion on August 25, 2023</t>
  </si>
  <si>
    <t>AdTech, Mobile, SaaS</t>
  </si>
  <si>
    <t>crm, customer relationship management, loyalty and incentive, online platform operator, online portal, online publicity, online reward application, online rewards platform, web experience</t>
  </si>
  <si>
    <t>90400-06P</t>
  </si>
  <si>
    <t>Tyler Haney</t>
  </si>
  <si>
    <t>+1 (218) 209-2618</t>
  </si>
  <si>
    <t>Ms. Tyler Haney is a Co-Founder and serves as Chief Executive Officer at Try Your Best. She is a Co-Founder and serves as Board Member at Outdoor Voices. She is a Co-Founder of Joggy. Previously, she served as Chief Executive Officer at Outdoor Voices. She was the Student Design Consultant at Parfums Christian Dior. She holds a degree from Parsons School of Design.</t>
  </si>
  <si>
    <t>Parsons School of Design, BBA (Bachelor of Business Administration), 2011, Design &amp; Management</t>
  </si>
  <si>
    <t>The company raised $9.8 million of venture funding Series A in a deal led by Unusual Ventures on June 3, 2022. Color (Portland), SoGal Ventures, Intersection Fintech Ventures ,Castle Island Ventures and Pentas Ventures also participated in the round.</t>
  </si>
  <si>
    <t>Castle Island Ventures, Color (Portland), Great Wave Ventures, Intersection Growth Partners, Pentas Ventures, SoGal Ventures, Unusual Ventures</t>
  </si>
  <si>
    <t>Unusual Ventures</t>
  </si>
  <si>
    <t>Agya Ventures Fund I(Great Wave Ventures), Castle Island Ventures II(Castle Island Ventures), Intersection Fintech Ventures I(Intersection Growth Partners), SoGal Ventures Supernova(SoGal Ventures)</t>
  </si>
  <si>
    <t>DLA Piper (Legal Advisor to Pentas Ventures, Imri Eisner JD), Morse (Legal Advisor to Castle Island Ventures)</t>
  </si>
  <si>
    <t>www.tyb.xyz</t>
  </si>
  <si>
    <t>203431-78T</t>
  </si>
  <si>
    <t>Twali</t>
  </si>
  <si>
    <t>494615-80</t>
  </si>
  <si>
    <t>Better Tomorrow Ventures, DAO Jones, Dragonfly Capital (San Francisco), M13, Reach Capital, WhiteBlock Ventures</t>
  </si>
  <si>
    <t>Better Tomorrow Ventures (btv.vc), DAO Jones (www.daojones.wtf), Dragonfly Capital (San Francisco) (www.dragonfly.xyz), M13 (www.m13.co), Reach Capital (www.reachcapital.com), WhiteBlock Ventures (www.whiteblockventures.xyz)</t>
  </si>
  <si>
    <t>Developer of a decentralized professional services platform designed to offer DAO consulting services. The company's platform interacts, operates, and serves the on-chain definition of what consulting can be and aims to transform professional DAO services, enabling knowledgeable, passionate people around the globe to pursue opportunities in web3 for economic mobility, sovereignty, and agency.</t>
  </si>
  <si>
    <t>The company raised an estimated $6.50 million through a combination of Seed 1, Seed 2, and Seed 3 funding from Better Tomorrow Ventures, DAO Jones, and Reach Capital on June 23, 2022, putting the company's pre-money valuation at $20 million. M13, Dragonfly, and WhiteBlock Ventures also participated in the round.</t>
  </si>
  <si>
    <t>consulting services, dao community, dao data, decentralized platform, enablement platform and marketplace, financial services, professional services platform, web4</t>
  </si>
  <si>
    <t>242785-63P</t>
  </si>
  <si>
    <t>Cokie Hasiotis</t>
  </si>
  <si>
    <t>Ms. Cokie Hasiotis co-founded &amp; served as Chief Executive Officer at Drippi. Ms. Hasiotis co-founded and served as Chief Executive Officer at Twali. She was the Founder and served as Chief Executive Officer at Lasagna Consulting. Relentlessly curious, she has enjoyed a diverse career. After getting her start in a law firm on Manhattan's Upper East Side, she determined that she was absolutely not going to go to law school, much to her mother's chagrin. So she did what any normal person would do: she packed her bags and moved to London to start work at a capital markets trade association, where she soaked up expert knowledge in trading, investing, and regulation. From there, she was recruited to lead a global Fintech research team at BCG, affording her access to immense funding data and allowing her to see where and when things were trending with ease. After wrapping up at BCG, she knew she was done with London. She decided to move back to New York, serendipitously just as 11:FS planned to launch their American presence. While at 11:FS, she got firsthand insight into the American financial system - and its many flaws. It was this experience, underscored by a handful of transatlantic moves, that drove her to pursue Banking-as-a-Service for good. In 2020, she has been busy building Lasagna, writing for Fintech Today, and, most recently, joining The Block as Chief of Staff.</t>
  </si>
  <si>
    <t>Better Tomorrow Ventures Fund I(Better Tomorrow Ventures), Reach III(Reach Capital)</t>
  </si>
  <si>
    <t>www.twali.xyz</t>
  </si>
  <si>
    <t>204454-72T</t>
  </si>
  <si>
    <t>Tweed (Financial Software)</t>
  </si>
  <si>
    <t>509233-42</t>
  </si>
  <si>
    <t>Accel, Ameet Patel(Ameet Patel), Communitas Capital Partners, Cristbal Conde(Cristbal Conde), Michael Vaughan(Michael Vaughan), Nicolas Julia(Nicolas Julia), Zero Knowledge</t>
  </si>
  <si>
    <t>Accel (www.accel.com), Communitas Capital Partners (www.communitascapital.com), Michael Vaughan (michaelvaughan.net), Zero Knowledge (www.zero-knowledge.xyz)</t>
  </si>
  <si>
    <t>Developer of a payment rails platform designed for building block platforms to create seamless and immersive web3 experiences with minimal integration work. The company offers a platform that prioritizes user experience without sacrificing security or user ownership, providing clients with a white-label wallet infrastructure that includes key management, comprehensive wallet features, and payment infrastructure.</t>
  </si>
  <si>
    <t>The company joined Andreessen Horowitz's Crypto Startup Accelerator Spring 2024 Cohort in April 2024 and received $500,000 in funding. Previously, the company raised venture funding on December 28, 2023.</t>
  </si>
  <si>
    <t>account recovery, payment platform, payment platform developer, payment platform software, wallets app, web3 infrastructure</t>
  </si>
  <si>
    <t>316993-15P</t>
  </si>
  <si>
    <t>Michelle Latzer</t>
  </si>
  <si>
    <t>+1 (347) 607-8210</t>
  </si>
  <si>
    <t>michelle@paytweed.com</t>
  </si>
  <si>
    <t>Ms. Michelle Latzer is a Co-Founder and serves as Chief Executive Officer &amp; Board Member at Tweed (Financial Software).</t>
  </si>
  <si>
    <t>The company raised $4 million of seed funding in a deal led by Accel on March 9, 2023, putting the company's pre-money valuation at $6 million. Communitas Capital Partners, Zero Knowledge, Nicolas Julia, Ameet Patel, Cristbal Conde and Michael Vaughan also participated in the round. The funds will be used to further accelerate hiring and improve the platform's offerings.</t>
  </si>
  <si>
    <t>Accel, Ameet Patel, Communitas Capital Partners, Cristbal Conde, Michael Vaughan, Nicolas Julia, Zero Knowledge</t>
  </si>
  <si>
    <t>Accel</t>
  </si>
  <si>
    <t>Communitas Capital Partners Fund II(Communitas Capital Partners)</t>
  </si>
  <si>
    <t>www.paytweed.com</t>
  </si>
  <si>
    <t>185907-16T</t>
  </si>
  <si>
    <t>Ubiquitous</t>
  </si>
  <si>
    <t>481295-71</t>
  </si>
  <si>
    <t>100 Thieves, Duke Capital Partners(Kurt Schmidt), Front Porch Venture Partners, Niche Capital (San Francisco), Starting Line, Uncork Capital(Tripp Jones)</t>
  </si>
  <si>
    <t>100 Thieves (www.100thieves.com), Duke Capital Partners (www.dukecapitalpartners.duke.edu), Front Porch Venture Partners (www.frontporchvp.com), Niche Capital (San Francisco) (www.niche-cap.com), Starting Line (www.startingline.vc), Uncork Capital (www.uncorkcapital.com)</t>
  </si>
  <si>
    <t>Developer of an influencer marketing platform designed for deploying TikTok influencer campaigns at scale. The company works directly with the network of TikTok creators to allow brands to create, position, and execute viral, compelling, and data-driven campaigns across audiences and demographics, enabling clients and brands to improve their market positioning and grow their business.</t>
  </si>
  <si>
    <t>The company raised an undisclosed amount of seed funding from CP Overture on August 19, 2022.</t>
  </si>
  <si>
    <t>AdTech, Marketing Tech</t>
  </si>
  <si>
    <t>brand management firm, business growth, influencer marketing, influencer marketing campaign, social marketing agency, social media influencer</t>
  </si>
  <si>
    <t>325281-88P</t>
  </si>
  <si>
    <t>Jess Flack</t>
  </si>
  <si>
    <t>jess.flack@ubiquitousinfluence.com</t>
  </si>
  <si>
    <t>Ms. Jess Flack is a Co-Founder and serves as Chief Executive Officer at Ubiquitous.</t>
  </si>
  <si>
    <t>The company raised $5 million of seed funding in a deal led by Uncork Capital on December 21, 2021. 100 Thieves, Front Porch Venture Partners, Starting Line, Niche Capital, and Duke Angel Network also participated in the round. The funds will be used for hiring and further platform development.</t>
  </si>
  <si>
    <t>100 Thieves, Duke Capital Partners, Front Porch Venture Partners, Niche Capital (San Francisco), Starting Line, Uncork Capital</t>
  </si>
  <si>
    <t>Uncork Capital(Tripp Jones)</t>
  </si>
  <si>
    <t>SoftTech VC V(Uncork Capital), Starting Line Fund I(Starting Line), Starting Line Fund II(Starting Line)</t>
  </si>
  <si>
    <t>www.ubiquitousinfluence.com</t>
  </si>
  <si>
    <t>181442-71T</t>
  </si>
  <si>
    <t>Ulendo</t>
  </si>
  <si>
    <t>459704-17</t>
  </si>
  <si>
    <t>Innovation Partnerships</t>
  </si>
  <si>
    <t>Innovation Partnerships (innovationpartnerships.umich.edu)</t>
  </si>
  <si>
    <t>Operator of a software development company intended to improve the productivity and quality of manufacturing machines at low cost. The company's software utilizes advanced vibration compensation, extrusion control, fault detection and temperature control algorithms, enabling small businesses to optimize their designs and deliver high-performing, industry-leading systems without increasing hardware costs or sacrificing output quality.</t>
  </si>
  <si>
    <t>The company received $1 million of grant funding from National Science Foundation on April 5, 2023. Earlier, the company raised $1 million of seed funding from Invest Detroit Ventures, CitySide Ventures and BELLE Impact Fund on March 14, 2023. Centrepolis Accelerator and 3 other investors also participated in the round.</t>
  </si>
  <si>
    <t>Business/Productivity Software, IT Consulting and Outsourcing*, Media and Information Services (B2B)</t>
  </si>
  <si>
    <t>3D Printing, SaaS</t>
  </si>
  <si>
    <t>3d printer software, industrial engineering, manufacturing machine optimization, printing software platform, robots controllers, software development company, software development company operator, software tools</t>
  </si>
  <si>
    <t>252538-03P</t>
  </si>
  <si>
    <t>Chinedum Okwudire</t>
  </si>
  <si>
    <t>+1 (734) 355-6014</t>
  </si>
  <si>
    <t>chi@ulendo.io</t>
  </si>
  <si>
    <t>Dr. Chinedum Okwudire is a Co-Founder and serves as Chief Technology Officer &amp; Board Member at Ulendo Technologies. He is an Associate Professor of Mechanical Engineering at the University of Michigan, where he also directs the Smart and Sustainable Automation Lab. His research exploits knowledge at the intersection of machine design, control, and computer science to boost the performance of automation systems at a low cost. Prior to joining Michigan, he led the Systems Optimization team at DMG Mori USA, where he first began to appreciate how vibrations limit the performance of manufacturing machines and how software solutions could help - which paved the way for Ulendo. Chi holds a Ph.D. degree in Mechanical Engineering from the University of British Columbia. He has received several notable awards including the Outstanding Young Manufacturing Engineer Award from the Society of Manufacturing Engineers, the CAREER award from the National Science Foundation, and the Ralph Teetor Educational Award from SAE International.</t>
  </si>
  <si>
    <t>University of British Columbia, Ph.D. (Doctor of Philosophy), Mechanical Engineering</t>
  </si>
  <si>
    <t>The company raised $150,000 of seed funding in a deal led by Invest Detroit Ventures on September 28, 2021. City Side Ventures and Accelerate Blue Fund also participated in the round. The funds will be used to continue growing the team to continue to work with OEMs to bring FBS and other solutions to the market.</t>
  </si>
  <si>
    <t>Accelerate Blue Fund(Innovation Partnerships)</t>
  </si>
  <si>
    <t>48103</t>
  </si>
  <si>
    <t>www.ulendo.io</t>
  </si>
  <si>
    <t>245092-87T</t>
  </si>
  <si>
    <t>Unlisted</t>
  </si>
  <si>
    <t>539581-51</t>
  </si>
  <si>
    <t>HearstLab(Lisa Burton O'Toole), StageNext Fund, VC 414</t>
  </si>
  <si>
    <t>HearstLab (www.hearstlab.com), StageNext Fund (www.stagenext.vc), VC 414 (www.vc414.com)</t>
  </si>
  <si>
    <t>Developer of a real estate technology platform designed to connect off-market homeowners with potential buyers and agents. The company offers cloud-based software leveraging AI and machine learning that focuses exclusively on homes not listed for sale, enabling buyers, sellers, and agents to explore and align off-market properties for potential future sales, transforming the real estate industry's approach to property transactions.</t>
  </si>
  <si>
    <t>The company raised $2.97 million of venture funding from HearstLab, VC 414 and StageNext Fund on November 4, 2024.</t>
  </si>
  <si>
    <t>Business/Productivity Software, Real Estate Services (B2C)*</t>
  </si>
  <si>
    <t>Artificial Intelligence &amp; Machine Learning, Real Estate Technology</t>
  </si>
  <si>
    <t>ai technology, homeowners services, property technology, property transaction, real estate, technology project</t>
  </si>
  <si>
    <t>373389-94P</t>
  </si>
  <si>
    <t>Katherine Hill</t>
  </si>
  <si>
    <t>+1 (312) 519-0743</t>
  </si>
  <si>
    <t>Ms. Katherine Hill is the Founder and serves as Chief Executive Officer &amp; Board Member at Unlisted.</t>
  </si>
  <si>
    <t>HearstLab, StageNext Fund, VC 414</t>
  </si>
  <si>
    <t>VC 414 Fund 1(VC 414)</t>
  </si>
  <si>
    <t>unlistedhomes.com</t>
  </si>
  <si>
    <t>192080-17T</t>
  </si>
  <si>
    <t>Unmudl</t>
  </si>
  <si>
    <t>494733-43</t>
  </si>
  <si>
    <t>Christopher Curran(Christopher Curran), Holly Sparkman(Holly Sparkman), James Caras(James Caras), Kirpal Singh(Kirpal Singh), Stand Together Ventures Lab(Jacob Rabinowitz), Stephanie Boone(Stephanie Boone), WGU Labs</t>
  </si>
  <si>
    <t>Stand Together Ventures Lab (www.stventureslab.com), WGU Labs (www.wgulabs.org)</t>
  </si>
  <si>
    <t>Operator of a skills-to-jobs platform designed for working learners to connect their skills to jobs. The company's platform provides multiple pathways to learning and employment, with clear signaling as to the time, cost, and uncertainty of each, enabling learners to explore skills training &amp; certification programs to get job-ready quickly &amp; affordably.</t>
  </si>
  <si>
    <t>The company raised $1.26 million of Series 2 seed funding from CNM Ingenuity, Cengage Learning, and South Fraser Law Group on April 11, 2023. Stand Together Ventures Lab, and 5 other investors also participated in the round. The funds will be used to further develop the company's skills-to-jobs online marketplace.</t>
  </si>
  <si>
    <t>higher education, higher education program, job marketplace, jobs finding app, jobs search, recruiter platform, recruitment site, skill-building</t>
  </si>
  <si>
    <t>298072-54P</t>
  </si>
  <si>
    <t>Parminder Jassal</t>
  </si>
  <si>
    <t>+1 (512) 669-5624</t>
  </si>
  <si>
    <t>pjassal@unmudl.com</t>
  </si>
  <si>
    <t>Ms. Parminder Jassal is a Co-Founder and serves as Chief Executive Officer and Board Member at Unmudl.</t>
  </si>
  <si>
    <t>The company raised $1.28 million of Series 1 seed funding in a deal led by Stand Together Ventures Lab on April 15, 2022. WGU Labs, James Caras, Christopher L. Curran, Holly Sparkman, Stephanie Boone and Kirpal Singh also participated in the round. The funds will be used to continue to expand operations and the network of community colleges and employers who power the marketplace.</t>
  </si>
  <si>
    <t>Christopher Curran, Holly Sparkman, James Caras, Kirpal Singh, Stand Together Ventures Lab, Stephanie Boone, WGU Labs</t>
  </si>
  <si>
    <t>Stand Together Ventures Lab(Jacob Rabinowitz)</t>
  </si>
  <si>
    <t>Dentons (Legal Advisor to WGU Labs, David Rudd)</t>
  </si>
  <si>
    <t>unmudl.com</t>
  </si>
  <si>
    <t>Educational or demonstration appliances</t>
  </si>
  <si>
    <t>232904-89T</t>
  </si>
  <si>
    <t>Upfront (Media and Information Services (B2B))</t>
  </si>
  <si>
    <t>466653-79</t>
  </si>
  <si>
    <t>New York Ventures</t>
  </si>
  <si>
    <t>Developer of a management platform intended to find and manage childcare services. The company's platform consolidates various types of early care and education data systems into standardized databases, enabling government agencies and early childhood education (ECE) organizations and families to make informed policy decisions and to access services respectively.</t>
  </si>
  <si>
    <t>The company raised $225,000 of venture funding in the combination of options and SAFE notes from undisclosed investors on June 21, 2024.</t>
  </si>
  <si>
    <t>child care center, day care discovery, government analytics, government information technology, information link, information platform</t>
  </si>
  <si>
    <t>263338-21P</t>
  </si>
  <si>
    <t>Dana Levin-Robinson</t>
  </si>
  <si>
    <t>+1 (617) 910-7526</t>
  </si>
  <si>
    <t>dana@allupfront.com</t>
  </si>
  <si>
    <t>Ms. Dana Levin-Robinson is a Co-Founder and serves as Chief Executive Officer and Board Member at Upfront. She witnessed firsthand the challenges a family faces when searching for her own child care. As a parent, she wanted to empower families to make decisions quickly and seamlessly and saw an opportunity to bring new data technology to the child care space. She is an operator with a passion for solving complex problems with tech and was previously the Chief of Staff at VirtualHealth, a growth-stage health tech startup where she led operations, business development, and human resources.</t>
  </si>
  <si>
    <t>The company raised $485,000 of seed funding from New York Ventures on April 25, 2023.</t>
  </si>
  <si>
    <t>www.allupfront.com</t>
  </si>
  <si>
    <t>181930-15T</t>
  </si>
  <si>
    <t>Uplimit</t>
  </si>
  <si>
    <t>482681-71</t>
  </si>
  <si>
    <t>Cowboy Ventures(Aileen Lee), Garrett Lord(Garrett Lord), Greg Brockman(Greg Brockman), Greylock(Sarah Guo), GSV Ventures(Deborah Quazzo), Jenny Dearborn(Jenny Dearborn), Josh Bersin(Josh Bersin), Karie Willyerd(Karie Willyerd), Mustafa Suleyman(Mustafa Suleyman)</t>
  </si>
  <si>
    <t>Cowboy Ventures (www.cowboy.vc), Greg Brockman (www.gregbrockman.com), Greylock (www.greylock.com), GSV Ventures (www.gsv.ventures)</t>
  </si>
  <si>
    <t>Developer of education technology platform designed to accelerate career growth by learning alongside professional peers. The company's platform offers live, small machine learning and data science group courses created and taught by top experts for working employees and students, enabling employees and students to enhance their professional skills through educative courses with a supportive community and accountability.</t>
  </si>
  <si>
    <t>The company raised $11 million through a combination of Series A, and Series A-1 venture funding in a deal led by Salesforce Ventures on July 24, 2024, putting the company's pre-money valuation at $45 million. Workday Ventures, Conviction Partners, GSV Ventures, Cowboy Ventures, Greylock, and TransLink Capital also participated in the round. The funding will be used to expand the company's enterprise platform offerings to upskill organizations and employees.</t>
  </si>
  <si>
    <t>analytics engineering, career growth solutions, consumer data analytics, data science education, ed tech platform, group courses, machine learning courses, natural language processing platform, professional growth training, vertical application</t>
  </si>
  <si>
    <t>59647-06P</t>
  </si>
  <si>
    <t>Julia Stiglitz</t>
  </si>
  <si>
    <t>jstiglitz@uplimit.com</t>
  </si>
  <si>
    <t>Ms. Julia Stiglitz is a Co-Founder &amp; serves as Chief Executive Officer at CoRise (Educational Software). She served as Advisory Board Member at GSV Ventures. Julia brings an extraordinary breadth of "PreK to Gray" education and workforce innovation insights to the GSV Ventures team. She served as Board Member at Fairygodboss. She was most recently VP at Coursera where she started and scaled Coursera's enterprise business sector, Coursera's fastest-growing business line. Julia was Coursera's first business hire, leading its early work around monetization and global expansion. Her previous experience includes managing the Google Apps for Education team, being a Program Director for Teach for America, and teaching 4th grade in East San Jose. She served as Board Member at Outlier.org. She served as the Vice President of Enterprise and International at Coursera. She joined Coursera in 2012 as the company's first business hire and 12th employee. She previously managed the North American sales and global community management team for Google Apps for Education, helping extend that product's reach to 70 of the top 100 U.S. universities and to over 18 million active students, faculty, and staff. She started her career with Teach for America, as a fourth-grade teacher in East San Jose. She is a Co-Founder and serves as Chief Executive Officer at CoRise.</t>
  </si>
  <si>
    <t>Pomona College, BA (Bachelor of Arts), 2004, Philosophy, Stanford Graduate School of Business, MBA (Master of Business Administration), 2010, Stanford University, MA (Master of Arts), 2010, Education</t>
  </si>
  <si>
    <t>The company raised $8.5 million through a combination of debt and Seed funding in a deal led by GSV Ventures and Greylock on September 28, 2022, putting the company's pre-money valuation at $18.5 million. Cowboy Ventures, Mustafa Suleyman, Greg Brockman, Karie Willyerd, Josh Bersin, Garrett Lord and Jenny Dearborn also participated in the round.</t>
  </si>
  <si>
    <t>Cowboy Ventures, Garrett Lord, Greg Brockman, Greylock, GSV Ventures, Jenny Dearborn, Josh Bersin, Karie Willyerd, Mustafa Suleyman</t>
  </si>
  <si>
    <t>Greylock(Sarah Guo), GSV Ventures(Deborah Quazzo)</t>
  </si>
  <si>
    <t>Cowboy Capital Fund III(Cowboy Ventures), Greylock XV(Greylock), GSV Ventures Fund III(GSV Ventures)</t>
  </si>
  <si>
    <t>www.uplimit.com</t>
  </si>
  <si>
    <t>Other - $3.00M</t>
  </si>
  <si>
    <t>181115-02T</t>
  </si>
  <si>
    <t>Uprise (Financial Services)</t>
  </si>
  <si>
    <t>463167-28</t>
  </si>
  <si>
    <t>Anne Raimondi(Anne Raimondi), Brooke Monk(Brooke Monk), Contrary (San Francisco), Daniel Macklin(Daniel Macklin), Dash Fund, Edward Kim(Edward Kim), Exponent Founders Capital, Hustle Fund, Michael Giles(Michael Giles), Nicholas Hungerford(Nicholas Hungerford), On Deck, Oxonian Ventures, Sean Harper(Sean Harper), Taylor Price(Taylor Price), TruStage Ventures</t>
  </si>
  <si>
    <t>Contrary (San Francisco) (www.contrary.com), Dash Fund (www.dashfund.co), Exponent Founders Capital (www.pathlight.vc), Hustle Fund (www.hustlefund.vc), On Deck (www.beondeck.com), Oxonian Ventures (www.oxonianventures.com), TruStage Ventures (www.cmfgventures.com)</t>
  </si>
  <si>
    <t>Provider of an AI-powered financial advisory platform intended to optimize financial health. The company's services cover aspects such as building credit, paying debt, taking advantage of company benefits, and picking the right cards and bank accounts, enabling new clients to get customized financial tips based on their current financial situation.</t>
  </si>
  <si>
    <t>The company raised $3.3 million of Seed funding in a deal led by Blank Ventures on October 21, 2024, putting the company's pre-money valuation at $13.7 million. TruStage Ventures, Graham &amp; Walker, Dash Fund, Hustle Fund, Edward Kim, Dan Macklin, and other undisclosed investors also participated in the round.</t>
  </si>
  <si>
    <t>financial advice, financial advisory, financial consulting, financial services, personal finance adviser, personalized financial advice</t>
  </si>
  <si>
    <t>257367-52P</t>
  </si>
  <si>
    <t>Jessica Chen Riolfi</t>
  </si>
  <si>
    <t>jessica@uprise.us</t>
  </si>
  <si>
    <t>Ms. Jessica Chen Riolfi is a Co-Founder and serves as Chief Executive Officer at Uprise. Jessica has spent her career at the intersection of technology and finance, helping to build some of the world's most well-known fintech products, including Earnin, TransferWise, and Robinhood, meaningfully increasing financial access for millions of people. Jessica holds an MBA from Harvard Business School and a BA from Dartmouth College.</t>
  </si>
  <si>
    <t>Dartmouth College, BA (Bachelor of Arts), Harvard Business School, MBA (Master of Business Administration)</t>
  </si>
  <si>
    <t>The company raised $1.4 million through a combination of Seed-2, and Seed-3 venture funding in a deal led by Contrary on July 11, 2022, putting the company's pre-money valuation at $8.6 million. TruStage Ventures, Exponent Founders Capital, Oxonian Ventures, Dash Fund, Hustle Fund, On Deck, Edward Kim, Taylor Price, Brooke Monk, Michael Giles, Sean Harper, Anne Raimondi, Dan Macklin, Nick Hungerford, and other undisclosed investors also participated in the round. The funds will be used to accelerate the company's hiring of new talent to get more people off of the waitlist and to begin building integration so that implementing recommendations can be done in one click.</t>
  </si>
  <si>
    <t>Anne Raimondi, Brooke Monk, Contrary (San Francisco), Daniel Macklin, Dash Fund, Edward Kim, Exponent Founders Capital, Hustle Fund, Michael Giles, Nicholas Hungerford, On Deck, Oxonian Ventures, Sean Harper, Taylor Price, TruStage Ventures</t>
  </si>
  <si>
    <t>Contrary (San Francisco)</t>
  </si>
  <si>
    <t>Hustle Fund II(Hustle Fund), Hustle Fund III(Hustle Fund), Oxford Angel Fund II(Oxonian Ventures)</t>
  </si>
  <si>
    <t>www.uprise.us</t>
  </si>
  <si>
    <t>228632-77T</t>
  </si>
  <si>
    <t>Upwage</t>
  </si>
  <si>
    <t>497210-59</t>
  </si>
  <si>
    <t>AlleyCorp(Tanya Beja), BBG Ventures (North America), Bloomberg Beta, Core Innovation Capital, J4.Ventures, Kevin Ryan(Kevin Ryan), Moai Capital, Precursor Ventures, Pure Imagination Brands, VITALIZE Venture Capital</t>
  </si>
  <si>
    <t>AlleyCorp (www.alleycorp.com), BBG Ventures (North America) (www.bbgventures.com), Bloomberg Beta (www.bloombergbeta.com), Core Innovation Capital (www.corevc.com), J4.Ventures (www.j4.ventures), Moai Capital (www.moai.vc), Precursor Ventures (precursorvc.com), Pure Imagination Brands (www.pureimaginationbrands.com), VITALIZE Venture Capital (vitalize.vc)</t>
  </si>
  <si>
    <t>Developer of an employment platform based in Wilmington, Delware. The company's platform helps to get matched to employers in the local area paying for current skills, enabling people who earn less wages to find jobs.</t>
  </si>
  <si>
    <t>The company raised $9.24 million of seed funding in a deal led by VITALIZE Venture Capital and Precursor Ventures on August 14, 2023, putting the company's pre-money valuation at $18 million. Bloomberg Beta and 7 other investors also participated in the round.</t>
  </si>
  <si>
    <t>Business/Productivity Software, Human Capital Services, Information Services (B2C)*</t>
  </si>
  <si>
    <t>employment platform, employment support, job platform, job search platform, job searching, jobs information</t>
  </si>
  <si>
    <t>163305-91P</t>
  </si>
  <si>
    <t>Diana Tsai</t>
  </si>
  <si>
    <t>+1 (586) 801-5505</t>
  </si>
  <si>
    <t>diana@upwage.com</t>
  </si>
  <si>
    <t>Ms. Diana Tsai is a Co-Founder and serves as Chief Executive Officer at Upwage. Ms. Diana Rau is a Co-Founder of Veterati, where she previously served as Chief Executive Officer. She is an entrepreneur solving social challenges since 2006 with creativity, tech, grit, and optimism. She is a branding, communication and innovation strategist for emerging brands and Fortune100 MNCs. She is also an advisor to startups &amp; nonprofits and mentor for Veterans, Military Spouses, entrepreneurs and good people</t>
  </si>
  <si>
    <t>Graduate</t>
  </si>
  <si>
    <t>The company raised $9.24 million of seed funding in a deal led by VITALIZE Venture Capital and Precursor Ventures on August 14, 2023, putting the company's pre-money valuation at $18 million. Bloomberg Beta, J4.Ventures, AlleyCorp, Moai Capital, Core Innovation Capital, BBG Ventures (North America), Pure Imagination Brands and Kevin Ryan also participated in the round.</t>
  </si>
  <si>
    <t>AlleyCorp, BBG Ventures (North America), Bloomberg Beta, Core Innovation Capital, J4.Ventures, Kevin Ryan, Moai Capital, Precursor Ventures, Pure Imagination Brands, VITALIZE Venture Capital</t>
  </si>
  <si>
    <t>Precursor Ventures, VITALIZE Venture Capital</t>
  </si>
  <si>
    <t>BBG Ventures III(BBG Ventures (North America)), BBG Ventures IV(BBG Ventures (North America)), Bloomberg Beta III(Bloomberg Beta), Core Innovation Capital II(Core Innovation Capital), J4 Ventures Fund I(J4.Ventures)</t>
  </si>
  <si>
    <t>Cooley (Legal Advisor to Company), Pillsbury Winthrop Shaw Pittman (Legal Advisor to AlleyCorp)</t>
  </si>
  <si>
    <t>Powell, OH</t>
  </si>
  <si>
    <t>Powell</t>
  </si>
  <si>
    <t>43065</t>
  </si>
  <si>
    <t>www.upwage.com</t>
  </si>
  <si>
    <t>260776-54T</t>
  </si>
  <si>
    <t>USEFULL</t>
  </si>
  <si>
    <t>493528-06</t>
  </si>
  <si>
    <t>UBMB(Spencer Gaffney)</t>
  </si>
  <si>
    <t>Manufacturer of tech-enabled packaging products designed to eliminate single-use food or beverage containers. The company manufactures stainless steel and silicone to-go cups, bowls and containers that allow a returnable, plastic-free takeout solution that is paired with a proprietary easy-to-use application, through which containers are as easy to check out and return, enabling organizations to save money, meet their sustainability goals and market their zero waste initiatives.</t>
  </si>
  <si>
    <t>The company raised $5.72 million through a combination of Series A, and Series A-1 venture funding from UBMB,LLC and other undisclosed investors on May 30, 2024, putting the company's pre-money valuation at $14.28 million.</t>
  </si>
  <si>
    <t>Metal Containers and Packaging</t>
  </si>
  <si>
    <t>Application Software, Metal Containers and Packaging*</t>
  </si>
  <si>
    <t>CleanTech, Manufacturing, Mobile</t>
  </si>
  <si>
    <t>plastic-free packaging, returnable container, returnable packaging, reusable cups, stainless steel container, stainless steel cups, zero waste solutions</t>
  </si>
  <si>
    <t>294501-43P</t>
  </si>
  <si>
    <t>Alison Cove</t>
  </si>
  <si>
    <t>+1 (410) 991-7651</t>
  </si>
  <si>
    <t>alison@usefull.us</t>
  </si>
  <si>
    <t>Ms. Alison Cove is the Founder and serves as Chief Executive Officer &amp; Board Member at USEFULL. She is a sailor with a management consulting background and experience at the US EPA Region 1 as an ORISE Fellow working in the Ocean and Coastal Protection Unit. Prior to founding USEFULL she worked successfully with clients to launch and refine large-scale IT and operational programs including MA Prescription Monitoring Program (PMP), WIC Electronic Benefits Card (EBT), the MA Drug and Treatment Courts Program, etc.</t>
  </si>
  <si>
    <t>UBMB</t>
  </si>
  <si>
    <t>www.usefull.us</t>
  </si>
  <si>
    <t>188775-82T</t>
  </si>
  <si>
    <t>Utiliz</t>
  </si>
  <si>
    <t>492592-87</t>
  </si>
  <si>
    <t>Operator of an energy-efficient technology company intended to save money on electricity and gas bills by switching to lower-cost plans. The company's technology specializes in handling electricity supplier switching by exploring other electricity-supplying options, enabling customers save money on their power bills.</t>
  </si>
  <si>
    <t>The company raised $20,000 of Series 1 venture funding from Elevate Ventures and other undisclosed investors on August 4, 2022.</t>
  </si>
  <si>
    <t>CleanTech, Mobile</t>
  </si>
  <si>
    <t>electricity cost, electricity cost optimization, electricity cost reduction, electricity cost saver, electricity supplier, electricity supplier alternatives, power bill</t>
  </si>
  <si>
    <t>146844-55P</t>
  </si>
  <si>
    <t>Cami Boehme</t>
  </si>
  <si>
    <t>+1 (866) 467-6987</t>
  </si>
  <si>
    <t>cami.boehme@powur.com</t>
  </si>
  <si>
    <t>Ms. Cami Boehme serves as Chief Marketing Officer at Powur. She served as Chief Executive Officer at Utiliz. Ms. Boehme served as Chief Strategy Officer at Crius Energy Trust. She serves as Partner, Chief Strategy Officer and Chief Operating Officer for Viridian International.</t>
  </si>
  <si>
    <t>The company raised $20,000 of pre-seed funding from Elevate Ventures on December 23, 2021.</t>
  </si>
  <si>
    <t>77063</t>
  </si>
  <si>
    <t>www.myutiliz.com</t>
  </si>
  <si>
    <t>192580-57T</t>
  </si>
  <si>
    <t>V-Art</t>
  </si>
  <si>
    <t>466148-08</t>
  </si>
  <si>
    <t>Geek Ventures(Ihar Mahaniok), SID Venture Partners</t>
  </si>
  <si>
    <t>Geek Ventures (geek.vc), SID Venture Partners (sid.fund)</t>
  </si>
  <si>
    <t>Developer of an automated IP (internet protocol) licensing solution designed for brands, creators, and AI (artificial intelligence) developers who want to streamline the licensing process, monetize content, and minimize legal risks. The company's platform verifies, secures, and tracks IP rights on supported blockchains and provides new revenue from creative digital assets using blockchain-powered licensing, enabling brands to monetize any digital asset on any platform.</t>
  </si>
  <si>
    <t>The company raised $2 million of seed funding on an undisclosed date. The funds will be used for extend team, marketing and R&amp;D to scale through SaaS model.</t>
  </si>
  <si>
    <t>Artificial Intelligence &amp; Machine Learning, Big Data, Cryptocurrency/Blockchain, FinTech, SaaS</t>
  </si>
  <si>
    <t>ai license management, blockchain protocol, digital art, intellectual property access, intellectual property data, intellectual property management, ip licensing</t>
  </si>
  <si>
    <t>262636-12P</t>
  </si>
  <si>
    <t>Anastasiia Gliebova</t>
  </si>
  <si>
    <t>+380664611135</t>
  </si>
  <si>
    <t>anastasiia.gliebova@v-art.digital</t>
  </si>
  <si>
    <t>Ms. Anastasiia Gliebova is a Co-Founder and serves as Chief Executive Officer &amp; Board Member at V-Art. She is a Ukrainian tech entrepreneur and lawyer, specializing in intellectual property management. With over 7 years of experience in creative management and a robust background in economics, she has led over 30 successful projects. Her expertise extends beyond V-Art as a partner and co-owner at ILTI, where she contributed to the advancement of legal and educational services in IT and creative industries. Projects under her leadership like the Digital Art Observatory, the European Digital Art Fair, Creative Law Studios, and others received support and funding from the EU, the UK, and Ukrainian public and private institutions. Holding three degrees in international law and international business, her involvement extends beyond business to significant scientific research collaborations and participation in expert panel discussions. Her academic contributions as a guest lecturer at Sotheby's Institute of Art, NYU Tisch, and Ukrainian Catholic University, along with authoring 7 publications on intellectual property law and NFTs, reflect her deep involvement in the intersection of law, technology, and art. She actively contributes to promoting Ukrainian tech globally at major events like Web Summit, VivaTech, and others. Projects like Decorative Ukraine and the Ukrainian VR Pavilion at Art Basel, as well as 11 digital exhibitions in partnership with Ukrainian museums, are showcasing Ukrainian creativity on the world stage.</t>
  </si>
  <si>
    <t>The company raised $760,000 of pre-seed funding from SID Venture Partners and Geek Ventures on April 20, 2022.</t>
  </si>
  <si>
    <t>Geek Ventures, SID Venture Partners</t>
  </si>
  <si>
    <t>v-art.digital</t>
  </si>
  <si>
    <t>191611-63T</t>
  </si>
  <si>
    <t>Valdera</t>
  </si>
  <si>
    <t>471307-87</t>
  </si>
  <si>
    <t>BoxGroup, Lerer Hippeau, Susa Ventures</t>
  </si>
  <si>
    <t>BoxGroup (www.boxgroup.com), Lerer Hippeau (www.lererhippeau.com), Susa Ventures (www.susaventures.com)</t>
  </si>
  <si>
    <t>Developer of a product sourcing management platform designed to find the specialized formulations needed to build sustainable and branded products. The company's cloud-based platform mechanizes the chemicals and raw materials procurement workflow by taking the contract negotiations and paperwork online, enabling pharmaceutical and other multilateral industries to streamline their workflow and launch products in the market while saving time and money.</t>
  </si>
  <si>
    <t>The company raised $15 million of Series A venture funding in a deal led by Index Ventures on October 3, 2024, putting the company's pre-money valuation at $56 million. BoxGroup, Susa Ventures, Lerer Hippeau, and other undisclosed investors also participated in the round. The funds will be used by the company to help manufacturers make the next generation of products - faster, safer, and more sustainably than ever before.</t>
  </si>
  <si>
    <t>goods procurement services, procurement and sourcing, product procurement services, product sourcing platform, product sourcing tool, sourcing management platform</t>
  </si>
  <si>
    <t>271647-01P</t>
  </si>
  <si>
    <t>Sruti Arulmani</t>
  </si>
  <si>
    <t>+1 (415) 323-6646</t>
  </si>
  <si>
    <t>sruti@valdera.com</t>
  </si>
  <si>
    <t>Ms. Sruti Arulmani is a Co-Founder and serves as Chief Executive Officer and President at Valdera. She served at Activant Capital Group, Morgan Solar Inc. and Stanford University School of Medicine. She completed her Bachelors in Economics, Biological Engineering from Stanford University in 2019.</t>
  </si>
  <si>
    <t>Stanford University, BE (Bachelor of Engineering), 2019, Economics and Biology</t>
  </si>
  <si>
    <t>The company raised an estimated $5.5 million through a combination of Seed and Seed-1 funding from BoxGroup, Lerer Hippeau, Susa Ventures on September 28, 2022, putting the company's pre-money valuation at $12 million. Other undisclosed investors also participated in the round.</t>
  </si>
  <si>
    <t>www.valdera.com</t>
  </si>
  <si>
    <t>241308-91T</t>
  </si>
  <si>
    <t>Valis (Business/Productivity Software)</t>
  </si>
  <si>
    <t>535499-11</t>
  </si>
  <si>
    <t>Closed Loop Partners, GS Futures, Massachusetts Clean Energy Center, REFASHIOND Ventures, Wire Group (Massachusetts)</t>
  </si>
  <si>
    <t>Closed Loop Partners (www.closedlooppartners.com), GS Futures (www.gsfutures.vc), Massachusetts Clean Energy Center (www.masscec.com), REFASHIOND Ventures (www.refashiond.com), Wire Group (Massachusetts) (www.wiregroup.co)</t>
  </si>
  <si>
    <t>Developer of an insights platform designed to make material supply chains more sustainable, and close the loop on a circular economy for metal fabrication. The company's platform integrates with sorting equipment and other critical data sources to provide real-time information on sorting performance, quality of material streams, and material value, enabling industries to create a circular economy for scrap metal by reducing waste and promoting the reuse of materials.</t>
  </si>
  <si>
    <t>The company raised $1.10 million of seed funding in a deal led by Closed Loop Partners on September 1, 2023, putting the company's pre-money valuation at $2.90 million. GS Futures, REFASHIOND Ventures, Massachusetts Clean Energy Center, and Wire Group also participated in the round.</t>
  </si>
  <si>
    <t>Artificial Intelligence &amp; Machine Learning, CleanTech, Climate Tech</t>
  </si>
  <si>
    <t>ai automation platform, artifical intellegence, circular economy, recycling analytics, scrap metal disposal, scrap metal processer, scrap metal recycling, scrap metal sorting, scrap recycler</t>
  </si>
  <si>
    <t>365517-28P</t>
  </si>
  <si>
    <t>Emily Molstad</t>
  </si>
  <si>
    <t>+1 (860) 559-6542</t>
  </si>
  <si>
    <t>emily.molstad@valisinsights.com</t>
  </si>
  <si>
    <t>Ms. Emily Molstad is a Co-Founder &amp; serves as Chief Executive Officer and Board Member at Valis Insights. She has an MS in Material Science &amp; Engineering from Worcester Polytechnic Institute (WPI) and expertise in metals recycling.</t>
  </si>
  <si>
    <t>Worcester Polytechnic Institute, MS (Master of Science), Materials Science &amp; Engineering</t>
  </si>
  <si>
    <t>Closed Loop Partners</t>
  </si>
  <si>
    <t>Closed Loop Growth Opportunities Fund(Closed Loop Partners), Closed Loop Ventures Fund I(Closed Loop Partners)</t>
  </si>
  <si>
    <t>Foley Hoag (Legal Advisor to Company, Sara Mattern JD)</t>
  </si>
  <si>
    <t>Worcester, MA</t>
  </si>
  <si>
    <t>Worcester</t>
  </si>
  <si>
    <t>01604</t>
  </si>
  <si>
    <t>www.valisinsights.com</t>
  </si>
  <si>
    <t>269081-83T</t>
  </si>
  <si>
    <t>Vectari</t>
  </si>
  <si>
    <t>537390-19</t>
  </si>
  <si>
    <t>Charlotte Fund</t>
  </si>
  <si>
    <t>Charlotte Fund (www.charlottefund.com)</t>
  </si>
  <si>
    <t>Developer of bank-grade AI tools designed to help in compliance functions. The company's tools specialize in complaint management, regulatory language-aware translation services, scam detection and prevention, policy-aware chat interfaces, and complaint insights, enabling clients to maximize efficiency and compliance in client-focused functions.</t>
  </si>
  <si>
    <t>The company raised $600,000 of venture funding in the form of SAFE notes from Charlotte Fund and undisclosed investors on August 5, 2023. Previously, the company raised $1.7 million of angel funding from undisclosed investors on September 15, 2023.</t>
  </si>
  <si>
    <t>client service, complaints management, compliance functions, regulatory risk, regulatory translation</t>
  </si>
  <si>
    <t>349720-03P</t>
  </si>
  <si>
    <t>Alexandra O'Rourke</t>
  </si>
  <si>
    <t>+1 (888) 487-3849</t>
  </si>
  <si>
    <t>Ms. Alexandra O'Rourke is a Co-Founder &amp; serves as Co-Chief Executive Officer &amp; Board Member at Vectari. She served as General Counsel &amp; Chief Concept Officer at Valon Mortgage. She has spent the last decade working on legal, risk, and compliance issues at the intersection of consumer financial services and emerging technology, including artificial intelligence. She began this work at the Consumer Financial Protection Bureau where she served as Senior Counsel in the office of Law and Policy and led the legal department's work on Artificial Intelligence. She advised Senior Leadership, including the Director, on establishing guidance for governing AI models in a way that facilitated their use to enhance access to credit and consumer protection. She graduated from Harvard Law School and the University of Texas.</t>
  </si>
  <si>
    <t>Harvard Law School, JD (Doctor of Law), University of Texas, Austin, Degree</t>
  </si>
  <si>
    <t>The company raised $600,000 of venture funding in the form of SAFE notes from Charlotte Fund and undisclosed investors on August 5, 2024.</t>
  </si>
  <si>
    <t>28280</t>
  </si>
  <si>
    <t>www.vectari.ai</t>
  </si>
  <si>
    <t>219783-70T</t>
  </si>
  <si>
    <t>Vellum (Business/Productivity Software)</t>
  </si>
  <si>
    <t>522484-75</t>
  </si>
  <si>
    <t>1Sharpe Ventures, Acrew Capital(Lauren Kolodny), Endurance Ventures, Fin Capital, Flourish Ventures(Sarah Morgenstern), Samuel Hodges(Samuel Hodges), Vera Equity</t>
  </si>
  <si>
    <t>1Sharpe Ventures (www.1sharpe.ventures), Acrew Capital (www.acrewcapital.com), Endurance Ventures (enduranceventures.com), Fin Capital (fin.capital), Flourish Ventures (www.flourishventures.com), Vera Equity (www.veraequity.com)</t>
  </si>
  <si>
    <t>Developer of a reinsurance software platform designed to transform the management of reinsurance capacity in the industry. The company's platform offers real-time risk monitoring, customizable dashboards, automated reporting, and predictive analytics, enabling insurers and reinsurers to effectively identify and manage risks in their portfolios, resulting in improved returns and decreased operational expenses.</t>
  </si>
  <si>
    <t>The company joined Plug and Play Tech Center as a part of its Batch 16 on April 4, 2024.</t>
  </si>
  <si>
    <t>Business/Productivity Software*, Re-Insurance</t>
  </si>
  <si>
    <t>abi custom application, analytics platform, data analytics, operational efficiency, portfolio optimization, predictive modeling, reinsurance software, risk management</t>
  </si>
  <si>
    <t>247809-70P</t>
  </si>
  <si>
    <t>Julianna Muir</t>
  </si>
  <si>
    <t>jmuir@velluminsurance.com</t>
  </si>
  <si>
    <t>Ms. Julianna Muir is a Co-Founder and serves as Chief Executive Officer at Vellum. Ms. Julianna Muir served as Chief Operating Officer at Attune Insurance. With close to 20 years in the insurance and reinsurance industry, Jules has a deep passion for the insurance industry and the pivotal role it plays in helping people bounce back from some of their darkest days. Most recently she was the COO and founding team member of Attune - a managing general agent focused on improving insurance buying experience for small businesses. Prior to Attune, she started her career as a reinsurance broker at Guy Carpenter &amp; Company, serving a diverse mix of clients ranging from MGAs to global insurance companies. Leaving to get her MBA from Wharton, she then spent four years in the insurance practice at McKinsey &amp; Co. Excited to join the wave of innovation hitting the industry in 2015, she joined Hamilton USA as an early team member, serving as the Head of Strategy and Innovation.</t>
  </si>
  <si>
    <t>The company raised $7 million of pre-seed funding in a deal led by Acrew Capital on March 1, 2023. Fin Capital, Flourish Ventures, Vera Equity, 1Sharpe Ventures, Samuel Hodges and Endurance Ventures also participated in the round. The company will use the funds raised to expand the functionality of its platform to meet the needs of its rapidly growing customer base.</t>
  </si>
  <si>
    <t>1Sharpe Ventures, Acrew Capital, Endurance Ventures, Fin Capital, Flourish Ventures, Samuel Hodges, Vera Equity</t>
  </si>
  <si>
    <t>Acrew Capital(Lauren Kolodny)</t>
  </si>
  <si>
    <t>DLA Piper (Legal Advisor to Fin Capital, Craig Lang JD)</t>
  </si>
  <si>
    <t>New york, NY</t>
  </si>
  <si>
    <t>New york</t>
  </si>
  <si>
    <t>www.velluminsurance.com</t>
  </si>
  <si>
    <t>175122-55T</t>
  </si>
  <si>
    <t>Velma</t>
  </si>
  <si>
    <t>438280-39</t>
  </si>
  <si>
    <t>Adam Sah(Adam Sah), Pareto Holdings, Quiet Capital, Sterling Road, Unpopular Ventures, Vision Capital Group</t>
  </si>
  <si>
    <t>Pareto Holdings (www.pareto20.com), Quiet Capital (www.quiet.com), Sterling Road (www.sterlingroad.com), Unpopular Ventures (www.unpopular.vc), Vision Capital Group (www.visioncapital.group)</t>
  </si>
  <si>
    <t>Developer of an artificial intelligence assistant designed to automate project planning for software teams. The company's assistant integrates into the existing workflows to manage projects and send updates and alerts directly through the tools already in use, enabling companies to optimize for the long-term success of their business.</t>
  </si>
  <si>
    <t>The company raised an undisclosed amount of seed funding from Harlem Capital and Flexcap Ventures on November 15, 2023.</t>
  </si>
  <si>
    <t>ai assistant, developer tools, project management, software add-on, software manager, workflow automation</t>
  </si>
  <si>
    <t>238663-45P</t>
  </si>
  <si>
    <t>Lisa Jiang</t>
  </si>
  <si>
    <t>+1 (415) 580-0644</t>
  </si>
  <si>
    <t>lisa@vardo.co</t>
  </si>
  <si>
    <t>Ms. Lisa Jiang is a Co-Founder and serves as Chief Executive Officer &amp; Chief Technology Officer at Vardo.</t>
  </si>
  <si>
    <t>The company raised $1.1 million of seed funding from Sterling Road, Unpopular Ventures and Quiet Capital on June 1, 2021. Pareto Holdings, Adam Sah and Vision Capital Group also participated in the round.</t>
  </si>
  <si>
    <t>Adam Sah, Pareto Holdings, Quiet Capital, Sterling Road, Unpopular Ventures, Vision Capital Group</t>
  </si>
  <si>
    <t>Quiet Venture I(Quiet Capital), Sterling Road 2(Sterling Road)</t>
  </si>
  <si>
    <t>www.heyvelma.com</t>
  </si>
  <si>
    <t>169825-78T</t>
  </si>
  <si>
    <t>Velocity Global</t>
  </si>
  <si>
    <t>178830-37</t>
  </si>
  <si>
    <t>FFL Partners(Cas Schneller)</t>
  </si>
  <si>
    <t>FFL Partners (www.fflpartners.com)</t>
  </si>
  <si>
    <t>Developer of a human resource platform intended for businesses across the world. The company's platform specializes in hiring talent, streamlining onboarding, benefits, and payroll for a permanent workforce, and simplifying contractor classification, compliance, and payments, enabling enterprises to reduce hiring and relocation costs and increase profitability.</t>
  </si>
  <si>
    <t>The company raised $400 million of Series B venture funding in a deal led by Norwest Venture Partners and Eldridge on May 16, 2022. FFL Partners also participated in the round. The funds will be used to continue enhancing the customer experience for both businesses and talent and it will make further strategic investments in technology, sales, and marketing, as well as potential future acquisitions to execute its vision to provide a frictionless solution for businesses and talent to work with anyone, anywhere, anyhow.</t>
  </si>
  <si>
    <t>HR Tech, Industrials, SaaS</t>
  </si>
  <si>
    <t>employee onboarding, enterprise resource planning, erp, global payroll, hr platform, human capital management, human resource platform, international employment, payroll management, talent management</t>
  </si>
  <si>
    <t>159436-18P</t>
  </si>
  <si>
    <t>Ben Wright</t>
  </si>
  <si>
    <t>+1 (303) 309-2894</t>
  </si>
  <si>
    <t>benwright@velocityglobal.com</t>
  </si>
  <si>
    <t>Mr. Ben Wright serves as Founder &amp; Chairman at Velocity Global. Mr. Ben Wright is the Founder and served as Chairman and Chief Executive Officer at Velocity Global. He has over a dozen years of experience in helping companies expand overseas. Building on his experience as a CPA, leader of an interim finance executive firm and global partnership responsibilities at an international services firm, he has become a recognized thought leader on international back-office operations. He frequently speaks on international business panels and has traveled globally to present on topics such as international employment, permanent establishment, global payroll and expatriate assignments. He holds a B.B.A. in Accounting from the Mendoza College of Business at the University of Notre Dame.</t>
  </si>
  <si>
    <t>University of Notre Dame, BBA (Bachelor of Business Administration), Accounting</t>
  </si>
  <si>
    <t>The company raised $100 million of Series A venture funding from FFL Partners in approximately March 2021. The funds will be used to acquire iWorkGlobal and to support additional strategic acquisitions, technology development and to further expand the company's global footprint.</t>
  </si>
  <si>
    <t>FFL Partners</t>
  </si>
  <si>
    <t>Cooley (Legal Advisor to Company), Willkie Farr &amp; Gallagher (Legal Advisor to FFL Partners)</t>
  </si>
  <si>
    <t>Willkie Farr &amp; Gallagher (Legal Advisor to FFL Partners)</t>
  </si>
  <si>
    <t>www.velocityglobal.com</t>
  </si>
  <si>
    <t>166185-19T</t>
  </si>
  <si>
    <t>Venteur</t>
  </si>
  <si>
    <t>459673-75</t>
  </si>
  <si>
    <t>Developer of an artificial intelligence (AI) powered marketplace designed to help companies offer their employees personalized health benefits that work best for them. The company's platform provides ICHRA (individual coverage health reimbursement arrangement) solutions that give employees full control over their healthcare purchasing decisions and give employers predictability in their benefits budget and control over costs, enabling businesses to optimize plan selection and streamline plan administration.</t>
  </si>
  <si>
    <t>The company joined United Healthcare Accelerator on an undisclosed date and received $50,000 in funding in the form of SAFE notes.</t>
  </si>
  <si>
    <t>Financial Software, Information Services (B2C), Other Insurance*</t>
  </si>
  <si>
    <t>Artificial Intelligence &amp; Machine Learning, FinTech, InsurTech</t>
  </si>
  <si>
    <t>accident insurance, health insurance, health reimbursement arrangement, job opportunities, life insurance, marketplace service, regtech, regulatory affairs and compliance, tax credit</t>
  </si>
  <si>
    <t>252502-39P</t>
  </si>
  <si>
    <t>Stacy Edgar</t>
  </si>
  <si>
    <t>+1 (415) 801-3676</t>
  </si>
  <si>
    <t>sedgar@venteur.co</t>
  </si>
  <si>
    <t>Ms. Stacy Edgar is a Co-Founder and serves as Chief Executive Officer &amp; Board Member at Venteur. The inspiration for founding Venteur stems from her experience as a small-business owner and where she experienced firsthand how difficult it is to get the right health insurance. Previously, Stacy led social impact programs in emerging markets and served as the business development director at an international development consulting firm.</t>
  </si>
  <si>
    <t>London School of Economics and Political Science, MS (Master of Science), 2008, Politics, University of California, Los Angeles (UCLA), BA (Bachelor of Arts), 2007, International Development</t>
  </si>
  <si>
    <t>The company raised $6 million through a combination of seed funding from Plug and Play Tech Center and other undisclosed investors on October 31, 2021, putting the company's pre-money valuation at $18 million.</t>
  </si>
  <si>
    <t>www.venteur.com</t>
  </si>
  <si>
    <t>176365-54T</t>
  </si>
  <si>
    <t>Veo</t>
  </si>
  <si>
    <t>223055-29</t>
  </si>
  <si>
    <t>Autotech Ventures(Daniel Hoffer), Elevate Ventures, FJ Labs, Interplay (New York), Rockpool Capital, SVB Financial Group, UP.Partners(Ally Warson)</t>
  </si>
  <si>
    <t>Autotech Ventures (www.autotechvc.com), Elevate Ventures (www.elevateventures.com), FJ Labs (www.fjlabs.com), Interplay (New York) (www.interplay.vc), Rockpool Capital (www.rockpoolcap.com), UP.Partners (www.up.partners)</t>
  </si>
  <si>
    <t>Developer of a bike-share application designed to provide affordable, environmentally friendly transportation, especially in and around universities with dense student populations. The company's reservation platform recommends the nearest available bike and permits to reserve a bike before pickup and collects payment automatically to help people reduce their carbon footprint, enabling riders to see and book bikes in their locations within the community.</t>
  </si>
  <si>
    <t>The company raised $16.05 million through a combination of debt, Series A, Series A1, and Series A2 venture funding on June 18, 2021, putting the company's pre-money valuation at $50 million. Equity portion of $11.519979 million was led by Autotech Ventures with participation from Elevate Ventures, and 4 other investors. A $4.530021 million of debt was provided by undisclosed lender. The funds will be used to expand the company's fleet and focus on developing city and community partnerships.</t>
  </si>
  <si>
    <t>Application Software, Automotive*, Other Transportation</t>
  </si>
  <si>
    <t>Climate Tech, LOHAS &amp; Wellness, Micro-Mobility, Mobility Tech</t>
  </si>
  <si>
    <t>bikes sharing platform, customer relationship management, last mile commute, micro mobility services, mobility tech, transportation app, transportation technology</t>
  </si>
  <si>
    <t>176285-98P</t>
  </si>
  <si>
    <t>Bowen Xie</t>
  </si>
  <si>
    <t>+1 (765) 838-9861</t>
  </si>
  <si>
    <t>candice.xie@veoride.com</t>
  </si>
  <si>
    <t>Ms. Bowen Xie is a Co-Founder and serves as Chief Executive Officer &amp; Board Member at Veo. She leads Veo to advance a dynamic regulatory environment and seek paths toward efficient and effective expansion. Previously, she worked at Schneider Electric, the Bank of China and MassMutual Financial Group. She graduated with distinction in finance from Purdue University.</t>
  </si>
  <si>
    <t>Purdue University, West Lafayette, Graduate, Finance</t>
  </si>
  <si>
    <t>The company raised $16.05 million through a combination of debt, Series A, Series A1, and Series A2 venture funding on June 18, 2021, putting the company's pre-money valuation at $50 million. Equity portion of $11.519979 million was led by Autotech Ventures with participation from Elevate Ventures, Rockpool Capital, UP Partners, FJ Labs, and Interplay Ventures. A $4.530021 million of debt was provided by undisclosed lender. The funds will be used to expand the company's fleet and focus on developing city and community partnerships.</t>
  </si>
  <si>
    <t>Autotech Ventures, Elevate Ventures, FJ Labs, Interplay (New York), Rockpool Capital, SVB Financial Group, UP.Partners</t>
  </si>
  <si>
    <t>Autotech Ventures(Daniel Hoffer)</t>
  </si>
  <si>
    <t>Autotech Fund II(Autotech Ventures), Interplay Ventures Fund II(Interplay (New York)), UP Ventures I(UP.Partners)</t>
  </si>
  <si>
    <t>Fenwick &amp; West (Legal Advisor to UP.Partners), Wilson Sonsini Goodrich &amp; Rosati (Legal Advisor to Company)</t>
  </si>
  <si>
    <t>Fenwick &amp; West (Legal Advisor to UP.Partners)</t>
  </si>
  <si>
    <t>www.veoride.com</t>
  </si>
  <si>
    <t>Other - $4.53M</t>
  </si>
  <si>
    <t>Cycles</t>
  </si>
  <si>
    <t>233611-75T</t>
  </si>
  <si>
    <t>Vera (Business/Productivity Software)</t>
  </si>
  <si>
    <t>458388-19</t>
  </si>
  <si>
    <t>Accel, ATP Fund, ATP Ventures, BDMI, Betaworks, Datapower Ventures, Differential Ventures(Nicholas Adams), Empty Set Group, Essence Venture Capital, Everywhere Ventures, Greycroft, Mozilla Ventures, Parity Innovation Fund, SaaS Ventures, TRK Group</t>
  </si>
  <si>
    <t>Accel (www.accel.com), ATP Fund (www.atpfund.com), ATP Ventures (www.atpinv.com), BDMI (www.bdmifund.com), Betaworks (www.betaworks.com), Datapower Ventures (datapower.vc), Differential Ventures (www.differential.vc), Empty Set Group (www.emptysetgroup.com), Essence Venture Capital (www.essencevc.fund), Everywhere Ventures (everywhere.vc), Greycroft (www.greycroft.com), Mozilla Ventures (www.mozilla.vc), Parity Innovation Fund (www.parity-fund.com), SaaS Ventures (www.saasventurecapital.com), TRK Group (www.trkgroup.no)</t>
  </si>
  <si>
    <t>Developer of an assessment platform designed to help companies move beyond AI (artificial intelligence) principles and into AI practice, without surrendering privacy and security through the process. The company's collaborative platform allows companies to control inputs and outputs of commercially available generative AI models, governing what teams are allowed to ask, and how models are allowed to respond, enabling organizations to navigate through uncertainty and protecting companies and individuals from risky artificial intelligence systems.</t>
  </si>
  <si>
    <t>The company raised $3.3 million of pre-seed funding in a deal led by Differential Ventures on July 26, 2023, putting the company's pre-money valuation at $8.03 million. Mozilla Ventures and 13 other investors also participated in the round. The funds will be used to scale our team and product and begin the onboarding process for a growing waitlist of customers who are eager to get started on their [safe and reliable] Generative AI strategy.</t>
  </si>
  <si>
    <t>ai adoption, ai cores, ai protection, ai software, analytics platform, application security, artificial intelligence, assessment platform, generative ai, model governance, responsible ai</t>
  </si>
  <si>
    <t>218559-88P</t>
  </si>
  <si>
    <t>Elizabeth O'Sullivan</t>
  </si>
  <si>
    <t>liz@askvera.io</t>
  </si>
  <si>
    <t>Ms. Elizabeth O'Sullivan is a Co-Founder and serves as Chief Executive Officer &amp; Board Member at Vera. She co-founded and served as an advisor at Arthur. She has been working in the AI space since 2012, delivering large-scale AI projects across industries to Fortune 500 clientele. More recently, she headed data labeling at computer vision AI startup Clarifai, which is where she was first responsible for reducing model bias through a well-managed annotations pipeline. She is an inaugural member of the President's National AI Advisory Committee (NAIAC), where she contributes to reports on how to foster AI adoption while regulating its risks.</t>
  </si>
  <si>
    <t>The company raised $3.3 million of pre-seed funding in a deal led by Differential Ventures on July 26, 2023, putting the company's pre-money valuation at $8.03 million. Mozilla Ventures, Bertelsmann Digital Media Investments, Datapower Ventures, Empty Set Group, ATP Ventures, TRK Group, Parity Innovation Fund, Accel, ATP Fund, Essence Venture Capital, SaaS Ventures, Everywhere Ventures, Greycroft and Betaworks also participated in the round. The funds will be used to scale our team and product and begin the onboarding process for a growing waitlist of customers who are eager to get started on their [safe and reliable] Generative AI strategy.</t>
  </si>
  <si>
    <t>Accel, ATP Fund, ATP Ventures, BDMI, Betaworks, Datapower Ventures, Differential Ventures, Empty Set Group, Essence Venture Capital, Everywhere Ventures, Greycroft, Mozilla Ventures, Parity Innovation Fund, SaaS Ventures, TRK Group</t>
  </si>
  <si>
    <t>Differential Ventures(Nicholas Adams)</t>
  </si>
  <si>
    <t>ATP II(ATP Fund), Differential Venture Capital Fund II(Differential Ventures), SaaS Ventures II(SaaS Ventures)</t>
  </si>
  <si>
    <t>Brown Rudnick (Legal Advisor to Differential Ventures), Gunderson Dettmer (Legal Advisor to Company)</t>
  </si>
  <si>
    <t>Brown Rudnick (Legal Advisor to Differential Ventures)</t>
  </si>
  <si>
    <t>www.askvera.io</t>
  </si>
  <si>
    <t>200512-54T</t>
  </si>
  <si>
    <t>Verility</t>
  </si>
  <si>
    <t>502850-08</t>
  </si>
  <si>
    <t>Mountain Group Partners(Rob Readnour)</t>
  </si>
  <si>
    <t>Mountain Group Partners (www.mtngp.com)</t>
  </si>
  <si>
    <t>Developer of a veterinary medical device intended to address the critical demand for the projected need for more meat protein. The company offers animal-side sperm quality checks and ovulation detection by rapidly analyzing cell morphology using image recognition and artificial intelligence, helping clients to confirm if an animal is ready to enter the breeding herd.</t>
  </si>
  <si>
    <t>The company raised $3.5 million through a combination of Series A-1 and Series A-2 venture funding in a deal led by Mountain Group Partners on July 27, 2022, putting the company's pre-money valuation at $4 million. Other undisclosed investors also participated in the round. The funds will be used to develop the company's product for swine producers and breeders in a major segment of production.</t>
  </si>
  <si>
    <t>AgTech, Artificial Intelligence &amp; Machine Learning, Life Sciences</t>
  </si>
  <si>
    <t>ag biotech, agricultural device, animal biotech, animal biotechnology, biotechnology research, breeding farm, livestock producer, ovulation detection, sperm analysis</t>
  </si>
  <si>
    <t>310493-53P</t>
  </si>
  <si>
    <t>Liane Hart</t>
  </si>
  <si>
    <t>+1 (317) 997-2651</t>
  </si>
  <si>
    <t>liane.hart@verilityco.com</t>
  </si>
  <si>
    <t>Ms. Liane Hart is a Co-Founder &amp; serves as Chief Executive Officer &amp; Board Member at Verility. She has 30 years of experience in the animal health industry and is considered an expert in her field. She has designed and led successful multi-million dollar global product launches, portfolio strategies, new business developments, in-market planning, and is also well versed in regulatory affairs. While the majority of her recent accomplishments are in equine and companion animal, she is also very proficient and skilled in the beef, dairy and swine markets. She has a B.S. in Animal Science and a M.S. in Breeding &amp; Genetics both from Purdue University School of Agriculture. She continues to have outstanding achievements as a Thoroughbred Racehorse Assistant Trainer and Breeder as well as the Owner and Manager of Cedar Brick Farm in Greenfield, IN.</t>
  </si>
  <si>
    <t>Purdue University, West Lafayette, BS (Bachelor of Science), Animal Science, Purdue University, West Lafayette, MS (Master of Science)</t>
  </si>
  <si>
    <t>Mountain Group Partners</t>
  </si>
  <si>
    <t>Greenfield, IN</t>
  </si>
  <si>
    <t>Greenfield</t>
  </si>
  <si>
    <t>46140</t>
  </si>
  <si>
    <t>www.verilityco.com</t>
  </si>
  <si>
    <t>219232-72T</t>
  </si>
  <si>
    <t>Versana</t>
  </si>
  <si>
    <t>501935-23</t>
  </si>
  <si>
    <t>Bank of America (NYS: BAC), Citigroup (NYS: C), Deutsche Bank (ETR: DBK)(Michael Weir), J.P. Morgan, Morgan Stanley (NYS: MS), U.S. Bank (NYS: USB)(John Stern), Wells Fargo (NYS: WFC)(John Gregory)</t>
  </si>
  <si>
    <t>Bank of America (NYS: BAC) (www.bankofamerica.com), Citigroup (NYS: C) (www.citigroup.com), Deutsche Bank (ETR: DBK) (www.db.com), J.P. Morgan (www.jpmorgan.com), Morgan Stanley (NYS: MS) (www.morganstanley.com), U.S. Bank (NYS: USB) (www.usbank.com), Wells Fargo (NYS: WFC) (www.wellsfargo.com)</t>
  </si>
  <si>
    <t>Developer of a loan data platform intended to bring transparency, efficiency and velocity to the syndicated loan market. The company's platform provides real-time insight into loan-level details and portfolio positions by digitally capturing agent banks' reference data directly from its source, enabling clients to eliminate discrepancies by having direct digital access.</t>
  </si>
  <si>
    <t>The company raised $26 million of venture funding from Wells Fargo, Morgan Stanley and Deutsche Bank on September 10, 2024. Bank of America and 3 other investors also participated in the round. The company intends to use the funds to expand globally.</t>
  </si>
  <si>
    <t>Business/Productivity Software, Financial Software, Information Services (B2C)*, Other Services (B2C Non-Financial)</t>
  </si>
  <si>
    <t>Big Data, FinTech, SaaS</t>
  </si>
  <si>
    <t>capital markets technology, data management firm, data management service, enterprise resource planning, erp, financial management system, financial service infrastructure, financial services infrastructure, fintech, loan platform, loans data, loans market, loans tracking, vertical application</t>
  </si>
  <si>
    <t>116280-73P</t>
  </si>
  <si>
    <t>Cynthia Sachs</t>
  </si>
  <si>
    <t>+1 (646) 868-0210</t>
  </si>
  <si>
    <t>csachs@versana.io</t>
  </si>
  <si>
    <t>Ms. Cynthia Sachs is the Founding Chief Executive Officer and serves as Board Member at Versana. She served as Chief Executive Officer and Chief Investment Officer at Athena Art Finance. She has over 20 years of leveraged finance and secured lending experience across debt origination, portfolio management and trading. In these capacities, she ran Morgan Stanley's high-yield corporate credit trading platform within Securitized Products, managing a $5 billion multi-strategy leveraged loan portfolio and two CLO vehicles. Prior to that, She was a Managing Director at Natixis where she built the TMT corporate banking business to $1 billion. Most recently, Cynthia was head of Bloomberg's evaluated pricing service BVAL, where she built the business to become an industry leader in the global fixed-income market. She started her career in corporate and investment banking at NatWest and Bank of America. She earned her undergraduate degree in Finance and English from the University of Maryland and her MBA from NYU's Stern School of Business.</t>
  </si>
  <si>
    <t>New York University (Stern), MBA (Master of Business Administration), Finance &amp; International Business, University of Maryland, College Park, Degree, Finance and English</t>
  </si>
  <si>
    <t>Series C</t>
  </si>
  <si>
    <t>The company raised $40 million of Series C venture funding in a deal led by U.S. Bank, Wells Fargo and Morgan Stanley on March 14, 2023. Deutsche Bank, Bank of America, Citigroup, and J.P. Morgan also participated in the round. The funds will be used to further propel the company's mission to bring long-awaited modernization to the syndicated loan market.</t>
  </si>
  <si>
    <t>Deutsche Bank, Morgan Stanley, U.S. Bank, Wells Fargo</t>
  </si>
  <si>
    <t>Bank of America, Citigroup, J.P. Morgan</t>
  </si>
  <si>
    <t>Morgan Stanley (NYS: MS), U.S. Bank (NYS: USB)(John Stern), Wells Fargo (NYS: WFC)(John Gregory)</t>
  </si>
  <si>
    <t>Latham &amp; Watkins (Legal Advisor to Company, Jenny Cieplak JD), Sullivan &amp; Cromwell (Legal Advisor to Morgan Stanley, Mitchell Eitel JD), Sullivan &amp; Cromwell (Legal Advisor to U.S. Bank, Mitchell Eitel JD), Sullivan &amp; Cromwell (Legal Advisor to Wells Fargo, Mitchell Eitel JD)</t>
  </si>
  <si>
    <t>Latham &amp; Watkins (Legal Advisor to Company, Jenny Cieplak JD)</t>
  </si>
  <si>
    <t>Sullivan &amp; Cromwell (Legal Advisor to Morgan Stanley, Mitchell Eitel JD), Sullivan &amp; Cromwell (Legal Advisor to U.S. Bank, Mitchell Eitel JD), Sullivan &amp; Cromwell (Legal Advisor to Wells Fargo, Mitchell Eitel JD)</t>
  </si>
  <si>
    <t>www.versana.io</t>
  </si>
  <si>
    <t>199180-90T</t>
  </si>
  <si>
    <t>Violet Labs</t>
  </si>
  <si>
    <t>501277-69</t>
  </si>
  <si>
    <t>Felicis(Ryan Isono), Inverted Ventures, MaC Venture Capital, Space Capital, V1.vc</t>
  </si>
  <si>
    <t>Felicis (www.felicis.com), Inverted Ventures (www.invertedventures.com), MaC Venture Capital (macventurecapital.com), Space Capital (www.spacecapital.com), V1.vc (www.v1.vc)</t>
  </si>
  <si>
    <t>Developer of cloud-based software integration platform designed for complex hardware engineering. The company's platform aggregates data from software tools used across the engineering lifecycle into one central platform, enabling clients to reduce inefficiencies and errors in the development process and allowing teams to bring their products to market faster.</t>
  </si>
  <si>
    <t>The company joined The AWS Space Accelerator 2023 cohort on April 18, 2023. No equity or funding was exchanged as a result of this program.</t>
  </si>
  <si>
    <t>Aerospace and Defense, Business/Productivity Software*, Software Development Applications</t>
  </si>
  <si>
    <t>aerospace and defense, cloud application, cloud platform, data aggregator, data analysis, hardware based, hardware development, integration platform</t>
  </si>
  <si>
    <t>308272-24P</t>
  </si>
  <si>
    <t>Lucille Hoag</t>
  </si>
  <si>
    <t>+1 (415) 212-8844</t>
  </si>
  <si>
    <t>Dr. Lucy Hoag is a Co-Founder and serves as Chief Executive Officer at Violet Labs.</t>
  </si>
  <si>
    <t>The company raised $4 million of seed funding through a combination of debt and equity on July 1, 2022, putting the company's pre-money valuation at $6 million. $3 million of equity portion was led by Space Capital with participation from Inverted Ventures, MaC Venture Capital, V1.vc, and Felicis. $1 million of debt financing was provided by undisclosed lenders.</t>
  </si>
  <si>
    <t>Felicis, Inverted Ventures, MaC Venture Capital, Space Capital, V1.vc</t>
  </si>
  <si>
    <t>Space Capital</t>
  </si>
  <si>
    <t>MaC Venture Capital II(MaC Venture Capital), Space Capital II(Space Capital)</t>
  </si>
  <si>
    <t>Fenwick &amp; West (Legal Advisor to MaC Venture Capital), Goodwin Procter (Legal Advisor to Company, Christopher Shoff JD), Silicon Legal Strategy (Legal Advisor to Felicis, Sarah Boulden JD)</t>
  </si>
  <si>
    <t>Goodwin Procter (Legal Advisor to Company, Christopher Shoff JD)</t>
  </si>
  <si>
    <t>Fenwick &amp; West (Legal Advisor to MaC Venture Capital), Silicon Legal Strategy (Legal Advisor to Felicis, Sarah Boulden JD)</t>
  </si>
  <si>
    <t>www.violetlabs.com</t>
  </si>
  <si>
    <t>Term Loan - $1.00M</t>
  </si>
  <si>
    <t>212172-76T</t>
  </si>
  <si>
    <t>Viora Health</t>
  </si>
  <si>
    <t>265688-83</t>
  </si>
  <si>
    <t>Johnson &amp; Johnson Innovation - JJDC</t>
  </si>
  <si>
    <t>Johnson &amp; Johnson Innovation - JJDC (www.jnjinnovation.com/jjdc)</t>
  </si>
  <si>
    <t>Developer of a healthcare compliance platform designed to improve adherence to diabetes prevention. The company's platform connects patients to programs, tracks data, engages patients through online tools, and reports progress to DPP programs for outcome-based reimbursement, enabling diabetes prevention programs to maintain compliance with insurance requirements and get paid by helping their patients stay on the program.</t>
  </si>
  <si>
    <t>The company joined Village Capital as a part of its Health Equity Alumni 2023 Program on July 10, 2023, and received $5,000 as a grant.</t>
  </si>
  <si>
    <t>Business/Productivity Software, Other Healthcare Services*, Other Healthcare Technology Systems</t>
  </si>
  <si>
    <t>health program, health services, healthcare adherence, healthcare compliance, healthcare compliance services, healthcare compliance software</t>
  </si>
  <si>
    <t>284117-32P</t>
  </si>
  <si>
    <t>Deboleena Dutta</t>
  </si>
  <si>
    <t>+1 (201) 965-0067</t>
  </si>
  <si>
    <t>ddutta@viorahealth.com</t>
  </si>
  <si>
    <t>Ms. Deboleena Dutta is a Founder &amp; serves as Chief Executive Officer at Viora Health.</t>
  </si>
  <si>
    <t>North Carolina State University, MS (Master of Science), University of Mumbai, BS (Bachelor of Science), University of Pennsylvania, MBA (Master of Business Administration)</t>
  </si>
  <si>
    <t>The company raised $75,000 of seed funding from Johnson &amp; Johnson Innovation - JJDC on May 4, 2022.</t>
  </si>
  <si>
    <t>viorahealth.com</t>
  </si>
  <si>
    <t>212043-70T</t>
  </si>
  <si>
    <t>VirgilHR</t>
  </si>
  <si>
    <t>483633-37</t>
  </si>
  <si>
    <t>Ruxton Ventures, SHRMLabs(Guillermo Corea), Squadra Ventures(Margaret Falzon), Techstars, TEDCO(Jean-Luc Park)</t>
  </si>
  <si>
    <t>Ruxton Ventures (ruxtonventures.com), SHRMLabs (www.shrmlabs.com), Squadra Ventures (www.squadra.vc), Techstars (www.techstars.com), TEDCO (www.tedcomd.com)</t>
  </si>
  <si>
    <t>Developer of human resource compliance software designed to empower organizations to make well-informed employment and labor law decisions. The company's platform offers real-time, automated employment and labor law guidance without the need to research regulatory requirements and deliver real-time, prescriptive guidance across federal, state, labor laws, and local employment, helping HR professionals to maximize their full potential, equipping organizations with smart data to improve the work experience.</t>
  </si>
  <si>
    <t>The company closed on $3 million of an undisclosed targeted amount of seed funding on an undisclosed date.</t>
  </si>
  <si>
    <t>Business/Productivity Software*, Legal Services (B2B), Media and Information Services (B2B)</t>
  </si>
  <si>
    <t>employment law, employment services, enterprise resource planning, erp, guidance service, hr compliance, human capital management, labor law, legal experts, legal tech</t>
  </si>
  <si>
    <t>281037-97P</t>
  </si>
  <si>
    <t>Jocelyn King</t>
  </si>
  <si>
    <t>+1 (808) 436-1775</t>
  </si>
  <si>
    <t>jking@virgilhr.com</t>
  </si>
  <si>
    <t>Ms. Jocelyn King is a Co-Founder and serves as Chief Executive Officer at VirgilHR.</t>
  </si>
  <si>
    <t>The company raised $1.5 million of seed funding in a deal led by SHRMLabs, Squadra Ventures and TEDCO on February 2, 2023, putting the company's pre-money valuation at $8 million. Ruxton Ventures also participated in the round.</t>
  </si>
  <si>
    <t>Ruxton Ventures, SHRMLabs, Squadra Ventures, TEDCO</t>
  </si>
  <si>
    <t>SHRMLabs(Guillermo Corea), Squadra Ventures(Margaret Falzon), Techstars, TEDCO(Jean-Luc Park)</t>
  </si>
  <si>
    <t>TEDCO Social Impact Fund(TEDCO)</t>
  </si>
  <si>
    <t>Orrick (Legal Advisor to Squadra Ventures)</t>
  </si>
  <si>
    <t>Gaithersburg, MD</t>
  </si>
  <si>
    <t>Gaithersburg</t>
  </si>
  <si>
    <t>20878</t>
  </si>
  <si>
    <t>www.virgilhr.com</t>
  </si>
  <si>
    <t>156367-27T</t>
  </si>
  <si>
    <t>Virtanza</t>
  </si>
  <si>
    <t>223540-57</t>
  </si>
  <si>
    <t>Ariel Savannah Angel Partners, Arizona Tech Investors, Band of Angels(Ron Burns), Dan Lok Ventures, Expert DOJO(Jonathan Hung), Kern Venture Group, OSEA Angel Investors, Pasadena Angels, TCA Venture Group</t>
  </si>
  <si>
    <t>Ariel Savannah Angel Partners (www.asap-invests.com), Arizona Tech Investors (arizonatechinvestors.com), Band of Angels (www.bandangels.com), Dan Lok Ventures (www.danlokventures.com), Expert DOJO (www.expertdojo.com), Kern Venture Group (www.kernventuregroup.com), OSEA Angel Investors (www.oseaangelinvestors.com), Pasadena Angels (www.pasadenaangels.com), TCA Venture Group (www.tcaventuregroup.com)</t>
  </si>
  <si>
    <t>Operator of a virtual class program intended to offer sales education, certification, and job placement services. The company's program helps aspiring professional salespeople turn their natural skills into rewarding careers in industries like health care, technology, insurance, media, business services, manufacturing, and other sectors, enabling college students and adult learners to get employment opportunities and connect with employers in need of qualified business sales candidates.</t>
  </si>
  <si>
    <t>The company raised $1.4 million of seed funding from Kern Venture Group, Expert DOJO, and Dan Lok Ventures on November 8, 2021, putting the company's pre-money valuation at $4 million. Pasadena Angels, Ariel Savannah Angel Partners, Band of Angels, Arizona Tech Investors, OSEA Angel Investors, and NuFund also participated in the round.</t>
  </si>
  <si>
    <t>Education and Training Services (B2B)*, Educational Software, Human Capital Services</t>
  </si>
  <si>
    <t>EdTech, HR Tech, TMT</t>
  </si>
  <si>
    <t>business skills, education technology, mentoring platform, sales program, sales skills training, sales training, workforce development, workforce skills development</t>
  </si>
  <si>
    <t>176839-84P</t>
  </si>
  <si>
    <t>Debbie Holzkamp</t>
  </si>
  <si>
    <t>+1 (714) 932-2284</t>
  </si>
  <si>
    <t>debbie@virtanza.com</t>
  </si>
  <si>
    <t>Ms. Debbie Holzkamp is the Founder and serves as Chief Executive Officer at Virtanza. Debbie is a pioneer leading fundamental change in the higher education system by implementing a real-world sales education platform directly connected to employers. She has three decades of experience managing sales teams with Fortune 500 and national companies to achieve more than $1 billion in sales. After her career as a corporate executive, her successful business consulting company sales-certified more than 2,000 adults, conducted more than 9,000 employer field calls, and helped 35 companies in 26 States generate $14M+ in market share revenues. Determined to solve the massive gap in training sales professionals to meet the market demand for sales expertise, she launched Virtanza in 2018. Debbie is author of Virtanza: The Art and Science of Successful Selling for Business-to-Business Sales Professionals and is creator of the 4-step Virtanza Sales Process.</t>
  </si>
  <si>
    <t>Florida Atlantic University, BBA (Bachelor of Business Administration), 1984, Sales, Marketing &amp; Finance</t>
  </si>
  <si>
    <t>The company raised $1.4 million of seed funding from Kern Venture Group, Expert DOJO, and Dan Lok Ventures on November 8, 2021, putting the company's pre-money valuation at $4 million. Pasadena Angels, Ariel Savannah Angel Partners, OSEA Angel Investors, Band of Angels, Arizona Tech Investors, and NuFund also participated in the round.</t>
  </si>
  <si>
    <t>Ariel Savannah Angel Partners, Arizona Tech Investors, Band of Angels, Dan Lok Ventures, Expert DOJO, Kern Venture Group, OSEA Angel Investors, Pasadena Angels, TCA Venture Group</t>
  </si>
  <si>
    <t>Expert DOJO Fund II(Expert DOJO), KVG Fund 2018(Kern Venture Group)</t>
  </si>
  <si>
    <t>Archetype Legal (Legal Advisor to Company, Alex King JD)</t>
  </si>
  <si>
    <t>Laguna Beach, CA</t>
  </si>
  <si>
    <t>Laguna Beach</t>
  </si>
  <si>
    <t>92651</t>
  </si>
  <si>
    <t>www.virtanza.com</t>
  </si>
  <si>
    <t>225034-03T</t>
  </si>
  <si>
    <t>Virtual Sapiens</t>
  </si>
  <si>
    <t>491562-28</t>
  </si>
  <si>
    <t>MassChallenge</t>
  </si>
  <si>
    <t>MassChallenge (www.masschallenge.org)</t>
  </si>
  <si>
    <t>Developer of a virtual communication platform intended to offer elevated human interaction. The company's platform uses artificial intelligence and science-based communication algorithms to turn body language blind spots into a newfound and powerful presence on video, enabling people to improve their communication skills over time by providing them with coaching and feedback.</t>
  </si>
  <si>
    <t>The company joined Techstars as part of its The Roux Institute Techstars Accelerator on September 20, 2022, and received $120,000 in funding. Previously, the company raised an undisclosed amount of seed funding from VITALIZE Venture Capital and other undisclosed investors on March 18, 2022. Earlier, the company raised $55,250 of equity crowdfunding via Wefunder in March 2022. Initially, the amount was raised in the form of SAFE notes, which subsequently got converted into equity.</t>
  </si>
  <si>
    <t>Business/Productivity Software, Communication Software*, Education and Training Services (B2B), Human Capital Services</t>
  </si>
  <si>
    <t>artificial intelligence, coaching on demand, communication platform, communication skill, communication solutions, video presentation platform, virtual communication platform</t>
  </si>
  <si>
    <t>291443-05P</t>
  </si>
  <si>
    <t>Rachel Cossar</t>
  </si>
  <si>
    <t>+1 (617) 981-3292</t>
  </si>
  <si>
    <t>rachel@virtualsapiens.co</t>
  </si>
  <si>
    <t>Ms. Rachel Cossar is a Co-Founder and serves as Chief Executive Officer &amp; Board Member at Virtual Sapiens.</t>
  </si>
  <si>
    <t>The company raised $250,000 of pre-seed funding from MassChallenge and undisclosed investors in April 2021.</t>
  </si>
  <si>
    <t>Swampscott, MA</t>
  </si>
  <si>
    <t>Swampscott</t>
  </si>
  <si>
    <t>01907</t>
  </si>
  <si>
    <t>www.virtualsapiens.co</t>
  </si>
  <si>
    <t>139346-56T</t>
  </si>
  <si>
    <t>Vital4</t>
  </si>
  <si>
    <t>234450-73</t>
  </si>
  <si>
    <t>Valor Ventures(Lisa Calhoun)</t>
  </si>
  <si>
    <t>Valor Ventures (www.valor.vc)</t>
  </si>
  <si>
    <t>Developer of corporate risk and compliance software designed to offer a globally accessible due diligence data search. The company's platform provides automated AML/KYC data tools to analyze global watchlists to help identify subjects involved in financial crimes, terrorism, or corruption, enabling clients to save time, and money and mitigate risk with customers, suppliers, contractors, partners, volunteers, and associated third-party relationships.</t>
  </si>
  <si>
    <t>The company raised an undisclosed amount of venture funding in a deal led by Bryce Catalyst on March 9, 2022. Scalare Partners and other undisclosed investors also participated in the round. The funds will be used to enable more seamless solutions for the company's customers and support its accelerated growth as a business.</t>
  </si>
  <si>
    <t>Artificial Intelligence &amp; Machine Learning, Big Data, Industrials, SaaS</t>
  </si>
  <si>
    <t>ai automation platform, background check, background screening, background screening technology, compliance risk, data infrastructure, data quality tools, data tool, due diligence advisory, politically exposed persons, risk monitoring, risk screening</t>
  </si>
  <si>
    <t>196338-97P</t>
  </si>
  <si>
    <t>Kristin Stafford</t>
  </si>
  <si>
    <t>+1 (770) 763-8931</t>
  </si>
  <si>
    <t>kstafford@vital4.net</t>
  </si>
  <si>
    <t>Ms. Kristin Stafford is a Co-Founder and serves as Chief Executive Officer &amp; Board Member at Vital4. She oversees the day to day operations of Vital4 including compliance, customer support, sales &amp; marketing, vendor relations, technology development, and accounting. She is the former co-founder and managing partner of one of the first independent wholesale international background screening firms in the US. Kristin developed the company from the ground up into a multi-million-dollar business while gaining more than seven years' experience specific to FCRA compliance, technology, and services. Kristin created &amp; directed the development and full launch of a SaaS due diligence &amp; FCRA search platform. Kristin won a public endorsement for the technology she built from ADP's Global Chief Security Officer, Roland Cloutier. She created and implemented FCPA supporting solutions that are utilized today by several companies with a focus on providing vendor due diligence services and meeting their FCPA requirements. She was also entrusted to develop and deliver custom FCPA solutions for a high-profile, global chemical company to enable audit worthy compliance, due to the corporation's longstanding position in the Top 10 on the FCPAs Target List of US. She has more than 20 years of experience in operations management, process architecture and software development. She has organized and managed teams of over 100 employees and consultants and brings to the table a vast array of experience in facilitating the requirements of corporate clients in the development and implementation of operations systems management and software development. Before entering the international background screening space, she managed the financial operations of a large Atlanta-based financial services corporation, served as a senior consultant for Delta Technology and Northern Trust Bank and held a management role within a start-up division of GE Capital.</t>
  </si>
  <si>
    <t>The company raised $550,000 of Series A venture funding in a deal led by Valor Ventures on July 13, 2020. Other undisclosed investors also participated in the round. The company intends to use the fund to continue to expand operations and its business reach.</t>
  </si>
  <si>
    <t>Valor Ventures</t>
  </si>
  <si>
    <t>Valor Ventures V1(Valor Ventures)</t>
  </si>
  <si>
    <t>Marietta, GA</t>
  </si>
  <si>
    <t>Marietta</t>
  </si>
  <si>
    <t>30064</t>
  </si>
  <si>
    <t>www.vital4.net</t>
  </si>
  <si>
    <t>171032-68T</t>
  </si>
  <si>
    <t>Vivrelle</t>
  </si>
  <si>
    <t>465423-13</t>
  </si>
  <si>
    <t>Chapford Capital Group, Origin Ventures(Jason Heltzer)</t>
  </si>
  <si>
    <t>Chapford Capital Group (www.chapfordcapitalgroup.com), Origin Ventures (www.originventures.com)</t>
  </si>
  <si>
    <t>Operator of an online platform intended to offer access to a closet of luxury accessories monthly. The company's platform offers subscription-based services to provide a collection of handbags, designer jewelry, fine jewelry, and influencer's closet, enabling users to buy the products or rent them.</t>
  </si>
  <si>
    <t>The company raised $43 million of Series B venture funding in a deal led by 3L Capital on July 11, 2022. Plus Capital, Origin Ventures, Nina Dobrev, Morgan Stewart McGraw., Lily Collins, Big Loud Capital and Chapford Capital Group also participated in the round. The funds will be used to promote accelerated growth across all verticals of the company's business.</t>
  </si>
  <si>
    <t>Accessories</t>
  </si>
  <si>
    <t>Accessories*, Application Software, Information Services (B2C), Specialty Retail</t>
  </si>
  <si>
    <t>lifestyle membership, luxury goods, luxury products, online rental platform, rental accessories, rental website</t>
  </si>
  <si>
    <t>260743-69P</t>
  </si>
  <si>
    <t>Blake Geffen</t>
  </si>
  <si>
    <t>+1 (516) 314-1176</t>
  </si>
  <si>
    <t>blake@vivrelle.com</t>
  </si>
  <si>
    <t>Ms. Blake Geffen is a Co-Founder and serves as Chief Executive Officer and Board Member at Vivrelle.</t>
  </si>
  <si>
    <t>The company raised $6.95 million through a combination of Series A-1, Series A-2, and Series A-3, venture funding in a deal led by Origin Ventures on April 19, 2021, putting the company's pre-money valuation at $30 million. Chapford Capital Group and other undisclosed investors also participated in the round. The funds will be used to support membership growth, expand its product offering to meet increased membership demand, amplify marketing initiatives and partnerships, and scale its services, operations, and internal teams.</t>
  </si>
  <si>
    <t>Chapford Capital Group, Origin Ventures</t>
  </si>
  <si>
    <t>Origin Ventures(Jason Heltzer)</t>
  </si>
  <si>
    <t>Origin Ventures V(Origin Ventures)</t>
  </si>
  <si>
    <t>Gunderson Dettmer (Legal Advisor to Origin Ventures)</t>
  </si>
  <si>
    <t>www.vivrelle.com</t>
  </si>
  <si>
    <t>158136-85T</t>
  </si>
  <si>
    <t>Vody</t>
  </si>
  <si>
    <t>442894-69</t>
  </si>
  <si>
    <t>Cacker Capital(Matthew Bloodgood), Clemons Management</t>
  </si>
  <si>
    <t>Developer of multimodal foundational models designed for production in e-commerce. The company offers platform-agnostic, fixed-cost, server-less techniques to accelerate model development, supercharge performance, and solve a variety of problems, including visual question answering, image classification, and image text comparison, enabling clients to understand and utilize their data and improve their machine learning pipeline's performance and adaptability.</t>
  </si>
  <si>
    <t>The company raised venture funding from Bacchus Venture Capital on an undisclosed date.</t>
  </si>
  <si>
    <t>cloud integration, consumer data analytics, ecommerce optimization, ecommerce optimization platform, ecommerce personalization, generative ai, machine learning, product discovery tools, semantic search, vertical application</t>
  </si>
  <si>
    <t>40063-33P</t>
  </si>
  <si>
    <t>Stephanie Horbaczewski</t>
  </si>
  <si>
    <t>+1 (917) 680-1629</t>
  </si>
  <si>
    <t>stephanie@vody.com</t>
  </si>
  <si>
    <t>Ms. Stephanie Horbaczewski is a Co-Founder &amp; serves as Chief Executive Officer at Vody. She also serves as Investment Manager at Threadneedle Ventures. She serves as an Advisor at RezVen Partners. She served as Chief Executive Officer and President at StyleHaul. She established StyleHaul in 2011 with the vision of translating the fashion editorial space, at scale, to digital, social, and multi-platform trends. Under her leadership, StyleHaul has redefined the way agencies and brands value and purchase branded content. She grew StyleHaul to a considerable scale and spearheaded a successful acquisition in 2014 by RTL Group with a deal valued at more than $200M.</t>
  </si>
  <si>
    <t>Suffolk University, JD (Doctor of Law), Suffolk University, MBA (Master of Business Administration), 2006, Marketing, Trinity College, BA (Bachelor of Arts), 2000, Classics</t>
  </si>
  <si>
    <t>The company raised $10 million of Series A venture funding from Cacker Capital, Clemons Management and other undisclosed investors on October 1, 2020.</t>
  </si>
  <si>
    <t>Cacker Capital, Clemons Management</t>
  </si>
  <si>
    <t>www.vody.com</t>
  </si>
  <si>
    <t>156400-75T</t>
  </si>
  <si>
    <t>Vurbl</t>
  </si>
  <si>
    <t>437828-50</t>
  </si>
  <si>
    <t>ALIAVIA Ventures, Alpha Edison(Nicholas Grouf), Duro Ventures, greyrock investments, Halogen Ventures(Jesse Draper), Ludis Capital, Sebastian Dobrincu(Sebastian Dobrincu), Sound Media Ventures, TEN13(An Vo)</t>
  </si>
  <si>
    <t>ALIAVIA Ventures (www.aliavia.vc), Alpha Edison (www.alphaedison.com), Duro Ventures (www.duro.vc), greyrock investments (www.greyrock.com.au), Halogen Ventures (www.halogenvc.com), Ludis Capital (www.ludis.capital), Sebastian Dobrincu (www.sebastiandobrincu.com), Sound Media Ventures (soundmedia.vc), TEN13 (www.ten13.vc)</t>
  </si>
  <si>
    <t>Developer of a creator-first, free streaming audio platform designed to find and organize all audio types, including user-generated audio, across multiple categories. The company's platform allows creating, uploading, and sharing podcasts with daily commentary on several topics such as conspiracies, wellness, business, and history and revolutionizes the way people distribute and listen to audio-centric information across the web, allowing content creators to upload, earn subscribers and monetize their work.</t>
  </si>
  <si>
    <t>The company raised an estimated $6 million of seed funding from Skyview Capital, Spacebar Ventures and GFR Fund on February 1, 2022, putting the company's pre-money valuation at $18 million. Calvert Drive Ventures, and 10 other investors also participated in the round.</t>
  </si>
  <si>
    <t>Entertainment Software*, Information Services (B2C), Social Content, Social/Platform Software</t>
  </si>
  <si>
    <t>audio platform, audio sharing app, audio streaming platform, creator platform, programmatic advertising, streaming audio</t>
  </si>
  <si>
    <t>76591-81P</t>
  </si>
  <si>
    <t>Audra Gold</t>
  </si>
  <si>
    <t>audra@productn.co</t>
  </si>
  <si>
    <t>Ms. Audra Gold is the Founder and serves as Managing Director, Executive, Product, Deputy Director of Digital, and Advisor at Product N. Ms. Audra Gold Co-Founded and served as Chief Executive Officer at Vurbl. Ms. Gold is the Founder and serves as Managing Director &amp; Executive, Product at Product N. She served as Advisor at Pluto TV. Audra Gold has dedicated her entire career to building first-to-market and scaled mass media digital products. Her passion for product management and her ability to identify new and emerging product trends has led to her reputation for developing novel, cutting-edge products across gaming, streaming video, digital media, and enterprise SaaS platforms, in various business verticals. Today, as the founder of Product N, a product management consulting and recruitment firm, Audra and her team work with early-stage venture-funded start-ups in various verticals to create, launch and grow their digital products. The team also works in partnership with the VC firm Alpha Edison, helping AE portfolio companies in need of product management expertise to either create, expand or pivot their digital product lines. Prior to Product N, Audra spent years leading Product teams at Rubicon Project, The Mighty, Pluto TV, Fourthwall Studios, and Defy Media (formerly Break Media). She also held senior product roles at WeddingChannel/TheKnot, Vivendi Universal's online division, and IGN.com. Audra holds a BA from the University of Denver, where she also played NCAA soccer and participated in several on-campus organizations and philanthropy.</t>
  </si>
  <si>
    <t>University of Denver, BA (Bachelor of Arts), 1998</t>
  </si>
  <si>
    <t>The company raised $1.3 million through a combination of Seed-2 and Seed -3 funding in a deal led by Alpha Edison on September 21, 2020, putting the company's pre-money valuation at $4 million. Halogen Ventures, TEN13, Ludis Capital, ALIAVIA Ventures, Sound Media Ventures, Duro Ventures, Sebastian Dobrincu and greyrock investments also participated in the round. The funds will be used to develop and launch its platform with over 25 million pieces of audio and podcasts creating a place for content creatures, curators, and listeners.</t>
  </si>
  <si>
    <t>ALIAVIA Ventures, Alpha Edison, Duro Ventures, greyrock investments, Halogen Ventures, Ludis Capital, Sebastian Dobrincu, Sound Media Ventures, TEN13</t>
  </si>
  <si>
    <t>Alpha Edison(Nicholas Grouf)</t>
  </si>
  <si>
    <t>ALIAVIA Ventures Fund I(ALIAVIA Ventures), Alpha Edison II(Alpha Edison), Halogen Ventures Fund 2(Halogen Ventures), Sound Media Ventures Fund I(Sound Media Ventures)</t>
  </si>
  <si>
    <t>Fenwick &amp; West (Legal Advisor to Company), Gunderson Dettmer (Legal Advisor to Alpha Edison)</t>
  </si>
  <si>
    <t>Gunderson Dettmer (Legal Advisor to Alpha Edison)</t>
  </si>
  <si>
    <t>90026</t>
  </si>
  <si>
    <t>www.vurbl.com</t>
  </si>
  <si>
    <t>221087-17T</t>
  </si>
  <si>
    <t>WA+TS</t>
  </si>
  <si>
    <t>498313-09</t>
  </si>
  <si>
    <t>Bill Murphy(Bill Murphy), C2 Ventures, Everywhere Ventures, Female Founders Fund, Gutter Capital(Dan Teran), Jonathan Wasserstrum(Jonathan Wasserstrum), New York Ventures</t>
  </si>
  <si>
    <t>C2 Ventures (www.c2ventures.co), Everywhere Ventures (everywhere.vc), Female Founders Fund (www.femalefoundersfund.com), Gutter Capital (gutter.cc)</t>
  </si>
  <si>
    <t>Developer of a digital waste management platform digitizing waste management workflows and increasing access to waste reduction opportunities. The company's platform offers waste management planning, waste operations standardization, waste-focused training, and education, waste vendor information organization, and waste collection scheduling management, enabling businesses to recycle more, divert materials from end-of-line landfills and incinerators, and reduce their impacts on our social and natural ecosystems.</t>
  </si>
  <si>
    <t>The company joined Urban Future Lab on an undisclosed date.</t>
  </si>
  <si>
    <t>CleanTech, Real Estate Technology, SaaS</t>
  </si>
  <si>
    <t>climate tech, commercial real estate, facilities management tool, waste management tech, waste management tool, waste reduction, waste reduction system, waste reduction tech, zero waste</t>
  </si>
  <si>
    <t>305349-76P</t>
  </si>
  <si>
    <t>Meredith Danberg-Ficarelli</t>
  </si>
  <si>
    <t>+1 (212) 262-9823</t>
  </si>
  <si>
    <t>meredith@getwats.com</t>
  </si>
  <si>
    <t>Ms. Meredith Danberg-Ficarelli is a Co-Founder and serves as Chief Executive Officer and Board Member at WA+TS. She sits on the US Composting Council board of directors and was awarded the 2019 Recycling Leadership Award by the New York State Association for Reduction, Reuse, and Recycling. She believes that materials literacy and supply chain transparency are foundational building blocks of the circular economy.</t>
  </si>
  <si>
    <t>The company raised $1.44 million of seed funding in a deal led by Gutter Capital on May 1, 2023, putting the company's pre-money valuation at $5.56 million. New York Ventures, Everywhere Ventures, C2 Ventures, Female Founders Fund, Jonathan Wasserstrum and Bill Murphy also participated in the round.</t>
  </si>
  <si>
    <t>Bill Murphy, C2 Ventures, Everywhere Ventures, Female Founders Fund, Gutter Capital, Jonathan Wasserstrum, New York Ventures</t>
  </si>
  <si>
    <t>Gutter Capital(Dan Teran)</t>
  </si>
  <si>
    <t>C2V Tributary Fund(C2 Ventures), Gutter Capital Fund(Gutter Capital), NY Ventures Pre Seed and Seed Matching Fund Program(New York Ventures)</t>
  </si>
  <si>
    <t>www.getwats.com</t>
  </si>
  <si>
    <t>195216-31T</t>
  </si>
  <si>
    <t>Wander</t>
  </si>
  <si>
    <t>471922-66</t>
  </si>
  <si>
    <t>Alex Bean(Alex Bean), Convoi, Convoi Ventures, Dundee Venture Capital, HELM Investment Group, Service Provider Capital, TribeAngels</t>
  </si>
  <si>
    <t>Convoi (www.convoi.com), Convoi Ventures (www.convoiventures.com), Dundee Venture Capital (www.dundeeventurecapital.com), HELM Investment Group (www.helmgroup.co), Service Provider Capital (www.serviceprovidercapital.com), TribeAngels (www.tribeangels.org)</t>
  </si>
  <si>
    <t>Developer of an interactive mapping application designed to enhance the destination experience and replace paper maps. The company's software utilizes 3D terrain technology and allows users to place trails, points of interest, attractions, and landmarks with pictures, and descriptions, enabling companies in the tourism industry to help travelers guide themselves to attractions, ski resorts, state parks, and historical sites with or without any cell connection.</t>
  </si>
  <si>
    <t>The company raised $1 million of Seed-3 funding in a deal led by Arieli Capital on July 8, 2024, putting the company's pre-money valuation at $13.5 million. Rocky Woods Investments, Joan and Tim Fenton Founders Fund, Silver Lake and Triangle Tweener Fund also participated in the round. The funds will be used to develop new features that combine travel inspiration, route mapping, and itinerary building on a global basis.</t>
  </si>
  <si>
    <t>destination information, map viewer, mapping application, mapping application service, mapping technology, maps &amp; navigation, maps search optimization, tour map, tourist maps, travellers tracking</t>
  </si>
  <si>
    <t>273071-08P</t>
  </si>
  <si>
    <t>Angela Brau</t>
  </si>
  <si>
    <t>+1 (801) 899-5498</t>
  </si>
  <si>
    <t>aj@wandermaps.com</t>
  </si>
  <si>
    <t>Ms. Angela Brau is a Co-Founder and serves as Chief Executive Officer and Board Member at Wander.</t>
  </si>
  <si>
    <t>The company raised $2.60 million through a combination of Seed-1 and Seed-2 funding from Convoi, Convoi Ventures and Dundee Venture Capital on June 1, 2022, putting the company's pre-money valuation at $5.90 million. Service Provider Capital, Alex W. Bean, TribeAngels and HELM Investment Group also participated in the round.</t>
  </si>
  <si>
    <t>Alex Bean, Convoi, Convoi Ventures, Dundee Venture Capital, HELM Investment Group, Service Provider Capital, TribeAngels</t>
  </si>
  <si>
    <t>Dundee Venture Capital Fund 2016(Dundee Venture Capital)</t>
  </si>
  <si>
    <t>Provo, UT</t>
  </si>
  <si>
    <t>Provo</t>
  </si>
  <si>
    <t>84604</t>
  </si>
  <si>
    <t>www.wandermaps.com</t>
  </si>
  <si>
    <t>183912-22T</t>
  </si>
  <si>
    <t>Wave (Clinics/Outpatient Services)</t>
  </si>
  <si>
    <t>484206-85</t>
  </si>
  <si>
    <t>Alumni Ventures(Wayne Moore), Conscience, Hannah Gray VC, K50 Ventures, Tribe Capital, Verissimo Ventures</t>
  </si>
  <si>
    <t>Alumni Ventures (www.av.vc), Conscience (www.conscience.vc), K50 Ventures (www.k50ventures.com), Tribe Capital (www.tribecap.co), Verissimo Ventures (verissimo.vc)</t>
  </si>
  <si>
    <t>Operator of an emotional health platform intended to give tools to navigate life's challenges. The company's platform offers interactive content to help to understand the science and psychology behind actions and measurements that encourage introspection and vulnerability, enabling people to learn the skills that they need to support all parts of their emotional well-being, every day.</t>
  </si>
  <si>
    <t>The company raised $5.95 million of venture funding from Kube VC and other undisclosed investors on March 21, 2023. Earlier, the company raised an estimated $6.5 million of seed funding in a deal led by Santé Ventures on December 21, 2022, putting the company's pre-money valuation at $11 million. Hannah Gray VC and 5 other investors also participated in the round. The funds will be used to refine their product offering and expand further into the employer space, where mental health has become pivotal for employee satisfaction and retention.</t>
  </si>
  <si>
    <t>behavioral health, emotional health care, emotional health platform, emotional health treatment, emotional support, personalized coaching, personalized coaching platform, personalized coaching services, telatherapy, telehealth</t>
  </si>
  <si>
    <t>215508-88P</t>
  </si>
  <si>
    <t>Sarah Adler</t>
  </si>
  <si>
    <t>+1 (917) 601-6840</t>
  </si>
  <si>
    <t>sarah@wavelife.io</t>
  </si>
  <si>
    <t>Dr. Sarah Adler is the Founder &amp; serves as Chief Executive Officer and Board Member at Wave Life. She Co-Founded and served as Chief Clinical Officer at Octave. She brought a wealth of experience, training, and clinical knowledge to Octave. As the Chief Clinical Officer, she is responsible for the design and implementation of Octave clinical systems and leads the clinical team. She is also a Clinical Assistant Professor of Psychiatry and Behavioral Sciences at Stanford University's Department of Psychiatry and Behavioral Science, where she leads the design and implementation of Measurement Based Care for the department. Prior to joining Octave, she directed the Stanford Stride Lab focusing on increasing access to behavioral health care using technology. She also co-founded Peninsula Behavioral Health, a group psychotherapy practice disseminating evidence based care to the bay area and is the author of The DBT Solution for Overeating, published by Guildford press. She received her PsyD from the joint program between Stanford University and the Pacific Graduate School of Psychology, and completed her post-doctoral training in the Stanford Department of Psychiatry.</t>
  </si>
  <si>
    <t>The company raised $2 million of seed funding in a deal led by Hannah Gray VC in August 2021, putting the company's pre-money valuation at $5.5 million. K50 Ventures, Tribe Capital, Alumni Ventures, Verissimo Ventures and Conscience also participated in the round.</t>
  </si>
  <si>
    <t>Alumni Ventures, Conscience, Hannah Gray VC, K50 Ventures, Tribe Capital, Verissimo Ventures</t>
  </si>
  <si>
    <t>Hannah Gray VC</t>
  </si>
  <si>
    <t>AVG Basecamp 2021(Alumni Ventures), K50 Ventures Scout II(K50 Ventures), Tribe Capital Fund I(Tribe Capital), Verissimo Ventures Fund 1(Verissimo Ventures)</t>
  </si>
  <si>
    <t>www.wavelife.io</t>
  </si>
  <si>
    <t>273585-61T</t>
  </si>
  <si>
    <t>Wave 7 Communications</t>
  </si>
  <si>
    <t>680245-93</t>
  </si>
  <si>
    <t>Connect Humanity(Jochai Ben-Avie)</t>
  </si>
  <si>
    <t>Connect Humanity (www.connecthumanity.fund)</t>
  </si>
  <si>
    <t>Provider of wireless internet services intended to bridge the digital divide by providing high-speed internet connectivity to communities. The company offers residents a better option, providing a wireless solution with high speed internet, providing the unconnected rural community with high speed broadband access.</t>
  </si>
  <si>
    <t>The company raised $350,000 of venture funding from Connect Humanity on November 21, 2022. The funds will be used to expand the company's internet service to 400+ additional homes in Enfield, North Carolina.</t>
  </si>
  <si>
    <t>Internet Service Providers</t>
  </si>
  <si>
    <t>Internet Service Providers*</t>
  </si>
  <si>
    <t>broadband solutions, internet service provider, rural connectivity, wireless internet, wireless internet service, wireless solutions</t>
  </si>
  <si>
    <t>415262-98P</t>
  </si>
  <si>
    <t>LaShawn Williamson</t>
  </si>
  <si>
    <t>+1 (877) 356-0741</t>
  </si>
  <si>
    <t>lwilliamson@catchwave7.com</t>
  </si>
  <si>
    <t>Ms. LaShawn Williamson is the Founder and serves as Chief Executive Officer at Wave 7 Communications.</t>
  </si>
  <si>
    <t>Connect Humanity</t>
  </si>
  <si>
    <t>Greensboro, NC</t>
  </si>
  <si>
    <t>Greensboro</t>
  </si>
  <si>
    <t>27408</t>
  </si>
  <si>
    <t>www.catchwave7.com</t>
  </si>
  <si>
    <t>167763-61T</t>
  </si>
  <si>
    <t>WavelyDx</t>
  </si>
  <si>
    <t>458171-11</t>
  </si>
  <si>
    <t>2Raze, Alliance of Angels, Ambit Health Ventures(Naomi Fried), Cascade Seed Fund, Crosstimbers Capital Group, Gaingels, HealthTech Capital, New York Angels, Purpose Built Ventures, Vantage Partners Texas, Wealthing VC Club, WRF Capital, WXR Venture Fund</t>
  </si>
  <si>
    <t>2Raze (www.2raze.com), Alliance of Angels (www.allianceofangels.com), Ambit Health Ventures (ambithealthventures.com), Cascade Seed Fund (www.cascadeseedfund.com), Crosstimbers Capital Group (www.crosstimbers.com), Gaingels (www.gaingels.com), HealthTech Capital (www.healthtechcapital.com), New York Angels (www.newyorkangels.com), Purpose Built Ventures (www.purposebuilt.vc), Wealthing VC Club (www.wealthing.club), WRF Capital (www.wrfseattle.org), WXR Venture Fund (www.wxrfund.com)</t>
  </si>
  <si>
    <t>Developer of an ear care application designed to detect fluid in the middle ear. The company's application is easy to use and it puts value in pediatric diagnostics on smartphones with no added electronic components, enabling doctors to diagnose ear infections and customers to get virtual pediatric care.</t>
  </si>
  <si>
    <t>The company received a $7,834,864 grant from National Institutes of Health on September 25, 2022. Previously, the company raised an undisclosed amount of seed funding from GrowthX Capital and Totipotent Capital on June 1, 2023.</t>
  </si>
  <si>
    <t>Application Software*, Clinics/Outpatient Services, Other Healthcare Technology Systems</t>
  </si>
  <si>
    <t>connected healthcare, connected service, digital diagnostics, digital health, ear infection, healthcare industry, healthcare industry service, pediatrics healthcare, pediatrics online</t>
  </si>
  <si>
    <t>Clinical Trials - General</t>
  </si>
  <si>
    <t>249222-43P</t>
  </si>
  <si>
    <t>Arna Stoll</t>
  </si>
  <si>
    <t>+1 (650) 224-7504</t>
  </si>
  <si>
    <t>arna@wavelydx.com</t>
  </si>
  <si>
    <t>Ms. Arna Stoll serves as Chief Executive Officer and Board Member at WavelyDx. She has expertise in Design Thinking.</t>
  </si>
  <si>
    <t>The company raised $2.16 million of Seed-2 funding from Vantage Partners Texas, Crosstimbers Capital Group and Ambit Health Ventures on June 21, 2021, putting the company's pre-money valuation at $3.84 million. WRF Capital, Wealthing VC Club, Gaingels, Cascade Seed Fund, 2Raze, Purpose Built Ventures, WXR Venture Fund, HealthTech Capital, New York Angels and Alliance of Angels also participated in the round.</t>
  </si>
  <si>
    <t>2Raze, Alliance of Angels, Ambit Health Ventures, Cascade Seed Fund, Crosstimbers Capital Group, Gaingels, HealthTech Capital, New York Angels, Purpose Built Ventures, Vantage Partners Texas, Wealthing VC Club, WXR Venture Fund</t>
  </si>
  <si>
    <t>WRF Capital</t>
  </si>
  <si>
    <t>Cascade Seed Fund I(Cascade Seed Fund), Wealthing Investment XX(Wealthing VC Club)</t>
  </si>
  <si>
    <t>Cooley (Legal Advisor to Company, Sonya Erickson JD)</t>
  </si>
  <si>
    <t>98103-6905</t>
  </si>
  <si>
    <t>www.wavelydx.com</t>
  </si>
  <si>
    <t>118205-02T</t>
  </si>
  <si>
    <t>Waymo</t>
  </si>
  <si>
    <t>169143-76</t>
  </si>
  <si>
    <t>Alphabet (NAS: GOOGL), Andreessen Horowitz, AutoNation (NYS: AN), CPP Investments(Ryan Selwood), Fidelity Management &amp; Research, Magna Technology Investments(Josh Berg), Mubadala Capital(Ibrahim Ajami), Mubadala Investment Company, Perry Creek Capital, Silver Lake, T. Rowe Price Group (NAS: TROW)</t>
  </si>
  <si>
    <t>Alphabet (NAS: GOOGL) (www.abc.xyz), Andreessen Horowitz (www.a16z.com), AutoNation (NYS: AN) (www.autonation.com), CPP Investments (www.cppinvestments.com), Magna Technology Investments (www.magnatechnologyinvestments.com), Mubadala Capital (www.mubadalacapital.ae), Mubadala Investment Company (www.mubadala.com), Perry Creek Capital (www.perrycreekcap.com), Silver Lake (www.silverlake.com), T. Rowe Price Group (NAS: TROW) (www.troweprice.com)</t>
  </si>
  <si>
    <t>Developer of a self-driving technology designed to offer on-demand riding services that make it convenient for people and things to move around. The company's technology employs integrated sensors and artificial intelligence to detect pedestrians, cyclists, vehicles, and road works, enabling users to have a safe and enjoyable on-demand traveling experience in autonomous vehicles.</t>
  </si>
  <si>
    <t>The company raised $5.6 billion of Series C venture funding in a deal led by Alphabet on October 25, 2024. Andreessen Horowitz and 5 other investors also participated in the round. The funds will be used for advancing the Waymo Driver for business applications and to expand and continue advancing the company's technology and robotaxi service across the U.S.</t>
  </si>
  <si>
    <t>Application Software, Automotive*</t>
  </si>
  <si>
    <t>Artificial Intelligence &amp; Machine Learning, Autonomous cars, Mobile, Mobility Tech</t>
  </si>
  <si>
    <t>automated transportation, autonomous driving, autonomous vehicle, driverless trucking, freight technology, ridesharing service, self driving car, self driving technology, transportation technology</t>
  </si>
  <si>
    <t>Autonomous Trucking</t>
  </si>
  <si>
    <t>126614-35P</t>
  </si>
  <si>
    <t>Tekedra Mawakana</t>
  </si>
  <si>
    <t>+1 (650) 669-7376</t>
  </si>
  <si>
    <t>Ms. Tekedra Mawakana serves as Co-Chief Executive Officer &amp; Board Member at Waymo. She serves as an Advisory Board Member and Operator LP at Operator Collective. She serves as a Board Member, Member of the Compensation and Organizational Development Committee, and member of the Nominating and Governance Committee at Intuit. She served as a Board Member at Global Network Initiative. As COO, she oversees business strategy, operations, business development, global public policy, public affairs, marketing, communications, and corporate social responsibility. She is responsible for ensuring Waymo's transformational technology is commercialized and widely adopted. Prior to Waymo, she led global teams at eBay, Yahoo, AOL, and Startec Global Communications. She started her career at the law firm Steptoe &amp; Johnson LLP and received her JD from Columbia Law School and her BA with honors from Trinity College.</t>
  </si>
  <si>
    <t>Columbia University, JD (Doctor of Law), Law, Trinity College, BA (Bachelor of Arts), Magna Cum Laude</t>
  </si>
  <si>
    <t>The company raised $3 billion of Series A venture funding in a deal led by Silver Lake, CPP Investments, and Mubadala Capital on May 12, 2020, putting the company's pre-money valuation at $27 billion. AutoNation, Magna Technology Investments, Perry Creek Capital, Andreessen Horowitz, Fidelity Management &amp; Research, Alphabet, T. Rowe Price, and Mubadala Investment Company also participated in the round.</t>
  </si>
  <si>
    <t>Alphabet, Andreessen Horowitz, AutoNation, CPP Investments, Fidelity Management &amp; Research, Magna Technology Investments, Mubadala Capital, Mubadala Investment Company, Perry Creek Capital, Silver Lake, T. Rowe Price Group</t>
  </si>
  <si>
    <t>CPP Investments(Ryan Selwood), Mubadala Capital(Ibrahim Ajami), Silver Lake</t>
  </si>
  <si>
    <t>Europe Ventures Fund I(Mubadala Capital), US Ventures Fund I(Mubadala Capital)</t>
  </si>
  <si>
    <t>Edelman (Advisor: Communications to Silver Lake, Jennifer Stroud), Ropes &amp; Gray (Legal Advisor to Silver Lake, Eric Issadore), Sidley (Legal Advisor to Magna Technology Investments, Hank Barry), Weil, Gotshal &amp; Manges (Legal Advisor to CPP Investments, Christopher Machera JD)</t>
  </si>
  <si>
    <t>www.waymo.com</t>
  </si>
  <si>
    <t>Conjoint control of vehicle sub-units of different type or different function, Image or video recognition or understanding, Radio direction-finding, Systems for controlling or regulating non-electric variables, Traffic control systems</t>
  </si>
  <si>
    <t>226253-26T</t>
  </si>
  <si>
    <t>Wayo (Middletown)</t>
  </si>
  <si>
    <t>529244-47</t>
  </si>
  <si>
    <t>Brown Angel Group, Neo (Consulting Services (B2B))</t>
  </si>
  <si>
    <t>Brown Angel Group (www.brownangelgroup.org), Neo (Consulting Services (B2B)) (www.neo.com)</t>
  </si>
  <si>
    <t>Developer of a product sourcing platform designed to optimize supply chain management. The company's platform uses artificial intelligence and a large language model to automate custom sourcing that allows product designing, getting mockups approved, and tracking orders, enabling businesses and clients to connect with manufacturers worldwide.</t>
  </si>
  <si>
    <t>The company is reportedly seeking an undisclosed amount of Series A venture funding as of October 3, 2024. Previously, the company raised $2.5 million of seed funding in the form of SAFE notes in a deal led by Neo in approximately June 2023. Brown Angel Group and other undisclosed investors also participated in the round. The company is actively tracked by PitchBook.</t>
  </si>
  <si>
    <t>ai technology, apparel accessory, custom modeling, office supplies, packaging supplies, product sourcing, supply chain</t>
  </si>
  <si>
    <t>352205-38P</t>
  </si>
  <si>
    <t>Julia Xu</t>
  </si>
  <si>
    <t>Ms. Julia Xu is a Co-Founder &amp; serves as Chief Executive Officer at Wayo. She also founded the omni-channel e-commerce lifestyle brand Multitasky (as seen in Good Morning America, Forbes, Cosmopolitan &amp; more), where she gathered deep experience in the e-commerce and supply chain industry. She previously served as the Chief of Staff of Alibaba.com North America, where she led global operations and strategy. Before that, she was part of Disney's Corporate Strategy team, where she built the global financial model for Disney+. She also founded a McKinsey-Women's-Impact-Award-winning social enterprise Tink Knit. She holds a Bachelor of Business-Economics &amp; Sociology dual degree from Brown University.</t>
  </si>
  <si>
    <t>Brown University, Bachelor's, Business Economics, Brown University, Dual-Degree, Sociology</t>
  </si>
  <si>
    <t>The company raised $2.5 million of seed funding in the form of SAFE notes in a deal led by Neo in approximately June 2023. Brown Angel Group and other undisclosed investors also participated in the round.</t>
  </si>
  <si>
    <t>thewayo.com</t>
  </si>
  <si>
    <t>182140-48T</t>
  </si>
  <si>
    <t>We Sparkle</t>
  </si>
  <si>
    <t>433118-08</t>
  </si>
  <si>
    <t>Groove Capital, Tundra Ventures</t>
  </si>
  <si>
    <t>Groove Capital (www.groovecap.com), Tundra Ventures (www.tundravc.com)</t>
  </si>
  <si>
    <t>Developer of an artificial intelligence-based conversation platform intended to create positive and transformational changes in business communities. The company's platform focuses on improving client communications through proper administration and marketing, enabling clients to save time, increase their revenues and invest in their communities.</t>
  </si>
  <si>
    <t>The company joined gener8tor as a part of its MSP Equity Accelerator program on October 20, 2023 and received $100,000 in the form of SAFE notes. Concurrently, Allianz Group invested in the company.</t>
  </si>
  <si>
    <t>ai assistant, ai power software, clients communication platform, conversation platform, conversation platform operator, conversational ai</t>
  </si>
  <si>
    <t>224934-58P</t>
  </si>
  <si>
    <t>Michelle Maryns</t>
  </si>
  <si>
    <t>+1 (651) 349-4918</t>
  </si>
  <si>
    <t>michelle@wesparkle.org</t>
  </si>
  <si>
    <t>Ms. Michelle Maryns is a Co-Founder and serves as Chief Executive Officer at We Sparkle. She founded We Sparkle with the mission of building a stronger, more inclusive, and more just economy by equipping underestimated entrepreneurs with the tools they need to succeed. Her career was deeply inspired by her mother's experiences. The owner of a thriving fabric business in Vietnam, she later came to the United States as a refugee and didn't feel confident as a business owner. Her career choices were limited, and she experienced a host of discrimination and challenges as an immigrant and woman of color. Michelle always wondered what her mom could have accomplished if she had continued with her business. She has been widely recognized as a leader and connector, and has been honored as a 2021 Bush Fellow, a Minneapolis/St. Paul Business Journal Women in Business Honoree, as well as being honored with Fellowships by the Global Good Fund, FINNOVATION Lab, and Luminary x United for America. She is also the Entrepreneur in Residence for Junior Achievement North, and serves on the board of a number of organizations supporting entrepreneurs in the community. Prior to launching We Sparkle, she was most recently the Chief of Strategic Initiatives of MEDA - a Community Development Financial Institution (CDFI) named by the U.S. Department of Commerce as the top minority business development agency four years in a row. While there, she was able to help thousands of entrepreneurs begin and grow their businesses. We Sparkle gives her the opportunity to continue this work on an even larger scale.</t>
  </si>
  <si>
    <t>Degree, 2009, University of Kansas, Degree, 2007</t>
  </si>
  <si>
    <t>The company raised $110,000 of venture funding from Tundra Ventures and Groove Capital in October 2021.</t>
  </si>
  <si>
    <t>55414</t>
  </si>
  <si>
    <t>www.wesparkle.co</t>
  </si>
  <si>
    <t>139888-00T</t>
  </si>
  <si>
    <t>We4C</t>
  </si>
  <si>
    <t>437243-05</t>
  </si>
  <si>
    <t>Granicus Group, Holt Xchange, Jeffery Dunn(Jeffery Dunn), Mary Bartels(Mary Bartels)</t>
  </si>
  <si>
    <t>Holt Xchange (www.holtxchange.com)</t>
  </si>
  <si>
    <t>Developer of a predictive analytics platform intended to ensure the integrity of digital content. The company's software specializes in detecting deep fake audio detection technology to counter fabricated audio content swiftly and reliably and can handle large volumes of concurrent audio streams, enabling government agencies, defense, and private companies to disseminate misinformation, and detect financial fraud, and protect professional and personal privacy.</t>
  </si>
  <si>
    <t>The company raised $1.76 million of seed funding from Granicus Group, Holt Xchange and Mary Ann Bartels on June 22, 2023. Jeffery M. Dunn and other undisclosed investors also participated in the round.</t>
  </si>
  <si>
    <t>Business/Productivity Software, Media and Information Services (B2B), Network Management Software*</t>
  </si>
  <si>
    <t>Big Data, Cybersecurity, SaaS</t>
  </si>
  <si>
    <t>ai cores, analysis tool, analytics platform, cybersecurity risk, data analysis, deepfake detection, detection product, predictive analytics</t>
  </si>
  <si>
    <t>235692-37P</t>
  </si>
  <si>
    <t>Lauren Seiler</t>
  </si>
  <si>
    <t>+1 (305) 546-5944</t>
  </si>
  <si>
    <t>Ms. Lauren Seiler is a Co-Founder and serves as Head of Strategy, Corporate Development, Investor Relations, Managing Director &amp; Chief Executive Officer at We4C. She brings over 17 years experience in diversified financial services across private equity, private debt, sell-side equity research and alternative investments. She has extensive experience in M&amp;A, strategic planning, acquisition identification and integration, project management and investor relations, along with a passion for the Casino, Gaming and Technology spaces. She owns a Certificate from the University of New Hampshire Franklin Pierce School of Law in Sports and Wagering Integrity.</t>
  </si>
  <si>
    <t>Tufts University, BA (Bachelor of Arts), Quantitative Economics</t>
  </si>
  <si>
    <t>Granicus Group, Holt Xchange, Jeffery Dunn, Mary Bartels</t>
  </si>
  <si>
    <t>www.we4c.ai</t>
  </si>
  <si>
    <t>251543-62T</t>
  </si>
  <si>
    <t>WealthMore</t>
  </si>
  <si>
    <t>532722-79</t>
  </si>
  <si>
    <t>Andreessen Horowitz, Ben Franklin Technology Partners of Southeastern Pennsylvania, Emmeline Ventures, First Row Partners</t>
  </si>
  <si>
    <t>Andreessen Horowitz (www.a16z.com), Ben Franklin Technology Partners of Southeastern Pennsylvania (www.sep.benfranklin.org), Emmeline Ventures (www.emmelineventures.vc), First Row Partners (www.firstrowpartners.vc)</t>
  </si>
  <si>
    <t>Operator of a wealth management platform intended to help individuals and families achieve their financial goals. The company's platform offers a variety of features, including portfolio management, investment research, and retirement planning, enabling users to access financial advice and services for wealth generation.</t>
  </si>
  <si>
    <t>The company raised an estimated $1 million of pre-seed funding from Emmeline Ventures, First Row Partners, Andreessen Horowitz and Ben Franklin Technology Partners of Southeastern Pennsylvania on February 22, 2024. Other undisclosed investors also participated in the round.</t>
  </si>
  <si>
    <t>Asset Management, Financial Software, Other Financial Services*</t>
  </si>
  <si>
    <t>financial advisory, investment advisory, investment platform, investment tool, wealth advisory firm, wealth management, wealth manager, wealth planning, wealthtech</t>
  </si>
  <si>
    <t>357780-43P</t>
  </si>
  <si>
    <t>Mical White</t>
  </si>
  <si>
    <t>+1 (888) 303-6361</t>
  </si>
  <si>
    <t>mwhite@wealthmore.net</t>
  </si>
  <si>
    <t>Ms. Mical White is a Founder &amp; serves as CEO at WealthMore.</t>
  </si>
  <si>
    <t>Springfield, PA</t>
  </si>
  <si>
    <t>Springfield</t>
  </si>
  <si>
    <t>19064</t>
  </si>
  <si>
    <t>www.wealthmore.net</t>
  </si>
  <si>
    <t>203639-68T</t>
  </si>
  <si>
    <t>Wealthramp</t>
  </si>
  <si>
    <t>277648-66</t>
  </si>
  <si>
    <t>Stage 1 Ventures, White Shark Management</t>
  </si>
  <si>
    <t>Stage 1 Ventures (www.stage1ventures.com), White Shark Management (www.whitesharkmgmt.com)</t>
  </si>
  <si>
    <t>Developer of fintech platform designed to connect consumers with online financial advisors. The company's platform offers personalized and unbiased financial referral services connecting investors with fiduciary advisors who match an individual's investing priorities, enabling users to find the advisor that fits their investment goals.</t>
  </si>
  <si>
    <t>The company raised $1.38 million of Series A venture funding from White Shark Management, Stage 1 Ventures, and other undisclosed investors on September 11, 2024, putting the company's pre-money valuation at $4 million.</t>
  </si>
  <si>
    <t>fee-only advisor, fiduciary financial advisor, financial advisor, financial advisor finder, financial planning, investment advisor</t>
  </si>
  <si>
    <t>208649-26P</t>
  </si>
  <si>
    <t>Pamela Krueger</t>
  </si>
  <si>
    <t>+1 (415) 378-8240</t>
  </si>
  <si>
    <t>pam@wealthramp.com</t>
  </si>
  <si>
    <t>Ms. Pamel Krueger is a Co-Founder and serves as Board Member and Chief Executive Officer at Wealthramp.</t>
  </si>
  <si>
    <t>Osterville, MA</t>
  </si>
  <si>
    <t>Osterville</t>
  </si>
  <si>
    <t>02655</t>
  </si>
  <si>
    <t>www.wealthramp.com</t>
  </si>
  <si>
    <t>172493-47T</t>
  </si>
  <si>
    <t>WeaveGrid</t>
  </si>
  <si>
    <t>277194-97</t>
  </si>
  <si>
    <t>Breakthrough Energy(Carmichael Roberts), Climactic, Climate Capital, Coatue Management(Jaimin Rangwalla), Duro Ventures, Grok Ventures(Michael Cannon-Brookes), Joshua Felser(Joshua Felser), Ramez Naam(Ramez Naam), SaxeCap, The Westly Group(Danny Cotter), Toy Ventures</t>
  </si>
  <si>
    <t>Breakthrough Energy (breakthroughenergy.org), Climactic (www.climactic.vc), Climate Capital (www.climatecapital.co), Coatue Management (www.coatue.com), Duro Ventures (www.duro.vc), Grok Ventures (www.grok.ventures), SaxeCap (www.saxecap.com), The Westly Group (www.westlygroup.com), Toy Ventures (www.toyventures.co)</t>
  </si>
  <si>
    <t>Developer of an electrification software designed to connect electric vehicles to the grid. The company's software leverages predictive analytics and systems optimization to make it cheap and safe for utilities to support the growth of electric vehicles and increase renewable energy adoption, enabling clients to drive rapid decarbonization in global transport and power sectors while saving money.</t>
  </si>
  <si>
    <t>The company raised $35 million of Series B venture funding in a deal led by Salesforce Ventures on November 15, 2022, putting the company's pre-money valuation at $200 million. MCJ, and 16 other investors also participated in the round. The funds will be used to accelerate the development of the company's product roadmap while continuing to improve the charging experience for EV drivers.</t>
  </si>
  <si>
    <t>Automotive, Business/Productivity Software*, Other Energy Services</t>
  </si>
  <si>
    <t>decarbonization strategy, electric vehicle app, enterprise asset management, enterprise resource planning, ev charging, grid integration, power analysis, renewable energy project, transport electrification</t>
  </si>
  <si>
    <t>207891-19P</t>
  </si>
  <si>
    <t>Apoorv Bhargava</t>
  </si>
  <si>
    <t>+1 (888) 529-0579</t>
  </si>
  <si>
    <t>apoorv@weavegrid.com</t>
  </si>
  <si>
    <t>Mr. Apoorv Bhargava is a Co-Founder and serves as Chief Executive Officer at Weave Grid.</t>
  </si>
  <si>
    <t>BE/BS (Bachelor of Engineering, Bachelor of Science), Chemical Engineering, Rice University, BA (Bachelor of Arts), Economics, Stanford University, MBA (Master of Business Administration), Stanford University, MS (Master of Science), Energy Resources</t>
  </si>
  <si>
    <t>The company raised $15 million of Series A venture funding in a deal led by Coatue Management on May 20, 2021, putting the company's pre-money valuation at $50 million. The Westly Group, Toy Ventures, Climactic, Climate Capital, Grok Ventures, Ramez Naam, Duro Ventures, Josh Felser, SaxeCap and Breakthrough Energy Ventures also participated in the round. The funds will be used by the company to continue to expand operations and its business reach.</t>
  </si>
  <si>
    <t>Breakthrough Energy, Climactic, Climate Capital, Coatue Management, Duro Ventures, Grok Ventures, Joshua Felser, Ramez Naam, SaxeCap, The Westly Group, Toy Ventures</t>
  </si>
  <si>
    <t>Coatue Management(Jaimin Rangwalla)</t>
  </si>
  <si>
    <t>Climactic I(Climactic), The Breakthrough Energy Ventures Fund II(Breakthrough Energy)</t>
  </si>
  <si>
    <t>Cooley (Legal Advisor to Coatue Management)</t>
  </si>
  <si>
    <t>www.weavegrid.com</t>
  </si>
  <si>
    <t>Circuit arrangements or systems for supplying or distributing electric power, Computing arrangements based on specific computational models, Propulsion of electrically-propelled vehicles</t>
  </si>
  <si>
    <t>207630-73T</t>
  </si>
  <si>
    <t>Wedy</t>
  </si>
  <si>
    <t>512815-24</t>
  </si>
  <si>
    <t>Amir Nagarajan(Amir Nagarajan), Capital Factory, Olivier Grinda(Olivier Grinda)</t>
  </si>
  <si>
    <t>Developer of a booking platform designed for engaged couples to bundle services into an all-inclusive wedding package, powered by SaaS (software as a service) tools for businesses like venues, photographers and caterers. The company's platform offers a variety of customizable packages encompassing photography, florals, catering and other related services, enabling couples to navigate the wedding planning process and management.</t>
  </si>
  <si>
    <t>The company joined Techstars on March 15, 2024 and received $120,000 in funding.</t>
  </si>
  <si>
    <t>b2b2c marketplace, consumer tech, marketplace, proptech, wedding management platform, wedding marketplace, wedding planning app, wedding planning application, wedding planning service</t>
  </si>
  <si>
    <t>322334-11P</t>
  </si>
  <si>
    <t>Rumaiza Ali</t>
  </si>
  <si>
    <t>+1 (720) 485-0691</t>
  </si>
  <si>
    <t>rumaiza@wedyapp.com</t>
  </si>
  <si>
    <t>Ms. Rumaiza Ali is a Co-Founder and serves as Chief Executive Officer &amp; Board Member at Wedy.</t>
  </si>
  <si>
    <t>Bachelor's, 2015, Architecture</t>
  </si>
  <si>
    <t>The company raised $120,000 of seed funding from Capital Factory, Olivier Grinda and Amir Nagarajan on June 5, 2023.</t>
  </si>
  <si>
    <t>Amir Nagarajan, Capital Factory, Olivier Grinda</t>
  </si>
  <si>
    <t>www.wedyapp.com</t>
  </si>
  <si>
    <t>188366-23T</t>
  </si>
  <si>
    <t>Well Traveled</t>
  </si>
  <si>
    <t>484207-48</t>
  </si>
  <si>
    <t>Copper Wire Ventures, Gaingels, Goodwater Capital, Imran Khan(Imran Khan), Irfan Kamal(Irfan Kamal), Mana Ventures, Snap Yellow Accelerator</t>
  </si>
  <si>
    <t>Copper Wire Ventures (www.copperwire.ventures), Gaingels (www.gaingels.com), Goodwater Capital (www.goodwatercap.com), Mana Ventures (www.manaventures.vc), Snap Yellow Accelerator (www.yellowla.com)</t>
  </si>
  <si>
    <t>Developer of a members-only social platform intended for travelers, foodies, and adventure seekers. The company's platform offers young professionals, travelers, foodies, and adventure seekers a private membership community, to discover, plan and book incredible trips, find and share insider travel information and trending spots, helping users with travel planning services, and find the right accommodations to create memories.</t>
  </si>
  <si>
    <t>The company raised $889,400 of equity crowdfunding in the form of a SAFE note via Wefunder in September 2023.</t>
  </si>
  <si>
    <t>social platform, travel app, travel planning, travel planning management, travel planning platform, travel planning service</t>
  </si>
  <si>
    <t>283005-28P</t>
  </si>
  <si>
    <t>Samantha Patil</t>
  </si>
  <si>
    <t>+1 (916) 847-2064</t>
  </si>
  <si>
    <t>samantha@welltraveledclub.com</t>
  </si>
  <si>
    <t>Ms. Samantha Patil is the Founder and serves as Chief Executive Officer and Board Member at Well Traveled. Previously, she built her career in consumer tech and marketing where she led go-to-market strategies, international marketing, and member monetization programs at some of the world's biggest consumer brands. Her previous roles include leadership positions at Pandora Media, Snap, and most recently Dollar Shave Club. She has been featured in multiple podcasts and shared her expertise across numerous top-tier publications including the Wall Street Journal, Forbes, AdWeek, Travel + Leisure, The Washington Post, Business Insider, and New York Magazine. She was featured in Travel Massive's Top 100 Inspiring Women Travel Founders for 2020 and is a proud member of the Female Founder Collective, Dreamers and Doers, and All Raise's Visionary Voices.</t>
  </si>
  <si>
    <t>Santa Clara University, Degree, 2010, Marketing, International Business</t>
  </si>
  <si>
    <t>The company raised $1.1 million of pre-seed funding from Mana Ventures, Copper Wire Ventures and Goodwater Capital on July 15, 2022. Yellow, Gaingels, Imran Khan, Irfan Kamal also participated in the round. The amount was originally raised in the form of SAFE notes and subsequently converted to equity.</t>
  </si>
  <si>
    <t>Copper Wire Ventures, Gaingels, Goodwater Capital, Imran Khan, Irfan Kamal, Mana Ventures, Snap Yellow Accelerator</t>
  </si>
  <si>
    <t>www.welltraveledclub.com</t>
  </si>
  <si>
    <t>180187-21T</t>
  </si>
  <si>
    <t>WexEnergy</t>
  </si>
  <si>
    <t>223055-47</t>
  </si>
  <si>
    <t>Excell Partners(Rami Katz)</t>
  </si>
  <si>
    <t>Excell Partners (www.excellny.com)</t>
  </si>
  <si>
    <t>Developer of a transparent window insulation technology designed to make single-pane windows work like efficient double-pane windows. The company's insulation system mounts onto existing windows and upgrades energy efficiency and is designed specifically to optimize the thickness of this enclosed layer of air to maximize its thermal insulation properties, enabling customers to enjoy the benefits of a proper thermal barrier.</t>
  </si>
  <si>
    <t>The company raised an undisclosed amount of venture funding from Future Labs and Urban Future Lab on August 1, 2022.</t>
  </si>
  <si>
    <t>Home Furnishings</t>
  </si>
  <si>
    <t>Home Furnishings*, Other Hardware</t>
  </si>
  <si>
    <t>Climate Tech, TMT</t>
  </si>
  <si>
    <t>building energy efficiency, energy efficiency retrofit, strategic patent development, thermal insulation product, thermal insulation systems, thermal insulation technology, windows coating, windows seals</t>
  </si>
  <si>
    <t>176681-44P</t>
  </si>
  <si>
    <t>Rachel Rosen</t>
  </si>
  <si>
    <t>+1 (585) 259-0224</t>
  </si>
  <si>
    <t>rachelrosen@wexenergy.com</t>
  </si>
  <si>
    <t>Ms. Rachel Rosen is a Co-Founder and serves as President, Chief Executive Officer, Director of Finance, Operations and Investor Relations &amp; Board Member at WexEnergy. She has worked with WexEnergy LLC and WexEnergy Innovations LLC since their inception. She is market development and business execution. The relationships she has developed in the business community over the last 35 years have been key to WexEnergy's growth. Until June 2016, She was President of Norry Management Corp., a privately-owned property development and management firm in Rochester, NY where she managed over 2M Square Feet of commercial office and industrial properties, as well as multi-family residential properties in 5 States.</t>
  </si>
  <si>
    <t>MBA (Master of Business Administration), 1984, Management, New York University, BS (Bachelor of Science), 1979, Finance &amp; Economics</t>
  </si>
  <si>
    <t>The company raised $300,000 of seed funding from Excell Partners and other undisclosed investors on May 28, 2020.</t>
  </si>
  <si>
    <t>Excell Partners</t>
  </si>
  <si>
    <t>Finger Lakes Forward Venture Capital Fund(Excell Partners)</t>
  </si>
  <si>
    <t>www.wexenergy.com</t>
  </si>
  <si>
    <t>Fixed or movable closures for openings in buildings, vehicles, fences or like enclosures in general</t>
  </si>
  <si>
    <t>233429-86T</t>
  </si>
  <si>
    <t>Whitebalance</t>
  </si>
  <si>
    <t>527528-71</t>
  </si>
  <si>
    <t>Bread &amp; Butter Ventures, Dundee Venture Capital, Techstars</t>
  </si>
  <si>
    <t>Bread &amp; Butter Ventures (www.breadandbutterventures.com), Dundee Venture Capital (www.dundeeventurecapital.com), Techstars (www.techstars.com)</t>
  </si>
  <si>
    <t>Developer of an audio technology designed to solve content copyright issues in live entertainment. The company's software allows to upload of raw clips through the web, mobile applications, or API, flags copyrighted audio quickly and accurately, and instantly removes copyrighted material, enabling clients to publish the processed version.</t>
  </si>
  <si>
    <t>The company raised an estimated $1.65 million through a combination of Seed 1 and Seed 2 in a deal led by Dundee Venture Capital on May 12, 2023, putting the company's pre-money valuation at $4.75 million. Bread &amp; Butter Ventures and Techstars also participated in the round.</t>
  </si>
  <si>
    <t>audio platform, audio technology, copyright music, copyright tools, production platform, video production software</t>
  </si>
  <si>
    <t>347323-69P</t>
  </si>
  <si>
    <t>Lorraine Ma</t>
  </si>
  <si>
    <t>lma@whitebalance.co</t>
  </si>
  <si>
    <t>Ms. Lorraine Ma is a Co-Founder &amp; serves as Chief Executive Officer at Whitebalance.</t>
  </si>
  <si>
    <t>Bread &amp; Butter Ventures, Dundee Venture Capital</t>
  </si>
  <si>
    <t>www.whitebalance.co</t>
  </si>
  <si>
    <t>269113-24T</t>
  </si>
  <si>
    <t>why?!</t>
  </si>
  <si>
    <t>624915-91</t>
  </si>
  <si>
    <t>Bain Capital Ventures(Shani Taylor), Bistro Partners, BluePrint(Roxann Stafford), Clubhouse(Mohammad Almalkawi), FullCircle (New York)(Virginie Raphael), Precursor Ventures(Charles Hudson), Sister Holdings(Cindy Holland), Zeal Capital Partners</t>
  </si>
  <si>
    <t>Bain Capital Ventures (www.baincapitalventures.com), Bistro Partners (www.bistro-partners.com), BluePrint (www.blueprint.com), Clubhouse (www.clubhouse.com), FullCircle (New York) (www.fullcirclefund.io), Precursor Ventures (precursorvc.com), Sister Holdings (www.sister.net), Zeal Capital Partners (www.zealvc.co)</t>
  </si>
  <si>
    <t>Developer of a question-based conversation platform designed to spark meaningful interactions. The platform offers a daily stream of diverse, thought-provoking questions, enabling individuals and groups to connect on a deeper level and foster stronger relationships.</t>
  </si>
  <si>
    <t>The company raised $1.65 million of pre-seed funding in the form of SAFE Notes from BluePrint, Bistro Partners and Sister Holdings on August 7, 2024, putting the company's pre-money valuation at $5.85 million. Clubhouse, FullCircle (New York), Bain Capital Ventures, Zeal Capital Partners and Precursor Ventures also participated in the round.</t>
  </si>
  <si>
    <t>chatting app, group conversation, group messages, relationship app, relationship building, social app, social media</t>
  </si>
  <si>
    <t>408159-37P</t>
  </si>
  <si>
    <t>Maya Watson</t>
  </si>
  <si>
    <t>Ms. Maya Watson is a Co-Founder and serves as Chief Executive Officer at why?!.</t>
  </si>
  <si>
    <t>The company raised $1.65 million of pre-seed funding in the form of SAFE notes in a deal led by Precursor Ventures on August 7, 2024, putting the company's pre-money valuation at $5.85 million. BluePrint, Bistro Partners, Sister Holdings, Clubhouse, FullCircle (New York), Bain Capital Ventures and Zeal Capital Partners also participated in the round.</t>
  </si>
  <si>
    <t>Bain Capital Ventures, Bistro Partners, BluePrint, Clubhouse, FullCircle (New York), Precursor Ventures, Sister Holdings, Zeal Capital Partners</t>
  </si>
  <si>
    <t>Barclays Black Formation Investments(Zeal Capital Partners)</t>
  </si>
  <si>
    <t>Decatur, GA</t>
  </si>
  <si>
    <t>Decatur</t>
  </si>
  <si>
    <t>30030</t>
  </si>
  <si>
    <t>www.whyapp.co</t>
  </si>
  <si>
    <t>130626-37T</t>
  </si>
  <si>
    <t>WhyLabs</t>
  </si>
  <si>
    <t>416522-62</t>
  </si>
  <si>
    <t>AI2 Incubator, Ascend Venture Capital (Seattle)(Kirby Winfield), Madrona Venture Group(Tim Porter)</t>
  </si>
  <si>
    <t>AI2 Incubator (www.ai2incubator.com), Ascend Venture Capital (Seattle) (www.ascend.vc), Madrona Venture Group (www.madrona.com)</t>
  </si>
  <si>
    <t>Developer of an AI observability platform intended to analyze structured and unstructured data from models. The company's platform processes TBs of data without breaking storage and continuously tracks data in real-time at any level of granularity along with monitoring model accuracy, and concept drift, and investigates model behavior on key segments, enabling data scientists to save time and catch problems before they make trouble for businesses or customers.</t>
  </si>
  <si>
    <t>The company joined Find Ventures as a part of its Equitable Innovations Accelerator on April 7, 2022, and received an undisclosed amount in the form of a grant. Previously, the company raised $10 million of Series A venture funding in a deal led by Defy Partners Management and AI Fund on October 5, 2021, putting the company's pre-money valuation at $27 million. Madrona Venture Group and Bezos Expeditions also participated in the round.</t>
  </si>
  <si>
    <t>ai cores, ai monitoring, ai monitoring system, ai protection, analytics platform, application security, data driven tools, data monitoring tools, devops, generative ai, machine learning infrastructure, observability platform</t>
  </si>
  <si>
    <t>241701-22P</t>
  </si>
  <si>
    <t>Alessya Visnjic</t>
  </si>
  <si>
    <t>+1 (425) 270-0066</t>
  </si>
  <si>
    <t>alessya@whylabs.ai</t>
  </si>
  <si>
    <t>Ms. Alessya Visnjic is a Co-Founder &amp; serves as Chief Executive Officer at WhyLabs.</t>
  </si>
  <si>
    <t>The company raised $4 million through a combination of Seed and Seed-1 funding in a deal led by Madrona Venture Group on January 10, 2020, putting the company's pre-money valuation at $8 million. Ascend Venture Capital (Seattle), Bezos Expeditions, Defy Partners Management, and AI2 Incubator also participated in the round. The funds will be used to hire engineers and for product development.</t>
  </si>
  <si>
    <t>AI2 Incubator, Ascend Venture Capital (Seattle), Madrona Venture Group</t>
  </si>
  <si>
    <t>Madrona Venture Group(Tim Porter)</t>
  </si>
  <si>
    <t>AI2 Investment Partners(AI2 Incubator), Ascend Venture Capital I(Ascend Venture Capital (Seattle)), Madrona Venture Fund VI(Madrona Venture Group)</t>
  </si>
  <si>
    <t>98103</t>
  </si>
  <si>
    <t>www.whylabs.ai</t>
  </si>
  <si>
    <t>228091-33T</t>
  </si>
  <si>
    <t>Wicked Saints</t>
  </si>
  <si>
    <t>494599-33</t>
  </si>
  <si>
    <t>1Up Ventures, Andy Chmyz(Andy Chmyz), Authentic Ventures, Bronze VC, Cap Table Coalition, Celia Hodent(Celia Hodent), Gaingels, Holly Liu(Holly Liu), Katie Jansen(Katie Jansen), Mark Eckhardt(Mark Eckhardt), Nancy Lubin(Nancy Lubin), Oregon Venture Fund(Alline Akintore), Origins Capital, Origins Fund, Paul Joffe(Paul Joffe), Precursor Ventures, Reid Hoffman(Reid Hoffman), Riot Games, Rogue Women(Caroline Lewis), The Mini Fund, Van Jones(Van Jones)</t>
  </si>
  <si>
    <t>1Up Ventures (1upfund.com), Authentic Ventures (www.authentic-ventures.com), Bronze VC (www.bronze.vc), Cap Table Coalition (www.captablecoalition.com), Gaingels (www.gaingels.com), Oregon Venture Fund (oregonventurefund.com), Origins Fund (www.origins.fund), Precursor Ventures (precursorvc.com), Reid Hoffman (www.reidhoffman.org), Riot Games (www.riotgames.com), Rogue Women (www.roguewmn.com), The Mini Fund (www.themini.fund)</t>
  </si>
  <si>
    <t>Developer of game studio platform designed to create interactive media. The company's platform uses behavioral technology with narrative augmented reality experience for a generation that cares about their mental health and the state of the world, enabling clients with real-life quests that are facilitated by augmented reality.</t>
  </si>
  <si>
    <t>The company raised $4.60 million of Series 1 &amp; Series 2 pre-seed funding in a deal led by Riot Games and Oregon Venture Fund on September 13, 2023, putting the company's pre-money valuation at $5.70 million. Precursor Ventures and 18 other investors also participated in the round.</t>
  </si>
  <si>
    <t>ar game developer, ar game platform, augmented reality games, augmented reality games developer, behavioral science, behavioral technology, game development studio, game studio, game studio operator, gaming content, gaming developer, gaming publisher, gaming studio, interactive game developer, interactive games</t>
  </si>
  <si>
    <t>297525-88P</t>
  </si>
  <si>
    <t>Jessica Murrey</t>
  </si>
  <si>
    <t>+1 (716) 704-3799</t>
  </si>
  <si>
    <t>Ms. Jessica Murrey is a Co-Founder and serves as Chief Executive Officer and Board Member at Wicked Saints. She first discovered the power of creativity and stories to move people at a local TV station in Oregon. She created awareness campaigns around domestic abuse, sexual assault, child abuse, drug abuse, and many other community issues. She saw a lot of pain. There had to be a way to keep bad things from happening, she thought. At 24, she won a Northwest Regional Emmy and an Oregon Association of Broadcasters Award for some of her work. That was her ticket to Washington D.C. where she began running the comms department for Search for Common Ground, the world's largest dedicated conflict resolution organization. It was at Search where she found her answer to stopping the bad in the world: peacebuilding. Soon, she was in the field, training local peacebuilding superstars in storytelling and strategic messaging. Utilizing the Nobel Peace Prize-nominated NGO's experience, She has trained young activists in some of the most hostile places on earth in Social Change Communication. She uses what she's coined the "Tattoo Method" to design creative campaigns, storytelling, and activities that have the power to shift people's attitudes and behaviors. To date, she has collaborated with young lion-hearted warriors in Colombia, Jordan, Kyrgyzstan, Nigeria, Myanmar, Burundi, Indonesia, Armenia, Thailand, and the US. There's no doubt in her mind that the world's most powerful (and under-estimated) resource is young people.</t>
  </si>
  <si>
    <t>The company raised $4.60 million of Series 1 &amp; Series 2 pre-seed funding in a deal led by Riot Games and Oregon Venture Fund on September 13, 2023, putting the company's pre-money valuation at $5.70 million. Precursor Ventures, Authentic Ventures, Origins Capital, 1Up Ventures, Bronze VC, The Mini Fund, Rogue Women, Cap Table Coalition, Gaingels, Origins Fund, Reid Hoffman, Holly Liu, Nancy Lublin, Andy Chmyz, Katie Jansen, Mark Eckhardt, Paul Joffe, Celia Hodent and Van Jones also participated in the round.</t>
  </si>
  <si>
    <t>1Up Ventures, Andy Chmyz, Authentic Ventures, Bronze VC, Cap Table Coalition, Celia Hodent, Gaingels, Holly Liu, Katie Jansen, Mark Eckhardt, Nancy Lubin, Oregon Venture Fund, Origins Capital, Origins Fund, Paul Joffe, Precursor Ventures, Reid Hoffman, Riot Games, Rogue Women, The Mini Fund, Van Jones</t>
  </si>
  <si>
    <t>Oregon Venture Fund(Alline Akintore), Riot Games</t>
  </si>
  <si>
    <t>1Up Ventures Fund II(1Up Ventures), Oregon Venture Fund 2023(Oregon Venture Fund), Oregon Venture Fund XV(Oregon Venture Fund), Rogue Women's Fund II(Rogue Women)</t>
  </si>
  <si>
    <t>Pillsbury Winthrop Shaw Pittman (Legal Advisor to Riot Games, Justin Hovey JD), Reitler Kailas &amp; Rosenblatt (Legal Advisor to Company)</t>
  </si>
  <si>
    <t>Pillsbury Winthrop Shaw Pittman (Legal Advisor to Riot Games, Justin Hovey JD)</t>
  </si>
  <si>
    <t>Medford, OR</t>
  </si>
  <si>
    <t>Medford</t>
  </si>
  <si>
    <t>97501</t>
  </si>
  <si>
    <t>www.wickedsaints.studio</t>
  </si>
  <si>
    <t>132094-81T</t>
  </si>
  <si>
    <t>Wildnote</t>
  </si>
  <si>
    <t>225729-46</t>
  </si>
  <si>
    <t>Entrada Ventures, HG Ventures(Kip Frey)</t>
  </si>
  <si>
    <t>Entrada Ventures (www.entradaventures.com), HG Ventures (www.hgventures.com)</t>
  </si>
  <si>
    <t>Developer of an environmental compliance data platform intended to streamline the process of field data collection, project management and reporting. The company's platform offers a mixture of technology to collect, manage and report information to regulatory agencies to reduce inaccurate and inconsistent data, enabling environmental consultants, utilities and construction companies to save time, effort and money when complying with detailed environmental regulations.</t>
  </si>
  <si>
    <t>The company raised $2.00 million of seed funding in a deal led by HG Ventures and Entrada Ventures on January 21, 2020, putting the company's pre-money valuation at $4 million. Other undisclosed investors also participated in the round. The funds will be used to scale the company to ever-increasing value for its customers, investors and employees, while achieving its mission of protecting our natural resources by delivering the best platform to collect, manage and report on environmental compliance. Earlier, the company joined Techstars as a part of its Heritage Group Accelerator on September 9, 2019 and received $20,000 in funding.</t>
  </si>
  <si>
    <t>Business/Productivity Software*, Database Software, Media and Information Services (B2B), Other Commercial Services</t>
  </si>
  <si>
    <t>Big Data, Construction Technology, Mobile, SaaS</t>
  </si>
  <si>
    <t>analysis and reporting, big data management, cultural resources preservation, data collection, environmental compliance, environmental compliance consulting, environmental compliance services, environmental data</t>
  </si>
  <si>
    <t>179536-06P</t>
  </si>
  <si>
    <t>Kristen Hazard</t>
  </si>
  <si>
    <t>+1 (805) 664-0090</t>
  </si>
  <si>
    <t>kristen@wildnoteapp.com</t>
  </si>
  <si>
    <t>Ms. Kristen Hazard is the Founder and serves as Chief Executive Officer and Board Member at Wildnote. Kristen Hazard has domain experience in the environmental-services industry as former principal with Terra Verde Consulting in San Luis Obispo.</t>
  </si>
  <si>
    <t>Degree, Law, Degree, Mechanical Engineering</t>
  </si>
  <si>
    <t>The company raised $2.00 million of seed funding in a deal led by HG Ventures and Entrada Ventures on January 21, 2020, putting the company's pre-money valuation at $4 million. Other undisclosed investors also participated in the round. The funds will be used to scale the company to ever-increasing value for its customers, investors and employees, while achieving its mission of protecting our natural resources by delivering the best platform to collect, manage and report on environmental compliance.</t>
  </si>
  <si>
    <t>Entrada Ventures, HG Ventures</t>
  </si>
  <si>
    <t>93405</t>
  </si>
  <si>
    <t>www.wildnoteapp.com</t>
  </si>
  <si>
    <t>189746-11T</t>
  </si>
  <si>
    <t>Willow Servicing</t>
  </si>
  <si>
    <t>493234-66</t>
  </si>
  <si>
    <t>Global Asset Capital, Thomvest Ventures, TMC Emerging Technology Fund, Webb Investment Network, Zigg Capital</t>
  </si>
  <si>
    <t>Global Asset Capital (www.gacapital.com), Thomvest Ventures (www.thomvest.com), TMC Emerging Technology Fund (tmctechfund.com), Webb Investment Network (www.winfunding.com), Zigg Capital (www.ziggcap.com)</t>
  </si>
  <si>
    <t>Developer of mortgage servicing technology intended to automate mortgage servicing operations and compliance. The company's software automates routine tasks, such as generating tax forms and reporting servicing transfers and other mortgage-related services, enabling borrowers to get visibility into the status of their mortgage and control over their home and finances.</t>
  </si>
  <si>
    <t>The company raised $5.75 million of seed funding in a deal led by Thomvest Ventures on August 11, 2022. Zigg Capital, TMC Emerging Technology Fund, Webb Investment Network, and Global Asset Capital also participated in the round. The funds will be used to continue investing in their customers and solving their pain points.</t>
  </si>
  <si>
    <t>borrower communications, enterprise resource planning, erp, mortgage app, mortgage repayment, mortgage service platform, mortgage servicing software, secondary market trading</t>
  </si>
  <si>
    <t>122714-11P</t>
  </si>
  <si>
    <t>Laura Cain</t>
  </si>
  <si>
    <t>+1 (415) 825-6022</t>
  </si>
  <si>
    <t>laura@willowservicing.com</t>
  </si>
  <si>
    <t>Ms. Laura Cain is a Co-Founder and serves as Chief Executive Officer and Board Member at Willow Servicing. Ms. Cain served as an Associate at Thomvest Ventures. Prior to joining Thomvest, Laura worked at Deloitte Consulting as part of the Technology Strategy &amp; Architecture division. There, she focused on advising clients on cloud computing, enterprise architecture, IT cost optimization, and M&amp;A. She served a broad range of clients across healthcare, information technology, finance, hospitality, and consumer product industries. Prior to Deloitte, Laura held two internships at Chevron and performed research for the Haas School of Business. Laura graduated from UC Berkeley with a BS in Business.</t>
  </si>
  <si>
    <t>University of California, Berkeley, Bachelor's, Business Administration</t>
  </si>
  <si>
    <t>Thomvest Ventures</t>
  </si>
  <si>
    <t>Thomvest Ventures Fund(Thomvest Ventures), TMC Emerging Technology Fund(TMC Emerging Technology Fund)</t>
  </si>
  <si>
    <t>Goodwin Procter (Legal Advisor to Thomvest Ventures, Emma Mann-Meginniss JD), Gunderson Dettmer (Legal Advisor to Company)</t>
  </si>
  <si>
    <t>Goodwin Procter (Legal Advisor to Thomvest Ventures, Emma Mann-Meginniss JD)</t>
  </si>
  <si>
    <t>94705</t>
  </si>
  <si>
    <t>www.willowservicing.com</t>
  </si>
  <si>
    <t>266134-24T</t>
  </si>
  <si>
    <t>WinWon</t>
  </si>
  <si>
    <t>543704-05</t>
  </si>
  <si>
    <t>Developer of sports technology software designed for athlete management through automation. The company's platform facilitates eligibility management, academic monitoring, time tracking, recruiting resources, and record-keeping, enabling clients to streamline processes, integrate systems, and bridge connections between coaches and staff.</t>
  </si>
  <si>
    <t>The company raised an estimated $4.50 million through a combination of Seed-1, Seed-2 and Seed-3 funding from Fractal Software, and other undisclosed investors on January 16, 2024, putting the company's pre-money valuation at $10 million.</t>
  </si>
  <si>
    <t>academic monitoring, athletes data, athletic department, eligibility management, recruiting resources, sports technology, streamline process</t>
  </si>
  <si>
    <t>403808-32P</t>
  </si>
  <si>
    <t>Alex Hanley</t>
  </si>
  <si>
    <t>+1 (469) 955-3571</t>
  </si>
  <si>
    <t>ahanley@winwontech.com</t>
  </si>
  <si>
    <t>Ms. Alex Hanley is a Co-Founder &amp; serves as Chief Executive Officer at WinWon. She was previously in multiple industries, including high growth technology, investment banking and private equity investing. She graduated from Princeton University.</t>
  </si>
  <si>
    <t>Princeton University, Graduate</t>
  </si>
  <si>
    <t>10280</t>
  </si>
  <si>
    <t>www.winwontech.com</t>
  </si>
  <si>
    <t>199621-18T</t>
  </si>
  <si>
    <t>Wiz Kid Learning</t>
  </si>
  <si>
    <t>470049-22</t>
  </si>
  <si>
    <t>gener8tor, New Age Capital, Right Side Capital Management, Westbound Equity Partners</t>
  </si>
  <si>
    <t>gener8tor (www.gener8tor.com), New Age Capital (www.newage.vc), Right Side Capital Management (www.rightsidecapital.com), Westbound Equity Partners (www.westboundequity.com)</t>
  </si>
  <si>
    <t>Developer of an online learning platform designed to provide leading coding and science, technology, engineering, and mathematics education The company's platform offers immersive, social, and interest-based asynchronous and live-online, asynchronous courses covering topics like coding, game design, 3D animation, and entrepreneurship at-home learning experiences to families and partnering with forward-thinking and impact-driven organizations and brands, enabling students to strive everywhere access for inspiring educational experiences that expand opportunities to succeed now and in the future.</t>
  </si>
  <si>
    <t>The company raised $1.04 million of seed funding in a deal led by New Age Capital on July 29, 2022. Right Side Capital Management, Westbound Equity Partners, gener8tor and other undisclosed investors also participated in the round. Previously, the company joined gener8tor on June 13, 2022 and received $100,000 in funding.</t>
  </si>
  <si>
    <t>coding courses, education technology platform, learning skills, online school, project-based learning, stem education, stem education system</t>
  </si>
  <si>
    <t>269161-57P</t>
  </si>
  <si>
    <t>Kyla Bolden</t>
  </si>
  <si>
    <t>+1 (416) 554-3771</t>
  </si>
  <si>
    <t>kyla@wizkidcoding.com</t>
  </si>
  <si>
    <t>Ms. Kyla Bolden is the Founder and serves as Chief Executive Officer at Wiz Kid.</t>
  </si>
  <si>
    <t>The company raised $1.04 million of seed funding in a deal led by New Age Capital on July 29, 2022. Right Side Capital Management, Westbound Equity Partners, gener8tor and other undisclosed investors also participated in the round.</t>
  </si>
  <si>
    <t>New Age Capital, Right Side Capital Management, Westbound Equity Partners</t>
  </si>
  <si>
    <t>New Age Capital</t>
  </si>
  <si>
    <t>New Age Capital Fund I(New Age Capital), OnRamp Education &amp; Workforce Innovation Fund I(gener8tor)</t>
  </si>
  <si>
    <t>www.wizkidlearning.com</t>
  </si>
  <si>
    <t>181293-49T</t>
  </si>
  <si>
    <t>Wizard</t>
  </si>
  <si>
    <t>482180-59</t>
  </si>
  <si>
    <t>Accel(Sameer Gandhi), Capstar Ventures, New Enterprise Associates</t>
  </si>
  <si>
    <t>Accel (www.accel.com), Capstar Ventures (www.capstarventures.com), New Enterprise Associates (www.nea.com)</t>
  </si>
  <si>
    <t>Developer of a commerce technology designed to transform e-commerce with conversational artificial intelligence (AI). The company's technology empowers to sell, market, and engage customers directly via text, enabling clients to increase conversion rates.</t>
  </si>
  <si>
    <t>The company raised $51.5 million of Series A venture funding in a deal led by New Enterprise Associates on January 11, 2022. Accel and Capstar Ventures also participated in the round. The funds will be used for hiring a sales and operations team and filling the tech roster with AI, machine learning, and natural language processing experts.</t>
  </si>
  <si>
    <t>Business/Productivity Software, Media and Information Services (B2B), Other Commercial Services*, Other Financial Services</t>
  </si>
  <si>
    <t>ai technology, communication software system, conversational commerce, conversational commerce services, conversational commerce solutions, customer relationship management, natural language technology, shopping experience</t>
  </si>
  <si>
    <t>204873-31P</t>
  </si>
  <si>
    <t>Melissa Bridgeford</t>
  </si>
  <si>
    <t>+1 (917) 359-6368</t>
  </si>
  <si>
    <t>melissa.bridgeford@wizard.com</t>
  </si>
  <si>
    <t>Ms. Melissa Bridgeford is a Co-Founder and serves as Chief Executive Officer &amp; Board Member at Wizard. She Founded and served as Chief Executive Officer at Stylust.</t>
  </si>
  <si>
    <t>Harvard Business School, MBA (Master of Business Administration), University of Florida, BS (Bachelor of Science), Finance and Real Estate</t>
  </si>
  <si>
    <t>Accel, Capstar Ventures, New Enterprise Associates</t>
  </si>
  <si>
    <t>New Enterprise Associates</t>
  </si>
  <si>
    <t>New Enterprise Associates 17(New Enterprise Associates)</t>
  </si>
  <si>
    <t>Fenwick &amp; West (Legal Advisor to Company), Gunderson Dettmer (Legal Advisor to New Enterprise Associates)</t>
  </si>
  <si>
    <t>Gunderson Dettmer (Legal Advisor to New Enterprise Associates)</t>
  </si>
  <si>
    <t>www.wizard.com</t>
  </si>
  <si>
    <t>193019-95T</t>
  </si>
  <si>
    <t>Womp</t>
  </si>
  <si>
    <t>264870-64</t>
  </si>
  <si>
    <t>AEON Foundry, Daniel Katz, Female Founders Fund, Haystack Management Company, Neo (Consulting Services (B2B)), NEO Investment Partners, V1.vc</t>
  </si>
  <si>
    <t>AEON Foundry (www.aeonfoundry.com), Female Founders Fund (www.femalefoundersfund.com), Haystack Management Company (haystack.vc), Neo (Consulting Services (B2B)) (www.neo.com), NEO Investment Partners (www.neoinvestmentpartners.com), V1.vc (www.v1.vc)</t>
  </si>
  <si>
    <t>Developer of 3D creation software intended to provide 3D scanning, 3D modeling, and 3D printing services. The company's studio specializes in offering 3d prints of any size and materials and offers 3d scanning to capture width, depth, and height, and turns it into a 3d mesh file, enabling customers to build intuitive, and easy-to-use physical-object from a digital model.</t>
  </si>
  <si>
    <t>The company raised an undisclosed amount of seed funding from Founders, Inc and Valhalla Ventures on February 22, 2023. Coho Deeptech and Calm Ventures also participated in the round.</t>
  </si>
  <si>
    <t>Multimedia and Design Software*, Other Commercial Services, Printing Services (B2B)</t>
  </si>
  <si>
    <t>3D Printing, Advanced Manufacturing</t>
  </si>
  <si>
    <t>3d content creation, 3d content platform, 3d digital model, 3d platform, 3d printing service, 3d scanning platform, printing services, printing services firm</t>
  </si>
  <si>
    <t>199744-75P</t>
  </si>
  <si>
    <t>Gabriela Trueba</t>
  </si>
  <si>
    <t>+1 (646) 306-3323</t>
  </si>
  <si>
    <t>gtrueba@womp.com</t>
  </si>
  <si>
    <t>Ms. Gabriela Trueba is the Founder &amp; serves as Chief Executive Officer at Womp.</t>
  </si>
  <si>
    <t>The company raised $4.7 million through a combination of Seed-1, Seed-2 and Seed-3 funding in a deal led by Female Founders Fund and Haystack Management Company on April 27, 2022, putting the company's pre-money valuation at $15 million. NEO Investment Partners, AEON Foundry, V1.vc, Neo (Consulting Services (B2B)) and Daniel Katz also participated in the round. The funds will be used to improve its tools for 3D design, grow its team and roll out new premium features.</t>
  </si>
  <si>
    <t>Female Founders Fund, Haystack Management Company</t>
  </si>
  <si>
    <t>11207</t>
  </si>
  <si>
    <t>www.womp.com</t>
  </si>
  <si>
    <t>165278-08T</t>
  </si>
  <si>
    <t>Wonderment</t>
  </si>
  <si>
    <t>458694-73</t>
  </si>
  <si>
    <t>Accomplice VC, Brian Shin(Brian Shin), Jeffrey Zilberman(Jeffrey Zilberman), Mike Volpe(Mike Volpe), Underscore VC, York IE</t>
  </si>
  <si>
    <t>Accomplice VC (www.accomplice.co), Mike Volpe (www.mikevolpe.com), Underscore VC (www.underscore.vc), York IE (www.york.ie)</t>
  </si>
  <si>
    <t>Developer of an e-commerce management platform designed to get real-time insight into stalled shipments. The company's platform notifies customers about delayed or lost shipments and automates proactive shipping notifications via email and SMS, enabling e-commerce teams to improve customer satisfaction while reducing support costs.</t>
  </si>
  <si>
    <t>The company raised $5 million of seed funding in a deal led by CRV on January 10, 2022, putting the company's pre-money valuation at $20 million. Underscore VC and 5 other undisclosed investors also participated in the round.</t>
  </si>
  <si>
    <t>account &amp; order management, account and order management, customer relationship management, post-purchase experience, shipment handles, shipment notifications, shipping monitoring services, shipping services assistance</t>
  </si>
  <si>
    <t>138346-30P</t>
  </si>
  <si>
    <t>Jessica Meher</t>
  </si>
  <si>
    <t>+1 (413) 313-2506</t>
  </si>
  <si>
    <t>jessica@wonderment.com</t>
  </si>
  <si>
    <t>Ms. Jessica Meher is a Co-Founder and serves as Chief Executive Officer at Wonderment. She served as Vice President, Enterprise Marketing at InVisionApp.</t>
  </si>
  <si>
    <t>Southern New Hampshire University, BS (Bachelor of Science), Advertising</t>
  </si>
  <si>
    <t>The company raised $1 million of Seed-1 funding from York IE, Accomplice VC and Underscore VC on June 1, 2020, putting the company's pre-money valuation at $3 million. Defy Ventures and 3 other investors also participated in the round.</t>
  </si>
  <si>
    <t>Accomplice VC, Brian Shin, Jeffrey Zilberman, Mike Volpe, Underscore VC, York IE</t>
  </si>
  <si>
    <t>Accomplice II(Accomplice VC)</t>
  </si>
  <si>
    <t>www.wonderment.com</t>
  </si>
  <si>
    <t>Personal adornments</t>
  </si>
  <si>
    <t>162057-79T</t>
  </si>
  <si>
    <t>WorkWhile</t>
  </si>
  <si>
    <t>454415-32</t>
  </si>
  <si>
    <t>F7 Ventures, Jennifer Fonstad(Jennifer Fonstad), Katrina Lake(Katrina Lake), Khosla Ventures(Vinod Khosla), Nicholas Pilkington(Nicholas Pilkington), Philipp Brenner(Philipp Brenner), Siqi Chen(Siqi Chen), Zouhair Belkoura(Zouhair Belkoura)</t>
  </si>
  <si>
    <t>F7 Ventures (www.f7ventures.com), Khosla Ventures (www.khoslaventures.com)</t>
  </si>
  <si>
    <t>Developer of a contract labor recruitment platform designed to match workers to shifts that fit their skills, schedule and location. The company's platform helps fill open positions from last-minute shifts to full-time positions with reliable and qualified workers from a pre-screened workforce, enabling employers with a quality, reliable workforce they can scale up or down.</t>
  </si>
  <si>
    <t>The company joined The World Economic Forum as part of its Cohort 2023 of Technology Pioneers on June 21, 2023. No equity or funding was exchanged as a result of this program.</t>
  </si>
  <si>
    <t>HR Tech, Impact Investing, SaaS, TMT</t>
  </si>
  <si>
    <t>enterprise resource planning, erp, human capital management, labor technology, labor technology platform, recruitment application software, workforce app, workforce application, workforce manager</t>
  </si>
  <si>
    <t>57652-75P</t>
  </si>
  <si>
    <t>Jarah Euston</t>
  </si>
  <si>
    <t>+1 (212) 571-3939</t>
  </si>
  <si>
    <t>jarah@workwhilejobs.com</t>
  </si>
  <si>
    <t>Ms. Jarah Euston is a Co-Founder and serves as Chief Executive Officer at WorkWhile. She co-founded and served as Vice President, Business at Nexla. Ms. Jarah served as the Vice President of Analytics and Marketing at Flurry. Jarah leads analytics and marketing for Flurry. She is responsible for supporting Flurry customers, ensuring they fully leverage Flurry's flagship Analytics product to help drive business and product decisions. She is also responsible for setting Flurry's outbound marketing strategy. Prior to Flurry, Jarah was a strategy consultant at The Boston Consulting Group where she focused on the Technology, Media and Telecom practice. Before BCG, Jarah founded Famous Media, a network of hyperlocal content websites that she sold to The McClatchy Company. She began her career as a debt trading analyst with Banc of America Securities. She holds an undergraduate degree in Economics from New York University and an MBA from Wharton.</t>
  </si>
  <si>
    <t>New York University, BS (Bachelor of Science), 2001, Business and Economics, University of Pennsylvania (Wharton), MBA (Master of Business Administration), 2009</t>
  </si>
  <si>
    <t>The company raised $3.5 million of seed funding in a deal led by Khosla Ventures on December 18, 2020, putting the company's pre-money valuation at $5.5 million. F7 Ventures and 6 other investors also participated in the round.</t>
  </si>
  <si>
    <t>F7 Ventures, Jennifer Fonstad, Katrina Lake, Khosla Ventures, Nicholas Pilkington, Philipp Brenner, Siqi Chen, Zouhair Belkoura</t>
  </si>
  <si>
    <t>Khosla Ventures(Vinod Khosla)</t>
  </si>
  <si>
    <t>Khosla Ventures Seed C(Khosla Ventures)</t>
  </si>
  <si>
    <t>Goodwin Procter (Legal Advisor to Company, Caine Moss JD)</t>
  </si>
  <si>
    <t>www.workwhilejobs.com</t>
  </si>
  <si>
    <t>269794-36T</t>
  </si>
  <si>
    <t>World Labs</t>
  </si>
  <si>
    <t>608754-43</t>
  </si>
  <si>
    <t>Andreessen Horowitz, Radical Ventures</t>
  </si>
  <si>
    <t>Andreessen Horowitz (www.a16z.com), Radical Ventures (radical.vc)</t>
  </si>
  <si>
    <t>Developer of an AI platform designed for humanlike processing of visual data. The company focuses on spatial intelligence that will be used in the future for augmented and virtual reality through a combination of synthetic data to train the models, enabling companies to access computer vision technologies that could identify objects reliably.</t>
  </si>
  <si>
    <t>The company raised $230 million of Series B venture funding in a deal led by Radical Ventures, Andreessen Horowitz and New Enterprise Associates on September 13, 2024, putting the company's pre-money valuation at $900 million. AMD Ventures, Intel Capital, NVentures (Santa Clara), Adobe Ventures, Databricks Ventures, Nvidia, Salesforce Ventures, Sound Ventures, Marc Benioff, Jim Breyer, Ronald Conway, Jeff Dean, Geoffrey Hinton, Reid Hoffman, Andrej Karpathy, Ashton Kutcher, Eric Schmidt, Ram Shriram, Anne Wojcicki, Susan Wojcicki and Shinrai Investments also participated in the round. The funds will be used to develop 3D-AI technology. Previously, the company raised an estimated $61.5 million through a combination of Series A and Series A-1 venture funding from Radical Ventures and Andreessen Horowitz on April 1, 2024, putting the company's pre-money valuation at $238.5 million. Other undisclosed investors also participated in this round.</t>
  </si>
  <si>
    <t>Artificial Intelligence &amp; Machine Learning, Augmented Reality, SaaS, Virtual Reality</t>
  </si>
  <si>
    <t>artificial general intelligence, artificial intelligence firm, model rocket, spatial intelligence, vision technology, visual data, visual data analysis</t>
  </si>
  <si>
    <t>Synthetic Data, Artificial General Intelligence (AGI) Research</t>
  </si>
  <si>
    <t>242154-64P</t>
  </si>
  <si>
    <t>Fei-Fei Li</t>
  </si>
  <si>
    <t>+1 (415) 222-9670</t>
  </si>
  <si>
    <t>Dr. Fei-Fei Li served as a Board Member at X Corp. She is a Co-Founder and serves as Chief Strategy Officer at Astrocade. She is a Co-Founder and serves as Chief Executive Officer at World Labs. She serves as an Advisor at Twelve Labs. Previously, she served as Member of the Compensation &amp; Risk Committee at X Corp. She also serves as a Scientific Partner at Radical Ventures. Dr. Li is a Co-Founder of DawnLight. She served as Chief Scientist, Google Cloud AI and Machine Learning at Google Cloud Platform. She served as an Advisor at Zebra Medical Vision and Vianai. She also serves as a board member at Nimble Robotics. She is a world-renowned technologist and thought leader, bringing her deep expertise in AI, technology and digital healthcare, as well as her decades-long leadership experiences to Dawnlight. Dr. Li is an elected Member of both the National Academy of Engineering (NAE) and the National Academy of Medicine (NAM). She Li is the inaugural Sequoia Professor in the Computer Science Department at Stanford University and Co-Director of Stanford's Human-Centered AI Institute. She served as the Director of Stanford's AI Lab from 2013 to 2018. And during her sabbatical at Stanford from January 2017 to September 2018, she was Vice President at Google and served as Chief Scientist of AI/ML at Google Cloud, overseeing all of Google Cloud AI's R&amp;D and productization. She worked with team members, including Jia Li, to democratize AI technologies to businesses and their billions of customers. She has been a valued advisor to numerous startups, ventures, and Board members of companies. She is also a co-founder and chairperson of the national non-profit AI4ALL aimed at increasing inclusion and diversity in AI education and has been a leading voice in advocating diversity and inclusion in STEM fields nationally. Her current research interests include cognitively inspired AI, machine learning, deep learning, computer vision and AI+healthcare. In AI and Healthcare, Dr. Li and Dr. Arnold Milstein have worked for a decade together to pioneer ambient intelligence technology for healthcare delivery. Dr. Li has published more than 250 scientific articles in top-tier journals and conferences, including Nature, PNAS, Journal of Neuroscience, CVPR, ICCV, NIPS, ECCV, ICRA, IROS, RSS, IJCV, IEEE-PAMI, New England Journal of Medicine, Nature Digital Medicine, Lancet, etc. Dr. Li is the lead inventor of ImageNet and the ImageNet Challenge, a critical large-scale dataset and benchmarking effort that has contributed to the latest developments in deep learning and AI. Among her other selected distinctions, Dr. Li is a Fellow of ACM, a member of the Council on Foreign Relations (CFR), a recipient of the 2020 Distinguished Alumni Award by the California Institute of Technology, 2019 IEEE PAMI Longuet-Higgins Prize, the 2019 National Geographic Society Further Award, 2017 Athena Award for Academic Leadership, IAPR 2016 J.K. Aggarwal Prize, the 2016 IEEE PAMI Mark Everingham Award, the 2016 Nvidia Pioneer in AI Award, 2014 IBM Faculty Fellow Award, 2011 Alfred Sloan Faculty Award, 2012 Yahoo Labs FREP award, 2009 NSF CAREER award, the 2006 Microsoft Research New Faculty Fellowship, among others. Dr. Li is a keynote speaker at many academic or influential conferences, including the World Economic Forum (Davos), the Grace Hopper Conference 2017 and the TED2015 main conference. Work from Dr. Li's lab has been featured in a variety of magazines and newspapers including the New York Times, Wall Street Journal, Fortune Magazine, Science, Wired Magazine, MIT Technology Review, Financial Times and more. She was selected as a 2017 Women in Tech by ELLE Magazine, a 2017 Awesome Women Award by Good Housekeeping, a Global Thinker of 2015 by Foreign Policy and one of the "Great Immigrants: The Pride of America" in 2016 by the Carnegie Foundation, past winners include Albert Einstein, Yoyo Ma, Sergey Brin, et al. She also served as Director at Reinvent Technology Partners.</t>
  </si>
  <si>
    <t>BA (Bachelor of Arts), 1999, Physics, California Institute of Technology, Ph.D. (Doctor of Philosophy), 2005, Electrical Engineering</t>
  </si>
  <si>
    <t>The company raised an estimated $61.5 million through a combination of Series A and Series A-1 venture funding from Radical Ventures and Andreessen Horowitz on April 1, 2024, putting the company's pre-money valuation at $238.5 million. Other undisclosed investors also participated in this round.</t>
  </si>
  <si>
    <t>www.worldlabs.ai</t>
  </si>
  <si>
    <t>254192-95T</t>
  </si>
  <si>
    <t>Worth AI</t>
  </si>
  <si>
    <t>549538-66</t>
  </si>
  <si>
    <t>Deepwork Capital, Florida Funders, Florida Opportunity Fund, Gray Ventures, Ingeborg Investments, Thrrive</t>
  </si>
  <si>
    <t>Deepwork Capital (www.deepworkcapital.com), Florida Funders (www.floridafunders.com), Florida Opportunity Fund (www.floridaopportunityfund.com), Gray Ventures (www.grayventures.com), Ingeborg Investments (Ingeborginvestments.com), Thrrive (www.thrrive.co)</t>
  </si>
  <si>
    <t>Developer of a patent-pending platform designed to offer risk management and business valuation expertise. The company's platform predicts business futures, reduces risks, and eliminates biases with real-time data by leveraging traditional and non-traditional data sources, enabling banks, credit unions, fintech, and financial service providers to rapidly accelerate approvals for business loans and lines of credit.</t>
  </si>
  <si>
    <t>The company raised $12 million through a combination of Seed and Seed-1 funding from Florida Opportunity Fund, Florida Funders, Deepwork Capital, Ingeborg Investments and Thrrive on January 17, 2024, putting the company's pre-money valuation at $46 million. Gray Ventures and other undisclosed investors also participated in the round.</t>
  </si>
  <si>
    <t>artificial intelligence technology, business credit score, compliance tool, financial data insights, onboarding tools, operational needs, predictive monitoring, risk management saas</t>
  </si>
  <si>
    <t>98129-98P</t>
  </si>
  <si>
    <t>Suneera Madhani</t>
  </si>
  <si>
    <t>+1 (321) 947-0077</t>
  </si>
  <si>
    <t>Ms. Suneera Madhani is a Co-Founder and serves as Co-Chief Executive Officer and Board Member at Worth AI. Ms. Suneera Madhani co-founded Stax. She is a payments innovator who has disrupted the industry. After seeing the need for a better payment experience for merchants, her entrepreneurial spirit took hold and she decided to solve the problem herself. She built Fattmerchant from the ground up, providing a sophisticated and merchant-friendly platform. Suneera Madhani is a trailblazing entrepreneur and founder of Stax Payments, a billion-dollar technology platform that has become one of America's top 10 fastest-growing fintech companies. As the first female CEO to lead a unicorn out of Florida, Suneera has been recognized for her success by Fortune's 40 Under 40, EY's Entrepreneur of the year, Entrepreneur Magazine's 100 Most Influential Women, and Inc.'s 100 Female Founders to name a few.</t>
  </si>
  <si>
    <t>Degree, 2009, Finance and Business Administration</t>
  </si>
  <si>
    <t>DeepWork Fund III(Deepwork Capital), Equity Capital Program(Florida Opportunity Fund), Florida Funders Fund 2(Florida Funders), Gray Ventures IV(Gray Ventures)</t>
  </si>
  <si>
    <t>Orlando, FL</t>
  </si>
  <si>
    <t>Orlando</t>
  </si>
  <si>
    <t>32801</t>
  </si>
  <si>
    <t>www.worthai.com</t>
  </si>
  <si>
    <t>157001-14T</t>
  </si>
  <si>
    <t>Writer</t>
  </si>
  <si>
    <t>439866-01</t>
  </si>
  <si>
    <t>Aspect Ventures(Jennifer Fonstad), Bonfire Ventures(Jim Andelman), Broadway Angels(Jennifer Fonstad), Lemonade Capital, Mubadala Capital(Abdulla AlBanna), Upfront Ventures(Aditi Maliwal), ValueStream Ventures</t>
  </si>
  <si>
    <t>Aspect Ventures (www.aspectventures.com), Bonfire Ventures (www.bonfirevc.com), Broadway Angels (www.broadway-angels.com), Lemonade Capital (www.lemonadecapital.com), Mubadala Capital (www.mubadalacapital.ae), Upfront Ventures (www.upfront.com), ValueStream Ventures (www.valuestreamventures.com)</t>
  </si>
  <si>
    <t>Developer of a full-stack generative artificial intelligence platform designed to provide organized workflows. The company's platform provides an integrated system of large language models, AI guardrails, and development tools that make it easy for organizations to deploy AI apps and workflows that deliver impactful returns on investment, enabling users with content that is consistent and on-brand.</t>
  </si>
  <si>
    <t>The company joined ISV Startup Springboard on November 13, 2024. No equity or funding was exchanged as a result of this program. Previously, the company raised $200 million of Series C venture funding in a deal led by Premji Invest, Radical Ventures, and ICONIQ Growth on November 12, 2024, putting the company's pre-money valuation at $1.7 billion. Salesforce Ventures, Adobe Ventures, Citi Ventures, Accenture Ventures, IBM Ventures, Workday Ventures, Geodesic Capital, Insight Partners, Balderton Capital, The Vanguard Group, and B Capital also participated in the round. The funds will be used to cement leadership in the enterprise generative AI category, allowing us to expand our team, build more critical workflows for our customers, and bring powerful new agentic and workflow capabilities to our full-stack AI platform.</t>
  </si>
  <si>
    <t>ai agent, ai marketing platform, enterprise ai, generative ai, llm agent, natural language technology, nlp technology, writer technology systems</t>
  </si>
  <si>
    <t>60335-47P</t>
  </si>
  <si>
    <t>May Habib</t>
  </si>
  <si>
    <t>+1 (415) 275-1883</t>
  </si>
  <si>
    <t>may@writer.com</t>
  </si>
  <si>
    <t>Ms. May Habib is a Co-Founder and serves as Chief Executive Officer and Board Member at Writer. She is an expert in natural language processing, AI-driven language generation, and the evolving ways we use language online.</t>
  </si>
  <si>
    <t>Harvard University, BA (Bachelor of Arts), Economics</t>
  </si>
  <si>
    <t>The company raised $5 million of seed funding in a deal led by Upfront Ventures on August 1, 2020, putting the company's pre-money valuation at $7.5 million. Aspect Ventures, Bonfire Ventures, Mubadala Capital-Ventures, ValueStream Ventures, Lemonade Capital and Broadway Angels also participated in the round.</t>
  </si>
  <si>
    <t>Aspect Ventures, Bonfire Ventures, Broadway Angels, Lemonade Capital, Mubadala Capital, Upfront Ventures, ValueStream Ventures</t>
  </si>
  <si>
    <t>Aspect Ventures II(Aspect Ventures), Bonfire Ventures II(Bonfire Ventures), Upfront VI(Upfront Ventures), US Ventures Fund I(Mubadala Capital), ValueStream Ventures 2020 Fund(ValueStream Ventures)</t>
  </si>
  <si>
    <t>www.writer.com</t>
  </si>
  <si>
    <t>179474-41T</t>
  </si>
  <si>
    <t>Xata</t>
  </si>
  <si>
    <t>471966-85</t>
  </si>
  <si>
    <t>Andreas Klinger(Andreas Klinger), Charles Songhurst(Charles Songhurst), Christian Bach(Christian Bach), Elad Gil(Elad Gil), Firstminute Capital, Guillermo Rauch(Guillermo Rauch), Index Ventures(Erin Price), Keenan Rice(Keenan Rice), Liu Jiang(Liu Jiang), Mathias Biilmann(Mathias Biilmann), Neha Narkhede(Neha Narkhede), Operator Collective, Shay Banon(Shay Banon), Stephanie Friedman(Stephanie Friedman), SV Angel, Uri Boness(Uri Boness), XFactor Ventures(Erica Brescia)</t>
  </si>
  <si>
    <t>Elad Gil (www.eladgil.com), Firstminute Capital (www.firstminute.capital), Index Ventures (www.indexventures.com), Operator Collective (www.operatorcollective.com), SV Angel (www.svangel.com), XFactor Ventures (www.xfactor.ventures)</t>
  </si>
  <si>
    <t>Developer of a serverless database platform designed to match users' development workflow. The company's database helps in inserting, querying, aggregating, and searching on JavaScript, APIs, and Markup development platforms, and data is automatically replicated in several regions across the globe, enabling clients to provide minimal response time to their users.</t>
  </si>
  <si>
    <t>The company raised $30.00 million of Series A venture funding in a deal led by Index Ventures and Redpoint Ventures on March 10, 2022, putting the company's pre-money valuation at $145 million. Other undisclosed investors also participated in the round. The funds will be used to build the go-to serverless database that engineers have been waiting for, with powerful features including a fully serverless design that provides automatic scaling, ACID transactions, database branches, zero-downtime migrations, and a full-text search engine with analytics.</t>
  </si>
  <si>
    <t>Business/Productivity Software, Database Software*, Software Development Applications, Systems and Information Management</t>
  </si>
  <si>
    <t>api cloud, application development, data infrastructure, data modeling, database management system, database platform, development workflow, jamstack app, reverse etl, serverless database</t>
  </si>
  <si>
    <t>102204-46P</t>
  </si>
  <si>
    <t>Monica Sarbu</t>
  </si>
  <si>
    <t>+1 (415) 358-0822</t>
  </si>
  <si>
    <t>monica@xata.io</t>
  </si>
  <si>
    <t>Ms. Monica Sarbu is Founder &amp; serves as Chief Executive Officer and Board Member at Xata. She co-founded &amp; served as the Chief Executive Officer at Packetbeat. She currently works with Elastic.</t>
  </si>
  <si>
    <t>University of Bucharest, BA (Bachelor of Arts), 2006, Computer Science</t>
  </si>
  <si>
    <t>The company raised $5 million of through a combination of Series A-1, Series A-2, Series A-3, and Series A-4 venture funding in a deal led by Index Ventures on August 1, 2021, putting the company's pre-money valuation at $30 million. Operator Collective, XFactor Ventures, Firstminute Capital, Andreas Klinger, SV Angel, Shay Banon, Neha Narkhede, Guillermo Rauch, Stephanie Schatz Friedman, Elad Gil, Christian Bach, Liu Jiang, Mathias Biilmann, Charlie Songhurst, Keenan Rice and Uri Boness also participated in the round. The funds will be used to grow the engineering team and prepare for public release.</t>
  </si>
  <si>
    <t>Andreas Klinger, Charles Songhurst, Christian Bach, Elad Gil, Firstminute Capital, Guillermo Rauch, Index Ventures, Keenan Rice, Liu Jiang, Mathias Biilmann, Neha Narkhede, Operator Collective, Shay Banon, Stephanie Friedman, SV Angel, Uri Boness, XFactor Ventures</t>
  </si>
  <si>
    <t>Index Ventures(Erin Price)</t>
  </si>
  <si>
    <t>Firstminute Capital II(Firstminute Capital), Operator Collective Fund(Operator Collective), Operator Collective Fund II(Operator Collective), XFactor Ventures Fund II(XFactor Ventures)</t>
  </si>
  <si>
    <t>www.xata.io</t>
  </si>
  <si>
    <t>189414-73T</t>
  </si>
  <si>
    <t>XY Retail</t>
  </si>
  <si>
    <t>492746-59</t>
  </si>
  <si>
    <t>Monta Vista Capital, Stage 1 Ventures</t>
  </si>
  <si>
    <t>Monta Vista Capital (www.montavc.com), Stage 1 Ventures (www.stage1ventures.com)</t>
  </si>
  <si>
    <t>Developer of an integrated platform designed for lifestyle brands to manage stores, e-commerce, customers, orders, products and inventory. The company's platform offers a global point of sale and unified commerce technology, which includes order orchestration, inventory management, made-to-measure, private sales channel, ship-from-store, CRM, clienteling and operational intelligence, enabling brands to develop and deliver their omnichannel strategies.</t>
  </si>
  <si>
    <t>The company raised $5 million of seed funding through a combination of Seed-1 and Seed-2 in a deal led by Monta Vista Capital on June 30, 2022, putting the company's pre-money valuation at $15 million. Stage 1 Ventures also participated in the round.</t>
  </si>
  <si>
    <t>Big Data, CloudTech &amp; DevOps</t>
  </si>
  <si>
    <t>big data system, cloud platform provider, cloud platform solution, consumer data analytics, crm, customer relationship management, digital commerce, ecommerce tools, integrated platform developer, omnichannel tools, retail technology platform</t>
  </si>
  <si>
    <t>112778-02P</t>
  </si>
  <si>
    <t>Susan Jeffers</t>
  </si>
  <si>
    <t>+1 (408) 454-6013</t>
  </si>
  <si>
    <t>susan@xyretail.com</t>
  </si>
  <si>
    <t>Ms. Susan Jeffers is a Co-Founder &amp; serves as Chief Executive Officer at XY Retail. She Co-Founded Ensuant and served as CMO. She is another visionary whose guidance and direction is pivotal to Toovia's success. Susan's innate flair for fashion and lifestyle is braised perfectly with her vast technology and product design expertise making her a great liaison between marketing and engineering.</t>
  </si>
  <si>
    <t>San Jose State University, BS (Bachelor of Science), Marketing, St. Xavier's College, Degree, 1998</t>
  </si>
  <si>
    <t>Monta Vista Capital III(Monta Vista Capital)</t>
  </si>
  <si>
    <t>www.xyretail.com</t>
  </si>
  <si>
    <t>200985-85T</t>
  </si>
  <si>
    <t>YeshID</t>
  </si>
  <si>
    <t>502826-59</t>
  </si>
  <si>
    <t>Amplify Partners(Sunil Dhaliwal), Dan Hubbard(Dan Hubbard), David Eckstein(David Eckstein), Lara Druyan(Lara Druyan), Sean Leach(Sean Leach), Tom Daly(Tom Daly)</t>
  </si>
  <si>
    <t>Amplify Partners (www.amplifypartners.com)</t>
  </si>
  <si>
    <t>Developer of a cloud identity and access management software designed to make identity management effortless. The company's platform offers a simple way to manage employee authentication, authorization, on and off-boarding and compliance, enabling companies to manage the identification process.</t>
  </si>
  <si>
    <t>The company raised an estimated $5.2 million of seed funding from Amplify Partners and Lara Druyan on July 18, 2022, putting the company's pre-money valuation at $14.8 million. Dan Hubbard and 3 other investors also participated in the round.</t>
  </si>
  <si>
    <t>access management, access management technology, cloud identity, compliance requirement, identity &amp; access management, identity and access management, identity data, security management tool</t>
  </si>
  <si>
    <t>311233-06P</t>
  </si>
  <si>
    <t>Dana Wolf</t>
  </si>
  <si>
    <t>+1 (617) 964-2297</t>
  </si>
  <si>
    <t>Ms. Dana Wolf is a Co-Founder and serves as Chief Executive Officer at YeshID.</t>
  </si>
  <si>
    <t>Amplify Partners, Dan Hubbard, David Eckstein, Lara Druyan, Sean Leach, Tom Daly</t>
  </si>
  <si>
    <t>Cooley (Legal Advisor to Company), Goodwin Procter (Legal Advisor to Amplify Partners, Emma Mann-Meginniss JD)</t>
  </si>
  <si>
    <t>Goodwin Procter (Legal Advisor to Amplify Partners, Emma Mann-Meginniss JD)</t>
  </si>
  <si>
    <t>80246</t>
  </si>
  <si>
    <t>www.yeshid.com</t>
  </si>
  <si>
    <t>187785-46T</t>
  </si>
  <si>
    <t>Yuga Labs</t>
  </si>
  <si>
    <t>482277-07</t>
  </si>
  <si>
    <t>10T Holdings, A.Capital Ventures, Adidas (ETR: ADS), Alpha Wave Global, Andreessen Horowitz(Christopher Lyons), Animoca Brands, Animoca Ventures, Arcane Group, Artist Capital Management, BLN Capital, BOND Capital (San Francisco), Bond, Schoeneck &amp; King, Calvin Broadus(Calvin Broadus), Catenam Capital Management, Chimera Capital, Cobalt Capital, Cobalt Capital (Santa Monica), Coinbase Global (NAS: COIN), Coinbase Ventures, Colin Kaepernick(Colin Kaepernick), Collab+Currency, Dez Bryant(Dez Bryant), Digital (US), Eden Block, Friendly Trading Group 2, FTX, Gary Vaynerchuk(Gary Vaynerchuk), Genies, Google for Startups, GV, Hashed, Infinite Capital (San Juan), Intersection Growth Partners, J.A.S Ventures, Justin Blau(Justin Blau), Kenetic Capital, LeadBlock Partners, Lightspeed Venture Partners, LionTree, Mark Cuban(Mark Cuban), Metavest Capital, MoonPay, New Enterprise Associates, NGC Ventures, Numeri Capital, Nural Capital, Patron (North America), Samsung NEXT Ventures, Sergio Kitchens(Sergio Kitchens), Seven Seven Six, Shaquille O'Neal(Shaquille O'Neal), Sound Ventures(Guy Oseary), Standard Crypto, Steve Aoki(Steve Aoki), SV Angel, Tekkorp Capital, Tess Ventures, The Forest Road Company, The Sandbox Group, Thrive Capital, Tiger Global Management, Time Ventures, Timothy Mosley(Timothy Mosley), Token Bay Capital</t>
  </si>
  <si>
    <t>10T Holdings (www.10tfund.com), A.Capital Ventures (www.acapital.com), Adidas (ETR: ADS) (www.adidas-group.com), Alpha Wave Global (www.alphawaveglobal.com), Andreessen Horowitz (www.a16z.com), Animoca Brands (www.animocabrands.com), Animoca Ventures (www.animoca.ventures), Arcane Group (www.arcanegroup.io), Artist Capital Management (www.artistcapital.com/what-we-do/artistcapitalmanagement), BLN Capital (blncapital.com), BOND Capital (San Francisco) (www.bondcap.com), Bond, Schoeneck &amp; King (www.bsk.com), Calvin Broadus (snoopdogg.com), Catenam Capital Management (catenam.io), Chimera Capital (www.chimerainvestment.com), Cobalt Capital (www.cobaltcapital.ca), Cobalt Capital (Santa Monica) (cobalt.la), Coinbase Global (NAS: COIN) (www.coinbase.com), Collab+Currency (www.collabcurrency.com), Digital (US) (www.digital.xyz), Eden Block (www.edenblock.com), Friendly Trading Group 2 (www.friendlytradinggroup2.com), FTX (www.ftx.com), Gary Vaynerchuk (www.garyvaynerchuk.com), Genies (www.genies.com), Google for Startups (startup.google.com), GV (www.gv.com), Hashed (www.hashed.com), Infinite Capital (San Juan) (infinite.xyz), Intersection Growth Partners (www.intersectiongp.com), J.A.S Ventures (www.jas.ventures), Kenetic Capital (www.kenetic.capital), LeadBlock Partners (leadblockpartners.com), Lightspeed Venture Partners (www.lsvp.com), LionTree (www.liontree.com), Mark Cuban (markcubancompanies.com), Metavest Capital (www.metavest.capital), MoonPay (www.moonpay.com), New Enterprise Associates (www.nea.com), NGC Ventures (www.ngc.fund), Numeri Capital (www.numeri.vc), Nural Capital (www.nural.capital), Patron (North America) (patron.fund), Samsung NEXT Ventures (www.samsungnext.com), Seven Seven Six (www.sevensevensix.com), Sound Ventures (www.soundventures.com), Standard Crypto (www.standardcrypto.vc), SV Angel (www.svangel.com), Tekkorp Capital (www.tekkorp.com), Tess Ventures (www.tessventures.com), The Forest Road Company (www.forestroadco.com), The Sandbox Group (www.sandbox.com), Thrive Capital (www.thrivecap.com), Tiger Global Management (www.tigerglobal.com), Time Ventures (www.timevc.capital), Token Bay Capital (www.tokenbaycapital.com)</t>
  </si>
  <si>
    <t>Provider of web3-based digital assets intended for enhancing community engagement and ownership. The company leverages blockchain technology, decentralized IP rights, and interactive experiences that are programmatically generated from various possible traits including expression, enabling users to participate in a vibrant digital ecosystem, create and trade assets, and engage in immersive storytelling and events.</t>
  </si>
  <si>
    <t>The company raised an undisclosed amount of angel funding from Adam Weitsman on September 26, 2023.</t>
  </si>
  <si>
    <t>community engagement, cryptocurrency trading, digital asset space, digital ecosystem, ethereum exchange, ip rights, web3 company</t>
  </si>
  <si>
    <t>295520-23P</t>
  </si>
  <si>
    <t>Nicole Muniz</t>
  </si>
  <si>
    <t>+1 (310) 450-6666</t>
  </si>
  <si>
    <t>Ms. Nicole Muniz served as Chief Executive Officer at Yuga Labs.</t>
  </si>
  <si>
    <t>The company raised $449.99 million of seed funding in a deal led by Animoca Brands and Andreessen Horowitz on March 22, 2022, putting the company's pre-money valuation at $3.55 billion. The Sandbox Group, FTX, MoonPay, Adidas, Bond, Schoeneck &amp; King, Coinbase Global, Genies, GV, Coinbase Ventures, Cobalt Capital, Chimera Capital, 10T Holdings, Catenam Capital Management, Cobalt Capital, Sound Ventures, Thrive Capital, Lightspeed Venture Partners, Seven Seven Six, Standard Crypto, SV Angel, Tiger Global Management, Time Ventures, BOND Capital, New Enterprise Associates, Infinite Capital, A.Capital Ventures, Eden Block, Friendly Trading Group 2, Numeri Capital, Collab+Currency, Token Bay Capital, Patron, Tess Ventures, Metavest Capital, Nural Capital, Animoca Ventures, Arcane Group, Tekkorp Capital, Intersection Growth Partners, LeadBlock Partners, Samsung NEXT Ventures, Kenetic Capital, Hashed, NGC Ventures, Google for Startups, Gary Vaynerchuk, Mark Cuban, Justin David Blau, Calvin Broadus, Timothy Zachery Mosley, Sergio Giavanni Kitchens, Dez Bryant, Shaquille O'Neal, Steve Aoki, Colin Kaepernick, Artist Capital Management, LionTree, The Forest Road Company, Alpha Wave Global, BLN Capital, J.A.S Ventures, Digital and other undisclosed investors also participated in the round. The funds will be used to scale the company's rapidly growing team, attract the best talent across creative, engineering, and operations functions, and for joint ventures and partnerships.</t>
  </si>
  <si>
    <t>10T Holdings, A.Capital Ventures, Adidas, Alpha Wave Global, Andreessen Horowitz, Animoca Brands, Animoca Ventures, Arcane Group, Artist Capital Management, BLN Capital, BOND Capital (San Francisco), Bond, Schoeneck &amp; King, Calvin Broadus, Catenam Capital Management, Chimera Capital, Cobalt Capital, Cobalt Capital (Santa Monica), Coinbase Global, Coinbase Ventures, Colin Kaepernick, Collab+Currency, Dez Bryant, Digital (US), Eden Block, Friendly Trading Group 2, FTX, Gary Vaynerchuk, Genies, Google for Startups, GV, Hashed, Infinite Capital (San Juan), Intersection Growth Partners, J.A.S Ventures, Justin Blau, Kenetic Capital, LeadBlock Partners, Lightspeed Venture Partners, LionTree, Mark Cuban, Metavest Capital, MoonPay, New Enterprise Associates, NGC Ventures, Numeri Capital, Nural Capital, Patron (North America), Samsung NEXT Ventures, Sergio Kitchens, Seven Seven Six, Shaquille O'Neal, Sound Ventures, Standard Crypto, Steve Aoki, SV Angel, Tekkorp Capital, Tess Ventures, The Forest Road Company, The Sandbox Group, Thrive Capital, Tiger Global Management, Time Ventures, Timothy Mosley, Token Bay Capital</t>
  </si>
  <si>
    <t>Andreessen Horowitz(Christopher Lyons), Animoca Brands</t>
  </si>
  <si>
    <t>10T DAE Fund 3.0(10T Holdings), 776 Fund I(Seven Seven Six), 776 Fund II(Seven Seven Six), Alpha Wave Ventures II(Chimera Capital), Bond Capital Fund(BOND Capital (San Francisco)), Collab + Currency III(Collab+Currency), Leadblock Fund I(LeadBlock Partners), Lightspeed Venture Partners XII(Lightspeed Venture Partners), Thrive Capital Partners VII Growth(Thrive Capital), Tiger Global Private Investment Partners X(Tiger Global Management)</t>
  </si>
  <si>
    <t>Cooley (Legal Advisor to Seven Seven Six), Cooley (Legal Advisor to Thrive Capital), Goodwin Procter (Legal Advisor to Andreessen Horowitz, Mitzi Chang JD), Gunderson Dettmer (Legal Advisor to LionTree)</t>
  </si>
  <si>
    <t>Coral Gables, FL</t>
  </si>
  <si>
    <t>Coral Gables</t>
  </si>
  <si>
    <t>33146</t>
  </si>
  <si>
    <t>www.yuga.com</t>
  </si>
  <si>
    <t>Image or video recognition or understanding, Information and communication technology [ict] specially adapted for administrative, commercial, financial, managerial or supervisory purposes, Stringed musical instruments, Transmission of digital information</t>
  </si>
  <si>
    <t>158248-54T</t>
  </si>
  <si>
    <t>YvesBlue</t>
  </si>
  <si>
    <t>442978-12</t>
  </si>
  <si>
    <t>Aflac Ventures, George Fox(George Fox), Illuminate Financial Management(Mark Beeston), SixThirty Ventures(Joel Brightfield), Tribeca Early Stage Partners, Walter Ventures</t>
  </si>
  <si>
    <t>Aflac Ventures (www.aflacventures.com), Illuminate Financial Management (www.illuminatefinancial.com), SixThirty Ventures (www.sixthirty.co), Tribeca Early Stage Partners (www.tribecaesp.com), Walter Ventures (www.waltervc.com)</t>
  </si>
  <si>
    <t>Operator of a data analytics and reporting platform intended to provide Environmental, social, and governance (ESG) analysis and portfolio management. The company's platform offers sector-specific metrics, streamlined onboarding, a consolidated dashboard, tailored reporting, carbon budget insights, and news-based analysis, providing investment companies and institutions with a clear picture of their portfolio health and associated risks.</t>
  </si>
  <si>
    <t>The company joined Global Markets Incubator on April 4, 2023. No equity or funding was exchanged as a result of this program.</t>
  </si>
  <si>
    <t>analytics platform, business intelligence platform, data &amp; analytics, esg assessment, investment insights, portfolio analysis</t>
  </si>
  <si>
    <t>140821-84P</t>
  </si>
  <si>
    <t>Anna-Marie Wascher</t>
  </si>
  <si>
    <t>+1 (305) 776-0473</t>
  </si>
  <si>
    <t>anna@yves.blue</t>
  </si>
  <si>
    <t>Ms. Anna-Marie Wascher is a Co-Founder and serves as Chief Executive Officer, President and Chairman at YvesBlue. She is also a Co-Founder of Flat World Partners. Ms. Wascher served as an Executive at Now Ventures. She has worked as a member of investment teams for several family offices in the US and Europe. Anna-Marie started her career with Accenture as a financial consultant in their London investment banking practice as well as supported Accenture's Socially Responsible business arm. In 2009 Anna-Marie left Accenture to become Co-founder and COO of Malaika For Life, a non-profit based in Tanzania. She holds an MBA from Boston College, graduating with honors with a focus in Corporate Finance and a Bachelor of Business Administration degree (Cum Laude) with a dual major in International Finance and Entrepreneurship from the University of Miami. Anna-Marie is a board member of the Michael J Fox Foundation Young Professionals group and a Young Collectors Committee Member of Henry Street Settlement, as well as a member of the Milken Young Leaders Circle. She started her career with Accenture as a financial consultant in their London investment banking practice as well as supported Accenture's socially responsible business arm. In 2009 Anna-Marie left Accenture to co-found Malaika For Life, a non-profit based in Tanzania focused on women's development and malaria.</t>
  </si>
  <si>
    <t>Boston College, MBA (Master of Business Administration), 2012, Corporate Finance, University of Miami, BA (Bachelor of Arts), 2007, International Finance &amp; Marketing</t>
  </si>
  <si>
    <t>The company raised $2 million of seed funding in a deal led by Illuminate Financial Management and Walter Ventures on October 27, 2020, putting the company's pre-money valuation at $6 million. Aflac Ventures, SixThirty Ventures, Tribeca Early Stage Partners, and George Fox also participated in the round. The funds will be used towards further technology development and customer growth.</t>
  </si>
  <si>
    <t>Aflac Ventures, George Fox, Illuminate Financial Management, SixThirty Ventures, Tribeca Early Stage Partners, Walter Ventures</t>
  </si>
  <si>
    <t>Illuminate Financial Management(Mark Beeston), Walter Ventures</t>
  </si>
  <si>
    <t>IFM FinTech Opportunities II(Illuminate Financial Management), SixThirty 2.0(SixThirty Ventures)</t>
  </si>
  <si>
    <t>www.yves.blue</t>
  </si>
  <si>
    <t>184995-82T</t>
  </si>
  <si>
    <t>ZAGE (Elder and Disabled Care)</t>
  </si>
  <si>
    <t>489005-38</t>
  </si>
  <si>
    <t>KiwiTech, Seismic Capital</t>
  </si>
  <si>
    <t>KiwiTech (www.kiwitech.com), Seismic Capital (www.seismic.company)</t>
  </si>
  <si>
    <t>Developer of an on-demand elder services app designed for assistance and healthcare services for elder people. The company's application connects elders and family members to the network of verified local service providers for managing daily tasks along with allowing users to find providers for on-demand remote assistance services for services such as doctor appointments, grocery shopping, home services, emergency services, and regular check-ins, enabling family members to take care of their elders from their mobile phones.</t>
  </si>
  <si>
    <t>The company raised $550,000 of venture funding from KiwiTech on August 30, 2021, putting the company's pre-money valuation at $15 million.</t>
  </si>
  <si>
    <t>Application Software, Elder and Disabled Care*</t>
  </si>
  <si>
    <t>elder care, elder healthcare, elder healthcare service, elder services, senior care, senior services</t>
  </si>
  <si>
    <t>285234-40P</t>
  </si>
  <si>
    <t>Claudine Halpern</t>
  </si>
  <si>
    <t>+1 (877) 328-1637</t>
  </si>
  <si>
    <t>chalpern@getzage.com</t>
  </si>
  <si>
    <t>Ms. Claudine Halpern is a Co-Founder and serves as Chief Executive Officer at ZAGE. She has many years of experience working with startups as a mentor and advisor. Her career trajectory started 39 years ago on Wall Street as a computer programmer and grew to technology management consulting. She specialized in fixing broken projects to deliver quality to her clients. Her consulting clients included: Chase Manhattan Bank, New York Stock Exchange, Barclays Bank, Wells Fargo Bank, Citibank, Fiserv, Fidelity, Prudential and many more. She had been working in Eldercare for over 5 years and recognized the need for technological solutions to the elder care market. ZAGE was created when she realized the scope of the on-demand care problem and the size of the market.</t>
  </si>
  <si>
    <t>www.getzage.com</t>
  </si>
  <si>
    <t>216293-14T</t>
  </si>
  <si>
    <t>Zarta</t>
  </si>
  <si>
    <t>520994-17</t>
  </si>
  <si>
    <t>AirAngels, Andreessen Horowitz(Anne Lee Skates), Dragonfly Capital (San Francisco), Endeavor</t>
  </si>
  <si>
    <t>AirAngels (airangels.co), Andreessen Horowitz (www.a16z.com), Dragonfly Capital (San Francisco) (www.dragonfly.xyz), Endeavor (www.endeavorco.com)</t>
  </si>
  <si>
    <t>Operator of a creative platform designed to focus on pay-per-view video content. The company's platform assists users in generating income through microtransactions, while properly serving their fans with authentic content, enabling creators to create add-free and subscription-free videos for their fans.</t>
  </si>
  <si>
    <t>The company raised $5.7 million of Seed funding in a deal led by Andreessen Horowitz on March 1, 2023, putting the company's pre-money valuation at $29.3 million. Endeavor, AirAngels, Dragonfly and other undisclosed investors also participated in the round. The funds will be used to open up the platform to additional creators soon and eventually open it up to all creators.</t>
  </si>
  <si>
    <t>creative platform, creator content, creator platform, crm, customer relationship management, video creation, video making, video platform</t>
  </si>
  <si>
    <t>337871-98P</t>
  </si>
  <si>
    <t>Luba Yudasina</t>
  </si>
  <si>
    <t>Ms. Luba Yudasina is the Founder and serves as Chief Executive Officer at Zarta.</t>
  </si>
  <si>
    <t>AirAngels, Andreessen Horowitz, Dragonfly Capital (San Francisco), Endeavor</t>
  </si>
  <si>
    <t>www.zarta.com</t>
  </si>
  <si>
    <t>170359-03T</t>
  </si>
  <si>
    <t>Zartico</t>
  </si>
  <si>
    <t>464381-83</t>
  </si>
  <si>
    <t>Bigfoot Capital</t>
  </si>
  <si>
    <t>Bigfoot Capital (www.bigfootcap.com)</t>
  </si>
  <si>
    <t>Developer of a data intelligence platform designed to elevate the well-being of global communities for making informed decisions. The company's platform leverages data intelligence, analytics and visualizations and combines them with context and strategic input to assist destination management organization's data-driven decisions , enabling firms to get a spectrum of data science, benchmarking and analytical services for use in marketing, community development and sustainability efforts.</t>
  </si>
  <si>
    <t>The company raised $5.59 million of Series A1 venture funding from undisclosed investors on July 17, 2024, putting the company's pre-money valuation at $45.5 million.</t>
  </si>
  <si>
    <t>Operating Systems Software</t>
  </si>
  <si>
    <t>Business/Productivity Software, Media and Information Services (B2B), Operating Systems Software*, Other Commercial Services</t>
  </si>
  <si>
    <t>analytical services, analytics platform, business intelligence platform, data intelligence platform, data intelligence service, destination marketing, tourism marketing, travel technology platform</t>
  </si>
  <si>
    <t>120844-09P</t>
  </si>
  <si>
    <t>Sarah Lehman</t>
  </si>
  <si>
    <t>+1 (801) 476-3363</t>
  </si>
  <si>
    <t>sarah.lehman@zartico.com</t>
  </si>
  <si>
    <t>Ms. Sarah Lehman serves as Chief Executive Officer at Zartico. Ms. Sarah Lehman served as the Chief Executive Officer at Enve Composites.</t>
  </si>
  <si>
    <t>Boston University, BS (Bachelor of Science), 1991, Communications, Harvard Business School, MBA (Master of Business Administration), 1999, Business</t>
  </si>
  <si>
    <t>The company raised $4.47 million of through a combination of Seed and Seed-2 funding from Bigfoot Capital and other undisclosed investors on December 13, 2021, putting the company's pre-money valuation at $35 million.</t>
  </si>
  <si>
    <t>www.zartico.com</t>
  </si>
  <si>
    <t>179096-95T</t>
  </si>
  <si>
    <t>Zeal</t>
  </si>
  <si>
    <t>279628-66</t>
  </si>
  <si>
    <t>Bob Manne(Bob Manne), BoxGroup, Charley Ma(Charley Ma), Commerce Ventures, Cyan Banister(Cyan Banister), Form Capital, Helen Min(Helen Min), Jason Gardner(Jason Gardner), Kevin Moore(Kevin Moore), Long Journey Ventures, Lorimer Ventures, Matt Straz(Matt Straz), Mitchell Dauerman(Mitchell Dauerman), Nico Chinot(Nico Chinot), Omri Dahan(Omri Dahan), Patrick Gannon(Patrick Gannon), Robert Manne, Scott Banister(Scott Banister), Spark Capital(Natalie Sandman), Vlad Tenev</t>
  </si>
  <si>
    <t>BoxGroup (www.boxgroup.com), Commerce Ventures (commerce.vc), Form Capital (www.formcapital.com), Kevin Moore (www.agileangel.com), Long Journey Ventures (www.longjourney.vc), Lorimer Ventures (www.lorimerventures.com), Scott Banister (www.banister.net), Spark Capital (www.sparkcapital.com)</t>
  </si>
  <si>
    <t>Developer of a campaign tracking platform designed to automate payroll for hourly workers. The company's platform eliminates needless complexity and extraneous details to provide robust, scalable, and flexible integrations, enabling companies to integrate and automate hours of operational overhead and reduce opportunities for human error.</t>
  </si>
  <si>
    <t>The company raised $14.5 million of Series B venture funding in a deal led by Portage on October 10, 2024, putting the company's pre-money valuation at $48 million. Spark Capital and Commerce Ventures also participated in the round. The funds will be used to revolutionize Payroll for Modern Work.</t>
  </si>
  <si>
    <t>FinTech, HR Tech, SaaS</t>
  </si>
  <si>
    <t>application infrastructure, automated payroll, campaign tracking, enterprise resource planning, financial services infrastructure, human capital management, payroll api, payroll work</t>
  </si>
  <si>
    <t>234261-82P</t>
  </si>
  <si>
    <t>Kirti Shenoy</t>
  </si>
  <si>
    <t>+1 (415) 214-9698</t>
  </si>
  <si>
    <t>kirti@joinpuzzl.com</t>
  </si>
  <si>
    <t>Ms. Kirti Shenoy is a Co-Founder &amp; serves as Co-Chief Executive Officer and Board Member at Puzzl.</t>
  </si>
  <si>
    <t>The company raised $13 million through a combination of Series A venture funding in a deal led by Spark Capital on August 27, 2021, putting the company's pre-money valuation at $45 million. Commerce Ventures, Lorimer Ventures, Robert Manne, Jason Gardner, Omri Dahan, Vlad Tenev, Mitch Dauerman, Bob Manne and Matt Straz also participated in the round. The funds will be used to establish its staff and improve compliance measures to be certain of its track record with enterprises.</t>
  </si>
  <si>
    <t>Bob Manne, BoxGroup, Charley Ma, Commerce Ventures, Cyan Banister, Form Capital, Helen Min, Jason Gardner, Kevin Moore, Long Journey Ventures, Lorimer Ventures, Matt Straz, Mitchell Dauerman, Nico Chinot, Omri Dahan, Patrick Gannon, Robert Manne, Scott Banister, Spark Capital, Vlad Tenev</t>
  </si>
  <si>
    <t>Spark Capital(Natalie Sandman)</t>
  </si>
  <si>
    <t>Commerce Ventures III(Commerce Ventures), Lorimer Venture Partners Fund 1(Lorimer Ventures), Spark Capital III(Spark Capital)</t>
  </si>
  <si>
    <t>Fenwick &amp; West (Legal Advisor to Company), Gunderson Dettmer (Legal Advisor to Spark Capital)</t>
  </si>
  <si>
    <t>Gunderson Dettmer (Legal Advisor to Spark Capital)</t>
  </si>
  <si>
    <t>www.zeal.com</t>
  </si>
  <si>
    <t>127717-57T</t>
  </si>
  <si>
    <t>Zeera</t>
  </si>
  <si>
    <t>343531-72</t>
  </si>
  <si>
    <t>Andrew Dunn(Andrew Dunn), BBG Ventures (North America), Female Founders Fund(Anuradha Duggal), Forerunner Ventures, G9 Ventures, Great Oaks Venture Capital, Gwyneth Paltrow(Gwyneth Paltrow), K50 Ventures, Katherine Ryder(Katherine Ryder), MetaProp NYC, SoGal Ventures</t>
  </si>
  <si>
    <t>BBG Ventures (North America) (www.bbgventures.com), Female Founders Fund (www.femalefoundersfund.com), Forerunner Ventures (www.forerunnerventures.com), G9 Ventures (www.g9.ventures), Great Oaks Venture Capital (www.greatoaksvc.com), K50 Ventures (www.k50ventures.com), MetaProp NYC (www.metaprop.com), SoGal Ventures (www.sogalventures.com)</t>
  </si>
  <si>
    <t>Operator of a mental healthcare platform intended to offer a therapy model based on member-centered care that is affordable and effective. The company's platform aims at redesigning mental health care through a digital platform and in-person experiences, integrating empathy, design and progressive care, enabling people to access research-based therapy tools to reflect and take actionable steps for their mental wellbeing.</t>
  </si>
  <si>
    <t>The company raised $37 million of Series B venture funding in a deal led by Owl Ventures on January 14, 2022, putting the company's pre-money valuation at $110 million. Female Founders Fund and 5 other investors also participated in the round. The funds will be used to expand its platform and add more resources, therapists, and Pathways, or the comprehensive therapist-created programs about mental health issues that are the app's core feature. Previously, the company raised $10 million of Series A venture funding in a deal led by Lightspeed Venture Partners on April 6, 2021, putting the company's pre-money valuation at $25 million. Reshape Ventures, Megan Rapinoe, and Eric Kendricks also participated in the round.</t>
  </si>
  <si>
    <t>Application Software, Clinics/Outpatient Services*, Information Services (B2C), Other Healthcare Technology Systems</t>
  </si>
  <si>
    <t>Digital Health, LOHAS &amp; Wellness, Mobile</t>
  </si>
  <si>
    <t>behavioral health, mental healthcare, mental healthcare app, mental healthcare service, mental wellness platform, mental wellness service, mental wellness technology, telatherapy, telehealth</t>
  </si>
  <si>
    <t>216938-80P</t>
  </si>
  <si>
    <t>Ariela Safira</t>
  </si>
  <si>
    <t>+1 (201) 681-6168</t>
  </si>
  <si>
    <t>ariela@join-real.com</t>
  </si>
  <si>
    <t>Ms. Ariela Safira is the Founder &amp; serves as Chief Executive Officer at Real. She her career at IDEO, she studied, researched and developed new concepts to approach mental health care and mental wellbeing. Building on her research, Ariela joined Cityblock, building their first health clinic in Brooklyn, NY. Ariela earned a BS in Mathematics and Computational Science from Stanford University, where the impetus for her work began. Later, she joined Columbia's Clinical Psychology program to train as a therapist and left the program in 2019 to launch Real. She's biked across multiple countries to fundraise for suicide prevention. Ariela is the recipient of the 2019 American Psychiatric Association's Innovation Award, recognized as Forbes 30 Under 30, and Inc's Top 100 Female Founders.</t>
  </si>
  <si>
    <t>Columbia University, Degree, Clinical Psychology, Stanford University, BS (Bachelor of Science), Mathematics and Computational Science</t>
  </si>
  <si>
    <t>The company raised $6 million of seed funding from Female Founders Fund, Great Oaks Venture Capital and Forerunner Ventures on June 11, 2020, putting the company's pre-money valuation at $9 million. 8 other investors also participated in the round.</t>
  </si>
  <si>
    <t>Andrew Dunn, BBG Ventures (North America), Female Founders Fund, Forerunner Ventures, G9 Ventures, Great Oaks Venture Capital, Gwyneth Paltrow, K50 Ventures, Katherine Ryder, MetaProp NYC, SoGal Ventures</t>
  </si>
  <si>
    <t>BBG Ventures III(BBG Ventures (North America)), Female Founders Fund II(Female Founders Fund), Forerunner Partners IV(Forerunner Ventures), MetaProp Ventures II(MetaProp NYC), SGV Fund I(SoGal Ventures), Three Oaks Venture Fund(Great Oaks Venture Capital)</t>
  </si>
  <si>
    <t>Cooley (Legal Advisor to Forerunner Ventures), Wilson Sonsini Goodrich &amp; Rosati (Legal Advisor to Company)</t>
  </si>
  <si>
    <t>Cooley (Legal Advisor to Forerunner Ventures)</t>
  </si>
  <si>
    <t>www.zeera.com</t>
  </si>
  <si>
    <t>244799-29T</t>
  </si>
  <si>
    <t>Zelig Technology</t>
  </si>
  <si>
    <t>537974-11</t>
  </si>
  <si>
    <t>Bezikian Zareh(Bezikian Zareh), Hilco Global(Jeffrey Hecktman)</t>
  </si>
  <si>
    <t>Hilco Global (www.hilcoglobal.com)</t>
  </si>
  <si>
    <t>Developer of a virtual styling tool designed to improve the virtual dressing room experience for users. The company offers a machine learning, computer vision, and generative AI-based try-on and styling platform, and more, helping clients by reducing returns and eliminating waste.</t>
  </si>
  <si>
    <t>The company raised $15 million of Series A venture funding in a deal led by Hilco Global on November 6, 2023, putting the company's pre-money valuation at $85 million. Bezikian Zareh also participated in the round. The funds will be used for technology development around the company's personalization capabilities and to build out additional features.</t>
  </si>
  <si>
    <t>computer vision, ecommerce search, email and authoring, fashion technology, fashion technology platform, fashion virtual community, kms, knowledge management system, try on garments, virtual fashion styling, virtual styling, virtual styling app, virtual styling tools</t>
  </si>
  <si>
    <t>191707-75P</t>
  </si>
  <si>
    <t>Sandy Sholl</t>
  </si>
  <si>
    <t>sandy@zelig.com</t>
  </si>
  <si>
    <t>Ms. Sandy Sholl is the Founder and serves as Chief Executive Officer at Zelig Technology. She is a Co-Founder and serves as Executive Chairman at MadaLuxe Group. She is also a Co-Founder and serves as Managing Partner at SLS Journey. The two investment funds she has launched, MadaLuxe Ventures and SLS Journey, focus on innovative fashion technologies that enhance the luxury retail experience. She is also CEO and Co-Founder of Zelig Technologies, the company's cutting-edge AI vertical try-on and styling technology. In addition, she is the Co-CEO and Co-Founder of her family foundation, CommonTerra. She also serves as a board member of Tikva Children's Home.</t>
  </si>
  <si>
    <t>Bezikian Zareh, Hilco Global</t>
  </si>
  <si>
    <t>Hilco Global(Jeffrey Hecktman)</t>
  </si>
  <si>
    <t>www.zelig.com</t>
  </si>
  <si>
    <t>136048-15T</t>
  </si>
  <si>
    <t>Zemble</t>
  </si>
  <si>
    <t>185520-70</t>
  </si>
  <si>
    <t>Allectus Capital, Counterview Capital</t>
  </si>
  <si>
    <t>Allectus Capital (www.allectuscapital.limited), Counterview Capital (www.counterview.vc)</t>
  </si>
  <si>
    <t>Developer of a software as a service-based insurance platform designed to engage, assist and empower insurance clients during the claim process. The company's platform is powered by the Amazon platform, which is used by government agencies and financial institutions to securely store information that is accessible from any device, anywhere and at all times and allows clients to retain data within their geographical area, ensuring that it does not leave the jurisdiction, enabling insurers to efficiently communicate and foster a closer relationship with their customers.</t>
  </si>
  <si>
    <t>The company joined WEVE Acceleration on an undisclosed date. No equity or funding was exchanged as a result of this program.</t>
  </si>
  <si>
    <t>Financial Software*, Other Insurance</t>
  </si>
  <si>
    <t>InsurTech, SaaS, TMT</t>
  </si>
  <si>
    <t>case management, claims handles, customer satisfaction, efficient communication, insurance claims app, insurance claims handles, insurance platform</t>
  </si>
  <si>
    <t>169784-56P</t>
  </si>
  <si>
    <t>Gilberto Spencer</t>
  </si>
  <si>
    <t>Mr. Gilberto Spencer cofounded and served as Chief Operating Officer at Zemble.</t>
  </si>
  <si>
    <t>The company raised $783,000 of seed funding from Allectus Capital and Counterview Capital on May 4, 2020, putting the company's pre-money valuation at $3 million. Other undisclosed investors also participated in the round.</t>
  </si>
  <si>
    <t>Counterview Venture Select Fund(Counterview Capital)</t>
  </si>
  <si>
    <t>www.getzemble.com</t>
  </si>
  <si>
    <t>182030-77T</t>
  </si>
  <si>
    <t>Zeno (Oklahoma)</t>
  </si>
  <si>
    <t>482318-20</t>
  </si>
  <si>
    <t>8VC, Echo Investment Capital, Floating Point</t>
  </si>
  <si>
    <t>8VC (www.8vc.com), Echo Investment Capital (echo.global), Floating Point (www.floating.vc)</t>
  </si>
  <si>
    <t>Operator of a cloud-based platform designed to assist energy companies, investors, and partners to adapt and thrive in the face of new market realities. The company provides clarity to understand and improve business performance and provides insight to assess and pursue new investment opportunities, offering energy-focused organizations with modern tools to unlock data to inform more intelligent faster business decisions.</t>
  </si>
  <si>
    <t>The company received $250,000 of debt financing in the form of a senior secured loan from WTI Fund X BDC on December 31, 2022. Previously, the company received $750,000 of debt financing in the form of a $250,000 senior secured loan and a $250,000 unfunded commitments loan from Venture Lending &amp; Leasing IX BDC &amp; WTI Fund X BDC on June 30, 2022.</t>
  </si>
  <si>
    <t>Business/Productivity Software*, Other Energy Services</t>
  </si>
  <si>
    <t>business decision, business insights, interactive mapping, interactive mapping platform, interactive mapping services, real time business</t>
  </si>
  <si>
    <t>166677-22P</t>
  </si>
  <si>
    <t>Sealy Laidlaw</t>
  </si>
  <si>
    <t>+1 (203) 742-0770</t>
  </si>
  <si>
    <t>Ms. Sealy Laidlaw serves as Board Member at Mirador (Connecticut). Ms. Sealy Livermore-Laidlaw served as Chief Executive Officer at Zeno Technologies. She served as Principal at Valor Equity Partners. She served as Vice President of Field Operations at Radius Intelligence. Her role at Radius spans Operations, Sales, and Enablement, with the goal of driving the Radius Sales team toward achieving revenue growth. Prior to Radius, she spent 4.5 years at Salesforce in Sales Strategy and operations, where she focused on go-to-market strategy and optimizing key business metrics across Salesforce's Cloud businesses, as well as on integrating new businesses into the core platform. She graduated cum laude with a BA from Dartmouth College and received her MBA with honors from Harvard Business School.</t>
  </si>
  <si>
    <t>Dartmouth College, BA (Bachelor of Arts), International Economics and Art History, Harvard Business School, MBA (Master of Business Administration)</t>
  </si>
  <si>
    <t>The company raised $5.5 million of seed funding in a deal led by Echo Investment Capital and 8VC on January 1, 2020, putting the company's pre-money valuation at $15 million. Floating Point also participated in the round.</t>
  </si>
  <si>
    <t>8VC, Echo Investment Capital</t>
  </si>
  <si>
    <t>Oklahoma City, OK</t>
  </si>
  <si>
    <t>Oklahoma City</t>
  </si>
  <si>
    <t>73102</t>
  </si>
  <si>
    <t>www.zenotech.io</t>
  </si>
  <si>
    <t>189600-58T</t>
  </si>
  <si>
    <t>Zenoya</t>
  </si>
  <si>
    <t>468975-16</t>
  </si>
  <si>
    <t>New York Angels, On Grid Ventures, OneSixOne Ventures, Seedfunders, Tampa Bay Ventures</t>
  </si>
  <si>
    <t>New York Angels (www.newyorkangels.com), On Grid Ventures (www.ongridventures.com), OneSixOne Ventures (www.onesixone.ventures), Seedfunders (www.seedfunders.com), Tampa Bay Ventures (www.tampabay.ventures)</t>
  </si>
  <si>
    <t>Developer of a talent management and productivity platform intended to help companies become profitable through resource optimization and automated workflows. The company's platform caters to the architecture, engineering, and construction industries by connecting companies with job seekers through a one-click application process, enabling clients to easily connect without any middleman, recruiters, or percentage cuts.</t>
  </si>
  <si>
    <t>The company raised an undisclosed amount of venture funding from Forum Ventures in approximately December 2023.</t>
  </si>
  <si>
    <t>Artificial Intelligence &amp; Machine Learning, Construction Technology, HR Tech, SaaS</t>
  </si>
  <si>
    <t>document management tool, job portal, online job portal, productivity platform software, project management, talent management company, talent management tool, task management platform, task management tool</t>
  </si>
  <si>
    <t>266723-38P</t>
  </si>
  <si>
    <t>Vaishnavi More</t>
  </si>
  <si>
    <t>+1 (734) 548-7868</t>
  </si>
  <si>
    <t>vm@archslate.com</t>
  </si>
  <si>
    <t>Ms. Vaishnavi More is the Founder and serves as Chief Executive Officer at ArchSlate.</t>
  </si>
  <si>
    <t>The company raised $800,000 of seed funding in a deal led by Tampa Bay Ventures and Seedfunders on March 3, 2022. On Grid Ventures, OneSixOne Ventures and New York Angels also participated in the round. The funds will be used to bring additional eLearning to the platform, launch a freelancers marketplace and grow various teams.</t>
  </si>
  <si>
    <t>Seedfunders, Tampa Bay Ventures</t>
  </si>
  <si>
    <t>Tampa Bay Ventures Fund(Tampa Bay Ventures)</t>
  </si>
  <si>
    <t>02138</t>
  </si>
  <si>
    <t>www.zenoya.ai</t>
  </si>
  <si>
    <t>265819-06T</t>
  </si>
  <si>
    <t>Zeplyn</t>
  </si>
  <si>
    <t>541926-55</t>
  </si>
  <si>
    <t>SYN Ventures</t>
  </si>
  <si>
    <t>SYN Ventures (www.synventures.com)</t>
  </si>
  <si>
    <t>Developer of financial software designed to optimize the workflows of advisory firms, including broker-dealers and private wealth banks. The company's software reduces the admin burden on advisors by automating time-consuming manual meeting workflows and admin tasks such as preparing agendas, logging call notes, delegating tasks, and synthesizing structured notes and action items from client meetings, enabling firms to streamline advisory workflows and drive client engagement.</t>
  </si>
  <si>
    <t>The company raised $3 million of seed funding in a deal led by Leo Capital on November 13, 2024. Converge Venture Partners and other angel investors also participated in the round. The funds will be used to support the company as it rebuilds wealth management from an AI-native perspective. Previously, the company joined The Founders Arena as a part of its WealthTech Accelerator Cohort on October 1, 2024. No equity or funding was exchanged as a result of this program. Prior, the company raised $2.61 million of seed funding through a combination of Seed-1 and Seed-2 from SYN Ventures on July 2, 2024, putting the company's pre-money valuation at $7.40 million. The amount was raised in the form of convertible debt that subsequently got converted into equity.</t>
  </si>
  <si>
    <t>advisory software, ai advisory, financial advising platform, financial advisor, wealth management, wealth management software, work automation</t>
  </si>
  <si>
    <t>395957-17P</t>
  </si>
  <si>
    <t>Era Jain</t>
  </si>
  <si>
    <t>+1 (917) 257-1013</t>
  </si>
  <si>
    <t>era@zeplyn.ai</t>
  </si>
  <si>
    <t>Ms. Era Jain is a Co-Founder and serves as Chief Executive Officer and Board Member at Zeplyn AI. She is a Harvard Business School alum with a decade of experience in software development and machine learning. At Google, she built Natural Language Processing technology for Google Search at scale, and she co-founded the Conversational AI for cooking on Google Home.</t>
  </si>
  <si>
    <t>Harvard Business School, Degree</t>
  </si>
  <si>
    <t>The company raised $2.61 million of seed funding through a combination of Seed-1 and Seed-2 from SYN Ventures on July 2, 2024, putting the company's pre-money valuation at $7.40 million. The amount was raised in the form of convertible debt that subsequently got converted into equity.</t>
  </si>
  <si>
    <t>www.zeplyn.ai</t>
  </si>
  <si>
    <t>140239-36T</t>
  </si>
  <si>
    <t>Zeta</t>
  </si>
  <si>
    <t>232710-40</t>
  </si>
  <si>
    <t>Clay Robbins(Clay Robbins), Deciens Capital(Daniel Kimerling), Elain Szu(Elain Szu), Farnoosh Torabi(Farnoosh Torabi), Kishore Ganji(Kishore Ganji), Lauren Berson(Lauren Berson), Maia Bittner(Maia Bittner), Michael Vaughan(Michael Vaughan), Precursor Ventures(Charles Hudson), Rohini Pandhi, Sarah Imbach(Sarah Imbach), TLC Collective, Tribe Capital</t>
  </si>
  <si>
    <t>Deciens Capital (www.deciens.com), Michael Vaughan (michaelvaughan.net), Precursor Ventures (precursorvc.com), TLC Collective (tlccollective.space), Tribe Capital (www.tribecap.co)</t>
  </si>
  <si>
    <t>Developer of a financial money management platform designed to help families manage their finances together The company's platform includes keeping track of bank accounts by showing sharing controls, shared and personal budgets, split transactions, memos, bill reminders, money coaching, and various other features, enabling families to easily track spending, set budgets, and achieve financial goals together</t>
  </si>
  <si>
    <t>The company raised $7.8 million through a combination of Seed Prime-1, and Seed Prime-2 funding in a deal led by Vinod Khosla on August 7, 2024, putting the company's pre-money valuation at $28.2 million. Deciens Capital, Precursor Ventures, and other undisclosed investors also participated in the round.</t>
  </si>
  <si>
    <t>credit &amp; banking, credit and banking, digital banking, family finance, family savings, finance management platform, financial education software, joint account, neobanking platform</t>
  </si>
  <si>
    <t>193442-50P</t>
  </si>
  <si>
    <t>Aditi Shekar</t>
  </si>
  <si>
    <t>aditi@askzeta.com</t>
  </si>
  <si>
    <t>Ms. Aditi Shekar is a Co-Founder and serves as Chief Executive Officer at Zeta. She has spent 12+ years at the ground floor of two venture-backed startups (General Assembly, Guild Education) and served as Executive Director in the world's leading social entrepreneurship organization (Ashoka). She's also been featured in Forbes and Harvard Business Review. She has a BS/BA in Business and Psychology from UNC Chapel Hill.</t>
  </si>
  <si>
    <t>University of North Carolina, Chapel Hill, BA/BS (Bachelor of Arts and Sciences), Business and Psychology</t>
  </si>
  <si>
    <t>The company raised $1.5 million through a combination of Seed-1 and Seed-2 funding from Tribe Capital, Precursor Ventures and Deciens Capital on June 1, 2020, putting the company's pre-money valuation at $4.5 million. TLC Collective, Clay Robbins, Rohini Pandhi, Lauren Berson and 6 other investors also participated in the round.</t>
  </si>
  <si>
    <t>Clay Robbins, Deciens Capital, Elain Szu, Farnoosh Torabi, Kishore Ganji, Lauren Berson, Maia Bittner, Michael Vaughan, Precursor Ventures, Rohini Pandhi, Sarah Imbach, TLC Collective, Tribe Capital</t>
  </si>
  <si>
    <t>Deciens Capital Fund 2018(Deciens Capital), Precursor Ventures III(Precursor Ventures), Tribe Capital Fund II(Tribe Capital)</t>
  </si>
  <si>
    <t>WilmerHale (Legal Advisor to Company)</t>
  </si>
  <si>
    <t>www.askzeta.com</t>
  </si>
  <si>
    <t>167399-29T</t>
  </si>
  <si>
    <t>Zette</t>
  </si>
  <si>
    <t>461810-35</t>
  </si>
  <si>
    <t>Afore Capital(Gaurav Jain), Exponential Impact, Gaingels, Halogen Ventures, Hyphen Capital (San Francisco), Jay Kim(Jay Kim), Jeffrey Leerink(Jeffrey Leerink), MGV Capital Group, The Community Fund</t>
  </si>
  <si>
    <t>Afore Capital (www.afore.vc), Exponential Impact (www.exponentialimpact.com), Gaingels (www.gaingels.com), Halogen Ventures (www.halogenvc.com), Hyphen Capital (San Francisco) (www.hyphencap.com), MGV Capital Group (www.mgvcapital.com), The Community Fund (www.thecommunity.vc)</t>
  </si>
  <si>
    <t>Developer of a browser extension designed to access premium online content behind article paywalls. The company's platform bypasses the paywall to newspaper articles while also supporting the publication, enabling users to access news articles at an affordable price.</t>
  </si>
  <si>
    <t>The company raised $0.957447 of equity crowdfunding in the form of SAFE notes via Wefunder on June 17, 2024. Harvard Alumni Entrepreneurs also participated in this round.</t>
  </si>
  <si>
    <t>Internet Software*, Publishing</t>
  </si>
  <si>
    <t>chrome extensions, media company, media technology, news content, paywall system, publishing data</t>
  </si>
  <si>
    <t>254588-86P</t>
  </si>
  <si>
    <t>Yehong Zhu</t>
  </si>
  <si>
    <t>+1 (617) 453-8225</t>
  </si>
  <si>
    <t>Ms. Yehong Zhu is a Co-Founder and serves as Chief Executive Officer &amp; Board Member at Zette.</t>
  </si>
  <si>
    <t>Degree, 2015, Fudan University, Degree, 2012, Harvard University, BA (Bachelor of Arts), 2018, Philosophy, Government, University of Cambridge, Degree, 2017, Philosophy</t>
  </si>
  <si>
    <t>The company raised $1.7 million of venture funding from MGV Capital Group, Halogen Ventures, and Afore Capital on March 1, 2021. The Community Fund, Exponential Impact, Jay Kim, Jeff Leerink, Gaingels and Hyphen Capital also participated in the round. The funds will be used to further develop efforts in growth marketing, publisher partnerships and licensing deals, operational and software development expenses, and headcount.</t>
  </si>
  <si>
    <t>Afore Capital, Exponential Impact, Gaingels, Halogen Ventures, Hyphen Capital (San Francisco), Jay Kim, Jeffrey Leerink, MGV Capital Group, The Community Fund</t>
  </si>
  <si>
    <t>Halogen Ventures Fund 2(Halogen Ventures), MGV Capital Fund(MGV Capital Group)</t>
  </si>
  <si>
    <t>www.zette.ai</t>
  </si>
  <si>
    <t>200124-91T</t>
  </si>
  <si>
    <t>Zeva</t>
  </si>
  <si>
    <t>253149-76</t>
  </si>
  <si>
    <t>Keiretsu Forum</t>
  </si>
  <si>
    <t>Keiretsu Forum (www.keiretsuforum.com)</t>
  </si>
  <si>
    <t>Developer of an encryption and identity management platform designed to provide cybersecurity services. The company's platform licenses commercial off-the-shelf products that address the public key enablement needs of highly regulated agencies and holds multiple patents for encryption and decryption technologies, enabling organizations to get tailored tools for identity credentialing and access management, cloud and systems architecture, and custom software development.</t>
  </si>
  <si>
    <t>The company raised $100,000 of venture funding from Keiretsu Forum on June 1, 2022.</t>
  </si>
  <si>
    <t>customer service technology, data protection &amp; encryption, data protection and encryption, data security, encryption algorithm, encryption management, encryption tools, identity management platform, security services, software infrastructure services, technology infrastructure management</t>
  </si>
  <si>
    <t>290683-90P</t>
  </si>
  <si>
    <t>Jihan Andoni</t>
  </si>
  <si>
    <t>+1 (888) 938-2462</t>
  </si>
  <si>
    <t>jihan@zeva.us</t>
  </si>
  <si>
    <t>Ms. Jihan Andoni serves as Co-Chief Executive Officer and Executive Vice President at Zeva Holdings Group. Prior to becoming the CEO of Zeva Inc., Ms. Andoni worked in the data analytics realm, most recently as the Research Director for the Center for Responsible Politics, a data-centric, non-profit organization located in Washington D.C. She holds a Bachelor's degree in Mathematics from Bethlehem University and a Master's degree in Information Systems from American University in Washington D.C. Ms. Andoni is a member of the International Women's Forum of Washington, DC, and serves as a Co-Founder of NAAWA, the National Arab American Women's Association.</t>
  </si>
  <si>
    <t>American University, Master's, Information Systems, Bachelor's, Mathematics</t>
  </si>
  <si>
    <t>22030</t>
  </si>
  <si>
    <t>www.zevainc.com</t>
  </si>
  <si>
    <t>166612-15T</t>
  </si>
  <si>
    <t>Zingeroo</t>
  </si>
  <si>
    <t>435360-88</t>
  </si>
  <si>
    <t>Anthemis, Biobrit, Founders First(Jeremy Levine), Paul English(Paul English), Predictive Venture Partners, Rackhouse Venture Capital, Social Leverage, Streamlined Ventures, TBD Angels</t>
  </si>
  <si>
    <t>Anthemis (www.anthemis.com), Biobrit (biobrit.com), Founders First (www.foundersfirst.fund), Paul English (www.paulenglish.com), Predictive Venture Partners (www.predictivevc.com), Rackhouse Venture Capital (www.rackhouse.vc), Social Leverage (www.socialleverage.com), Streamlined Ventures (www.streamlined.vc), TBD Angels (www.tbdangels.com)</t>
  </si>
  <si>
    <t>Developer of an online trading platform designed to make investing competitive, social, and educational. The company's platform offers to learn about trading options in a social, fun and interactive way, enabling investors to build their portfolios and measure performance against the competition.</t>
  </si>
  <si>
    <t>The company raised $8.5 million of Series A2 venture funding from Streamlined Ventures, Predictive Venture Partners and Rackhouse Venture Capital on November 9, 2022, putting the company's pre-money valuation at $70 million. SquareOne Capital and 5 other investors also participated in the round.</t>
  </si>
  <si>
    <t>FinTech, Gaming</t>
  </si>
  <si>
    <t>brokerage, digital advisory, financial software, gaming app, online platform, online trading firm, social trading, trading platform software, wealthtech</t>
  </si>
  <si>
    <t>230589-37P</t>
  </si>
  <si>
    <t>Zoë Barry</t>
  </si>
  <si>
    <t>Ms. Zoë Barry serves as Venture Partner at Predictive Venture Partners. She is founded and served as Chief Executive Officer &amp; Board Member at Zingeroo. She is also a Co-Founder at XX Angels. She attended Columbia University in New York City before launching her career on Wall Street. After working on both the sell side, at DeMatteo Monness, and the buy side, at Dawson Capital, she ditched the corporate track to save bald eagles in Alaska. She also advises startups MyLingo, Remy, and Boston Microfluidics. She is an angel investor in women-led startups including FutureFuel, ianacare, Pixi Cycling, and RDMD.</t>
  </si>
  <si>
    <t>Columbia University, Degree</t>
  </si>
  <si>
    <t>The company raised $5 million of seed funding from Biobrit, Streamlined Ventures and Predictive Venture Partners on October 30, 2020, putting the company's pre-money valuation at $10 million. Founders First and 6 other investors also participated in the round.</t>
  </si>
  <si>
    <t>Anthemis, Biobrit, Founders First, Paul English, Predictive Venture Partners, Rackhouse Venture Capital, Social Leverage, Streamlined Ventures, TBD Angels</t>
  </si>
  <si>
    <t>Bridge Boys(Founders First), Predictive Venture Partners III(Predictive Venture Partners), Social Leverage Capital Fund III(Social Leverage), Streamlined Ventures III(Streamlined Ventures)</t>
  </si>
  <si>
    <t>Duxbury, MA</t>
  </si>
  <si>
    <t>Duxbury</t>
  </si>
  <si>
    <t>02332</t>
  </si>
  <si>
    <t>www.zingeroo.com</t>
  </si>
  <si>
    <t>206454-52T</t>
  </si>
  <si>
    <t>Zinnia (Media and Information Services (B2B))</t>
  </si>
  <si>
    <t>510356-98</t>
  </si>
  <si>
    <t>Atlanta Ventures, Charlotte Fund, CreativeCo Capital(Ashley Gautreaux), Gray Ventures</t>
  </si>
  <si>
    <t>Atlanta Ventures (www.atlantaventures.com), Charlotte Fund (www.charlottefund.com), CreativeCo Capital (creative.co), Gray Ventures (www.grayventures.com)</t>
  </si>
  <si>
    <t>Developer of an artificial intelligence-based meeting preparation platform designed to get daily updates on the important details of meetings with people. The company's platform offers the details of every person with whom one is meeting each day including personal, professional, and newsworthy data, enabling users to build trusted relationships and personalize their customer interactions.</t>
  </si>
  <si>
    <t>The company raised $250,000 of venture funding from CreativeCo Capital, Charlotte Fund, Gray Ventures and Atlanta Ventures on April 10, 2023.</t>
  </si>
  <si>
    <t>clients information, data feed, data generation, human connection, meeting platform, meeting tools</t>
  </si>
  <si>
    <t>278894-44P</t>
  </si>
  <si>
    <t>Lauren Marturano</t>
  </si>
  <si>
    <t>+1 (512) 795-5387</t>
  </si>
  <si>
    <t>lmarturano@getzinnia.ai</t>
  </si>
  <si>
    <t>Ms. Lauren Marturano is a Co-Founder &amp; serves as Chief Executive Officer at Zinnia. She served as Chief Operating Officer &amp; Board Member at Ternary Developments.</t>
  </si>
  <si>
    <t>The company raised $250,000 of venture funding from CreativeCo Capital, Charlotte Fund, Zinnia and Atlanta Ventures on April 10, 2023.</t>
  </si>
  <si>
    <t>Atlanta Ventures, Charlotte Fund, CreativeCo Capital, Gray Ventures</t>
  </si>
  <si>
    <t>Charlotte Fund(Charlotte Fund), CreativeCo II(CreativeCo Capital), Gray Ventures IV(Gray Ventures)</t>
  </si>
  <si>
    <t>www.getzinnia.ai</t>
  </si>
  <si>
    <t>190128-25T</t>
  </si>
  <si>
    <t>Zipy</t>
  </si>
  <si>
    <t>493401-34</t>
  </si>
  <si>
    <t>Alphatron Capital, Better Capital (California), Blume Ventures, BoldCap, Deepak Diwakar(Deepak Diwakar), Dilipkumar Khandelwal(Dilipkumar Khandelwal), First Cheque, Girish Mathrubootam(Girish Mathrubootam), Jyoti Bansal, Neeraj Arora(Neeraj Arora), Nishant Mungali(Nishant Mungali), Together Fund, Vaibhav Domkundwar(Vaibhav Domkundwar)</t>
  </si>
  <si>
    <t>Alphatron Capital (alphatroncap.com), Better Capital (California) (www.bettercapital.vc), Blume Ventures (www.blume.vc), BoldCap (www.boldcap.com), First Cheque (firstcheque.vc), Together Fund (www.together.fund)</t>
  </si>
  <si>
    <t>Developer of a unified customer experience platform designed to improve user experience problems by combining session replay, product analytics, error monitoring, and fixing all in one. The company's platform provides real-time detection of errors with analysis of the root cause and records the user actions, request responses, console events, errors and exceptions in the user environment to proactively resolve issues, enabling companies to fix critical customer issues much faster to save time, reduce churn, and impact revenue directly.</t>
  </si>
  <si>
    <t>The company raised $2.8 million of seed funding in a deal led by Blume Ventures and Together Fund on April 13, 2022. Alphatron Capital, Better Capital (California), First Cheque, Boldcap, Neeraj Arora, Deepak Diwakar, Nishant Mungali, Dilipkumar Khandelwal, Vaibhav Domkundwar, Jyoti Bansal and Girish Mathrubootam also participated in the round. The funds will be used to strengthen the platform's technology and make bug-solving more proactive, intelligent, and tech stack agnostic.</t>
  </si>
  <si>
    <t>Application Software, Business/Productivity Software*, Internet Software, Media and Information Services (B2B), Other Business Products and Services</t>
  </si>
  <si>
    <t>analytics platform, bug fixing, bugs finder, bugs testing, error monitoring, error monitoring platform, performance monitoring software, product analytics, real time detection, software development</t>
  </si>
  <si>
    <t>294496-39P</t>
  </si>
  <si>
    <t>Vishalini Paliwal</t>
  </si>
  <si>
    <t>vishalini.paliwal@zipy.ai</t>
  </si>
  <si>
    <t>Ms. Vishalini Paliwal is a Co-Founder &amp; serves as Chief Executive Officer at Zipy. He has been an integral part of the MindTickle unicorn journey and has mentored multiple startups in edtech. She is a graduate of IIT Roorkee and has done her Master's from Illinois Institute of Technology. Prior to Zipy, he has been an integral part of the MindTickle unicorn journey and has mentored multiple startups in edtech, healthcare and ecommerce domains in their Product Strategy. She is a trained yoga teacher and an almost accidental figurative artist before her tech calling pulled her into entrepreneurship.</t>
  </si>
  <si>
    <t>Graduate, Illinois Institute of Technology, Master's</t>
  </si>
  <si>
    <t>Alphatron Capital, Better Capital (California), Blume Ventures, BoldCap, Deepak Diwakar, Dilipkumar Khandelwal, First Cheque, Girish Mathrubootam, Jyoti Bansal, Neeraj Arora, Nishant Mungali, Together Fund, Vaibhav Domkundwar</t>
  </si>
  <si>
    <t>Blume Ventures, Together Fund</t>
  </si>
  <si>
    <t>Blume Ventures Fund IV(Blume Ventures)</t>
  </si>
  <si>
    <t>94134</t>
  </si>
  <si>
    <t>www.zipy.ai</t>
  </si>
  <si>
    <t>191834-56T</t>
  </si>
  <si>
    <t>Zoee</t>
  </si>
  <si>
    <t>264359-80</t>
  </si>
  <si>
    <t>Oval Park Capital</t>
  </si>
  <si>
    <t>Oval Park Capital (www.ovalpark.com)</t>
  </si>
  <si>
    <t>Developer of a coaching software designed to help coaches run their businesses and increase revenue. The company's software provides coaches with a space to connect with each other, share ideas and learn from each other, enabling coaches to access the tools and resources they need to grow their businesses.</t>
  </si>
  <si>
    <t>The company raised $1.54 million of convertible debt financing from Oval Park Capital and other undisclosed investors on April 24, 2022.</t>
  </si>
  <si>
    <t>Business/Productivity Software, Education and Training Services (B2B)*, Educational Software, Media and Information Services (B2B)</t>
  </si>
  <si>
    <t>coaching business tools, coaching software, matching algorithm software, virtual coaching, virtual coaching tool, virtual community</t>
  </si>
  <si>
    <t>198700-84P</t>
  </si>
  <si>
    <t>Nichole Lowe</t>
  </si>
  <si>
    <t>+1 (877) 367-9633</t>
  </si>
  <si>
    <t>nichole@zoee.com</t>
  </si>
  <si>
    <t>Ms. Nichole Lowe is a Co-Founder and serves as Chief Executive Officer and Board Member at Zoee. She is a seasoned sales and advertising executive, and a certified coach with deep experience in the global coaching industry. She built a thriving coaching business in California and with a proven track record with over 25 years of experience driving sales growth and leading teams. She is a decisive leader, a strong communicator, and confident in taking risks, confronting challenges, and building relationships.</t>
  </si>
  <si>
    <t>OPC Venture Fund I(Oval Park Capital)</t>
  </si>
  <si>
    <t>www.zoee.com</t>
  </si>
  <si>
    <t>Bridge Loan - $1.54M (Convertible)</t>
  </si>
  <si>
    <t>139318-48T</t>
  </si>
  <si>
    <t>Zomentum</t>
  </si>
  <si>
    <t>277678-36</t>
  </si>
  <si>
    <t>Accel(Shekhar Kirani), Elevation Capital (India)(Alok Goel), SAIF Partners</t>
  </si>
  <si>
    <t>Accel (www.accel.com), Elevation Capital (India) (www.elevationcapital.com), SAIF Partners (www.sbaif.com)</t>
  </si>
  <si>
    <t>Developer of a sales support platform designed to accelerate managed services providers' sales processes. The company's platform offers sales funnel management, workflow automation, analytics, and assessment, enabling channel partners to grow their businesses more smartly.</t>
  </si>
  <si>
    <t>The company raised $13 million of Series A venture funding in a deal led by Accel, Elevation Capital and Greenoaks Capital Partners on February 16, 2021, putting the company's pre-money valuation at $40 million. Eight Roads also participated in the round. The funds will be used to expand the company's presence in the market and broaden its product offerings.</t>
  </si>
  <si>
    <t>channel sales, crm, customer relationship management, revenue platform, sales management, sales revenue, technology service provider, workflow automation</t>
  </si>
  <si>
    <t>100321-84P</t>
  </si>
  <si>
    <t>Shruti Ghatge</t>
  </si>
  <si>
    <t>+1 (415) 903-6721</t>
  </si>
  <si>
    <t>shruti@zomentum.com</t>
  </si>
  <si>
    <t>Ms. Shruti Ghatge is a Co-Founder of Zomentum and serves as its Chief Executive Officer. Ms. Ghatge also served as Executive, Investment Team at Accel. Ms. Ghatge also served as Investment Analyst at Exfinity Venture Partners. Prior to joining Exfinity, she was with Credit Suisse, where, as a part of the Prime Services Risk Management Team, she performed risk analytics for all Hedge Fund positions. She holds an Integrated Masters degree in Industrial Chemistry from the Indian Institute of Technology Kharagpur.</t>
  </si>
  <si>
    <t>Indian Institute of Technology, Kharagpur, Integrated Masters, 2013, Industrial Chemistry</t>
  </si>
  <si>
    <t>The company raised $4.1 million of seed funding from SAIF Partners, Accel and Elevation Capital on July 9, 2020, putting the company's pre-money valuation at $10 million. The funds will be used to develop the company's sales team to service locations outside of North American markets as well as build out its technological infrastructure and add more tools for its clients.</t>
  </si>
  <si>
    <t>Accel, Elevation Capital (India), SAIF Partners</t>
  </si>
  <si>
    <t>Accel XIV(Accel), SAIF Partners India VII(Elevation Capital (India)), SAIF Tourism Culture Industry Development RMB Fund(SAIF Partners)</t>
  </si>
  <si>
    <t>www.zomentum.com</t>
  </si>
  <si>
    <t>193005-73T</t>
  </si>
  <si>
    <t>Zoo</t>
  </si>
  <si>
    <t>495775-90</t>
  </si>
  <si>
    <t>Embedded Ventures(Jenna Bryant), Madrona Venture Group, Undeterred Capital</t>
  </si>
  <si>
    <t>Embedded Ventures (www.embedded.ventures), Madrona Venture Group (www.madrona.com), Undeterred Capital (www.undeterredcapital.com)</t>
  </si>
  <si>
    <t>Developer of an infrastructure company designed to bring together everything required to build tools for hardware designers. The company offers a technological approach to hardware design to build tools, automation, websites, and applications, enabling developers to foster a new generation of hardware design tools with capabilities that are common across all.</t>
  </si>
  <si>
    <t>The company raised $5 million of venture funding in a deal led by Venrex Investment Management on June 30, 2023, putting the company's pre-money valuation at $25 million. Embedded Ventures and 6 other investors also participated in the round.</t>
  </si>
  <si>
    <t>api-first, application infrastructure, computer aided design, computer software, graphics technology, hardware design, hardware design software, hardware design solution, software development</t>
  </si>
  <si>
    <t>300029-59P</t>
  </si>
  <si>
    <t>Hannah Bollar</t>
  </si>
  <si>
    <t>Ms. Hannah Bollar co-founded &amp; served as Chief Technology Officer &amp; Board Member at Zoo.</t>
  </si>
  <si>
    <t>The company raised an estimated $498,996 through a combination of Seed-2, Seed-3 and Seed-4 funding in a deal led by Embedded Ventures on June 19, 2021, putting the company's pre-money valuation at $4.50 million. Undeterred Capital, Madrona Venture Group and other undisclosed investors also participated in the round.</t>
  </si>
  <si>
    <t>Embedded Ventures, Madrona Venture Group, Undeterred Capital</t>
  </si>
  <si>
    <t>Embedded Ventures(Jenna Bryant)</t>
  </si>
  <si>
    <t>Embedded Ventures Shockwave Fund I(Embedded Ventures)</t>
  </si>
  <si>
    <t>www.zoo.dev</t>
  </si>
  <si>
    <t>166727-80T</t>
  </si>
  <si>
    <t>Zytara</t>
  </si>
  <si>
    <t>459827-56</t>
  </si>
  <si>
    <t>Dot Capital(Joseph Saviano), GDA Capital, GDA investments</t>
  </si>
  <si>
    <t>Dot Capital (www.dotcapital.com), GDA Capital (www.gda.capital), GDA investments (www.gda.investments)</t>
  </si>
  <si>
    <t>Operator of a fintech platform intended to merge traditional banking systems with new-age digital assets such as cryptocurrencies and non-fungible tokens (NFTs). The company's platform converts collectibles such as in-game skins, giveaways, and digital art into non-fungible tokens (NFTs) that can be brought, traded, or sold, enabling big brands to create and incorporate non-fungible tokens to accelerate customer engagement in a unique and trendy way.</t>
  </si>
  <si>
    <t>The company raised an undisclosed amount of angel funding from David Beckham on March 24, 2022.</t>
  </si>
  <si>
    <t>Application Software, Financial Software, Other Financial Services*</t>
  </si>
  <si>
    <t>cryptocurrencies trading, defi assets, digital asset, financial technology firm, nft trading, non-fungible tokens platform</t>
  </si>
  <si>
    <t>48080-44P</t>
  </si>
  <si>
    <t>Al Burgio</t>
  </si>
  <si>
    <t>+1 (855) 858-5497</t>
  </si>
  <si>
    <t>aburgio@zytara.com</t>
  </si>
  <si>
    <t>Mr. Al Burgio Co-Founded and serves as Co-Chief Executive Officer, President &amp; Chairman at Zytara. He is a Co-Founder of DigitalBits. He founded Console (Network Management software), where he served as Chief Strategy Officer and Board Member Previously, he was a Chief Peering Liaison. He has been a serial entrepreneur for over 20 years with diverse experience across various industries including the financial industry and multiple areas of technology. He re-entered the financial technology industry in 2017 by initially founding DigitalBits, an open-source blockchain project, and protocol with a primary focus on supporting branded currencies, inclusive of the emerging category of branded stable coins. He has been an active public speaker on an array of topics including Internet architecture and financial technology, having also been interviewed by Larry King discussing the mass adoption of blockchain technology. He is also a member of the board of directors of Innovate Niagara, a non-profit innovation center helping entrepreneurs with leading-edge ideas to start, grow and succeed.</t>
  </si>
  <si>
    <t>Brock University, Degree</t>
  </si>
  <si>
    <t>The company raised $625,000 of venture funding from Dot Capital, Assets Investments and GDA Capital on September 2, 2021.</t>
  </si>
  <si>
    <t>Dot Capital, GDA Capital, GDA investments</t>
  </si>
  <si>
    <t>Dot Capital Mobile(Dot Capital)</t>
  </si>
  <si>
    <t>Reitler Kailas &amp; Rosenblatt (Legal Advisor to Dot Capital)</t>
  </si>
  <si>
    <t>82009</t>
  </si>
  <si>
    <t>www.zytara.com</t>
  </si>
  <si>
    <t>© PitchBook Data, Inc. 2024</t>
  </si>
  <si>
    <t>Search Link:</t>
  </si>
  <si>
    <t>https://my.pitchbook.com/?pcc=1084035-61</t>
  </si>
  <si>
    <t>Search Criteria:</t>
  </si>
  <si>
    <t xml:space="preserve">Deal Date: From: 01-Jan-2020; Deal Options: Search on a full transaction; Exclude deals without a deal size; Deal Status: Completed; Deal Type: All Round Numbers &gt; Round 1; Native Currency of Deal: US Dollars (USD); Ownership Status: Privately Held (backing); Location: United States; Gender: Female; Position Level: Chief Executive Officer; Founder/founding Partner; Investor Location: United States; Industries: Information Technology; </t>
  </si>
  <si>
    <t>Search Result Columns</t>
  </si>
  <si>
    <t>Downloaded on:</t>
  </si>
  <si>
    <t>Created for:</t>
  </si>
  <si>
    <t>Alejandra Marin, Texas Tech University - Faculty</t>
  </si>
  <si>
    <t>All data copyright PitchBook Data, Inc.</t>
  </si>
  <si>
    <t>For customized data reports and analyses, contact us at:</t>
  </si>
  <si>
    <t>support@pitchbook.com</t>
  </si>
  <si>
    <t xml:space="preserve">This document and its contents may only be used or shared as permitted in </t>
  </si>
  <si>
    <t>the PitchBook subscription agreement.</t>
  </si>
  <si>
    <t>Subject to limited exceptions, this document may not be used or stored following the termination of your agreement with PitchBook.</t>
  </si>
  <si>
    <t>If you have any further questions or concerns, please contact client services at:</t>
  </si>
  <si>
    <t>+1 (206) 257-7775</t>
  </si>
  <si>
    <t>UK</t>
  </si>
  <si>
    <t>+44 (0)203 875 3504</t>
  </si>
  <si>
    <t>SG</t>
  </si>
  <si>
    <t>+65 6016 4771</t>
  </si>
  <si>
    <t>Or by email</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</si>
</sst>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82" formatCode="#,###"/>
    <numFmt numFmtId="83" formatCode="dd-MMM-yyyy"/>
    <numFmt numFmtId="84" formatCode="#,##0.00;[red](#,##0.00)"/>
    <numFmt numFmtId="85" formatCode="#,##0.00&quot;%&quot;;[red]-#,##0.00&quot;%&quot;"/>
    <numFmt numFmtId="86" formatCode="#,##0;[red](#,##0)"/>
    <numFmt numFmtId="87" formatCode="#,##0.00;[red]-#,##0.00"/>
    <numFmt numFmtId="88" formatCode="0000"/>
    <numFmt numFmtId="89" formatCode="dd-mmm-yyyy"/>
  </numFmts>
  <fonts count="23">
    <font>
      <sz val="11"/>
      <color theme="1"/>
      <name val="Calibri"/>
      <family val="2"/>
      <scheme val="minor"/>
    </font>
    <font>
      <b/>
      <sz val="8"/>
      <color rgb="FFFFFFFF"/>
      <name val="Arial"/>
      <family val="2"/>
    </font>
    <font>
      <sz val="8"/>
      <color theme="1"/>
      <name val="Arial"/>
      <family val="2"/>
    </font>
    <font>
      <sz val="8"/>
      <color rgb="FF0015FF"/>
      <name val="Arial"/>
      <family val="2"/>
    </font>
    <font>
      <sz val="8"/>
      <color theme="1"/>
      <name val="Arial"/>
      <family val="2"/>
    </font>
    <font>
      <b/>
      <sz val="8"/>
      <color rgb="FF800000"/>
      <name val="Arial"/>
      <family val="2"/>
    </font>
    <font>
      <u/>
      <sz val="11"/>
      <color rgb="FF0563C1"/>
      <name val="Calibri"/>
    </font>
    <font>
      <b/>
      <sz val="8"/>
      <color rgb="FF0015FF"/>
      <name val="Arial"/>
      <family val="2"/>
    </font>
    <font>
      <b/>
      <sz val="16"/>
      <color theme="1"/>
      <name val="Arial"/>
      <family val="2"/>
    </font>
    <font>
      <sz val="8"/>
      <color theme="1"/>
      <name val="Arial"/>
      <family val="2"/>
    </font>
    <font>
      <sz val="8"/>
      <color theme="1"/>
      <name val="Arial"/>
      <family val="2"/>
    </font>
    <font>
      <sz val="8"/>
      <color theme="1"/>
      <name val="Arial"/>
      <family val="2"/>
    </font>
    <font>
      <sz val="8"/>
      <color rgb="FF0015FF"/>
      <name val="Arial"/>
      <family val="2"/>
    </font>
    <font>
      <sz val="11"/>
      <color theme="1"/>
      <name val="Calibri"/>
      <family val="2"/>
      <scheme val="minor"/>
    </font>
    <font>
      <b/>
      <sz val="14"/>
      <color theme="1"/>
      <name val="Arial"/>
      <family val="2"/>
    </font>
    <font>
      <b/>
      <sz val="14"/>
      <color theme="1"/>
      <name val="Arial"/>
      <family val="2"/>
    </font>
    <font>
      <b/>
      <sz val="14"/>
      <color theme="1"/>
      <name val="Arial"/>
      <family val="2"/>
    </font>
    <font>
      <i/>
      <sz val="10"/>
      <color theme="1"/>
      <name val="Arial"/>
      <family val="2"/>
    </font>
    <font>
      <i/>
      <sz val="10"/>
      <color theme="1"/>
      <name val="Arial"/>
      <family val="2"/>
    </font>
    <font>
      <i/>
      <sz val="10"/>
      <color theme="1"/>
      <name val="Arial"/>
      <family val="2"/>
    </font>
    <font>
      <i/>
      <sz val="10"/>
      <color rgb="FF0015FF"/>
      <name val="Arial"/>
      <family val="2"/>
    </font>
    <font>
      <i/>
      <sz val="10"/>
      <color rgb="FF0015FF"/>
      <name val="Arial"/>
      <family val="2"/>
    </font>
    <font>
      <i/>
      <sz val="10"/>
      <color rgb="FF0015FF"/>
      <name val="Arial"/>
      <family val="2"/>
    </font>
  </fonts>
  <fills count="5">
    <fill>
      <patternFill patternType="none"/>
    </fill>
    <fill>
      <patternFill patternType="gray125"/>
    </fill>
    <fill>
      <patternFill patternType="solid">
        <fgColor rgb="FF4F81BD"/>
        <bgColor rgb="FF4F81BD"/>
      </patternFill>
    </fill>
    <fill>
      <patternFill patternType="solid">
        <fgColor rgb="FFEEF3F8"/>
        <bgColor rgb="FFEEF3F8"/>
      </patternFill>
    </fill>
    <fill>
      <patternFill patternType="solid">
        <fgColor rgb="FFFFFFFF"/>
        <bgColor rgb="FFFFFFFF"/>
      </patternFill>
    </fill>
  </fills>
  <borders count="3">
    <border>
      <left/>
      <right/>
      <top/>
      <bottom/>
      <diagonal/>
    </border>
    <border>
      <left/>
      <right style="thin">
        <color rgb="FFD3D3D3"/>
      </right>
      <top/>
      <bottom/>
      <diagonal/>
    </border>
    <border>
      <left/>
      <right style="dashed">
        <color rgb="FFD3D3D3"/>
      </right>
      <top/>
      <bottom/>
      <diagonal/>
    </border>
  </borders>
  <cellStyleXfs count="18">
    <xf numFmtId="0" fontId="0" fillId="0" borderId="0"/>
    <xf numFmtId="0" fontId="1" fillId="0" borderId="0">
      <alignment horizontal="center" vertical="center" wrapText="1"/>
    </xf>
    <xf numFmtId="0" fontId="2" fillId="0" borderId="0">
      <alignment horizontal="left" vertical="center"/>
    </xf>
    <xf numFmtId="0" fontId="2" fillId="0" borderId="0">
      <alignment horizontal="right" vertical="center"/>
    </xf>
    <xf numFmtId="0" fontId="3" fillId="0" borderId="0">
      <alignment horizontal="left" vertical="center" indent="1"/>
    </xf>
    <xf numFmtId="0" fontId="11" fillId="0" borderId="0"/>
    <xf numFmtId="0" fontId="2" fillId="0" borderId="0">
      <alignment horizontal="right" vertical="center"/>
    </xf>
    <xf numFmtId="0" fontId="6" fillId="0" borderId="0" applyNumberFormat="0" applyFill="0" applyBorder="0" applyAlignment="0" applyProtection="0"/>
    <xf numFmtId="0" fontId="7" fillId="0" borderId="0">
      <alignment horizontal="left" vertical="center"/>
    </xf>
    <xf numFmtId="0" fontId="2" fillId="0" borderId="0">
      <alignment horizontal="right" vertical="top"/>
    </xf>
    <xf numFmtId="0" fontId="5" fillId="0" borderId="0">
      <alignment horizontal="left" vertical="top" wrapText="1"/>
    </xf>
    <xf numFmtId="0" fontId="8" fillId="0" borderId="0">
      <alignment horizontal="left" vertical="center"/>
    </xf>
    <xf numFmtId="0" fontId="11" fillId="0" borderId="0">
      <alignment horizontal="right" vertical="center"/>
    </xf>
    <xf numFmtId="0" fontId="11" fillId="0" borderId="0">
      <alignment horizontal="left" vertical="center"/>
    </xf>
    <xf numFmtId="0" fontId="16" fillId="0" borderId="0"/>
    <xf numFmtId="0" fontId="19" fillId="0" borderId="0"/>
    <xf numFmtId="0" fontId="22" fillId="0" borderId="0"/>
    <xf numFmtId="0" fontId="19" fillId="0" borderId="0">
      <alignment horizontal="right"/>
    </xf>
  </cellStyleXfs>
  <cellXfs count="49">
    <xf numFmtId="0" fontId="0" fillId="0" borderId="0" xfId="0"/>
    <xf numFmtId="89" fontId="11" fillId="0" borderId="0" xfId="13" applyNumberFormat="1">
      <alignment horizontal="left" vertical="center"/>
    </xf>
    <xf numFmtId="0" fontId="1" fillId="2" borderId="0" xfId="1" applyFill="1">
      <alignment horizontal="center" vertical="center" wrapText="1"/>
    </xf>
    <xf numFmtId="0" fontId="12" fillId="3" borderId="2" xfId="4" applyNumberFormat="1" applyFont="1" applyFill="1" applyBorder="1" applyAlignment="1" applyProtection="1">
      <alignment horizontal="left" vertical="center" indent="1"/>
    </xf>
    <xf numFmtId="0" fontId="12" fillId="4" borderId="2" xfId="4" applyNumberFormat="1" applyFont="1" applyFill="1" applyBorder="1" applyAlignment="1" applyProtection="1">
      <alignment horizontal="left" vertical="center" indent="1"/>
    </xf>
    <xf numFmtId="0" fontId="0" fillId="0" borderId="0" xfId="0">
      <protection locked="0"/>
    </xf>
    <xf numFmtId="0" fontId="0" fillId="0" borderId="0" xfId="0">
      <protection locked="0"/>
    </xf>
    <xf numFmtId="0" fontId="0" fillId="0" borderId="0" xfId="0">
      <protection locked="0"/>
    </xf>
    <xf numFmtId="0" fontId="0" fillId="0" borderId="0" xfId="0">
      <protection locked="0"/>
    </xf>
    <xf numFmtId="0" fontId="0" fillId="0" borderId="0" xfId="0">
      <protection locked="0"/>
    </xf>
    <xf numFmtId="0" fontId="0" fillId="0" borderId="0" xfId="0">
      <protection locked="0"/>
    </xf>
    <xf numFmtId="0" fontId="0" fillId="0" borderId="0" xfId="0">
      <protection locked="0"/>
    </xf>
    <xf numFmtId="0" fontId="0" fillId="0" borderId="0" xfId="0">
      <protection locked="0"/>
    </xf>
    <xf numFmtId="0" fontId="3" fillId="3" borderId="2" xfId="4" applyFill="1" applyBorder="1" applyAlignment="1">
      <alignment horizontal="left" vertical="center" indent="1"/>
    </xf>
    <xf numFmtId="0" fontId="2" fillId="3" borderId="2" xfId="2" applyFill="1" applyBorder="1" applyAlignment="1">
      <alignment horizontal="left" vertical="center" indent="1"/>
    </xf>
    <xf numFmtId="82" fontId="2" fillId="3" borderId="2" xfId="3" applyNumberFormat="1" applyFill="1" applyBorder="1" applyAlignment="1">
      <alignment horizontal="right" vertical="center" indent="1"/>
    </xf>
    <xf numFmtId="87" fontId="2" fillId="3" borderId="2" xfId="3" applyNumberFormat="1" applyFill="1" applyBorder="1" applyAlignment="1">
      <alignment horizontal="right" vertical="center" indent="1"/>
    </xf>
    <xf numFmtId="85" fontId="2" fillId="3" borderId="2" xfId="3" applyNumberFormat="1" applyFill="1" applyBorder="1" applyAlignment="1">
      <alignment horizontal="right" vertical="center" indent="1"/>
    </xf>
    <xf numFmtId="84" fontId="2" fillId="3" borderId="2" xfId="3" applyNumberFormat="1" applyFill="1" applyBorder="1" applyAlignment="1">
      <alignment horizontal="right" vertical="center" indent="1"/>
    </xf>
    <xf numFmtId="83" fontId="2" fillId="3" borderId="2" xfId="3" applyNumberFormat="1" applyFill="1" applyBorder="1" applyAlignment="1">
      <alignment horizontal="right" vertical="center" indent="1"/>
    </xf>
    <xf numFmtId="88" fontId="2" fillId="3" borderId="2" xfId="3" applyNumberFormat="1" applyFill="1" applyBorder="1" applyAlignment="1">
      <alignment horizontal="right" vertical="center" indent="1"/>
    </xf>
    <xf numFmtId="0" fontId="2" fillId="3" borderId="2" xfId="3" applyFill="1" applyBorder="1" applyAlignment="1">
      <alignment horizontal="right" vertical="center" indent="1"/>
    </xf>
    <xf numFmtId="86" fontId="2" fillId="3" borderId="2" xfId="3" applyNumberFormat="1" applyFill="1" applyBorder="1" applyAlignment="1">
      <alignment horizontal="right" vertical="center" indent="1"/>
    </xf>
    <xf numFmtId="82" fontId="2" fillId="3" borderId="2" xfId="2" applyNumberFormat="1" applyFill="1" applyBorder="1" applyAlignment="1">
      <alignment horizontal="left" vertical="center" indent="1"/>
    </xf>
    <xf numFmtId="0" fontId="3" fillId="4" borderId="2" xfId="4" applyFill="1" applyBorder="1" applyAlignment="1">
      <alignment horizontal="left" vertical="center" indent="1"/>
    </xf>
    <xf numFmtId="0" fontId="2" fillId="4" borderId="2" xfId="2" applyFill="1" applyBorder="1" applyAlignment="1">
      <alignment horizontal="left" vertical="center" indent="1"/>
    </xf>
    <xf numFmtId="82" fontId="2" fillId="4" borderId="2" xfId="3" applyNumberFormat="1" applyFill="1" applyBorder="1" applyAlignment="1">
      <alignment horizontal="right" vertical="center" indent="1"/>
    </xf>
    <xf numFmtId="87" fontId="2" fillId="4" borderId="2" xfId="3" applyNumberFormat="1" applyFill="1" applyBorder="1" applyAlignment="1">
      <alignment horizontal="right" vertical="center" indent="1"/>
    </xf>
    <xf numFmtId="85" fontId="2" fillId="4" borderId="2" xfId="3" applyNumberFormat="1" applyFill="1" applyBorder="1" applyAlignment="1">
      <alignment horizontal="right" vertical="center" indent="1"/>
    </xf>
    <xf numFmtId="84" fontId="2" fillId="4" borderId="2" xfId="3" applyNumberFormat="1" applyFill="1" applyBorder="1" applyAlignment="1">
      <alignment horizontal="right" vertical="center" indent="1"/>
    </xf>
    <xf numFmtId="83" fontId="2" fillId="4" borderId="2" xfId="3" applyNumberFormat="1" applyFill="1" applyBorder="1" applyAlignment="1">
      <alignment horizontal="right" vertical="center" indent="1"/>
    </xf>
    <xf numFmtId="88" fontId="2" fillId="4" borderId="2" xfId="3" applyNumberFormat="1" applyFill="1" applyBorder="1" applyAlignment="1">
      <alignment horizontal="right" vertical="center" indent="1"/>
    </xf>
    <xf numFmtId="0" fontId="2" fillId="4" borderId="2" xfId="3" applyFill="1" applyBorder="1" applyAlignment="1">
      <alignment horizontal="right" vertical="center" indent="1"/>
    </xf>
    <xf numFmtId="86" fontId="2" fillId="4" borderId="2" xfId="3" applyNumberFormat="1" applyFill="1" applyBorder="1" applyAlignment="1">
      <alignment horizontal="right" vertical="center" indent="1"/>
    </xf>
    <xf numFmtId="82" fontId="2" fillId="4" borderId="2" xfId="2" applyNumberFormat="1" applyFill="1" applyBorder="1" applyAlignment="1">
      <alignment horizontal="left" vertical="center" indent="1"/>
    </xf>
    <xf numFmtId="0" fontId="11" fillId="0" borderId="0" xfId="5"/>
    <xf numFmtId="0" fontId="2" fillId="0" borderId="0" xfId="6">
      <alignment horizontal="right" vertical="center"/>
    </xf>
    <xf numFmtId="0" fontId="0" fillId="0" borderId="0" xfId="0">
      <protection locked="0"/>
    </xf>
    <xf numFmtId="0" fontId="7" fillId="0" borderId="0" xfId="8">
      <alignment horizontal="left" vertical="center"/>
    </xf>
    <xf numFmtId="0" fontId="2" fillId="0" borderId="0" xfId="9">
      <alignment horizontal="right" vertical="top"/>
    </xf>
    <xf numFmtId="0" fontId="5" fillId="0" borderId="0" xfId="10">
      <alignment horizontal="left" vertical="top" wrapText="1"/>
    </xf>
    <xf numFmtId="0" fontId="8" fillId="0" borderId="0" xfId="11">
      <alignment horizontal="left" vertical="center"/>
    </xf>
    <xf numFmtId="0" fontId="11" fillId="0" borderId="0" xfId="12">
      <alignment horizontal="right" vertical="center"/>
    </xf>
    <xf numFmtId="0" fontId="11" fillId="0" borderId="0" xfId="13">
      <alignment horizontal="left" vertical="center"/>
    </xf>
    <xf numFmtId="0" fontId="16" fillId="0" borderId="0" xfId="14"/>
    <xf numFmtId="0" fontId="19" fillId="0" borderId="0" xfId="15"/>
    <xf numFmtId="0" fontId="0" fillId="0" borderId="0" xfId="0">
      <protection locked="0"/>
    </xf>
    <xf numFmtId="0" fontId="22" fillId="0" borderId="0" xfId="16"/>
    <xf numFmtId="0" fontId="19" fillId="0" borderId="0" xfId="17">
      <alignment horizontal="right"/>
    </xf>
  </cellXfs>
  <cellStyles count="18">
    <cellStyle name="Normal" xfId="0" builtinId="0"/>
    <cellStyle name="TableColumnHeaderTitleStyle" xfId="1"/>
    <cellStyle name="leftRowValueCell" xfId="2"/>
    <cellStyle name="rightRowValueCell" xfId="3"/>
    <cellStyle name="hyperLinkRowValueStyle" xfId="4"/>
    <cellStyle name="FooterStyle" xfId="5"/>
    <cellStyle name="EntityNameHeaderTitleStyle" xfId="6"/>
    <cellStyle name="Hyperlink" xfId="7" builtinId="8"/>
    <cellStyle name="SearchLinkHeaderValueStyle" xfId="8"/>
    <cellStyle name="SearchCriteriaHeaderTitleStyle" xfId="9"/>
    <cellStyle name="SearchCriteriaHeaderValueStyle" xfId="10"/>
    <cellStyle name="templatesHeaderTitleStyle" xfId="11"/>
    <cellStyle name="HeaderDetailsTitleArialStyle" xfId="12"/>
    <cellStyle name="HeaderDetailsValueArialStyle" xfId="13"/>
    <cellStyle name="AllDataCopyrightStyle" xfId="14"/>
    <cellStyle name="Arial10ItalicStyle" xfId="15"/>
    <cellStyle name="Arial10ItalicBlueStyle" xfId="16"/>
    <cellStyle name="Arial10ItalicStyleWithRightAlignment" xfId="17"/>
  </cellStyles>
  <dxfs count="0"/>
  <tableStyles count="0" defaultTableStyle="TableStyleMedium2"/>
  <extLst xmlns="http://schemas.openxmlformats.org/spreadsheetml/2006/main">
    <ext xmlns:x14="http://schemas.microsoft.com/office/spreadsheetml/2009/9/main" uri="{EB79DEF2-80B8-43e5-95BD-54CBDDF9020C}">
      <x14:slicerStyles defaultSlicerStyle="SlicerStyleLight1"/>
    </ext>
  </extLst>
</styleSheet>
</file>

<file path=xl/_rels/workbook.xml.rels><?xml version="1.0" encoding="UTF-8"?><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drawings/_rels/drawing1.xml.rels><?xml version="1.0" encoding="UTF-8"?><Relationships xmlns="http://schemas.openxmlformats.org/package/2006/relationships"><Relationship Id="rId1" Type="http://schemas.openxmlformats.org/officeDocument/2006/relationships/image" Target="../media/image1.png"/></Relationships>
</file>

<file path=xl/drawings/drawing1.xml><?xml version="1.0" encoding="utf-8"?>
<xdr:wsDr xmlns:a="http://schemas.openxmlformats.org/drawingml/2006/main" xmlns:xdr="http://schemas.openxmlformats.org/drawingml/2006/spreadsheetDrawing" xmlns:mc="http://schemas.openxmlformats.org/markup-compatibility/2006" xmlns:a14="http://schemas.microsoft.com/office/drawing/2010/main">
  <xdr:twoCellAnchor xmlns:xdr="http://schemas.openxmlformats.org/drawingml/2006/spreadsheetDrawing">
    <xdr:from>
      <xdr:col>0</xdr:col>
      <xdr:colOff>57150</xdr:colOff>
      <xdr:row>0</xdr:row>
      <xdr:rowOff>47625</xdr:rowOff>
    </xdr:from>
    <xdr:to>
      <xdr:col>1</xdr:col>
      <xdr:colOff>1381125</xdr:colOff>
      <xdr:row>1</xdr:row>
      <xdr:rowOff>155575</xdr:rowOff>
    </xdr:to>
    <xdr:pic xmlns:xdr="http://schemas.openxmlformats.org/drawingml/2006/spreadsheetDrawing">
      <xdr:nvPicPr xmlns:xdr="http://schemas.openxmlformats.org/drawingml/2006/spreadsheetDrawing">
        <xdr:cNvPr xmlns:xdr="http://schemas.openxmlformats.org/drawingml/2006/spreadsheetDrawing" id="2" name="Picture 1"/>
        <xdr:cNvPicPr xmlns:xdr="http://schemas.openxmlformats.org/drawingml/2006/spreadsheetDrawing">
          <a:picLocks xmlns:a="http://schemas.openxmlformats.org/drawingml/2006/main" noChangeAspect="1"/>
          <a:extLst xmlns:a="http://schemas.openxmlformats.org/drawingml/2006/main"/>
        </xdr:cNvPicPr>
      </xdr:nvPicPr>
      <xdr:blipFill xmlns:xdr="http://schemas.openxmlformats.org/drawingml/2006/spreadsheetDrawing">
        <a:blip xmlns:a="http://schemas.openxmlformats.org/drawingml/2006/main" xmlns:r="http://schemas.openxmlformats.org/officeDocument/2006/relationships" r:embed="rId1"/>
        <a:srcRect/>
        <a:stretch xmlns:a="http://schemas.openxmlformats.org/drawingml/2006/main">
          <a:fillRect/>
        </a:stretch>
      </xdr:blipFill>
      <xdr:spPr xmlns:xdr="http://schemas.openxmlformats.org/drawingml/2006/spreadsheetDrawing">
        <a:xfrm xmlns:a="http://schemas.openxmlformats.org/drawingml/2006/main">
          <a:off x="57150" y="47625"/>
          <a:ext cx="2171700" cy="361950"/>
        </a:xfrm>
        <a:prstGeom xmlns:a="http://schemas.openxmlformats.org/drawingml/2006/main" prst="rect"/>
        <a:ln xmlns:a="http://schemas.openxmlformats.org/drawingml/2006/main" w="9525">
          <a:noFill/>
        </a:ln>
        <a:effectLst xmlns:a="http://schemas.openxmlformats.org/drawingml/2006/main"/>
        <a:extLst xmlns:a="http://schemas.openxmlformats.org/drawingml/2006/main"/>
      </xdr:spPr>
    </xdr:pic>
    <xdr:clientData/>
  </xdr:twoCellAnchor>
</xdr:wsDr>
</file>

<file path=xl/theme/theme1.xml><?xml version="1.0" encoding="utf-8"?>
<a:theme xmlns:a="http://schemas.openxmlformats.org/drawingml/2006/main" name="Office Theme">
  <a:themeElements>
    <a:clrScheme name="Office Them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Them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Theme">
      <a:fillStyleLst xmlns:a="http://schemas.openxmlformats.org/drawingml/2006/main">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xmlns:a="http://schemas.openxmlformats.org/drawingml/2006/main">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xmlns:a="http://schemas.openxmlformats.org/drawingml/2006/main">
        <a:effectStyle>
          <a:effectLst/>
        </a:effectStyle>
        <a:effectStyle>
          <a:effectLst/>
        </a:effectStyle>
        <a:effectStyle>
          <a:effectLst>
            <a:outerShdw blurRad="57150" dist="19050" dir="5400000" algn="ctr" rotWithShape="0">
              <a:srgbClr val="000000">
                <a:alpha val="63000"/>
              </a:srgbClr>
            </a:outerShdw>
          </a:effectLst>
        </a:effectStyle>
      </a:effectStyleLst>
      <a:bgFillStyleLst xmlns:a="http://schemas.openxmlformats.org/drawingml/2006/main">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Id="rId1" Type="http://schemas.openxmlformats.org/officeDocument/2006/relationships/hyperlink" Target="https://my.pitchbook.com/?pcc=1084035-61" TargetMode="External"/><Relationship Id="rId2" Type="http://schemas.openxmlformats.org/officeDocument/2006/relationships/drawing" Target="../drawings/drawing1.xml"/></Relationships>
</file>

<file path=xl/worksheets/_rels/sheet2.xml.rels><?xml version="1.0" encoding="UTF-8"?><Relationships xmlns="http://schemas.openxmlformats.org/package/2006/relationships"><Relationship Id="rId1" Type="http://schemas.openxmlformats.org/officeDocument/2006/relationships/hyperlink" Target="support@pitchbook.com" TargetMode="External"/><Relationship Id="rId2" Type="http://schemas.openxmlformats.org/officeDocument/2006/relationships/hyperlink" Target="https://pitchbook.com/subscription-agreement" TargetMode="External"/><Relationship Id="rId3" Type="http://schemas.openxmlformats.org/officeDocument/2006/relationships/hyperlink" Target="support@pitchbook.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dr="http://schemas.openxmlformats.org/drawingml/2006/spreadsheetDrawing" xmlns:a14="http://schemas.microsoft.com/office/drawing/2010/main" xmlns:x14="http://schemas.microsoft.com/office/spreadsheetml/2009/9/main" mc:Ignorable="x14ac">
  <dimension ref="A1:FH1004"/>
  <sheetViews>
    <sheetView showGridLines="0" workbookViewId="0">
      <selection sqref="A1"/>
    </sheetView>
  </sheetViews>
  <sheetFormatPr defaultRowHeight="15"/>
  <cols>
    <col min="1" max="1" width="12.7109375" customWidth="1"/>
    <col min="2" max="2" width="55.140625" customWidth="1"/>
    <col min="3" max="3" width="16.85546875" customWidth="1"/>
    <col min="4" max="4" width="20.7109375" customWidth="1"/>
    <col min="5" max="5" width="31.28515625" customWidth="1"/>
    <col min="6" max="6" width="16.140625" customWidth="1"/>
    <col min="7" max="7" width="41.7109375" customWidth="1"/>
    <col min="8" max="8" width="18.7109375" customWidth="1"/>
    <col min="9" max="9" width="39.7109375" customWidth="1"/>
    <col min="10" max="10" width="38.28515625" customWidth="1"/>
    <col min="11" max="12" width="31.28515625" customWidth="1"/>
    <col min="13" max="13" width="29.85546875" customWidth="1"/>
    <col min="14" max="14" width="34" customWidth="1"/>
    <col min="15" max="15" width="29.140625" customWidth="1"/>
    <col min="16" max="17" width="29.5703125" customWidth="1"/>
    <col min="18" max="19" width="28.28515625" customWidth="1"/>
    <col min="20" max="20" width="26.7109375" customWidth="1"/>
    <col min="21" max="21" width="15.140625" customWidth="1"/>
    <col min="22" max="22" width="24.5703125" customWidth="1"/>
    <col min="23" max="23" width="16.5703125" customWidth="1"/>
    <col min="24" max="24" width="27.5703125" customWidth="1"/>
    <col min="25" max="25" width="76.85546875" customWidth="1"/>
    <col min="26" max="26" width="42.5703125" customWidth="1"/>
    <col min="27" max="33" width="25.28515625" customWidth="1"/>
    <col min="34" max="35" width="15.140625" customWidth="1"/>
    <col min="36" max="36" width="20" customWidth="1"/>
    <col min="37" max="37" width="17.5703125" customWidth="1"/>
    <col min="38" max="38" width="15.140625" customWidth="1"/>
    <col min="39" max="39" width="20.42578125" customWidth="1"/>
    <col min="40" max="40" width="24.85546875" customWidth="1"/>
    <col min="41" max="41" width="19" customWidth="1"/>
    <col min="42" max="42" width="25.28515625" customWidth="1"/>
    <col min="43" max="44" width="19" customWidth="1"/>
    <col min="45" max="45" width="16.140625" customWidth="1"/>
    <col min="46" max="46" width="19" customWidth="1"/>
    <col min="47" max="47" width="15.140625" customWidth="1"/>
    <col min="48" max="48" width="27.5703125" customWidth="1"/>
    <col min="49" max="49" width="19.85546875" customWidth="1"/>
    <col min="50" max="50" width="11.5703125" customWidth="1"/>
    <col min="51" max="51" width="28.5703125" customWidth="1"/>
    <col min="52" max="53" width="18" customWidth="1"/>
    <col min="54" max="54" width="26.7109375" customWidth="1"/>
    <col min="55" max="55" width="16.5703125" customWidth="1"/>
    <col min="56" max="56" width="136.5703125" customWidth="1"/>
    <col min="57" max="57" width="23.85546875" customWidth="1"/>
    <col min="58" max="58" width="25" customWidth="1"/>
    <col min="59" max="59" width="15.140625" customWidth="1"/>
    <col min="60" max="60" width="26" customWidth="1"/>
    <col min="61" max="61" width="27.42578125" customWidth="1"/>
    <col min="62" max="62" width="25.28515625" customWidth="1"/>
    <col min="63" max="63" width="22.7109375" customWidth="1"/>
    <col min="64" max="64" width="16.28515625" customWidth="1"/>
    <col min="65" max="65" width="20.140625" customWidth="1"/>
    <col min="66" max="66" width="22.42578125" customWidth="1"/>
    <col min="67" max="67" width="18.7109375" customWidth="1"/>
    <col min="68" max="68" width="26.7109375" customWidth="1"/>
    <col min="69" max="69" width="20.7109375" customWidth="1"/>
    <col min="70" max="70" width="29.5703125" customWidth="1"/>
    <col min="71" max="71" width="25.28515625" customWidth="1"/>
    <col min="72" max="72" width="27" customWidth="1"/>
    <col min="73" max="73" width="29.5703125" customWidth="1"/>
    <col min="74" max="74" width="26.7109375" customWidth="1"/>
    <col min="75" max="75" width="121.5703125" customWidth="1"/>
    <col min="76" max="76" width="32.85546875" customWidth="1"/>
    <col min="77" max="77" width="37.5703125" customWidth="1"/>
    <col min="78" max="78" width="26.7109375" customWidth="1"/>
    <col min="79" max="79" width="30.5703125" customWidth="1"/>
    <col min="80" max="80" width="44.42578125" customWidth="1"/>
    <col min="81" max="81" width="30.85546875" customWidth="1"/>
    <col min="82" max="82" width="34" customWidth="1"/>
    <col min="83" max="84" width="17.28515625" customWidth="1"/>
    <col min="85" max="85" width="34.140625" customWidth="1"/>
    <col min="86" max="86" width="18.7109375" customWidth="1"/>
    <col min="87" max="87" width="18.42578125" customWidth="1"/>
    <col min="88" max="89" width="15.140625" customWidth="1"/>
    <col min="90" max="90" width="24.5703125" customWidth="1"/>
    <col min="91" max="91" width="15.5703125" customWidth="1"/>
    <col min="92" max="92" width="21.85546875" customWidth="1"/>
    <col min="93" max="93" width="19.42578125" customWidth="1"/>
    <col min="94" max="94" width="25.7109375" customWidth="1"/>
    <col min="95" max="95" width="23.140625" customWidth="1"/>
    <col min="96" max="96" width="24.42578125" customWidth="1"/>
    <col min="97" max="97" width="21.42578125" customWidth="1"/>
    <col min="98" max="98" width="18.7109375" customWidth="1"/>
    <col min="99" max="99" width="25.140625" customWidth="1"/>
    <col min="100" max="100" width="22.5703125" customWidth="1"/>
    <col min="101" max="101" width="23.85546875" customWidth="1"/>
    <col min="102" max="103" width="18.7109375" customWidth="1"/>
    <col min="104" max="104" width="22.7109375" customWidth="1"/>
    <col min="105" max="105" width="20.28515625" customWidth="1"/>
    <col min="106" max="106" width="26.5703125" customWidth="1"/>
    <col min="107" max="107" width="24" customWidth="1"/>
    <col min="108" max="108" width="25.28515625" customWidth="1"/>
    <col min="109" max="109" width="21.42578125" customWidth="1"/>
    <col min="110" max="110" width="23.140625" customWidth="1"/>
    <col min="111" max="112" width="23.85546875" customWidth="1"/>
    <col min="113" max="113" width="27.5703125" customWidth="1"/>
    <col min="114" max="114" width="21" customWidth="1"/>
    <col min="115" max="115" width="28" customWidth="1"/>
    <col min="116" max="116" width="23.85546875" customWidth="1"/>
    <col min="117" max="117" width="26.85546875" customWidth="1"/>
    <col min="118" max="118" width="22.42578125" customWidth="1"/>
    <col min="119" max="120" width="20.7109375" customWidth="1"/>
    <col min="121" max="121" width="55.140625" customWidth="1"/>
    <col min="122" max="122" width="18" customWidth="1"/>
    <col min="123" max="123" width="16.140625" customWidth="1"/>
    <col min="124" max="124" width="17.5703125" customWidth="1"/>
    <col min="125" max="125" width="26.7109375" customWidth="1"/>
    <col min="126" max="132" width="16.140625" customWidth="1"/>
    <col min="133" max="133" width="15.140625" customWidth="1"/>
    <col min="134" max="134" width="16.140625" customWidth="1"/>
    <col min="135" max="135" width="15.140625" customWidth="1"/>
    <col min="136" max="141" width="16.140625" customWidth="1"/>
    <col min="142" max="144" width="15.140625" customWidth="1"/>
    <col min="145" max="148" width="16.140625" customWidth="1"/>
    <col min="149" max="154" width="15.140625" customWidth="1"/>
    <col min="155" max="156" width="16.140625" customWidth="1"/>
    <col min="157" max="163" width="29.5703125" customWidth="1"/>
    <col min="164" max="164" width="18.7109375" customWidth="1"/>
  </cols>
  <sheetData>
    <row r="1" ht="20" customHeight="1">
      <c r="D1" s="41" t="s">
        <v>18986</v>
      </c>
    </row>
    <row r="2" ht="18" customHeight="1"/>
    <row r="3">
      <c r="A3" s="36" t="s">
        <v>18982</v>
      </c>
      <c r="B3" s="38" t="s">
        <v>18983</v>
      </c>
    </row>
    <row r="4">
      <c r="A4" s="39" t="s">
        <v>18984</v>
      </c>
      <c r="B4" s="40" t="s">
        <v>18985</v>
      </c>
      <c r="E4" s="42" t="s">
        <v>18987</v>
      </c>
      <c r="F4" s="1">
        <v>45617</v>
      </c>
    </row>
    <row r="5">
      <c r="E5" s="42" t="s">
        <v>18988</v>
      </c>
      <c r="F5" s="43" t="s">
        <v>18989</v>
      </c>
    </row>
    <row r="9" ht="35" customHeight="1">
      <c r="A9" s="2" t="s">
        <v>0</v>
      </c>
      <c r="B9" s="2" t="s">
        <v>1</v>
      </c>
      <c r="C9" s="2" t="s">
        <v>2</v>
      </c>
      <c r="D9" s="2" t="s">
        <v>3</v>
      </c>
      <c r="E9" s="2" t="s">
        <v>4</v>
      </c>
      <c r="F9" s="2" t="s">
        <v>5</v>
      </c>
      <c r="G9" s="2" t="s">
        <v>6</v>
      </c>
      <c r="H9" s="2" t="s">
        <v>7</v>
      </c>
      <c r="I9" s="2" t="s">
        <v>8</v>
      </c>
      <c r="J9" s="2" t="s">
        <v>9</v>
      </c>
      <c r="K9" s="2" t="s">
        <v>10</v>
      </c>
      <c r="L9" s="2" t="s">
        <v>11</v>
      </c>
      <c r="M9" s="2" t="s">
        <v>12</v>
      </c>
      <c r="N9" s="2" t="s">
        <v>13</v>
      </c>
      <c r="O9" s="2" t="s">
        <v>14</v>
      </c>
      <c r="P9" s="2" t="s">
        <v>15</v>
      </c>
      <c r="Q9" s="2" t="s">
        <v>16</v>
      </c>
      <c r="R9" s="2" t="s">
        <v>17</v>
      </c>
      <c r="S9" s="2" t="s">
        <v>18</v>
      </c>
      <c r="T9" s="2" t="s">
        <v>19</v>
      </c>
      <c r="U9" s="2" t="s">
        <v>20</v>
      </c>
      <c r="V9" s="2" t="s">
        <v>21</v>
      </c>
      <c r="W9" s="2" t="s">
        <v>22</v>
      </c>
      <c r="X9" s="2" t="s">
        <v>23</v>
      </c>
      <c r="Y9" s="2" t="s">
        <v>24</v>
      </c>
      <c r="Z9" s="2" t="s">
        <v>25</v>
      </c>
      <c r="AA9" s="2" t="s">
        <v>26</v>
      </c>
      <c r="AB9" s="2" t="s">
        <v>27</v>
      </c>
      <c r="AC9" s="2" t="s">
        <v>28</v>
      </c>
      <c r="AD9" s="2" t="s">
        <v>29</v>
      </c>
      <c r="AE9" s="2" t="s">
        <v>30</v>
      </c>
      <c r="AF9" s="2" t="s">
        <v>31</v>
      </c>
      <c r="AG9" s="2" t="s">
        <v>32</v>
      </c>
      <c r="AH9" s="2" t="s">
        <v>33</v>
      </c>
      <c r="AI9" s="2" t="s">
        <v>0</v>
      </c>
      <c r="AJ9" s="2" t="s">
        <v>34</v>
      </c>
      <c r="AK9" s="2" t="s">
        <v>35</v>
      </c>
      <c r="AL9" s="2" t="s">
        <v>36</v>
      </c>
      <c r="AM9" s="2" t="s">
        <v>37</v>
      </c>
      <c r="AN9" s="2" t="s">
        <v>38</v>
      </c>
      <c r="AO9" s="2" t="s">
        <v>39</v>
      </c>
      <c r="AP9" s="2" t="s">
        <v>40</v>
      </c>
      <c r="AQ9" s="2" t="s">
        <v>41</v>
      </c>
      <c r="AR9" s="2" t="s">
        <v>42</v>
      </c>
      <c r="AS9" s="2" t="s">
        <v>43</v>
      </c>
      <c r="AT9" s="2" t="s">
        <v>44</v>
      </c>
      <c r="AU9" s="2" t="s">
        <v>45</v>
      </c>
      <c r="AV9" s="2" t="s">
        <v>46</v>
      </c>
      <c r="AW9" s="2" t="s">
        <v>47</v>
      </c>
      <c r="AX9" s="2" t="s">
        <v>48</v>
      </c>
      <c r="AY9" s="2" t="s">
        <v>49</v>
      </c>
      <c r="AZ9" s="2" t="s">
        <v>50</v>
      </c>
      <c r="BA9" s="2" t="s">
        <v>51</v>
      </c>
      <c r="BB9" s="2" t="s">
        <v>52</v>
      </c>
      <c r="BC9" s="2" t="s">
        <v>53</v>
      </c>
      <c r="BD9" s="2" t="s">
        <v>54</v>
      </c>
      <c r="BE9" s="2" t="s">
        <v>55</v>
      </c>
      <c r="BF9" s="2" t="s">
        <v>56</v>
      </c>
      <c r="BG9" s="2" t="s">
        <v>57</v>
      </c>
      <c r="BH9" s="2" t="s">
        <v>58</v>
      </c>
      <c r="BI9" s="2" t="s">
        <v>59</v>
      </c>
      <c r="BJ9" s="2" t="s">
        <v>60</v>
      </c>
      <c r="BK9" s="2" t="s">
        <v>61</v>
      </c>
      <c r="BL9" s="2" t="s">
        <v>62</v>
      </c>
      <c r="BM9" s="2" t="s">
        <v>63</v>
      </c>
      <c r="BN9" s="2" t="s">
        <v>64</v>
      </c>
      <c r="BO9" s="2" t="s">
        <v>65</v>
      </c>
      <c r="BP9" s="2" t="s">
        <v>66</v>
      </c>
      <c r="BQ9" s="2" t="s">
        <v>67</v>
      </c>
      <c r="BR9" s="2" t="s">
        <v>68</v>
      </c>
      <c r="BS9" s="2" t="s">
        <v>69</v>
      </c>
      <c r="BT9" s="2" t="s">
        <v>70</v>
      </c>
      <c r="BU9" s="2" t="s">
        <v>71</v>
      </c>
      <c r="BV9" s="2" t="s">
        <v>72</v>
      </c>
      <c r="BW9" s="2" t="s">
        <v>73</v>
      </c>
      <c r="BX9" s="2" t="s">
        <v>74</v>
      </c>
      <c r="BY9" s="2" t="s">
        <v>75</v>
      </c>
      <c r="BZ9" s="2" t="s">
        <v>76</v>
      </c>
      <c r="CA9" s="2" t="s">
        <v>77</v>
      </c>
      <c r="CB9" s="2" t="s">
        <v>78</v>
      </c>
      <c r="CC9" s="2" t="s">
        <v>79</v>
      </c>
      <c r="CD9" s="2" t="s">
        <v>80</v>
      </c>
      <c r="CE9" s="2" t="s">
        <v>81</v>
      </c>
      <c r="CF9" s="2" t="s">
        <v>82</v>
      </c>
      <c r="CG9" s="2" t="s">
        <v>83</v>
      </c>
      <c r="CH9" s="2" t="s">
        <v>84</v>
      </c>
      <c r="CI9" s="2" t="s">
        <v>85</v>
      </c>
      <c r="CJ9" s="2" t="s">
        <v>86</v>
      </c>
      <c r="CK9" s="2" t="s">
        <v>87</v>
      </c>
      <c r="CL9" s="2" t="s">
        <v>88</v>
      </c>
      <c r="CM9" s="2" t="s">
        <v>89</v>
      </c>
      <c r="CN9" s="2" t="s">
        <v>90</v>
      </c>
      <c r="CO9" s="2" t="s">
        <v>91</v>
      </c>
      <c r="CP9" s="2" t="s">
        <v>92</v>
      </c>
      <c r="CQ9" s="2" t="s">
        <v>93</v>
      </c>
      <c r="CR9" s="2" t="s">
        <v>94</v>
      </c>
      <c r="CS9" s="2" t="s">
        <v>95</v>
      </c>
      <c r="CT9" s="2" t="s">
        <v>96</v>
      </c>
      <c r="CU9" s="2" t="s">
        <v>97</v>
      </c>
      <c r="CV9" s="2" t="s">
        <v>98</v>
      </c>
      <c r="CW9" s="2" t="s">
        <v>99</v>
      </c>
      <c r="CX9" s="2" t="s">
        <v>100</v>
      </c>
      <c r="CY9" s="2" t="s">
        <v>101</v>
      </c>
      <c r="CZ9" s="2" t="s">
        <v>102</v>
      </c>
      <c r="DA9" s="2" t="s">
        <v>103</v>
      </c>
      <c r="DB9" s="2" t="s">
        <v>104</v>
      </c>
      <c r="DC9" s="2" t="s">
        <v>105</v>
      </c>
      <c r="DD9" s="2" t="s">
        <v>106</v>
      </c>
      <c r="DE9" s="2" t="s">
        <v>107</v>
      </c>
      <c r="DF9" s="2" t="s">
        <v>108</v>
      </c>
      <c r="DG9" s="2" t="s">
        <v>109</v>
      </c>
      <c r="DH9" s="2" t="s">
        <v>110</v>
      </c>
      <c r="DI9" s="2" t="s">
        <v>111</v>
      </c>
      <c r="DJ9" s="2" t="s">
        <v>112</v>
      </c>
      <c r="DK9" s="2" t="s">
        <v>113</v>
      </c>
      <c r="DL9" s="2" t="s">
        <v>114</v>
      </c>
      <c r="DM9" s="2" t="s">
        <v>115</v>
      </c>
      <c r="DN9" s="2" t="s">
        <v>116</v>
      </c>
      <c r="DO9" s="2" t="s">
        <v>117</v>
      </c>
      <c r="DP9" s="2" t="s">
        <v>118</v>
      </c>
      <c r="DQ9" s="2" t="s">
        <v>119</v>
      </c>
      <c r="DR9" s="2" t="s">
        <v>120</v>
      </c>
      <c r="DS9" s="2" t="s">
        <v>121</v>
      </c>
      <c r="DT9" s="2" t="s">
        <v>122</v>
      </c>
      <c r="DU9" s="2" t="s">
        <v>123</v>
      </c>
      <c r="DV9" s="2" t="s">
        <v>124</v>
      </c>
      <c r="DW9" s="2" t="s">
        <v>125</v>
      </c>
      <c r="DX9" s="2" t="s">
        <v>126</v>
      </c>
      <c r="DY9" s="2" t="s">
        <v>127</v>
      </c>
      <c r="DZ9" s="2" t="s">
        <v>128</v>
      </c>
      <c r="EA9" s="2" t="s">
        <v>129</v>
      </c>
      <c r="EB9" s="2" t="s">
        <v>130</v>
      </c>
      <c r="EC9" s="2" t="s">
        <v>131</v>
      </c>
      <c r="ED9" s="2" t="s">
        <v>132</v>
      </c>
      <c r="EE9" s="2" t="s">
        <v>133</v>
      </c>
      <c r="EF9" s="2" t="s">
        <v>134</v>
      </c>
      <c r="EG9" s="2" t="s">
        <v>135</v>
      </c>
      <c r="EH9" s="2" t="s">
        <v>136</v>
      </c>
      <c r="EI9" s="2" t="s">
        <v>137</v>
      </c>
      <c r="EJ9" s="2" t="s">
        <v>138</v>
      </c>
      <c r="EK9" s="2" t="s">
        <v>139</v>
      </c>
      <c r="EL9" s="2" t="s">
        <v>140</v>
      </c>
      <c r="EM9" s="2" t="s">
        <v>141</v>
      </c>
      <c r="EN9" s="2" t="s">
        <v>142</v>
      </c>
      <c r="EO9" s="2" t="s">
        <v>143</v>
      </c>
      <c r="EP9" s="2" t="s">
        <v>144</v>
      </c>
      <c r="EQ9" s="2" t="s">
        <v>145</v>
      </c>
      <c r="ER9" s="2" t="s">
        <v>146</v>
      </c>
      <c r="ES9" s="2" t="s">
        <v>147</v>
      </c>
      <c r="ET9" s="2" t="s">
        <v>148</v>
      </c>
      <c r="EU9" s="2" t="s">
        <v>149</v>
      </c>
      <c r="EV9" s="2" t="s">
        <v>150</v>
      </c>
      <c r="EW9" s="2" t="s">
        <v>151</v>
      </c>
      <c r="EX9" s="2" t="s">
        <v>152</v>
      </c>
      <c r="EY9" s="2" t="s">
        <v>153</v>
      </c>
      <c r="EZ9" s="2" t="s">
        <v>154</v>
      </c>
      <c r="FA9" s="2" t="s">
        <v>155</v>
      </c>
      <c r="FB9" s="2" t="s">
        <v>156</v>
      </c>
      <c r="FC9" s="2" t="s">
        <v>157</v>
      </c>
      <c r="FD9" s="2" t="s">
        <v>158</v>
      </c>
      <c r="FE9" s="2" t="s">
        <v>159</v>
      </c>
      <c r="FF9" s="2" t="s">
        <v>160</v>
      </c>
      <c r="FG9" s="2" t="s">
        <v>161</v>
      </c>
      <c r="FH9" s="2" t="s">
        <v>162</v>
      </c>
    </row>
    <row r="10">
      <c r="A10" s="14" t="s">
        <v>163</v>
      </c>
      <c r="B10" s="14" t="s">
        <v>164</v>
      </c>
      <c r="C10" s="14" t="s">
        <v>165</v>
      </c>
      <c r="D10" s="14" t="s">
        <v>166</v>
      </c>
      <c r="E10" s="23" t="s">
        <v>167</v>
      </c>
      <c r="F10" s="21">
        <v>3</v>
      </c>
      <c r="G10" s="14" t="s">
        <v>168</v>
      </c>
      <c r="H10" s="14" t="s">
        <v>166</v>
      </c>
      <c r="I10" s="14" t="s">
        <v>169</v>
      </c>
      <c r="J10" s="14" t="s">
        <v>170</v>
      </c>
      <c r="K10" s="14" t="s">
        <v>171</v>
      </c>
      <c r="L10" s="14" t="s">
        <v>172</v>
      </c>
      <c r="M10" s="14" t="s">
        <v>173</v>
      </c>
      <c r="N10" s="14" t="s">
        <v>174</v>
      </c>
      <c r="O10" s="14" t="s">
        <v>175</v>
      </c>
      <c r="P10" s="14" t="s">
        <v>176</v>
      </c>
      <c r="Q10" s="14" t="s">
        <v>166</v>
      </c>
      <c r="R10" s="14" t="s">
        <v>177</v>
      </c>
      <c r="S10" s="14" t="s">
        <v>178</v>
      </c>
      <c r="T10" s="14" t="s">
        <v>179</v>
      </c>
      <c r="U10" s="14" t="s">
        <v>180</v>
      </c>
      <c r="V10" s="14" t="s">
        <v>181</v>
      </c>
      <c r="W10" s="21" t="s">
        <v>182</v>
      </c>
      <c r="X10" s="14" t="s">
        <v>183</v>
      </c>
      <c r="Y10" s="14" t="s">
        <v>184</v>
      </c>
      <c r="Z10" s="14" t="s">
        <v>166</v>
      </c>
      <c r="AA10" s="14" t="s">
        <v>166</v>
      </c>
      <c r="AB10" s="14" t="s">
        <v>166</v>
      </c>
      <c r="AC10" s="14" t="s">
        <v>166</v>
      </c>
      <c r="AD10" s="14" t="s">
        <v>166</v>
      </c>
      <c r="AE10" s="14" t="s">
        <v>166</v>
      </c>
      <c r="AF10" s="14" t="s">
        <v>166</v>
      </c>
      <c r="AG10" s="14" t="s">
        <v>166</v>
      </c>
      <c r="AH10" s="21">
        <v>1</v>
      </c>
      <c r="AI10" s="3">
        <f>HYPERLINK("https://my.pitchbook.com/?d=176848-84T","176848-84T")</f>
      </c>
      <c r="AJ10" s="19">
        <v>44250</v>
      </c>
      <c r="AK10" s="19">
        <v>44279</v>
      </c>
      <c r="AL10" s="18">
        <v>2.5</v>
      </c>
      <c r="AM10" s="14" t="s">
        <v>185</v>
      </c>
      <c r="AN10" s="18" t="s">
        <v>166</v>
      </c>
      <c r="AO10" s="18" t="s">
        <v>166</v>
      </c>
      <c r="AP10" s="14" t="s">
        <v>166</v>
      </c>
      <c r="AQ10" s="21" t="s">
        <v>166</v>
      </c>
      <c r="AR10" s="21" t="s">
        <v>166</v>
      </c>
      <c r="AS10" s="17" t="s">
        <v>166</v>
      </c>
      <c r="AT10" s="18">
        <v>2.5</v>
      </c>
      <c r="AU10" s="21" t="s">
        <v>186</v>
      </c>
      <c r="AV10" s="21" t="s">
        <v>166</v>
      </c>
      <c r="AW10" s="18" t="s">
        <v>166</v>
      </c>
      <c r="AX10" s="21" t="s">
        <v>166</v>
      </c>
      <c r="AY10" s="14" t="s">
        <v>187</v>
      </c>
      <c r="AZ10" s="14" t="s">
        <v>166</v>
      </c>
      <c r="BA10" s="14" t="s">
        <v>166</v>
      </c>
      <c r="BB10" s="21" t="s">
        <v>166</v>
      </c>
      <c r="BC10" s="14" t="s">
        <v>179</v>
      </c>
      <c r="BD10" s="14" t="s">
        <v>188</v>
      </c>
      <c r="BE10" s="14" t="s">
        <v>189</v>
      </c>
      <c r="BF10" s="18">
        <v>2.5</v>
      </c>
      <c r="BG10" s="14" t="s">
        <v>190</v>
      </c>
      <c r="BH10" s="14" t="s">
        <v>166</v>
      </c>
      <c r="BI10" s="14" t="s">
        <v>166</v>
      </c>
      <c r="BJ10" s="18" t="s">
        <v>166</v>
      </c>
      <c r="BK10" s="18" t="s">
        <v>166</v>
      </c>
      <c r="BL10" s="14" t="s">
        <v>191</v>
      </c>
      <c r="BM10" s="14" t="s">
        <v>178</v>
      </c>
      <c r="BN10" s="14" t="s">
        <v>177</v>
      </c>
      <c r="BO10" s="22" t="s">
        <v>166</v>
      </c>
      <c r="BP10" s="14" t="s">
        <v>167</v>
      </c>
      <c r="BQ10" s="21">
        <v>3</v>
      </c>
      <c r="BR10" s="14" t="s">
        <v>166</v>
      </c>
      <c r="BS10" s="21" t="s">
        <v>166</v>
      </c>
      <c r="BT10" s="14" t="s">
        <v>166</v>
      </c>
      <c r="BU10" s="14" t="s">
        <v>166</v>
      </c>
      <c r="BV10" s="14" t="s">
        <v>166</v>
      </c>
      <c r="BW10" s="14" t="s">
        <v>166</v>
      </c>
      <c r="BX10" s="14" t="s">
        <v>166</v>
      </c>
      <c r="BY10" s="14" t="s">
        <v>166</v>
      </c>
      <c r="BZ10" s="14" t="s">
        <v>166</v>
      </c>
      <c r="CA10" s="14" t="s">
        <v>166</v>
      </c>
      <c r="CB10" s="14" t="s">
        <v>166</v>
      </c>
      <c r="CC10" s="14" t="s">
        <v>166</v>
      </c>
      <c r="CD10" s="14" t="s">
        <v>166</v>
      </c>
      <c r="CE10" s="18" t="s">
        <v>166</v>
      </c>
      <c r="CF10" s="16" t="s">
        <v>166</v>
      </c>
      <c r="CG10" s="17" t="s">
        <v>166</v>
      </c>
      <c r="CH10" s="16" t="s">
        <v>166</v>
      </c>
      <c r="CI10" s="16" t="s">
        <v>166</v>
      </c>
      <c r="CJ10" s="16" t="s">
        <v>166</v>
      </c>
      <c r="CK10" s="16" t="s">
        <v>166</v>
      </c>
      <c r="CL10" s="16" t="s">
        <v>166</v>
      </c>
      <c r="CM10" s="20" t="s">
        <v>166</v>
      </c>
      <c r="CN10" s="16" t="s">
        <v>166</v>
      </c>
      <c r="CO10" s="16" t="s">
        <v>166</v>
      </c>
      <c r="CP10" s="16" t="s">
        <v>166</v>
      </c>
      <c r="CQ10" s="16" t="s">
        <v>166</v>
      </c>
      <c r="CR10" s="16" t="s">
        <v>166</v>
      </c>
      <c r="CS10" s="16" t="s">
        <v>166</v>
      </c>
      <c r="CT10" s="16" t="s">
        <v>166</v>
      </c>
      <c r="CU10" s="16" t="s">
        <v>166</v>
      </c>
      <c r="CV10" s="16" t="s">
        <v>166</v>
      </c>
      <c r="CW10" s="16" t="s">
        <v>166</v>
      </c>
      <c r="CX10" s="16" t="s">
        <v>166</v>
      </c>
      <c r="CY10" s="16" t="s">
        <v>166</v>
      </c>
      <c r="CZ10" s="16" t="s">
        <v>166</v>
      </c>
      <c r="DA10" s="16" t="s">
        <v>166</v>
      </c>
      <c r="DB10" s="16" t="s">
        <v>166</v>
      </c>
      <c r="DC10" s="16" t="s">
        <v>166</v>
      </c>
      <c r="DD10" s="16" t="s">
        <v>166</v>
      </c>
      <c r="DE10" s="17" t="s">
        <v>166</v>
      </c>
      <c r="DF10" s="22">
        <v>11</v>
      </c>
      <c r="DG10" s="14" t="s">
        <v>192</v>
      </c>
      <c r="DH10" s="14" t="s">
        <v>193</v>
      </c>
      <c r="DI10" s="14" t="s">
        <v>194</v>
      </c>
      <c r="DJ10" s="14" t="s">
        <v>195</v>
      </c>
      <c r="DK10" s="14" t="s">
        <v>196</v>
      </c>
      <c r="DL10" s="21" t="s">
        <v>197</v>
      </c>
      <c r="DM10" s="14" t="s">
        <v>198</v>
      </c>
      <c r="DN10" s="13" t="s">
        <v>199</v>
      </c>
      <c r="DO10" s="20">
        <v>2020</v>
      </c>
      <c r="DP10" s="14" t="s">
        <v>166</v>
      </c>
      <c r="DQ10" s="14" t="s">
        <v>166</v>
      </c>
      <c r="DR10" s="18" t="s">
        <v>166</v>
      </c>
      <c r="DS10" s="16" t="s">
        <v>166</v>
      </c>
      <c r="DT10" s="19" t="s">
        <v>166</v>
      </c>
      <c r="DU10" s="14" t="s">
        <v>166</v>
      </c>
      <c r="DV10" s="18" t="s">
        <v>166</v>
      </c>
      <c r="DW10" s="18" t="s">
        <v>166</v>
      </c>
      <c r="DX10" s="16" t="s">
        <v>166</v>
      </c>
      <c r="DY10" s="16" t="s">
        <v>166</v>
      </c>
      <c r="DZ10" s="17" t="s">
        <v>166</v>
      </c>
      <c r="EA10" s="16" t="s">
        <v>166</v>
      </c>
      <c r="EB10" s="16" t="s">
        <v>166</v>
      </c>
      <c r="EC10" s="16" t="s">
        <v>166</v>
      </c>
      <c r="ED10" s="17" t="s">
        <v>166</v>
      </c>
      <c r="EE10" s="17" t="s">
        <v>166</v>
      </c>
      <c r="EF10" s="17" t="s">
        <v>166</v>
      </c>
      <c r="EG10" s="17" t="s">
        <v>166</v>
      </c>
      <c r="EH10" s="16" t="s">
        <v>166</v>
      </c>
      <c r="EI10" s="16" t="s">
        <v>166</v>
      </c>
      <c r="EJ10" s="16" t="s">
        <v>166</v>
      </c>
      <c r="EK10" s="16" t="s">
        <v>166</v>
      </c>
      <c r="EL10" s="16" t="s">
        <v>166</v>
      </c>
      <c r="EM10" s="16" t="s">
        <v>166</v>
      </c>
      <c r="EN10" s="16" t="s">
        <v>166</v>
      </c>
      <c r="EO10" s="16" t="s">
        <v>166</v>
      </c>
      <c r="EP10" s="16" t="s">
        <v>166</v>
      </c>
      <c r="EQ10" s="16" t="s">
        <v>166</v>
      </c>
      <c r="ER10" s="16" t="s">
        <v>166</v>
      </c>
      <c r="ES10" s="16" t="s">
        <v>166</v>
      </c>
      <c r="ET10" s="14" t="s">
        <v>166</v>
      </c>
      <c r="EU10" s="16" t="s">
        <v>166</v>
      </c>
      <c r="EV10" s="16" t="s">
        <v>166</v>
      </c>
      <c r="EW10" s="16" t="s">
        <v>166</v>
      </c>
      <c r="EX10" s="14" t="s">
        <v>190</v>
      </c>
      <c r="EY10" s="14" t="s">
        <v>166</v>
      </c>
      <c r="EZ10" s="16" t="s">
        <v>166</v>
      </c>
      <c r="FA10" s="15" t="s">
        <v>166</v>
      </c>
      <c r="FB10" s="15" t="s">
        <v>166</v>
      </c>
      <c r="FC10" s="15" t="s">
        <v>166</v>
      </c>
      <c r="FD10" s="15" t="s">
        <v>166</v>
      </c>
      <c r="FE10" s="15" t="s">
        <v>166</v>
      </c>
      <c r="FF10" s="15" t="s">
        <v>166</v>
      </c>
      <c r="FG10" s="14" t="s">
        <v>166</v>
      </c>
      <c r="FH10" s="3">
        <f>HYPERLINK("https://my.pitchbook.com?c=176848-84T","View Company Online")</f>
      </c>
    </row>
    <row r="11">
      <c r="A11" s="25" t="s">
        <v>200</v>
      </c>
      <c r="B11" s="25" t="s">
        <v>201</v>
      </c>
      <c r="C11" s="25" t="s">
        <v>202</v>
      </c>
      <c r="D11" s="25" t="s">
        <v>166</v>
      </c>
      <c r="E11" s="34" t="s">
        <v>203</v>
      </c>
      <c r="F11" s="32">
        <v>1</v>
      </c>
      <c r="G11" s="25" t="s">
        <v>204</v>
      </c>
      <c r="H11" s="25" t="s">
        <v>166</v>
      </c>
      <c r="I11" s="25" t="s">
        <v>205</v>
      </c>
      <c r="J11" s="25" t="s">
        <v>206</v>
      </c>
      <c r="K11" s="25" t="s">
        <v>207</v>
      </c>
      <c r="L11" s="25" t="s">
        <v>208</v>
      </c>
      <c r="M11" s="25" t="s">
        <v>209</v>
      </c>
      <c r="N11" s="25" t="s">
        <v>210</v>
      </c>
      <c r="O11" s="25" t="s">
        <v>211</v>
      </c>
      <c r="P11" s="25" t="s">
        <v>212</v>
      </c>
      <c r="Q11" s="25" t="s">
        <v>166</v>
      </c>
      <c r="R11" s="25" t="s">
        <v>177</v>
      </c>
      <c r="S11" s="25" t="s">
        <v>178</v>
      </c>
      <c r="T11" s="25" t="s">
        <v>179</v>
      </c>
      <c r="U11" s="25" t="s">
        <v>213</v>
      </c>
      <c r="V11" s="25" t="s">
        <v>214</v>
      </c>
      <c r="W11" s="32" t="s">
        <v>215</v>
      </c>
      <c r="X11" s="25" t="s">
        <v>166</v>
      </c>
      <c r="Y11" s="25" t="s">
        <v>216</v>
      </c>
      <c r="Z11" s="25" t="s">
        <v>166</v>
      </c>
      <c r="AA11" s="25" t="s">
        <v>166</v>
      </c>
      <c r="AB11" s="25" t="s">
        <v>166</v>
      </c>
      <c r="AC11" s="25" t="s">
        <v>166</v>
      </c>
      <c r="AD11" s="25" t="s">
        <v>166</v>
      </c>
      <c r="AE11" s="25" t="s">
        <v>166</v>
      </c>
      <c r="AF11" s="25" t="s">
        <v>166</v>
      </c>
      <c r="AG11" s="25" t="s">
        <v>166</v>
      </c>
      <c r="AH11" s="32">
        <v>1</v>
      </c>
      <c r="AI11" s="4">
        <f>HYPERLINK("https://my.pitchbook.com/?d=191171-08T","191171-08T")</f>
      </c>
      <c r="AJ11" s="30" t="s">
        <v>166</v>
      </c>
      <c r="AK11" s="30">
        <v>44636</v>
      </c>
      <c r="AL11" s="29">
        <v>0.05</v>
      </c>
      <c r="AM11" s="25" t="s">
        <v>185</v>
      </c>
      <c r="AN11" s="29" t="s">
        <v>166</v>
      </c>
      <c r="AO11" s="29" t="s">
        <v>166</v>
      </c>
      <c r="AP11" s="25" t="s">
        <v>166</v>
      </c>
      <c r="AQ11" s="32" t="s">
        <v>166</v>
      </c>
      <c r="AR11" s="32" t="s">
        <v>166</v>
      </c>
      <c r="AS11" s="28" t="s">
        <v>166</v>
      </c>
      <c r="AT11" s="29">
        <v>0.05</v>
      </c>
      <c r="AU11" s="32" t="s">
        <v>186</v>
      </c>
      <c r="AV11" s="32" t="s">
        <v>166</v>
      </c>
      <c r="AW11" s="29" t="s">
        <v>166</v>
      </c>
      <c r="AX11" s="32" t="s">
        <v>166</v>
      </c>
      <c r="AY11" s="25" t="s">
        <v>217</v>
      </c>
      <c r="AZ11" s="25" t="s">
        <v>217</v>
      </c>
      <c r="BA11" s="25" t="s">
        <v>166</v>
      </c>
      <c r="BB11" s="32" t="s">
        <v>166</v>
      </c>
      <c r="BC11" s="25" t="s">
        <v>179</v>
      </c>
      <c r="BD11" s="25" t="s">
        <v>206</v>
      </c>
      <c r="BE11" s="25" t="s">
        <v>189</v>
      </c>
      <c r="BF11" s="29">
        <v>0.05</v>
      </c>
      <c r="BG11" s="25" t="s">
        <v>190</v>
      </c>
      <c r="BH11" s="25" t="s">
        <v>166</v>
      </c>
      <c r="BI11" s="25" t="s">
        <v>166</v>
      </c>
      <c r="BJ11" s="29" t="s">
        <v>166</v>
      </c>
      <c r="BK11" s="29" t="s">
        <v>166</v>
      </c>
      <c r="BL11" s="25" t="s">
        <v>191</v>
      </c>
      <c r="BM11" s="25" t="s">
        <v>178</v>
      </c>
      <c r="BN11" s="25" t="s">
        <v>177</v>
      </c>
      <c r="BO11" s="33" t="s">
        <v>166</v>
      </c>
      <c r="BP11" s="25" t="s">
        <v>203</v>
      </c>
      <c r="BQ11" s="32">
        <v>1</v>
      </c>
      <c r="BR11" s="25" t="s">
        <v>166</v>
      </c>
      <c r="BS11" s="32" t="s">
        <v>166</v>
      </c>
      <c r="BT11" s="25" t="s">
        <v>166</v>
      </c>
      <c r="BU11" s="25" t="s">
        <v>166</v>
      </c>
      <c r="BV11" s="25" t="s">
        <v>218</v>
      </c>
      <c r="BW11" s="25" t="s">
        <v>166</v>
      </c>
      <c r="BX11" s="25" t="s">
        <v>166</v>
      </c>
      <c r="BY11" s="25" t="s">
        <v>166</v>
      </c>
      <c r="BZ11" s="25" t="s">
        <v>219</v>
      </c>
      <c r="CA11" s="25" t="s">
        <v>219</v>
      </c>
      <c r="CB11" s="25" t="s">
        <v>166</v>
      </c>
      <c r="CC11" s="25" t="s">
        <v>166</v>
      </c>
      <c r="CD11" s="25" t="s">
        <v>166</v>
      </c>
      <c r="CE11" s="29" t="s">
        <v>166</v>
      </c>
      <c r="CF11" s="27" t="s">
        <v>166</v>
      </c>
      <c r="CG11" s="28" t="s">
        <v>166</v>
      </c>
      <c r="CH11" s="27" t="s">
        <v>166</v>
      </c>
      <c r="CI11" s="27" t="s">
        <v>166</v>
      </c>
      <c r="CJ11" s="27" t="s">
        <v>166</v>
      </c>
      <c r="CK11" s="27" t="s">
        <v>166</v>
      </c>
      <c r="CL11" s="27" t="s">
        <v>166</v>
      </c>
      <c r="CM11" s="31" t="s">
        <v>166</v>
      </c>
      <c r="CN11" s="27" t="s">
        <v>166</v>
      </c>
      <c r="CO11" s="27" t="s">
        <v>166</v>
      </c>
      <c r="CP11" s="27" t="s">
        <v>166</v>
      </c>
      <c r="CQ11" s="27" t="s">
        <v>166</v>
      </c>
      <c r="CR11" s="27" t="s">
        <v>166</v>
      </c>
      <c r="CS11" s="27" t="s">
        <v>166</v>
      </c>
      <c r="CT11" s="27" t="s">
        <v>166</v>
      </c>
      <c r="CU11" s="27" t="s">
        <v>166</v>
      </c>
      <c r="CV11" s="27" t="s">
        <v>166</v>
      </c>
      <c r="CW11" s="27" t="s">
        <v>166</v>
      </c>
      <c r="CX11" s="27" t="s">
        <v>166</v>
      </c>
      <c r="CY11" s="27" t="s">
        <v>166</v>
      </c>
      <c r="CZ11" s="27" t="s">
        <v>166</v>
      </c>
      <c r="DA11" s="27" t="s">
        <v>166</v>
      </c>
      <c r="DB11" s="27" t="s">
        <v>166</v>
      </c>
      <c r="DC11" s="27" t="s">
        <v>166</v>
      </c>
      <c r="DD11" s="27" t="s">
        <v>166</v>
      </c>
      <c r="DE11" s="28" t="s">
        <v>166</v>
      </c>
      <c r="DF11" s="33">
        <v>4</v>
      </c>
      <c r="DG11" s="25" t="s">
        <v>220</v>
      </c>
      <c r="DH11" s="25" t="s">
        <v>193</v>
      </c>
      <c r="DI11" s="25" t="s">
        <v>194</v>
      </c>
      <c r="DJ11" s="25" t="s">
        <v>221</v>
      </c>
      <c r="DK11" s="25" t="s">
        <v>222</v>
      </c>
      <c r="DL11" s="32" t="s">
        <v>166</v>
      </c>
      <c r="DM11" s="25" t="s">
        <v>198</v>
      </c>
      <c r="DN11" s="24" t="s">
        <v>223</v>
      </c>
      <c r="DO11" s="31">
        <v>2021</v>
      </c>
      <c r="DP11" s="25" t="s">
        <v>166</v>
      </c>
      <c r="DQ11" s="25" t="s">
        <v>166</v>
      </c>
      <c r="DR11" s="29" t="s">
        <v>166</v>
      </c>
      <c r="DS11" s="27" t="s">
        <v>166</v>
      </c>
      <c r="DT11" s="30" t="s">
        <v>166</v>
      </c>
      <c r="DU11" s="25" t="s">
        <v>166</v>
      </c>
      <c r="DV11" s="29" t="s">
        <v>166</v>
      </c>
      <c r="DW11" s="29" t="s">
        <v>166</v>
      </c>
      <c r="DX11" s="27" t="s">
        <v>166</v>
      </c>
      <c r="DY11" s="27" t="s">
        <v>166</v>
      </c>
      <c r="DZ11" s="28" t="s">
        <v>166</v>
      </c>
      <c r="EA11" s="27" t="s">
        <v>166</v>
      </c>
      <c r="EB11" s="27" t="s">
        <v>166</v>
      </c>
      <c r="EC11" s="27" t="s">
        <v>166</v>
      </c>
      <c r="ED11" s="28" t="s">
        <v>166</v>
      </c>
      <c r="EE11" s="28" t="s">
        <v>166</v>
      </c>
      <c r="EF11" s="28" t="s">
        <v>166</v>
      </c>
      <c r="EG11" s="28" t="s">
        <v>166</v>
      </c>
      <c r="EH11" s="27" t="s">
        <v>166</v>
      </c>
      <c r="EI11" s="27" t="s">
        <v>166</v>
      </c>
      <c r="EJ11" s="27" t="s">
        <v>166</v>
      </c>
      <c r="EK11" s="27" t="s">
        <v>166</v>
      </c>
      <c r="EL11" s="27" t="s">
        <v>166</v>
      </c>
      <c r="EM11" s="27" t="s">
        <v>166</v>
      </c>
      <c r="EN11" s="27" t="s">
        <v>166</v>
      </c>
      <c r="EO11" s="27" t="s">
        <v>166</v>
      </c>
      <c r="EP11" s="27" t="s">
        <v>166</v>
      </c>
      <c r="EQ11" s="27" t="s">
        <v>166</v>
      </c>
      <c r="ER11" s="27" t="s">
        <v>166</v>
      </c>
      <c r="ES11" s="27" t="s">
        <v>166</v>
      </c>
      <c r="ET11" s="25" t="s">
        <v>166</v>
      </c>
      <c r="EU11" s="27" t="s">
        <v>166</v>
      </c>
      <c r="EV11" s="27" t="s">
        <v>166</v>
      </c>
      <c r="EW11" s="27" t="s">
        <v>166</v>
      </c>
      <c r="EX11" s="25" t="s">
        <v>190</v>
      </c>
      <c r="EY11" s="25" t="s">
        <v>166</v>
      </c>
      <c r="EZ11" s="27" t="s">
        <v>166</v>
      </c>
      <c r="FA11" s="26" t="s">
        <v>166</v>
      </c>
      <c r="FB11" s="26" t="s">
        <v>166</v>
      </c>
      <c r="FC11" s="26" t="s">
        <v>166</v>
      </c>
      <c r="FD11" s="26" t="s">
        <v>166</v>
      </c>
      <c r="FE11" s="26" t="s">
        <v>166</v>
      </c>
      <c r="FF11" s="26" t="s">
        <v>166</v>
      </c>
      <c r="FG11" s="25" t="s">
        <v>166</v>
      </c>
      <c r="FH11" s="4">
        <f>HYPERLINK("https://my.pitchbook.com?c=191171-08T","View Company Online")</f>
      </c>
    </row>
    <row r="12">
      <c r="A12" s="14" t="s">
        <v>224</v>
      </c>
      <c r="B12" s="14" t="s">
        <v>225</v>
      </c>
      <c r="C12" s="14" t="s">
        <v>226</v>
      </c>
      <c r="D12" s="14" t="s">
        <v>166</v>
      </c>
      <c r="E12" s="23" t="s">
        <v>227</v>
      </c>
      <c r="F12" s="21">
        <v>2</v>
      </c>
      <c r="G12" s="14" t="s">
        <v>228</v>
      </c>
      <c r="H12" s="14" t="s">
        <v>166</v>
      </c>
      <c r="I12" s="14" t="s">
        <v>229</v>
      </c>
      <c r="J12" s="14" t="s">
        <v>230</v>
      </c>
      <c r="K12" s="14" t="s">
        <v>171</v>
      </c>
      <c r="L12" s="14" t="s">
        <v>231</v>
      </c>
      <c r="M12" s="14" t="s">
        <v>232</v>
      </c>
      <c r="N12" s="14" t="s">
        <v>233</v>
      </c>
      <c r="O12" s="14" t="s">
        <v>234</v>
      </c>
      <c r="P12" s="14" t="s">
        <v>235</v>
      </c>
      <c r="Q12" s="14" t="s">
        <v>166</v>
      </c>
      <c r="R12" s="14" t="s">
        <v>177</v>
      </c>
      <c r="S12" s="14" t="s">
        <v>178</v>
      </c>
      <c r="T12" s="14" t="s">
        <v>179</v>
      </c>
      <c r="U12" s="14" t="s">
        <v>236</v>
      </c>
      <c r="V12" s="14" t="s">
        <v>237</v>
      </c>
      <c r="W12" s="21" t="s">
        <v>238</v>
      </c>
      <c r="X12" s="14" t="s">
        <v>239</v>
      </c>
      <c r="Y12" s="14" t="s">
        <v>240</v>
      </c>
      <c r="Z12" s="14" t="s">
        <v>241</v>
      </c>
      <c r="AA12" s="14" t="s">
        <v>242</v>
      </c>
      <c r="AB12" s="14" t="s">
        <v>243</v>
      </c>
      <c r="AC12" s="14" t="s">
        <v>244</v>
      </c>
      <c r="AD12" s="14" t="s">
        <v>243</v>
      </c>
      <c r="AE12" s="14" t="s">
        <v>243</v>
      </c>
      <c r="AF12" s="14" t="s">
        <v>245</v>
      </c>
      <c r="AG12" s="14" t="s">
        <v>246</v>
      </c>
      <c r="AH12" s="21">
        <v>3</v>
      </c>
      <c r="AI12" s="3">
        <f>HYPERLINK("https://my.pitchbook.com/?d=165487-78T","165487-78T")</f>
      </c>
      <c r="AJ12" s="19">
        <v>43944</v>
      </c>
      <c r="AK12" s="19">
        <v>44020</v>
      </c>
      <c r="AL12" s="18">
        <v>2.6</v>
      </c>
      <c r="AM12" s="14" t="s">
        <v>247</v>
      </c>
      <c r="AN12" s="18">
        <v>8</v>
      </c>
      <c r="AO12" s="18">
        <v>10.6</v>
      </c>
      <c r="AP12" s="14" t="s">
        <v>185</v>
      </c>
      <c r="AQ12" s="21" t="s">
        <v>166</v>
      </c>
      <c r="AR12" s="21" t="s">
        <v>166</v>
      </c>
      <c r="AS12" s="17">
        <v>24.53</v>
      </c>
      <c r="AT12" s="18">
        <v>2.63</v>
      </c>
      <c r="AU12" s="21" t="s">
        <v>186</v>
      </c>
      <c r="AV12" s="21" t="s">
        <v>166</v>
      </c>
      <c r="AW12" s="18">
        <v>0.98</v>
      </c>
      <c r="AX12" s="21" t="s">
        <v>248</v>
      </c>
      <c r="AY12" s="14" t="s">
        <v>249</v>
      </c>
      <c r="AZ12" s="14" t="s">
        <v>248</v>
      </c>
      <c r="BA12" s="14" t="s">
        <v>166</v>
      </c>
      <c r="BB12" s="21" t="s">
        <v>166</v>
      </c>
      <c r="BC12" s="14" t="s">
        <v>179</v>
      </c>
      <c r="BD12" s="14" t="s">
        <v>250</v>
      </c>
      <c r="BE12" s="14" t="s">
        <v>189</v>
      </c>
      <c r="BF12" s="18">
        <v>2.6</v>
      </c>
      <c r="BG12" s="14" t="s">
        <v>190</v>
      </c>
      <c r="BH12" s="14" t="s">
        <v>166</v>
      </c>
      <c r="BI12" s="14" t="s">
        <v>166</v>
      </c>
      <c r="BJ12" s="18" t="s">
        <v>166</v>
      </c>
      <c r="BK12" s="18" t="s">
        <v>166</v>
      </c>
      <c r="BL12" s="14" t="s">
        <v>191</v>
      </c>
      <c r="BM12" s="14" t="s">
        <v>178</v>
      </c>
      <c r="BN12" s="14" t="s">
        <v>177</v>
      </c>
      <c r="BO12" s="22" t="s">
        <v>166</v>
      </c>
      <c r="BP12" s="14" t="s">
        <v>251</v>
      </c>
      <c r="BQ12" s="21">
        <v>1</v>
      </c>
      <c r="BR12" s="14" t="s">
        <v>252</v>
      </c>
      <c r="BS12" s="21">
        <v>1</v>
      </c>
      <c r="BT12" s="14" t="s">
        <v>166</v>
      </c>
      <c r="BU12" s="14" t="s">
        <v>166</v>
      </c>
      <c r="BV12" s="14" t="s">
        <v>253</v>
      </c>
      <c r="BW12" s="14" t="s">
        <v>166</v>
      </c>
      <c r="BX12" s="14" t="s">
        <v>166</v>
      </c>
      <c r="BY12" s="14" t="s">
        <v>166</v>
      </c>
      <c r="BZ12" s="14" t="s">
        <v>254</v>
      </c>
      <c r="CA12" s="14" t="s">
        <v>166</v>
      </c>
      <c r="CB12" s="14" t="s">
        <v>166</v>
      </c>
      <c r="CC12" s="14" t="s">
        <v>254</v>
      </c>
      <c r="CD12" s="14" t="s">
        <v>166</v>
      </c>
      <c r="CE12" s="18" t="s">
        <v>166</v>
      </c>
      <c r="CF12" s="16" t="s">
        <v>166</v>
      </c>
      <c r="CG12" s="17" t="s">
        <v>166</v>
      </c>
      <c r="CH12" s="16" t="s">
        <v>166</v>
      </c>
      <c r="CI12" s="16" t="s">
        <v>166</v>
      </c>
      <c r="CJ12" s="16" t="s">
        <v>166</v>
      </c>
      <c r="CK12" s="16" t="s">
        <v>166</v>
      </c>
      <c r="CL12" s="16" t="s">
        <v>166</v>
      </c>
      <c r="CM12" s="20" t="s">
        <v>166</v>
      </c>
      <c r="CN12" s="16" t="s">
        <v>166</v>
      </c>
      <c r="CO12" s="16" t="s">
        <v>166</v>
      </c>
      <c r="CP12" s="16" t="s">
        <v>166</v>
      </c>
      <c r="CQ12" s="16" t="s">
        <v>166</v>
      </c>
      <c r="CR12" s="16" t="s">
        <v>166</v>
      </c>
      <c r="CS12" s="16" t="s">
        <v>166</v>
      </c>
      <c r="CT12" s="16" t="s">
        <v>166</v>
      </c>
      <c r="CU12" s="16" t="s">
        <v>166</v>
      </c>
      <c r="CV12" s="16" t="s">
        <v>166</v>
      </c>
      <c r="CW12" s="16" t="s">
        <v>166</v>
      </c>
      <c r="CX12" s="16" t="s">
        <v>166</v>
      </c>
      <c r="CY12" s="16" t="s">
        <v>166</v>
      </c>
      <c r="CZ12" s="16" t="s">
        <v>166</v>
      </c>
      <c r="DA12" s="16" t="s">
        <v>166</v>
      </c>
      <c r="DB12" s="16" t="s">
        <v>166</v>
      </c>
      <c r="DC12" s="16" t="s">
        <v>166</v>
      </c>
      <c r="DD12" s="16" t="s">
        <v>166</v>
      </c>
      <c r="DE12" s="17" t="s">
        <v>166</v>
      </c>
      <c r="DF12" s="22">
        <v>29</v>
      </c>
      <c r="DG12" s="14" t="s">
        <v>255</v>
      </c>
      <c r="DH12" s="14" t="s">
        <v>193</v>
      </c>
      <c r="DI12" s="14" t="s">
        <v>194</v>
      </c>
      <c r="DJ12" s="14" t="s">
        <v>256</v>
      </c>
      <c r="DK12" s="14" t="s">
        <v>257</v>
      </c>
      <c r="DL12" s="21" t="s">
        <v>258</v>
      </c>
      <c r="DM12" s="14" t="s">
        <v>198</v>
      </c>
      <c r="DN12" s="13" t="s">
        <v>259</v>
      </c>
      <c r="DO12" s="20">
        <v>2004</v>
      </c>
      <c r="DP12" s="14" t="s">
        <v>166</v>
      </c>
      <c r="DQ12" s="14" t="s">
        <v>260</v>
      </c>
      <c r="DR12" s="18" t="s">
        <v>166</v>
      </c>
      <c r="DS12" s="16" t="s">
        <v>166</v>
      </c>
      <c r="DT12" s="19" t="s">
        <v>166</v>
      </c>
      <c r="DU12" s="14" t="s">
        <v>166</v>
      </c>
      <c r="DV12" s="18" t="s">
        <v>166</v>
      </c>
      <c r="DW12" s="18" t="s">
        <v>166</v>
      </c>
      <c r="DX12" s="16" t="s">
        <v>166</v>
      </c>
      <c r="DY12" s="16" t="s">
        <v>166</v>
      </c>
      <c r="DZ12" s="17" t="s">
        <v>166</v>
      </c>
      <c r="EA12" s="16" t="s">
        <v>166</v>
      </c>
      <c r="EB12" s="16" t="s">
        <v>166</v>
      </c>
      <c r="EC12" s="16" t="s">
        <v>166</v>
      </c>
      <c r="ED12" s="17" t="s">
        <v>166</v>
      </c>
      <c r="EE12" s="17" t="s">
        <v>166</v>
      </c>
      <c r="EF12" s="17" t="s">
        <v>166</v>
      </c>
      <c r="EG12" s="17" t="s">
        <v>166</v>
      </c>
      <c r="EH12" s="16" t="s">
        <v>166</v>
      </c>
      <c r="EI12" s="16" t="s">
        <v>166</v>
      </c>
      <c r="EJ12" s="16" t="s">
        <v>166</v>
      </c>
      <c r="EK12" s="16" t="s">
        <v>166</v>
      </c>
      <c r="EL12" s="16" t="s">
        <v>166</v>
      </c>
      <c r="EM12" s="16" t="s">
        <v>166</v>
      </c>
      <c r="EN12" s="16" t="s">
        <v>166</v>
      </c>
      <c r="EO12" s="16" t="s">
        <v>166</v>
      </c>
      <c r="EP12" s="16" t="s">
        <v>166</v>
      </c>
      <c r="EQ12" s="16" t="s">
        <v>166</v>
      </c>
      <c r="ER12" s="16" t="s">
        <v>166</v>
      </c>
      <c r="ES12" s="16" t="s">
        <v>166</v>
      </c>
      <c r="ET12" s="14" t="s">
        <v>166</v>
      </c>
      <c r="EU12" s="16" t="s">
        <v>166</v>
      </c>
      <c r="EV12" s="16" t="s">
        <v>166</v>
      </c>
      <c r="EW12" s="16" t="s">
        <v>166</v>
      </c>
      <c r="EX12" s="14" t="s">
        <v>190</v>
      </c>
      <c r="EY12" s="14" t="s">
        <v>190</v>
      </c>
      <c r="EZ12" s="16" t="s">
        <v>166</v>
      </c>
      <c r="FA12" s="15">
        <v>6</v>
      </c>
      <c r="FB12" s="15">
        <v>3</v>
      </c>
      <c r="FC12" s="15">
        <v>4</v>
      </c>
      <c r="FD12" s="15">
        <v>1</v>
      </c>
      <c r="FE12" s="15" t="s">
        <v>166</v>
      </c>
      <c r="FF12" s="15">
        <v>1</v>
      </c>
      <c r="FG12" s="14" t="s">
        <v>261</v>
      </c>
      <c r="FH12" s="3">
        <f>HYPERLINK("https://my.pitchbook.com?c=165487-78T","View Company Online")</f>
      </c>
    </row>
    <row r="13">
      <c r="A13" s="25" t="s">
        <v>262</v>
      </c>
      <c r="B13" s="25" t="s">
        <v>263</v>
      </c>
      <c r="C13" s="25" t="s">
        <v>264</v>
      </c>
      <c r="D13" s="25" t="s">
        <v>166</v>
      </c>
      <c r="E13" s="34" t="s">
        <v>265</v>
      </c>
      <c r="F13" s="32">
        <v>4</v>
      </c>
      <c r="G13" s="25" t="s">
        <v>266</v>
      </c>
      <c r="H13" s="25" t="s">
        <v>166</v>
      </c>
      <c r="I13" s="25" t="s">
        <v>267</v>
      </c>
      <c r="J13" s="25" t="s">
        <v>268</v>
      </c>
      <c r="K13" s="25" t="s">
        <v>207</v>
      </c>
      <c r="L13" s="25" t="s">
        <v>208</v>
      </c>
      <c r="M13" s="25" t="s">
        <v>209</v>
      </c>
      <c r="N13" s="25" t="s">
        <v>269</v>
      </c>
      <c r="O13" s="25" t="s">
        <v>270</v>
      </c>
      <c r="P13" s="25" t="s">
        <v>271</v>
      </c>
      <c r="Q13" s="25" t="s">
        <v>272</v>
      </c>
      <c r="R13" s="25" t="s">
        <v>177</v>
      </c>
      <c r="S13" s="25" t="s">
        <v>178</v>
      </c>
      <c r="T13" s="25" t="s">
        <v>273</v>
      </c>
      <c r="U13" s="25" t="s">
        <v>274</v>
      </c>
      <c r="V13" s="25" t="s">
        <v>275</v>
      </c>
      <c r="W13" s="32" t="s">
        <v>276</v>
      </c>
      <c r="X13" s="25" t="s">
        <v>277</v>
      </c>
      <c r="Y13" s="25" t="s">
        <v>278</v>
      </c>
      <c r="Z13" s="25" t="s">
        <v>279</v>
      </c>
      <c r="AA13" s="25" t="s">
        <v>242</v>
      </c>
      <c r="AB13" s="25" t="s">
        <v>243</v>
      </c>
      <c r="AC13" s="25" t="s">
        <v>244</v>
      </c>
      <c r="AD13" s="25" t="s">
        <v>243</v>
      </c>
      <c r="AE13" s="25" t="s">
        <v>243</v>
      </c>
      <c r="AF13" s="25" t="s">
        <v>166</v>
      </c>
      <c r="AG13" s="25" t="s">
        <v>246</v>
      </c>
      <c r="AH13" s="32">
        <v>2</v>
      </c>
      <c r="AI13" s="4">
        <f>HYPERLINK("https://my.pitchbook.com/?d=139365-46T","139365-46T")</f>
      </c>
      <c r="AJ13" s="30" t="s">
        <v>166</v>
      </c>
      <c r="AK13" s="30">
        <v>44347</v>
      </c>
      <c r="AL13" s="29">
        <v>6</v>
      </c>
      <c r="AM13" s="25" t="s">
        <v>185</v>
      </c>
      <c r="AN13" s="29">
        <v>17</v>
      </c>
      <c r="AO13" s="29">
        <v>23</v>
      </c>
      <c r="AP13" s="25" t="s">
        <v>185</v>
      </c>
      <c r="AQ13" s="32" t="s">
        <v>166</v>
      </c>
      <c r="AR13" s="32" t="s">
        <v>166</v>
      </c>
      <c r="AS13" s="28">
        <v>26.09</v>
      </c>
      <c r="AT13" s="29">
        <v>10.38</v>
      </c>
      <c r="AU13" s="32" t="s">
        <v>186</v>
      </c>
      <c r="AV13" s="32" t="s">
        <v>166</v>
      </c>
      <c r="AW13" s="29">
        <v>80.25</v>
      </c>
      <c r="AX13" s="32" t="s">
        <v>166</v>
      </c>
      <c r="AY13" s="25" t="s">
        <v>249</v>
      </c>
      <c r="AZ13" s="25" t="s">
        <v>166</v>
      </c>
      <c r="BA13" s="25" t="s">
        <v>166</v>
      </c>
      <c r="BB13" s="32" t="s">
        <v>166</v>
      </c>
      <c r="BC13" s="25" t="s">
        <v>179</v>
      </c>
      <c r="BD13" s="25" t="s">
        <v>280</v>
      </c>
      <c r="BE13" s="25" t="s">
        <v>189</v>
      </c>
      <c r="BF13" s="29">
        <v>6</v>
      </c>
      <c r="BG13" s="25" t="s">
        <v>190</v>
      </c>
      <c r="BH13" s="25" t="s">
        <v>166</v>
      </c>
      <c r="BI13" s="25" t="s">
        <v>166</v>
      </c>
      <c r="BJ13" s="29" t="s">
        <v>166</v>
      </c>
      <c r="BK13" s="29" t="s">
        <v>166</v>
      </c>
      <c r="BL13" s="25" t="s">
        <v>191</v>
      </c>
      <c r="BM13" s="25" t="s">
        <v>178</v>
      </c>
      <c r="BN13" s="25" t="s">
        <v>177</v>
      </c>
      <c r="BO13" s="33">
        <v>10</v>
      </c>
      <c r="BP13" s="25" t="s">
        <v>281</v>
      </c>
      <c r="BQ13" s="32">
        <v>4</v>
      </c>
      <c r="BR13" s="25" t="s">
        <v>166</v>
      </c>
      <c r="BS13" s="32" t="s">
        <v>166</v>
      </c>
      <c r="BT13" s="25" t="s">
        <v>282</v>
      </c>
      <c r="BU13" s="25" t="s">
        <v>166</v>
      </c>
      <c r="BV13" s="25" t="s">
        <v>283</v>
      </c>
      <c r="BW13" s="25" t="s">
        <v>166</v>
      </c>
      <c r="BX13" s="25" t="s">
        <v>166</v>
      </c>
      <c r="BY13" s="25" t="s">
        <v>166</v>
      </c>
      <c r="BZ13" s="25" t="s">
        <v>166</v>
      </c>
      <c r="CA13" s="25" t="s">
        <v>166</v>
      </c>
      <c r="CB13" s="25" t="s">
        <v>166</v>
      </c>
      <c r="CC13" s="25" t="s">
        <v>166</v>
      </c>
      <c r="CD13" s="25" t="s">
        <v>166</v>
      </c>
      <c r="CE13" s="29" t="s">
        <v>166</v>
      </c>
      <c r="CF13" s="27">
        <v>2.02</v>
      </c>
      <c r="CG13" s="28">
        <v>2348.48</v>
      </c>
      <c r="CH13" s="27" t="s">
        <v>166</v>
      </c>
      <c r="CI13" s="27" t="s">
        <v>166</v>
      </c>
      <c r="CJ13" s="27" t="s">
        <v>166</v>
      </c>
      <c r="CK13" s="27" t="s">
        <v>166</v>
      </c>
      <c r="CL13" s="27" t="s">
        <v>166</v>
      </c>
      <c r="CM13" s="31">
        <v>2020</v>
      </c>
      <c r="CN13" s="27" t="s">
        <v>166</v>
      </c>
      <c r="CO13" s="27" t="s">
        <v>166</v>
      </c>
      <c r="CP13" s="27" t="s">
        <v>166</v>
      </c>
      <c r="CQ13" s="27">
        <v>11.39</v>
      </c>
      <c r="CR13" s="27" t="s">
        <v>166</v>
      </c>
      <c r="CS13" s="27" t="s">
        <v>166</v>
      </c>
      <c r="CT13" s="27" t="s">
        <v>166</v>
      </c>
      <c r="CU13" s="27" t="s">
        <v>166</v>
      </c>
      <c r="CV13" s="27">
        <v>2.97</v>
      </c>
      <c r="CW13" s="27" t="s">
        <v>166</v>
      </c>
      <c r="CX13" s="27" t="s">
        <v>166</v>
      </c>
      <c r="CY13" s="27" t="s">
        <v>166</v>
      </c>
      <c r="CZ13" s="27" t="s">
        <v>166</v>
      </c>
      <c r="DA13" s="27" t="s">
        <v>166</v>
      </c>
      <c r="DB13" s="27" t="s">
        <v>166</v>
      </c>
      <c r="DC13" s="27" t="s">
        <v>166</v>
      </c>
      <c r="DD13" s="27" t="s">
        <v>166</v>
      </c>
      <c r="DE13" s="28" t="s">
        <v>166</v>
      </c>
      <c r="DF13" s="33">
        <v>34</v>
      </c>
      <c r="DG13" s="25" t="s">
        <v>284</v>
      </c>
      <c r="DH13" s="25" t="s">
        <v>193</v>
      </c>
      <c r="DI13" s="25" t="s">
        <v>194</v>
      </c>
      <c r="DJ13" s="25" t="s">
        <v>285</v>
      </c>
      <c r="DK13" s="25" t="s">
        <v>196</v>
      </c>
      <c r="DL13" s="32" t="s">
        <v>286</v>
      </c>
      <c r="DM13" s="25" t="s">
        <v>198</v>
      </c>
      <c r="DN13" s="24" t="s">
        <v>287</v>
      </c>
      <c r="DO13" s="31">
        <v>2016</v>
      </c>
      <c r="DP13" s="25" t="s">
        <v>166</v>
      </c>
      <c r="DQ13" s="25" t="s">
        <v>166</v>
      </c>
      <c r="DR13" s="29" t="s">
        <v>166</v>
      </c>
      <c r="DS13" s="27" t="s">
        <v>166</v>
      </c>
      <c r="DT13" s="30" t="s">
        <v>166</v>
      </c>
      <c r="DU13" s="25" t="s">
        <v>166</v>
      </c>
      <c r="DV13" s="29" t="s">
        <v>166</v>
      </c>
      <c r="DW13" s="29" t="s">
        <v>166</v>
      </c>
      <c r="DX13" s="27" t="s">
        <v>166</v>
      </c>
      <c r="DY13" s="27" t="s">
        <v>166</v>
      </c>
      <c r="DZ13" s="28" t="s">
        <v>166</v>
      </c>
      <c r="EA13" s="27" t="s">
        <v>166</v>
      </c>
      <c r="EB13" s="27" t="s">
        <v>166</v>
      </c>
      <c r="EC13" s="27" t="s">
        <v>166</v>
      </c>
      <c r="ED13" s="28" t="s">
        <v>166</v>
      </c>
      <c r="EE13" s="28" t="s">
        <v>166</v>
      </c>
      <c r="EF13" s="28" t="s">
        <v>166</v>
      </c>
      <c r="EG13" s="28" t="s">
        <v>166</v>
      </c>
      <c r="EH13" s="27" t="s">
        <v>166</v>
      </c>
      <c r="EI13" s="27" t="s">
        <v>166</v>
      </c>
      <c r="EJ13" s="27" t="s">
        <v>166</v>
      </c>
      <c r="EK13" s="27" t="s">
        <v>166</v>
      </c>
      <c r="EL13" s="27" t="s">
        <v>166</v>
      </c>
      <c r="EM13" s="27" t="s">
        <v>166</v>
      </c>
      <c r="EN13" s="27" t="s">
        <v>166</v>
      </c>
      <c r="EO13" s="27" t="s">
        <v>166</v>
      </c>
      <c r="EP13" s="27" t="s">
        <v>166</v>
      </c>
      <c r="EQ13" s="27" t="s">
        <v>166</v>
      </c>
      <c r="ER13" s="27" t="s">
        <v>166</v>
      </c>
      <c r="ES13" s="27" t="s">
        <v>166</v>
      </c>
      <c r="ET13" s="25" t="s">
        <v>166</v>
      </c>
      <c r="EU13" s="27" t="s">
        <v>166</v>
      </c>
      <c r="EV13" s="27" t="s">
        <v>166</v>
      </c>
      <c r="EW13" s="27" t="s">
        <v>166</v>
      </c>
      <c r="EX13" s="25" t="s">
        <v>190</v>
      </c>
      <c r="EY13" s="25" t="s">
        <v>166</v>
      </c>
      <c r="EZ13" s="27" t="s">
        <v>166</v>
      </c>
      <c r="FA13" s="26">
        <v>7</v>
      </c>
      <c r="FB13" s="26">
        <v>2</v>
      </c>
      <c r="FC13" s="26">
        <v>6</v>
      </c>
      <c r="FD13" s="26" t="s">
        <v>166</v>
      </c>
      <c r="FE13" s="26" t="s">
        <v>166</v>
      </c>
      <c r="FF13" s="26">
        <v>1</v>
      </c>
      <c r="FG13" s="25" t="s">
        <v>288</v>
      </c>
      <c r="FH13" s="4">
        <f>HYPERLINK("https://my.pitchbook.com?c=139365-46T","View Company Online")</f>
      </c>
    </row>
    <row r="14">
      <c r="A14" s="14" t="s">
        <v>289</v>
      </c>
      <c r="B14" s="14" t="s">
        <v>290</v>
      </c>
      <c r="C14" s="14" t="s">
        <v>291</v>
      </c>
      <c r="D14" s="14" t="s">
        <v>166</v>
      </c>
      <c r="E14" s="23" t="s">
        <v>292</v>
      </c>
      <c r="F14" s="21">
        <v>3</v>
      </c>
      <c r="G14" s="14" t="s">
        <v>293</v>
      </c>
      <c r="H14" s="14" t="s">
        <v>166</v>
      </c>
      <c r="I14" s="14" t="s">
        <v>294</v>
      </c>
      <c r="J14" s="14" t="s">
        <v>295</v>
      </c>
      <c r="K14" s="14" t="s">
        <v>207</v>
      </c>
      <c r="L14" s="14" t="s">
        <v>208</v>
      </c>
      <c r="M14" s="14" t="s">
        <v>296</v>
      </c>
      <c r="N14" s="14" t="s">
        <v>297</v>
      </c>
      <c r="O14" s="14" t="s">
        <v>298</v>
      </c>
      <c r="P14" s="14" t="s">
        <v>299</v>
      </c>
      <c r="Q14" s="14" t="s">
        <v>166</v>
      </c>
      <c r="R14" s="14" t="s">
        <v>177</v>
      </c>
      <c r="S14" s="14" t="s">
        <v>178</v>
      </c>
      <c r="T14" s="14" t="s">
        <v>179</v>
      </c>
      <c r="U14" s="14" t="s">
        <v>300</v>
      </c>
      <c r="V14" s="14" t="s">
        <v>301</v>
      </c>
      <c r="W14" s="21" t="s">
        <v>302</v>
      </c>
      <c r="X14" s="14" t="s">
        <v>303</v>
      </c>
      <c r="Y14" s="14" t="s">
        <v>304</v>
      </c>
      <c r="Z14" s="14" t="s">
        <v>305</v>
      </c>
      <c r="AA14" s="14" t="s">
        <v>242</v>
      </c>
      <c r="AB14" s="14" t="s">
        <v>243</v>
      </c>
      <c r="AC14" s="14" t="s">
        <v>244</v>
      </c>
      <c r="AD14" s="14" t="s">
        <v>243</v>
      </c>
      <c r="AE14" s="14" t="s">
        <v>243</v>
      </c>
      <c r="AF14" s="14" t="s">
        <v>306</v>
      </c>
      <c r="AG14" s="14" t="s">
        <v>246</v>
      </c>
      <c r="AH14" s="21">
        <v>4</v>
      </c>
      <c r="AI14" s="3">
        <f>HYPERLINK("https://my.pitchbook.com/?d=218005-84T","218005-84T")</f>
      </c>
      <c r="AJ14" s="19" t="s">
        <v>166</v>
      </c>
      <c r="AK14" s="19">
        <v>44044</v>
      </c>
      <c r="AL14" s="18">
        <v>1.5</v>
      </c>
      <c r="AM14" s="14" t="s">
        <v>185</v>
      </c>
      <c r="AN14" s="18">
        <v>6.5</v>
      </c>
      <c r="AO14" s="18">
        <v>8</v>
      </c>
      <c r="AP14" s="14" t="s">
        <v>185</v>
      </c>
      <c r="AQ14" s="21" t="s">
        <v>166</v>
      </c>
      <c r="AR14" s="21" t="s">
        <v>166</v>
      </c>
      <c r="AS14" s="17">
        <v>23.3</v>
      </c>
      <c r="AT14" s="18">
        <v>1.62</v>
      </c>
      <c r="AU14" s="21" t="s">
        <v>186</v>
      </c>
      <c r="AV14" s="21" t="s">
        <v>166</v>
      </c>
      <c r="AW14" s="18">
        <v>0.38</v>
      </c>
      <c r="AX14" s="21" t="s">
        <v>166</v>
      </c>
      <c r="AY14" s="14" t="s">
        <v>217</v>
      </c>
      <c r="AZ14" s="14" t="s">
        <v>217</v>
      </c>
      <c r="BA14" s="14" t="s">
        <v>166</v>
      </c>
      <c r="BB14" s="21" t="s">
        <v>166</v>
      </c>
      <c r="BC14" s="14" t="s">
        <v>179</v>
      </c>
      <c r="BD14" s="14" t="s">
        <v>307</v>
      </c>
      <c r="BE14" s="14" t="s">
        <v>189</v>
      </c>
      <c r="BF14" s="18">
        <v>1.5</v>
      </c>
      <c r="BG14" s="14" t="s">
        <v>190</v>
      </c>
      <c r="BH14" s="14" t="s">
        <v>166</v>
      </c>
      <c r="BI14" s="14" t="s">
        <v>166</v>
      </c>
      <c r="BJ14" s="18" t="s">
        <v>166</v>
      </c>
      <c r="BK14" s="18" t="s">
        <v>166</v>
      </c>
      <c r="BL14" s="14" t="s">
        <v>191</v>
      </c>
      <c r="BM14" s="14" t="s">
        <v>178</v>
      </c>
      <c r="BN14" s="14" t="s">
        <v>177</v>
      </c>
      <c r="BO14" s="22" t="s">
        <v>166</v>
      </c>
      <c r="BP14" s="14" t="s">
        <v>308</v>
      </c>
      <c r="BQ14" s="21">
        <v>2</v>
      </c>
      <c r="BR14" s="14" t="s">
        <v>252</v>
      </c>
      <c r="BS14" s="21">
        <v>1</v>
      </c>
      <c r="BT14" s="14" t="s">
        <v>166</v>
      </c>
      <c r="BU14" s="14" t="s">
        <v>166</v>
      </c>
      <c r="BV14" s="14" t="s">
        <v>166</v>
      </c>
      <c r="BW14" s="14" t="s">
        <v>166</v>
      </c>
      <c r="BX14" s="14" t="s">
        <v>166</v>
      </c>
      <c r="BY14" s="14" t="s">
        <v>166</v>
      </c>
      <c r="BZ14" s="14" t="s">
        <v>166</v>
      </c>
      <c r="CA14" s="14" t="s">
        <v>166</v>
      </c>
      <c r="CB14" s="14" t="s">
        <v>166</v>
      </c>
      <c r="CC14" s="14" t="s">
        <v>166</v>
      </c>
      <c r="CD14" s="14" t="s">
        <v>166</v>
      </c>
      <c r="CE14" s="18" t="s">
        <v>166</v>
      </c>
      <c r="CF14" s="16" t="s">
        <v>166</v>
      </c>
      <c r="CG14" s="17" t="s">
        <v>166</v>
      </c>
      <c r="CH14" s="16" t="s">
        <v>166</v>
      </c>
      <c r="CI14" s="16" t="s">
        <v>166</v>
      </c>
      <c r="CJ14" s="16" t="s">
        <v>166</v>
      </c>
      <c r="CK14" s="16" t="s">
        <v>166</v>
      </c>
      <c r="CL14" s="16" t="s">
        <v>166</v>
      </c>
      <c r="CM14" s="20" t="s">
        <v>166</v>
      </c>
      <c r="CN14" s="16" t="s">
        <v>166</v>
      </c>
      <c r="CO14" s="16" t="s">
        <v>166</v>
      </c>
      <c r="CP14" s="16" t="s">
        <v>166</v>
      </c>
      <c r="CQ14" s="16" t="s">
        <v>166</v>
      </c>
      <c r="CR14" s="16" t="s">
        <v>166</v>
      </c>
      <c r="CS14" s="16" t="s">
        <v>166</v>
      </c>
      <c r="CT14" s="16" t="s">
        <v>166</v>
      </c>
      <c r="CU14" s="16" t="s">
        <v>166</v>
      </c>
      <c r="CV14" s="16" t="s">
        <v>166</v>
      </c>
      <c r="CW14" s="16" t="s">
        <v>166</v>
      </c>
      <c r="CX14" s="16" t="s">
        <v>166</v>
      </c>
      <c r="CY14" s="16" t="s">
        <v>166</v>
      </c>
      <c r="CZ14" s="16" t="s">
        <v>166</v>
      </c>
      <c r="DA14" s="16" t="s">
        <v>166</v>
      </c>
      <c r="DB14" s="16" t="s">
        <v>166</v>
      </c>
      <c r="DC14" s="16" t="s">
        <v>166</v>
      </c>
      <c r="DD14" s="16" t="s">
        <v>166</v>
      </c>
      <c r="DE14" s="17" t="s">
        <v>166</v>
      </c>
      <c r="DF14" s="22">
        <v>7</v>
      </c>
      <c r="DG14" s="14" t="s">
        <v>309</v>
      </c>
      <c r="DH14" s="14" t="s">
        <v>193</v>
      </c>
      <c r="DI14" s="14" t="s">
        <v>194</v>
      </c>
      <c r="DJ14" s="14" t="s">
        <v>310</v>
      </c>
      <c r="DK14" s="14" t="s">
        <v>310</v>
      </c>
      <c r="DL14" s="21" t="s">
        <v>311</v>
      </c>
      <c r="DM14" s="14" t="s">
        <v>198</v>
      </c>
      <c r="DN14" s="13" t="s">
        <v>312</v>
      </c>
      <c r="DO14" s="20">
        <v>2015</v>
      </c>
      <c r="DP14" s="14" t="s">
        <v>166</v>
      </c>
      <c r="DQ14" s="14" t="s">
        <v>313</v>
      </c>
      <c r="DR14" s="18" t="s">
        <v>166</v>
      </c>
      <c r="DS14" s="16" t="s">
        <v>166</v>
      </c>
      <c r="DT14" s="19" t="s">
        <v>166</v>
      </c>
      <c r="DU14" s="14" t="s">
        <v>166</v>
      </c>
      <c r="DV14" s="18" t="s">
        <v>166</v>
      </c>
      <c r="DW14" s="18" t="s">
        <v>166</v>
      </c>
      <c r="DX14" s="16" t="s">
        <v>166</v>
      </c>
      <c r="DY14" s="16" t="s">
        <v>166</v>
      </c>
      <c r="DZ14" s="17" t="s">
        <v>166</v>
      </c>
      <c r="EA14" s="16" t="s">
        <v>166</v>
      </c>
      <c r="EB14" s="16" t="s">
        <v>166</v>
      </c>
      <c r="EC14" s="16" t="s">
        <v>166</v>
      </c>
      <c r="ED14" s="17" t="s">
        <v>166</v>
      </c>
      <c r="EE14" s="17" t="s">
        <v>166</v>
      </c>
      <c r="EF14" s="17" t="s">
        <v>166</v>
      </c>
      <c r="EG14" s="17" t="s">
        <v>166</v>
      </c>
      <c r="EH14" s="16" t="s">
        <v>166</v>
      </c>
      <c r="EI14" s="16" t="s">
        <v>166</v>
      </c>
      <c r="EJ14" s="16" t="s">
        <v>166</v>
      </c>
      <c r="EK14" s="16" t="s">
        <v>166</v>
      </c>
      <c r="EL14" s="16" t="s">
        <v>166</v>
      </c>
      <c r="EM14" s="16" t="s">
        <v>166</v>
      </c>
      <c r="EN14" s="16" t="s">
        <v>166</v>
      </c>
      <c r="EO14" s="16" t="s">
        <v>166</v>
      </c>
      <c r="EP14" s="16" t="s">
        <v>166</v>
      </c>
      <c r="EQ14" s="16" t="s">
        <v>166</v>
      </c>
      <c r="ER14" s="16" t="s">
        <v>166</v>
      </c>
      <c r="ES14" s="16" t="s">
        <v>166</v>
      </c>
      <c r="ET14" s="14" t="s">
        <v>166</v>
      </c>
      <c r="EU14" s="16" t="s">
        <v>166</v>
      </c>
      <c r="EV14" s="16" t="s">
        <v>166</v>
      </c>
      <c r="EW14" s="16" t="s">
        <v>166</v>
      </c>
      <c r="EX14" s="14" t="s">
        <v>190</v>
      </c>
      <c r="EY14" s="14" t="s">
        <v>190</v>
      </c>
      <c r="EZ14" s="16" t="s">
        <v>166</v>
      </c>
      <c r="FA14" s="15" t="s">
        <v>166</v>
      </c>
      <c r="FB14" s="15" t="s">
        <v>166</v>
      </c>
      <c r="FC14" s="15" t="s">
        <v>166</v>
      </c>
      <c r="FD14" s="15" t="s">
        <v>166</v>
      </c>
      <c r="FE14" s="15" t="s">
        <v>166</v>
      </c>
      <c r="FF14" s="15" t="s">
        <v>166</v>
      </c>
      <c r="FG14" s="14" t="s">
        <v>166</v>
      </c>
      <c r="FH14" s="3">
        <f>HYPERLINK("https://my.pitchbook.com?c=218005-84T","View Company Online")</f>
      </c>
    </row>
    <row r="15">
      <c r="A15" s="25" t="s">
        <v>314</v>
      </c>
      <c r="B15" s="25" t="s">
        <v>315</v>
      </c>
      <c r="C15" s="25" t="s">
        <v>316</v>
      </c>
      <c r="D15" s="25" t="s">
        <v>166</v>
      </c>
      <c r="E15" s="34" t="s">
        <v>317</v>
      </c>
      <c r="F15" s="32">
        <v>8</v>
      </c>
      <c r="G15" s="25" t="s">
        <v>318</v>
      </c>
      <c r="H15" s="25" t="s">
        <v>166</v>
      </c>
      <c r="I15" s="25" t="s">
        <v>319</v>
      </c>
      <c r="J15" s="25" t="s">
        <v>320</v>
      </c>
      <c r="K15" s="25" t="s">
        <v>321</v>
      </c>
      <c r="L15" s="25" t="s">
        <v>322</v>
      </c>
      <c r="M15" s="25" t="s">
        <v>323</v>
      </c>
      <c r="N15" s="25" t="s">
        <v>324</v>
      </c>
      <c r="O15" s="25" t="s">
        <v>325</v>
      </c>
      <c r="P15" s="25" t="s">
        <v>326</v>
      </c>
      <c r="Q15" s="25" t="s">
        <v>166</v>
      </c>
      <c r="R15" s="25" t="s">
        <v>177</v>
      </c>
      <c r="S15" s="25" t="s">
        <v>178</v>
      </c>
      <c r="T15" s="25" t="s">
        <v>179</v>
      </c>
      <c r="U15" s="25" t="s">
        <v>327</v>
      </c>
      <c r="V15" s="25" t="s">
        <v>328</v>
      </c>
      <c r="W15" s="32" t="s">
        <v>166</v>
      </c>
      <c r="X15" s="25" t="s">
        <v>329</v>
      </c>
      <c r="Y15" s="25" t="s">
        <v>330</v>
      </c>
      <c r="Z15" s="25" t="s">
        <v>331</v>
      </c>
      <c r="AA15" s="25" t="s">
        <v>166</v>
      </c>
      <c r="AB15" s="25" t="s">
        <v>166</v>
      </c>
      <c r="AC15" s="25" t="s">
        <v>166</v>
      </c>
      <c r="AD15" s="25" t="s">
        <v>166</v>
      </c>
      <c r="AE15" s="25" t="s">
        <v>166</v>
      </c>
      <c r="AF15" s="25" t="s">
        <v>166</v>
      </c>
      <c r="AG15" s="25" t="s">
        <v>166</v>
      </c>
      <c r="AH15" s="32">
        <v>2</v>
      </c>
      <c r="AI15" s="4">
        <f>HYPERLINK("https://my.pitchbook.com/?d=210392-11T","210392-11T")</f>
      </c>
      <c r="AJ15" s="30">
        <v>44861</v>
      </c>
      <c r="AK15" s="30">
        <v>44907</v>
      </c>
      <c r="AL15" s="29">
        <v>2.99</v>
      </c>
      <c r="AM15" s="25" t="s">
        <v>185</v>
      </c>
      <c r="AN15" s="29" t="s">
        <v>166</v>
      </c>
      <c r="AO15" s="29" t="s">
        <v>166</v>
      </c>
      <c r="AP15" s="25" t="s">
        <v>166</v>
      </c>
      <c r="AQ15" s="32" t="s">
        <v>166</v>
      </c>
      <c r="AR15" s="32" t="s">
        <v>166</v>
      </c>
      <c r="AS15" s="28" t="s">
        <v>166</v>
      </c>
      <c r="AT15" s="29">
        <v>2.99</v>
      </c>
      <c r="AU15" s="32" t="s">
        <v>186</v>
      </c>
      <c r="AV15" s="32" t="s">
        <v>166</v>
      </c>
      <c r="AW15" s="29" t="s">
        <v>166</v>
      </c>
      <c r="AX15" s="32" t="s">
        <v>166</v>
      </c>
      <c r="AY15" s="25" t="s">
        <v>217</v>
      </c>
      <c r="AZ15" s="25" t="s">
        <v>217</v>
      </c>
      <c r="BA15" s="25" t="s">
        <v>166</v>
      </c>
      <c r="BB15" s="32" t="s">
        <v>166</v>
      </c>
      <c r="BC15" s="25" t="s">
        <v>179</v>
      </c>
      <c r="BD15" s="25" t="s">
        <v>332</v>
      </c>
      <c r="BE15" s="25" t="s">
        <v>189</v>
      </c>
      <c r="BF15" s="29">
        <v>2.99</v>
      </c>
      <c r="BG15" s="25" t="s">
        <v>190</v>
      </c>
      <c r="BH15" s="25" t="s">
        <v>166</v>
      </c>
      <c r="BI15" s="25" t="s">
        <v>166</v>
      </c>
      <c r="BJ15" s="29" t="s">
        <v>166</v>
      </c>
      <c r="BK15" s="29" t="s">
        <v>166</v>
      </c>
      <c r="BL15" s="25" t="s">
        <v>191</v>
      </c>
      <c r="BM15" s="25" t="s">
        <v>178</v>
      </c>
      <c r="BN15" s="25" t="s">
        <v>177</v>
      </c>
      <c r="BO15" s="33" t="s">
        <v>166</v>
      </c>
      <c r="BP15" s="25" t="s">
        <v>333</v>
      </c>
      <c r="BQ15" s="32">
        <v>8</v>
      </c>
      <c r="BR15" s="25" t="s">
        <v>166</v>
      </c>
      <c r="BS15" s="32" t="s">
        <v>166</v>
      </c>
      <c r="BT15" s="25" t="s">
        <v>334</v>
      </c>
      <c r="BU15" s="25" t="s">
        <v>166</v>
      </c>
      <c r="BV15" s="25" t="s">
        <v>335</v>
      </c>
      <c r="BW15" s="25" t="s">
        <v>166</v>
      </c>
      <c r="BX15" s="25" t="s">
        <v>166</v>
      </c>
      <c r="BY15" s="25" t="s">
        <v>166</v>
      </c>
      <c r="BZ15" s="25" t="s">
        <v>336</v>
      </c>
      <c r="CA15" s="25" t="s">
        <v>336</v>
      </c>
      <c r="CB15" s="25" t="s">
        <v>166</v>
      </c>
      <c r="CC15" s="25" t="s">
        <v>166</v>
      </c>
      <c r="CD15" s="25" t="s">
        <v>166</v>
      </c>
      <c r="CE15" s="29" t="s">
        <v>166</v>
      </c>
      <c r="CF15" s="27" t="s">
        <v>166</v>
      </c>
      <c r="CG15" s="28" t="s">
        <v>166</v>
      </c>
      <c r="CH15" s="27" t="s">
        <v>166</v>
      </c>
      <c r="CI15" s="27" t="s">
        <v>166</v>
      </c>
      <c r="CJ15" s="27" t="s">
        <v>166</v>
      </c>
      <c r="CK15" s="27" t="s">
        <v>166</v>
      </c>
      <c r="CL15" s="27" t="s">
        <v>166</v>
      </c>
      <c r="CM15" s="31" t="s">
        <v>166</v>
      </c>
      <c r="CN15" s="27" t="s">
        <v>166</v>
      </c>
      <c r="CO15" s="27" t="s">
        <v>166</v>
      </c>
      <c r="CP15" s="27" t="s">
        <v>166</v>
      </c>
      <c r="CQ15" s="27" t="s">
        <v>166</v>
      </c>
      <c r="CR15" s="27" t="s">
        <v>166</v>
      </c>
      <c r="CS15" s="27" t="s">
        <v>166</v>
      </c>
      <c r="CT15" s="27" t="s">
        <v>166</v>
      </c>
      <c r="CU15" s="27" t="s">
        <v>166</v>
      </c>
      <c r="CV15" s="27" t="s">
        <v>166</v>
      </c>
      <c r="CW15" s="27" t="s">
        <v>166</v>
      </c>
      <c r="CX15" s="27" t="s">
        <v>166</v>
      </c>
      <c r="CY15" s="27" t="s">
        <v>166</v>
      </c>
      <c r="CZ15" s="27" t="s">
        <v>166</v>
      </c>
      <c r="DA15" s="27" t="s">
        <v>166</v>
      </c>
      <c r="DB15" s="27" t="s">
        <v>166</v>
      </c>
      <c r="DC15" s="27" t="s">
        <v>166</v>
      </c>
      <c r="DD15" s="27" t="s">
        <v>166</v>
      </c>
      <c r="DE15" s="28" t="s">
        <v>166</v>
      </c>
      <c r="DF15" s="33">
        <v>21</v>
      </c>
      <c r="DG15" s="25" t="s">
        <v>337</v>
      </c>
      <c r="DH15" s="25" t="s">
        <v>193</v>
      </c>
      <c r="DI15" s="25" t="s">
        <v>194</v>
      </c>
      <c r="DJ15" s="25" t="s">
        <v>338</v>
      </c>
      <c r="DK15" s="25" t="s">
        <v>310</v>
      </c>
      <c r="DL15" s="32" t="s">
        <v>339</v>
      </c>
      <c r="DM15" s="25" t="s">
        <v>198</v>
      </c>
      <c r="DN15" s="24" t="s">
        <v>340</v>
      </c>
      <c r="DO15" s="31">
        <v>2019</v>
      </c>
      <c r="DP15" s="25" t="s">
        <v>166</v>
      </c>
      <c r="DQ15" s="25" t="s">
        <v>166</v>
      </c>
      <c r="DR15" s="29" t="s">
        <v>166</v>
      </c>
      <c r="DS15" s="27" t="s">
        <v>166</v>
      </c>
      <c r="DT15" s="30" t="s">
        <v>166</v>
      </c>
      <c r="DU15" s="25" t="s">
        <v>166</v>
      </c>
      <c r="DV15" s="29" t="s">
        <v>166</v>
      </c>
      <c r="DW15" s="29" t="s">
        <v>166</v>
      </c>
      <c r="DX15" s="27" t="s">
        <v>166</v>
      </c>
      <c r="DY15" s="27" t="s">
        <v>166</v>
      </c>
      <c r="DZ15" s="28" t="s">
        <v>166</v>
      </c>
      <c r="EA15" s="27" t="s">
        <v>166</v>
      </c>
      <c r="EB15" s="27" t="s">
        <v>166</v>
      </c>
      <c r="EC15" s="27" t="s">
        <v>166</v>
      </c>
      <c r="ED15" s="28" t="s">
        <v>166</v>
      </c>
      <c r="EE15" s="28" t="s">
        <v>166</v>
      </c>
      <c r="EF15" s="28" t="s">
        <v>166</v>
      </c>
      <c r="EG15" s="28" t="s">
        <v>166</v>
      </c>
      <c r="EH15" s="27" t="s">
        <v>166</v>
      </c>
      <c r="EI15" s="27" t="s">
        <v>166</v>
      </c>
      <c r="EJ15" s="27" t="s">
        <v>166</v>
      </c>
      <c r="EK15" s="27" t="s">
        <v>166</v>
      </c>
      <c r="EL15" s="27" t="s">
        <v>166</v>
      </c>
      <c r="EM15" s="27" t="s">
        <v>166</v>
      </c>
      <c r="EN15" s="27" t="s">
        <v>166</v>
      </c>
      <c r="EO15" s="27" t="s">
        <v>166</v>
      </c>
      <c r="EP15" s="27" t="s">
        <v>166</v>
      </c>
      <c r="EQ15" s="27" t="s">
        <v>166</v>
      </c>
      <c r="ER15" s="27" t="s">
        <v>166</v>
      </c>
      <c r="ES15" s="27" t="s">
        <v>166</v>
      </c>
      <c r="ET15" s="25" t="s">
        <v>166</v>
      </c>
      <c r="EU15" s="27" t="s">
        <v>166</v>
      </c>
      <c r="EV15" s="27" t="s">
        <v>166</v>
      </c>
      <c r="EW15" s="27" t="s">
        <v>166</v>
      </c>
      <c r="EX15" s="25" t="s">
        <v>190</v>
      </c>
      <c r="EY15" s="25" t="s">
        <v>166</v>
      </c>
      <c r="EZ15" s="27" t="s">
        <v>166</v>
      </c>
      <c r="FA15" s="26" t="s">
        <v>166</v>
      </c>
      <c r="FB15" s="26" t="s">
        <v>166</v>
      </c>
      <c r="FC15" s="26" t="s">
        <v>166</v>
      </c>
      <c r="FD15" s="26" t="s">
        <v>166</v>
      </c>
      <c r="FE15" s="26" t="s">
        <v>166</v>
      </c>
      <c r="FF15" s="26" t="s">
        <v>166</v>
      </c>
      <c r="FG15" s="25" t="s">
        <v>166</v>
      </c>
      <c r="FH15" s="4">
        <f>HYPERLINK("https://my.pitchbook.com?c=210392-11T","View Company Online")</f>
      </c>
    </row>
    <row r="16">
      <c r="A16" s="14" t="s">
        <v>341</v>
      </c>
      <c r="B16" s="14" t="s">
        <v>342</v>
      </c>
      <c r="C16" s="14" t="s">
        <v>343</v>
      </c>
      <c r="D16" s="14" t="s">
        <v>166</v>
      </c>
      <c r="E16" s="23" t="s">
        <v>344</v>
      </c>
      <c r="F16" s="21">
        <v>10</v>
      </c>
      <c r="G16" s="14" t="s">
        <v>345</v>
      </c>
      <c r="H16" s="14" t="s">
        <v>166</v>
      </c>
      <c r="I16" s="14" t="s">
        <v>346</v>
      </c>
      <c r="J16" s="14" t="s">
        <v>347</v>
      </c>
      <c r="K16" s="14" t="s">
        <v>207</v>
      </c>
      <c r="L16" s="14" t="s">
        <v>208</v>
      </c>
      <c r="M16" s="14" t="s">
        <v>209</v>
      </c>
      <c r="N16" s="14" t="s">
        <v>348</v>
      </c>
      <c r="O16" s="14" t="s">
        <v>349</v>
      </c>
      <c r="P16" s="14" t="s">
        <v>350</v>
      </c>
      <c r="Q16" s="14" t="s">
        <v>166</v>
      </c>
      <c r="R16" s="14" t="s">
        <v>177</v>
      </c>
      <c r="S16" s="14" t="s">
        <v>178</v>
      </c>
      <c r="T16" s="14" t="s">
        <v>179</v>
      </c>
      <c r="U16" s="14" t="s">
        <v>351</v>
      </c>
      <c r="V16" s="14" t="s">
        <v>352</v>
      </c>
      <c r="W16" s="21" t="s">
        <v>353</v>
      </c>
      <c r="X16" s="14" t="s">
        <v>354</v>
      </c>
      <c r="Y16" s="14" t="s">
        <v>355</v>
      </c>
      <c r="Z16" s="14" t="s">
        <v>356</v>
      </c>
      <c r="AA16" s="14" t="s">
        <v>166</v>
      </c>
      <c r="AB16" s="14" t="s">
        <v>166</v>
      </c>
      <c r="AC16" s="14" t="s">
        <v>166</v>
      </c>
      <c r="AD16" s="14" t="s">
        <v>166</v>
      </c>
      <c r="AE16" s="14" t="s">
        <v>166</v>
      </c>
      <c r="AF16" s="14" t="s">
        <v>166</v>
      </c>
      <c r="AG16" s="14" t="s">
        <v>166</v>
      </c>
      <c r="AH16" s="21">
        <v>1</v>
      </c>
      <c r="AI16" s="3">
        <f>HYPERLINK("https://my.pitchbook.com/?d=165066-04T","165066-04T")</f>
      </c>
      <c r="AJ16" s="19" t="s">
        <v>166</v>
      </c>
      <c r="AK16" s="19">
        <v>43861</v>
      </c>
      <c r="AL16" s="18">
        <v>0.89</v>
      </c>
      <c r="AM16" s="14" t="s">
        <v>185</v>
      </c>
      <c r="AN16" s="18" t="s">
        <v>166</v>
      </c>
      <c r="AO16" s="18" t="s">
        <v>166</v>
      </c>
      <c r="AP16" s="14" t="s">
        <v>166</v>
      </c>
      <c r="AQ16" s="21" t="s">
        <v>166</v>
      </c>
      <c r="AR16" s="21" t="s">
        <v>166</v>
      </c>
      <c r="AS16" s="17" t="s">
        <v>166</v>
      </c>
      <c r="AT16" s="18">
        <v>0.89</v>
      </c>
      <c r="AU16" s="21" t="s">
        <v>186</v>
      </c>
      <c r="AV16" s="21" t="s">
        <v>166</v>
      </c>
      <c r="AW16" s="18" t="s">
        <v>166</v>
      </c>
      <c r="AX16" s="21" t="s">
        <v>166</v>
      </c>
      <c r="AY16" s="14" t="s">
        <v>187</v>
      </c>
      <c r="AZ16" s="14" t="s">
        <v>166</v>
      </c>
      <c r="BA16" s="14" t="s">
        <v>166</v>
      </c>
      <c r="BB16" s="21" t="s">
        <v>166</v>
      </c>
      <c r="BC16" s="14" t="s">
        <v>179</v>
      </c>
      <c r="BD16" s="14" t="s">
        <v>357</v>
      </c>
      <c r="BE16" s="14" t="s">
        <v>189</v>
      </c>
      <c r="BF16" s="18">
        <v>0.89</v>
      </c>
      <c r="BG16" s="14" t="s">
        <v>190</v>
      </c>
      <c r="BH16" s="14" t="s">
        <v>166</v>
      </c>
      <c r="BI16" s="14" t="s">
        <v>166</v>
      </c>
      <c r="BJ16" s="18" t="s">
        <v>166</v>
      </c>
      <c r="BK16" s="18" t="s">
        <v>166</v>
      </c>
      <c r="BL16" s="14" t="s">
        <v>191</v>
      </c>
      <c r="BM16" s="14" t="s">
        <v>358</v>
      </c>
      <c r="BN16" s="14" t="s">
        <v>177</v>
      </c>
      <c r="BO16" s="22" t="s">
        <v>166</v>
      </c>
      <c r="BP16" s="14" t="s">
        <v>344</v>
      </c>
      <c r="BQ16" s="21">
        <v>10</v>
      </c>
      <c r="BR16" s="14" t="s">
        <v>166</v>
      </c>
      <c r="BS16" s="21" t="s">
        <v>166</v>
      </c>
      <c r="BT16" s="14" t="s">
        <v>166</v>
      </c>
      <c r="BU16" s="14" t="s">
        <v>166</v>
      </c>
      <c r="BV16" s="14" t="s">
        <v>359</v>
      </c>
      <c r="BW16" s="14" t="s">
        <v>166</v>
      </c>
      <c r="BX16" s="14" t="s">
        <v>166</v>
      </c>
      <c r="BY16" s="14" t="s">
        <v>166</v>
      </c>
      <c r="BZ16" s="14" t="s">
        <v>166</v>
      </c>
      <c r="CA16" s="14" t="s">
        <v>166</v>
      </c>
      <c r="CB16" s="14" t="s">
        <v>166</v>
      </c>
      <c r="CC16" s="14" t="s">
        <v>166</v>
      </c>
      <c r="CD16" s="14" t="s">
        <v>166</v>
      </c>
      <c r="CE16" s="18" t="s">
        <v>166</v>
      </c>
      <c r="CF16" s="16" t="s">
        <v>166</v>
      </c>
      <c r="CG16" s="17" t="s">
        <v>166</v>
      </c>
      <c r="CH16" s="16" t="s">
        <v>166</v>
      </c>
      <c r="CI16" s="16" t="s">
        <v>166</v>
      </c>
      <c r="CJ16" s="16" t="s">
        <v>166</v>
      </c>
      <c r="CK16" s="16" t="s">
        <v>166</v>
      </c>
      <c r="CL16" s="16" t="s">
        <v>166</v>
      </c>
      <c r="CM16" s="20" t="s">
        <v>166</v>
      </c>
      <c r="CN16" s="16" t="s">
        <v>166</v>
      </c>
      <c r="CO16" s="16" t="s">
        <v>166</v>
      </c>
      <c r="CP16" s="16" t="s">
        <v>166</v>
      </c>
      <c r="CQ16" s="16" t="s">
        <v>166</v>
      </c>
      <c r="CR16" s="16" t="s">
        <v>166</v>
      </c>
      <c r="CS16" s="16" t="s">
        <v>166</v>
      </c>
      <c r="CT16" s="16" t="s">
        <v>166</v>
      </c>
      <c r="CU16" s="16" t="s">
        <v>166</v>
      </c>
      <c r="CV16" s="16" t="s">
        <v>166</v>
      </c>
      <c r="CW16" s="16" t="s">
        <v>166</v>
      </c>
      <c r="CX16" s="16" t="s">
        <v>166</v>
      </c>
      <c r="CY16" s="16" t="s">
        <v>166</v>
      </c>
      <c r="CZ16" s="16" t="s">
        <v>166</v>
      </c>
      <c r="DA16" s="16" t="s">
        <v>166</v>
      </c>
      <c r="DB16" s="16" t="s">
        <v>166</v>
      </c>
      <c r="DC16" s="16" t="s">
        <v>166</v>
      </c>
      <c r="DD16" s="16" t="s">
        <v>166</v>
      </c>
      <c r="DE16" s="17" t="s">
        <v>166</v>
      </c>
      <c r="DF16" s="22">
        <v>17</v>
      </c>
      <c r="DG16" s="14" t="s">
        <v>360</v>
      </c>
      <c r="DH16" s="14" t="s">
        <v>193</v>
      </c>
      <c r="DI16" s="14" t="s">
        <v>194</v>
      </c>
      <c r="DJ16" s="14" t="s">
        <v>361</v>
      </c>
      <c r="DK16" s="14" t="s">
        <v>196</v>
      </c>
      <c r="DL16" s="21" t="s">
        <v>362</v>
      </c>
      <c r="DM16" s="14" t="s">
        <v>198</v>
      </c>
      <c r="DN16" s="13" t="s">
        <v>363</v>
      </c>
      <c r="DO16" s="20">
        <v>2019</v>
      </c>
      <c r="DP16" s="14" t="s">
        <v>166</v>
      </c>
      <c r="DQ16" s="14" t="s">
        <v>166</v>
      </c>
      <c r="DR16" s="18" t="s">
        <v>166</v>
      </c>
      <c r="DS16" s="16" t="s">
        <v>166</v>
      </c>
      <c r="DT16" s="19" t="s">
        <v>166</v>
      </c>
      <c r="DU16" s="14" t="s">
        <v>166</v>
      </c>
      <c r="DV16" s="18" t="s">
        <v>166</v>
      </c>
      <c r="DW16" s="18" t="s">
        <v>166</v>
      </c>
      <c r="DX16" s="16" t="s">
        <v>166</v>
      </c>
      <c r="DY16" s="16" t="s">
        <v>166</v>
      </c>
      <c r="DZ16" s="17" t="s">
        <v>166</v>
      </c>
      <c r="EA16" s="16" t="s">
        <v>166</v>
      </c>
      <c r="EB16" s="16" t="s">
        <v>166</v>
      </c>
      <c r="EC16" s="16" t="s">
        <v>166</v>
      </c>
      <c r="ED16" s="17" t="s">
        <v>166</v>
      </c>
      <c r="EE16" s="17" t="s">
        <v>166</v>
      </c>
      <c r="EF16" s="17" t="s">
        <v>166</v>
      </c>
      <c r="EG16" s="17" t="s">
        <v>166</v>
      </c>
      <c r="EH16" s="16" t="s">
        <v>166</v>
      </c>
      <c r="EI16" s="16" t="s">
        <v>166</v>
      </c>
      <c r="EJ16" s="16" t="s">
        <v>166</v>
      </c>
      <c r="EK16" s="16" t="s">
        <v>166</v>
      </c>
      <c r="EL16" s="16" t="s">
        <v>166</v>
      </c>
      <c r="EM16" s="16" t="s">
        <v>166</v>
      </c>
      <c r="EN16" s="16" t="s">
        <v>166</v>
      </c>
      <c r="EO16" s="16" t="s">
        <v>166</v>
      </c>
      <c r="EP16" s="16" t="s">
        <v>166</v>
      </c>
      <c r="EQ16" s="16" t="s">
        <v>166</v>
      </c>
      <c r="ER16" s="16" t="s">
        <v>166</v>
      </c>
      <c r="ES16" s="16" t="s">
        <v>166</v>
      </c>
      <c r="ET16" s="14" t="s">
        <v>166</v>
      </c>
      <c r="EU16" s="16" t="s">
        <v>166</v>
      </c>
      <c r="EV16" s="16" t="s">
        <v>166</v>
      </c>
      <c r="EW16" s="16" t="s">
        <v>166</v>
      </c>
      <c r="EX16" s="14" t="s">
        <v>190</v>
      </c>
      <c r="EY16" s="14" t="s">
        <v>166</v>
      </c>
      <c r="EZ16" s="16" t="s">
        <v>166</v>
      </c>
      <c r="FA16" s="15">
        <v>4</v>
      </c>
      <c r="FB16" s="15">
        <v>2</v>
      </c>
      <c r="FC16" s="15">
        <v>4</v>
      </c>
      <c r="FD16" s="15" t="s">
        <v>166</v>
      </c>
      <c r="FE16" s="15" t="s">
        <v>166</v>
      </c>
      <c r="FF16" s="15" t="s">
        <v>166</v>
      </c>
      <c r="FG16" s="14" t="s">
        <v>364</v>
      </c>
      <c r="FH16" s="3">
        <f>HYPERLINK("https://my.pitchbook.com?c=165066-04T","View Company Online")</f>
      </c>
    </row>
    <row r="17">
      <c r="A17" s="25" t="s">
        <v>365</v>
      </c>
      <c r="B17" s="25" t="s">
        <v>366</v>
      </c>
      <c r="C17" s="25" t="s">
        <v>367</v>
      </c>
      <c r="D17" s="25" t="s">
        <v>166</v>
      </c>
      <c r="E17" s="34" t="s">
        <v>368</v>
      </c>
      <c r="F17" s="32">
        <v>3</v>
      </c>
      <c r="G17" s="25" t="s">
        <v>369</v>
      </c>
      <c r="H17" s="25" t="s">
        <v>166</v>
      </c>
      <c r="I17" s="25" t="s">
        <v>370</v>
      </c>
      <c r="J17" s="25" t="s">
        <v>371</v>
      </c>
      <c r="K17" s="25" t="s">
        <v>207</v>
      </c>
      <c r="L17" s="25" t="s">
        <v>208</v>
      </c>
      <c r="M17" s="25" t="s">
        <v>209</v>
      </c>
      <c r="N17" s="25" t="s">
        <v>269</v>
      </c>
      <c r="O17" s="25" t="s">
        <v>372</v>
      </c>
      <c r="P17" s="25" t="s">
        <v>373</v>
      </c>
      <c r="Q17" s="25" t="s">
        <v>166</v>
      </c>
      <c r="R17" s="25" t="s">
        <v>177</v>
      </c>
      <c r="S17" s="25" t="s">
        <v>178</v>
      </c>
      <c r="T17" s="25" t="s">
        <v>179</v>
      </c>
      <c r="U17" s="25" t="s">
        <v>374</v>
      </c>
      <c r="V17" s="25" t="s">
        <v>375</v>
      </c>
      <c r="W17" s="32" t="s">
        <v>376</v>
      </c>
      <c r="X17" s="25" t="s">
        <v>377</v>
      </c>
      <c r="Y17" s="25" t="s">
        <v>378</v>
      </c>
      <c r="Z17" s="25" t="s">
        <v>166</v>
      </c>
      <c r="AA17" s="25" t="s">
        <v>379</v>
      </c>
      <c r="AB17" s="25" t="s">
        <v>243</v>
      </c>
      <c r="AC17" s="25" t="s">
        <v>244</v>
      </c>
      <c r="AD17" s="25" t="s">
        <v>243</v>
      </c>
      <c r="AE17" s="25" t="s">
        <v>243</v>
      </c>
      <c r="AF17" s="25" t="s">
        <v>306</v>
      </c>
      <c r="AG17" s="25" t="s">
        <v>166</v>
      </c>
      <c r="AH17" s="32">
        <v>3</v>
      </c>
      <c r="AI17" s="4">
        <f>HYPERLINK("https://my.pitchbook.com/?d=161017-93T","161017-93T")</f>
      </c>
      <c r="AJ17" s="30" t="s">
        <v>166</v>
      </c>
      <c r="AK17" s="30">
        <v>44179</v>
      </c>
      <c r="AL17" s="29">
        <v>1</v>
      </c>
      <c r="AM17" s="25" t="s">
        <v>185</v>
      </c>
      <c r="AN17" s="29">
        <v>4</v>
      </c>
      <c r="AO17" s="29">
        <v>5</v>
      </c>
      <c r="AP17" s="25" t="s">
        <v>185</v>
      </c>
      <c r="AQ17" s="32" t="s">
        <v>166</v>
      </c>
      <c r="AR17" s="32">
        <v>2.72</v>
      </c>
      <c r="AS17" s="28">
        <v>20</v>
      </c>
      <c r="AT17" s="29">
        <v>1.34</v>
      </c>
      <c r="AU17" s="32" t="s">
        <v>186</v>
      </c>
      <c r="AV17" s="32" t="s">
        <v>166</v>
      </c>
      <c r="AW17" s="29">
        <v>3.44</v>
      </c>
      <c r="AX17" s="32" t="s">
        <v>166</v>
      </c>
      <c r="AY17" s="25" t="s">
        <v>187</v>
      </c>
      <c r="AZ17" s="25" t="s">
        <v>166</v>
      </c>
      <c r="BA17" s="25" t="s">
        <v>166</v>
      </c>
      <c r="BB17" s="32" t="s">
        <v>166</v>
      </c>
      <c r="BC17" s="25" t="s">
        <v>179</v>
      </c>
      <c r="BD17" s="25" t="s">
        <v>371</v>
      </c>
      <c r="BE17" s="25" t="s">
        <v>189</v>
      </c>
      <c r="BF17" s="29">
        <v>1</v>
      </c>
      <c r="BG17" s="25" t="s">
        <v>190</v>
      </c>
      <c r="BH17" s="25" t="s">
        <v>166</v>
      </c>
      <c r="BI17" s="25" t="s">
        <v>166</v>
      </c>
      <c r="BJ17" s="29" t="s">
        <v>166</v>
      </c>
      <c r="BK17" s="29" t="s">
        <v>166</v>
      </c>
      <c r="BL17" s="25" t="s">
        <v>191</v>
      </c>
      <c r="BM17" s="25" t="s">
        <v>178</v>
      </c>
      <c r="BN17" s="25" t="s">
        <v>177</v>
      </c>
      <c r="BO17" s="33" t="s">
        <v>166</v>
      </c>
      <c r="BP17" s="25" t="s">
        <v>380</v>
      </c>
      <c r="BQ17" s="32">
        <v>2</v>
      </c>
      <c r="BR17" s="25" t="s">
        <v>381</v>
      </c>
      <c r="BS17" s="32">
        <v>1</v>
      </c>
      <c r="BT17" s="25" t="s">
        <v>382</v>
      </c>
      <c r="BU17" s="25" t="s">
        <v>166</v>
      </c>
      <c r="BV17" s="25" t="s">
        <v>383</v>
      </c>
      <c r="BW17" s="25" t="s">
        <v>166</v>
      </c>
      <c r="BX17" s="25" t="s">
        <v>166</v>
      </c>
      <c r="BY17" s="25" t="s">
        <v>166</v>
      </c>
      <c r="BZ17" s="25" t="s">
        <v>166</v>
      </c>
      <c r="CA17" s="25" t="s">
        <v>166</v>
      </c>
      <c r="CB17" s="25" t="s">
        <v>166</v>
      </c>
      <c r="CC17" s="25" t="s">
        <v>166</v>
      </c>
      <c r="CD17" s="25" t="s">
        <v>166</v>
      </c>
      <c r="CE17" s="29" t="s">
        <v>166</v>
      </c>
      <c r="CF17" s="27" t="s">
        <v>166</v>
      </c>
      <c r="CG17" s="28" t="s">
        <v>166</v>
      </c>
      <c r="CH17" s="27" t="s">
        <v>166</v>
      </c>
      <c r="CI17" s="27" t="s">
        <v>166</v>
      </c>
      <c r="CJ17" s="27" t="s">
        <v>166</v>
      </c>
      <c r="CK17" s="27" t="s">
        <v>166</v>
      </c>
      <c r="CL17" s="27" t="s">
        <v>166</v>
      </c>
      <c r="CM17" s="31" t="s">
        <v>166</v>
      </c>
      <c r="CN17" s="27" t="s">
        <v>166</v>
      </c>
      <c r="CO17" s="27" t="s">
        <v>166</v>
      </c>
      <c r="CP17" s="27" t="s">
        <v>166</v>
      </c>
      <c r="CQ17" s="27" t="s">
        <v>166</v>
      </c>
      <c r="CR17" s="27" t="s">
        <v>166</v>
      </c>
      <c r="CS17" s="27" t="s">
        <v>166</v>
      </c>
      <c r="CT17" s="27" t="s">
        <v>166</v>
      </c>
      <c r="CU17" s="27" t="s">
        <v>166</v>
      </c>
      <c r="CV17" s="27" t="s">
        <v>166</v>
      </c>
      <c r="CW17" s="27" t="s">
        <v>166</v>
      </c>
      <c r="CX17" s="27" t="s">
        <v>166</v>
      </c>
      <c r="CY17" s="27" t="s">
        <v>166</v>
      </c>
      <c r="CZ17" s="27" t="s">
        <v>166</v>
      </c>
      <c r="DA17" s="27" t="s">
        <v>166</v>
      </c>
      <c r="DB17" s="27" t="s">
        <v>166</v>
      </c>
      <c r="DC17" s="27" t="s">
        <v>166</v>
      </c>
      <c r="DD17" s="27" t="s">
        <v>166</v>
      </c>
      <c r="DE17" s="28" t="s">
        <v>166</v>
      </c>
      <c r="DF17" s="33">
        <v>12</v>
      </c>
      <c r="DG17" s="25" t="s">
        <v>384</v>
      </c>
      <c r="DH17" s="25" t="s">
        <v>193</v>
      </c>
      <c r="DI17" s="25" t="s">
        <v>194</v>
      </c>
      <c r="DJ17" s="25" t="s">
        <v>385</v>
      </c>
      <c r="DK17" s="25" t="s">
        <v>386</v>
      </c>
      <c r="DL17" s="32" t="s">
        <v>387</v>
      </c>
      <c r="DM17" s="25" t="s">
        <v>198</v>
      </c>
      <c r="DN17" s="24" t="s">
        <v>388</v>
      </c>
      <c r="DO17" s="31">
        <v>2016</v>
      </c>
      <c r="DP17" s="25" t="s">
        <v>166</v>
      </c>
      <c r="DQ17" s="25" t="s">
        <v>166</v>
      </c>
      <c r="DR17" s="29" t="s">
        <v>166</v>
      </c>
      <c r="DS17" s="27" t="s">
        <v>166</v>
      </c>
      <c r="DT17" s="30" t="s">
        <v>166</v>
      </c>
      <c r="DU17" s="25" t="s">
        <v>166</v>
      </c>
      <c r="DV17" s="29" t="s">
        <v>166</v>
      </c>
      <c r="DW17" s="29" t="s">
        <v>166</v>
      </c>
      <c r="DX17" s="27" t="s">
        <v>166</v>
      </c>
      <c r="DY17" s="27" t="s">
        <v>166</v>
      </c>
      <c r="DZ17" s="28" t="s">
        <v>166</v>
      </c>
      <c r="EA17" s="27" t="s">
        <v>166</v>
      </c>
      <c r="EB17" s="27" t="s">
        <v>166</v>
      </c>
      <c r="EC17" s="27" t="s">
        <v>166</v>
      </c>
      <c r="ED17" s="28" t="s">
        <v>166</v>
      </c>
      <c r="EE17" s="28" t="s">
        <v>166</v>
      </c>
      <c r="EF17" s="28" t="s">
        <v>166</v>
      </c>
      <c r="EG17" s="28" t="s">
        <v>166</v>
      </c>
      <c r="EH17" s="27" t="s">
        <v>166</v>
      </c>
      <c r="EI17" s="27" t="s">
        <v>166</v>
      </c>
      <c r="EJ17" s="27" t="s">
        <v>166</v>
      </c>
      <c r="EK17" s="27" t="s">
        <v>166</v>
      </c>
      <c r="EL17" s="27" t="s">
        <v>166</v>
      </c>
      <c r="EM17" s="27" t="s">
        <v>166</v>
      </c>
      <c r="EN17" s="27" t="s">
        <v>166</v>
      </c>
      <c r="EO17" s="27" t="s">
        <v>166</v>
      </c>
      <c r="EP17" s="27" t="s">
        <v>166</v>
      </c>
      <c r="EQ17" s="27" t="s">
        <v>166</v>
      </c>
      <c r="ER17" s="27" t="s">
        <v>166</v>
      </c>
      <c r="ES17" s="27" t="s">
        <v>166</v>
      </c>
      <c r="ET17" s="25" t="s">
        <v>166</v>
      </c>
      <c r="EU17" s="27" t="s">
        <v>166</v>
      </c>
      <c r="EV17" s="27" t="s">
        <v>166</v>
      </c>
      <c r="EW17" s="27" t="s">
        <v>166</v>
      </c>
      <c r="EX17" s="25" t="s">
        <v>190</v>
      </c>
      <c r="EY17" s="25" t="s">
        <v>166</v>
      </c>
      <c r="EZ17" s="27" t="s">
        <v>166</v>
      </c>
      <c r="FA17" s="26" t="s">
        <v>166</v>
      </c>
      <c r="FB17" s="26" t="s">
        <v>166</v>
      </c>
      <c r="FC17" s="26" t="s">
        <v>166</v>
      </c>
      <c r="FD17" s="26" t="s">
        <v>166</v>
      </c>
      <c r="FE17" s="26" t="s">
        <v>166</v>
      </c>
      <c r="FF17" s="26" t="s">
        <v>166</v>
      </c>
      <c r="FG17" s="25" t="s">
        <v>166</v>
      </c>
      <c r="FH17" s="4">
        <f>HYPERLINK("https://my.pitchbook.com?c=161017-93T","View Company Online")</f>
      </c>
    </row>
    <row r="18">
      <c r="A18" s="14" t="s">
        <v>389</v>
      </c>
      <c r="B18" s="14" t="s">
        <v>390</v>
      </c>
      <c r="C18" s="14" t="s">
        <v>391</v>
      </c>
      <c r="D18" s="14" t="s">
        <v>166</v>
      </c>
      <c r="E18" s="23" t="s">
        <v>392</v>
      </c>
      <c r="F18" s="21">
        <v>1</v>
      </c>
      <c r="G18" s="14" t="s">
        <v>393</v>
      </c>
      <c r="H18" s="14" t="s">
        <v>166</v>
      </c>
      <c r="I18" s="14" t="s">
        <v>394</v>
      </c>
      <c r="J18" s="14" t="s">
        <v>395</v>
      </c>
      <c r="K18" s="14" t="s">
        <v>207</v>
      </c>
      <c r="L18" s="14" t="s">
        <v>208</v>
      </c>
      <c r="M18" s="14" t="s">
        <v>209</v>
      </c>
      <c r="N18" s="14" t="s">
        <v>396</v>
      </c>
      <c r="O18" s="14" t="s">
        <v>397</v>
      </c>
      <c r="P18" s="14" t="s">
        <v>398</v>
      </c>
      <c r="Q18" s="14" t="s">
        <v>166</v>
      </c>
      <c r="R18" s="14" t="s">
        <v>177</v>
      </c>
      <c r="S18" s="14" t="s">
        <v>178</v>
      </c>
      <c r="T18" s="14" t="s">
        <v>179</v>
      </c>
      <c r="U18" s="14" t="s">
        <v>399</v>
      </c>
      <c r="V18" s="14" t="s">
        <v>400</v>
      </c>
      <c r="W18" s="21" t="s">
        <v>166</v>
      </c>
      <c r="X18" s="14" t="s">
        <v>401</v>
      </c>
      <c r="Y18" s="14" t="s">
        <v>402</v>
      </c>
      <c r="Z18" s="14" t="s">
        <v>403</v>
      </c>
      <c r="AA18" s="14" t="s">
        <v>166</v>
      </c>
      <c r="AB18" s="14" t="s">
        <v>166</v>
      </c>
      <c r="AC18" s="14" t="s">
        <v>166</v>
      </c>
      <c r="AD18" s="14" t="s">
        <v>166</v>
      </c>
      <c r="AE18" s="14" t="s">
        <v>166</v>
      </c>
      <c r="AF18" s="14" t="s">
        <v>166</v>
      </c>
      <c r="AG18" s="14" t="s">
        <v>166</v>
      </c>
      <c r="AH18" s="21">
        <v>1</v>
      </c>
      <c r="AI18" s="3">
        <f>HYPERLINK("https://my.pitchbook.com/?d=82332-55T","82332-55T")</f>
      </c>
      <c r="AJ18" s="19">
        <v>44452</v>
      </c>
      <c r="AK18" s="19">
        <v>45035</v>
      </c>
      <c r="AL18" s="18">
        <v>2</v>
      </c>
      <c r="AM18" s="14" t="s">
        <v>185</v>
      </c>
      <c r="AN18" s="18" t="s">
        <v>166</v>
      </c>
      <c r="AO18" s="18" t="s">
        <v>166</v>
      </c>
      <c r="AP18" s="14" t="s">
        <v>166</v>
      </c>
      <c r="AQ18" s="21" t="s">
        <v>166</v>
      </c>
      <c r="AR18" s="21" t="s">
        <v>166</v>
      </c>
      <c r="AS18" s="17" t="s">
        <v>166</v>
      </c>
      <c r="AT18" s="18">
        <v>2</v>
      </c>
      <c r="AU18" s="21" t="s">
        <v>186</v>
      </c>
      <c r="AV18" s="21" t="s">
        <v>166</v>
      </c>
      <c r="AW18" s="18" t="s">
        <v>166</v>
      </c>
      <c r="AX18" s="21" t="s">
        <v>166</v>
      </c>
      <c r="AY18" s="14" t="s">
        <v>217</v>
      </c>
      <c r="AZ18" s="14" t="s">
        <v>217</v>
      </c>
      <c r="BA18" s="14" t="s">
        <v>166</v>
      </c>
      <c r="BB18" s="21" t="s">
        <v>166</v>
      </c>
      <c r="BC18" s="14" t="s">
        <v>179</v>
      </c>
      <c r="BD18" s="14" t="s">
        <v>404</v>
      </c>
      <c r="BE18" s="14" t="s">
        <v>189</v>
      </c>
      <c r="BF18" s="18">
        <v>2</v>
      </c>
      <c r="BG18" s="14" t="s">
        <v>190</v>
      </c>
      <c r="BH18" s="14" t="s">
        <v>166</v>
      </c>
      <c r="BI18" s="14" t="s">
        <v>166</v>
      </c>
      <c r="BJ18" s="18" t="s">
        <v>166</v>
      </c>
      <c r="BK18" s="18" t="s">
        <v>166</v>
      </c>
      <c r="BL18" s="14" t="s">
        <v>191</v>
      </c>
      <c r="BM18" s="14" t="s">
        <v>178</v>
      </c>
      <c r="BN18" s="14" t="s">
        <v>177</v>
      </c>
      <c r="BO18" s="22" t="s">
        <v>166</v>
      </c>
      <c r="BP18" s="14" t="s">
        <v>405</v>
      </c>
      <c r="BQ18" s="21">
        <v>1</v>
      </c>
      <c r="BR18" s="14" t="s">
        <v>166</v>
      </c>
      <c r="BS18" s="21" t="s">
        <v>166</v>
      </c>
      <c r="BT18" s="14" t="s">
        <v>166</v>
      </c>
      <c r="BU18" s="14" t="s">
        <v>166</v>
      </c>
      <c r="BV18" s="14" t="s">
        <v>166</v>
      </c>
      <c r="BW18" s="14" t="s">
        <v>166</v>
      </c>
      <c r="BX18" s="14" t="s">
        <v>166</v>
      </c>
      <c r="BY18" s="14" t="s">
        <v>166</v>
      </c>
      <c r="BZ18" s="14" t="s">
        <v>166</v>
      </c>
      <c r="CA18" s="14" t="s">
        <v>166</v>
      </c>
      <c r="CB18" s="14" t="s">
        <v>166</v>
      </c>
      <c r="CC18" s="14" t="s">
        <v>166</v>
      </c>
      <c r="CD18" s="14" t="s">
        <v>166</v>
      </c>
      <c r="CE18" s="18" t="s">
        <v>166</v>
      </c>
      <c r="CF18" s="16">
        <v>0.04</v>
      </c>
      <c r="CG18" s="17" t="s">
        <v>166</v>
      </c>
      <c r="CH18" s="16" t="s">
        <v>166</v>
      </c>
      <c r="CI18" s="16" t="s">
        <v>166</v>
      </c>
      <c r="CJ18" s="16" t="s">
        <v>166</v>
      </c>
      <c r="CK18" s="16" t="s">
        <v>166</v>
      </c>
      <c r="CL18" s="16" t="s">
        <v>166</v>
      </c>
      <c r="CM18" s="20">
        <v>2022</v>
      </c>
      <c r="CN18" s="16" t="s">
        <v>166</v>
      </c>
      <c r="CO18" s="16" t="s">
        <v>166</v>
      </c>
      <c r="CP18" s="16" t="s">
        <v>166</v>
      </c>
      <c r="CQ18" s="16" t="s">
        <v>166</v>
      </c>
      <c r="CR18" s="16" t="s">
        <v>166</v>
      </c>
      <c r="CS18" s="16" t="s">
        <v>166</v>
      </c>
      <c r="CT18" s="16" t="s">
        <v>166</v>
      </c>
      <c r="CU18" s="16" t="s">
        <v>166</v>
      </c>
      <c r="CV18" s="16">
        <v>46.51</v>
      </c>
      <c r="CW18" s="16" t="s">
        <v>166</v>
      </c>
      <c r="CX18" s="16" t="s">
        <v>166</v>
      </c>
      <c r="CY18" s="16" t="s">
        <v>166</v>
      </c>
      <c r="CZ18" s="16" t="s">
        <v>166</v>
      </c>
      <c r="DA18" s="16" t="s">
        <v>166</v>
      </c>
      <c r="DB18" s="16" t="s">
        <v>166</v>
      </c>
      <c r="DC18" s="16" t="s">
        <v>166</v>
      </c>
      <c r="DD18" s="16" t="s">
        <v>166</v>
      </c>
      <c r="DE18" s="17" t="s">
        <v>166</v>
      </c>
      <c r="DF18" s="22">
        <v>5</v>
      </c>
      <c r="DG18" s="14" t="s">
        <v>406</v>
      </c>
      <c r="DH18" s="14" t="s">
        <v>193</v>
      </c>
      <c r="DI18" s="14" t="s">
        <v>194</v>
      </c>
      <c r="DJ18" s="14" t="s">
        <v>407</v>
      </c>
      <c r="DK18" s="14" t="s">
        <v>408</v>
      </c>
      <c r="DL18" s="21" t="s">
        <v>409</v>
      </c>
      <c r="DM18" s="14" t="s">
        <v>198</v>
      </c>
      <c r="DN18" s="13" t="s">
        <v>410</v>
      </c>
      <c r="DO18" s="20">
        <v>2020</v>
      </c>
      <c r="DP18" s="14" t="s">
        <v>166</v>
      </c>
      <c r="DQ18" s="14" t="s">
        <v>166</v>
      </c>
      <c r="DR18" s="18" t="s">
        <v>166</v>
      </c>
      <c r="DS18" s="16" t="s">
        <v>166</v>
      </c>
      <c r="DT18" s="19" t="s">
        <v>166</v>
      </c>
      <c r="DU18" s="14" t="s">
        <v>166</v>
      </c>
      <c r="DV18" s="18" t="s">
        <v>166</v>
      </c>
      <c r="DW18" s="18" t="s">
        <v>166</v>
      </c>
      <c r="DX18" s="16" t="s">
        <v>166</v>
      </c>
      <c r="DY18" s="16" t="s">
        <v>166</v>
      </c>
      <c r="DZ18" s="17" t="s">
        <v>166</v>
      </c>
      <c r="EA18" s="16" t="s">
        <v>166</v>
      </c>
      <c r="EB18" s="16" t="s">
        <v>166</v>
      </c>
      <c r="EC18" s="16" t="s">
        <v>166</v>
      </c>
      <c r="ED18" s="17" t="s">
        <v>166</v>
      </c>
      <c r="EE18" s="17" t="s">
        <v>166</v>
      </c>
      <c r="EF18" s="17" t="s">
        <v>166</v>
      </c>
      <c r="EG18" s="17" t="s">
        <v>166</v>
      </c>
      <c r="EH18" s="16" t="s">
        <v>166</v>
      </c>
      <c r="EI18" s="16" t="s">
        <v>166</v>
      </c>
      <c r="EJ18" s="16" t="s">
        <v>166</v>
      </c>
      <c r="EK18" s="16" t="s">
        <v>166</v>
      </c>
      <c r="EL18" s="16" t="s">
        <v>166</v>
      </c>
      <c r="EM18" s="16" t="s">
        <v>166</v>
      </c>
      <c r="EN18" s="16" t="s">
        <v>166</v>
      </c>
      <c r="EO18" s="16" t="s">
        <v>166</v>
      </c>
      <c r="EP18" s="16" t="s">
        <v>166</v>
      </c>
      <c r="EQ18" s="16" t="s">
        <v>166</v>
      </c>
      <c r="ER18" s="16" t="s">
        <v>166</v>
      </c>
      <c r="ES18" s="16" t="s">
        <v>166</v>
      </c>
      <c r="ET18" s="14" t="s">
        <v>166</v>
      </c>
      <c r="EU18" s="16" t="s">
        <v>166</v>
      </c>
      <c r="EV18" s="16" t="s">
        <v>166</v>
      </c>
      <c r="EW18" s="16" t="s">
        <v>166</v>
      </c>
      <c r="EX18" s="14" t="s">
        <v>190</v>
      </c>
      <c r="EY18" s="14" t="s">
        <v>166</v>
      </c>
      <c r="EZ18" s="16" t="s">
        <v>166</v>
      </c>
      <c r="FA18" s="15" t="s">
        <v>166</v>
      </c>
      <c r="FB18" s="15" t="s">
        <v>166</v>
      </c>
      <c r="FC18" s="15" t="s">
        <v>166</v>
      </c>
      <c r="FD18" s="15" t="s">
        <v>166</v>
      </c>
      <c r="FE18" s="15" t="s">
        <v>166</v>
      </c>
      <c r="FF18" s="15" t="s">
        <v>166</v>
      </c>
      <c r="FG18" s="14" t="s">
        <v>166</v>
      </c>
      <c r="FH18" s="3">
        <f>HYPERLINK("https://my.pitchbook.com?c=82332-55T","View Company Online")</f>
      </c>
    </row>
    <row r="19">
      <c r="A19" s="25" t="s">
        <v>411</v>
      </c>
      <c r="B19" s="25" t="s">
        <v>412</v>
      </c>
      <c r="C19" s="25" t="s">
        <v>413</v>
      </c>
      <c r="D19" s="25" t="s">
        <v>166</v>
      </c>
      <c r="E19" s="34" t="s">
        <v>414</v>
      </c>
      <c r="F19" s="32">
        <v>4</v>
      </c>
      <c r="G19" s="25" t="s">
        <v>415</v>
      </c>
      <c r="H19" s="25" t="s">
        <v>166</v>
      </c>
      <c r="I19" s="25" t="s">
        <v>416</v>
      </c>
      <c r="J19" s="25" t="s">
        <v>417</v>
      </c>
      <c r="K19" s="25" t="s">
        <v>207</v>
      </c>
      <c r="L19" s="25" t="s">
        <v>418</v>
      </c>
      <c r="M19" s="25" t="s">
        <v>419</v>
      </c>
      <c r="N19" s="25" t="s">
        <v>420</v>
      </c>
      <c r="O19" s="25" t="s">
        <v>421</v>
      </c>
      <c r="P19" s="25" t="s">
        <v>422</v>
      </c>
      <c r="Q19" s="25" t="s">
        <v>166</v>
      </c>
      <c r="R19" s="25" t="s">
        <v>177</v>
      </c>
      <c r="S19" s="25" t="s">
        <v>178</v>
      </c>
      <c r="T19" s="25" t="s">
        <v>179</v>
      </c>
      <c r="U19" s="25" t="s">
        <v>423</v>
      </c>
      <c r="V19" s="25" t="s">
        <v>424</v>
      </c>
      <c r="W19" s="32" t="s">
        <v>425</v>
      </c>
      <c r="X19" s="25" t="s">
        <v>426</v>
      </c>
      <c r="Y19" s="25" t="s">
        <v>427</v>
      </c>
      <c r="Z19" s="25" t="s">
        <v>166</v>
      </c>
      <c r="AA19" s="25" t="s">
        <v>166</v>
      </c>
      <c r="AB19" s="25" t="s">
        <v>166</v>
      </c>
      <c r="AC19" s="25" t="s">
        <v>166</v>
      </c>
      <c r="AD19" s="25" t="s">
        <v>166</v>
      </c>
      <c r="AE19" s="25" t="s">
        <v>166</v>
      </c>
      <c r="AF19" s="25" t="s">
        <v>166</v>
      </c>
      <c r="AG19" s="25" t="s">
        <v>166</v>
      </c>
      <c r="AH19" s="32">
        <v>7</v>
      </c>
      <c r="AI19" s="4">
        <f>HYPERLINK("https://my.pitchbook.com/?d=241348-51T","241348-51T")</f>
      </c>
      <c r="AJ19" s="30" t="s">
        <v>166</v>
      </c>
      <c r="AK19" s="30">
        <v>45292</v>
      </c>
      <c r="AL19" s="29">
        <v>1.88</v>
      </c>
      <c r="AM19" s="25" t="s">
        <v>185</v>
      </c>
      <c r="AN19" s="29" t="s">
        <v>166</v>
      </c>
      <c r="AO19" s="29" t="s">
        <v>166</v>
      </c>
      <c r="AP19" s="25" t="s">
        <v>166</v>
      </c>
      <c r="AQ19" s="32" t="s">
        <v>166</v>
      </c>
      <c r="AR19" s="32" t="s">
        <v>166</v>
      </c>
      <c r="AS19" s="28" t="s">
        <v>166</v>
      </c>
      <c r="AT19" s="29">
        <v>1.9</v>
      </c>
      <c r="AU19" s="32" t="s">
        <v>186</v>
      </c>
      <c r="AV19" s="32" t="s">
        <v>166</v>
      </c>
      <c r="AW19" s="29" t="s">
        <v>166</v>
      </c>
      <c r="AX19" s="32" t="s">
        <v>166</v>
      </c>
      <c r="AY19" s="25" t="s">
        <v>217</v>
      </c>
      <c r="AZ19" s="25" t="s">
        <v>217</v>
      </c>
      <c r="BA19" s="25" t="s">
        <v>166</v>
      </c>
      <c r="BB19" s="32" t="s">
        <v>166</v>
      </c>
      <c r="BC19" s="25" t="s">
        <v>179</v>
      </c>
      <c r="BD19" s="25" t="s">
        <v>417</v>
      </c>
      <c r="BE19" s="25" t="s">
        <v>189</v>
      </c>
      <c r="BF19" s="29">
        <v>1.88</v>
      </c>
      <c r="BG19" s="25" t="s">
        <v>190</v>
      </c>
      <c r="BH19" s="25" t="s">
        <v>166</v>
      </c>
      <c r="BI19" s="25" t="s">
        <v>166</v>
      </c>
      <c r="BJ19" s="29" t="s">
        <v>166</v>
      </c>
      <c r="BK19" s="29" t="s">
        <v>166</v>
      </c>
      <c r="BL19" s="25" t="s">
        <v>191</v>
      </c>
      <c r="BM19" s="25" t="s">
        <v>178</v>
      </c>
      <c r="BN19" s="25" t="s">
        <v>177</v>
      </c>
      <c r="BO19" s="33" t="s">
        <v>166</v>
      </c>
      <c r="BP19" s="25" t="s">
        <v>414</v>
      </c>
      <c r="BQ19" s="32">
        <v>4</v>
      </c>
      <c r="BR19" s="25" t="s">
        <v>166</v>
      </c>
      <c r="BS19" s="32" t="s">
        <v>166</v>
      </c>
      <c r="BT19" s="25" t="s">
        <v>166</v>
      </c>
      <c r="BU19" s="25" t="s">
        <v>166</v>
      </c>
      <c r="BV19" s="25" t="s">
        <v>428</v>
      </c>
      <c r="BW19" s="25" t="s">
        <v>166</v>
      </c>
      <c r="BX19" s="25" t="s">
        <v>166</v>
      </c>
      <c r="BY19" s="25" t="s">
        <v>166</v>
      </c>
      <c r="BZ19" s="25" t="s">
        <v>166</v>
      </c>
      <c r="CA19" s="25" t="s">
        <v>166</v>
      </c>
      <c r="CB19" s="25" t="s">
        <v>166</v>
      </c>
      <c r="CC19" s="25" t="s">
        <v>166</v>
      </c>
      <c r="CD19" s="25" t="s">
        <v>166</v>
      </c>
      <c r="CE19" s="29" t="s">
        <v>166</v>
      </c>
      <c r="CF19" s="27" t="s">
        <v>166</v>
      </c>
      <c r="CG19" s="28" t="s">
        <v>166</v>
      </c>
      <c r="CH19" s="27" t="s">
        <v>166</v>
      </c>
      <c r="CI19" s="27" t="s">
        <v>166</v>
      </c>
      <c r="CJ19" s="27" t="s">
        <v>166</v>
      </c>
      <c r="CK19" s="27" t="s">
        <v>166</v>
      </c>
      <c r="CL19" s="27" t="s">
        <v>166</v>
      </c>
      <c r="CM19" s="31" t="s">
        <v>166</v>
      </c>
      <c r="CN19" s="27" t="s">
        <v>166</v>
      </c>
      <c r="CO19" s="27" t="s">
        <v>166</v>
      </c>
      <c r="CP19" s="27" t="s">
        <v>166</v>
      </c>
      <c r="CQ19" s="27" t="s">
        <v>166</v>
      </c>
      <c r="CR19" s="27" t="s">
        <v>166</v>
      </c>
      <c r="CS19" s="27" t="s">
        <v>166</v>
      </c>
      <c r="CT19" s="27" t="s">
        <v>166</v>
      </c>
      <c r="CU19" s="27" t="s">
        <v>166</v>
      </c>
      <c r="CV19" s="27" t="s">
        <v>166</v>
      </c>
      <c r="CW19" s="27" t="s">
        <v>166</v>
      </c>
      <c r="CX19" s="27" t="s">
        <v>166</v>
      </c>
      <c r="CY19" s="27" t="s">
        <v>166</v>
      </c>
      <c r="CZ19" s="27" t="s">
        <v>166</v>
      </c>
      <c r="DA19" s="27" t="s">
        <v>166</v>
      </c>
      <c r="DB19" s="27" t="s">
        <v>166</v>
      </c>
      <c r="DC19" s="27" t="s">
        <v>166</v>
      </c>
      <c r="DD19" s="27" t="s">
        <v>166</v>
      </c>
      <c r="DE19" s="28" t="s">
        <v>166</v>
      </c>
      <c r="DF19" s="33">
        <v>7</v>
      </c>
      <c r="DG19" s="25" t="s">
        <v>429</v>
      </c>
      <c r="DH19" s="25" t="s">
        <v>193</v>
      </c>
      <c r="DI19" s="25" t="s">
        <v>194</v>
      </c>
      <c r="DJ19" s="25" t="s">
        <v>430</v>
      </c>
      <c r="DK19" s="25" t="s">
        <v>431</v>
      </c>
      <c r="DL19" s="32" t="s">
        <v>432</v>
      </c>
      <c r="DM19" s="25" t="s">
        <v>198</v>
      </c>
      <c r="DN19" s="24" t="s">
        <v>433</v>
      </c>
      <c r="DO19" s="31">
        <v>2019</v>
      </c>
      <c r="DP19" s="25" t="s">
        <v>166</v>
      </c>
      <c r="DQ19" s="25" t="s">
        <v>166</v>
      </c>
      <c r="DR19" s="29" t="s">
        <v>166</v>
      </c>
      <c r="DS19" s="27" t="s">
        <v>166</v>
      </c>
      <c r="DT19" s="30" t="s">
        <v>166</v>
      </c>
      <c r="DU19" s="25" t="s">
        <v>166</v>
      </c>
      <c r="DV19" s="29" t="s">
        <v>166</v>
      </c>
      <c r="DW19" s="29" t="s">
        <v>166</v>
      </c>
      <c r="DX19" s="27" t="s">
        <v>166</v>
      </c>
      <c r="DY19" s="27" t="s">
        <v>166</v>
      </c>
      <c r="DZ19" s="28" t="s">
        <v>166</v>
      </c>
      <c r="EA19" s="27" t="s">
        <v>166</v>
      </c>
      <c r="EB19" s="27" t="s">
        <v>166</v>
      </c>
      <c r="EC19" s="27" t="s">
        <v>166</v>
      </c>
      <c r="ED19" s="28" t="s">
        <v>166</v>
      </c>
      <c r="EE19" s="28" t="s">
        <v>166</v>
      </c>
      <c r="EF19" s="28" t="s">
        <v>166</v>
      </c>
      <c r="EG19" s="28" t="s">
        <v>166</v>
      </c>
      <c r="EH19" s="27" t="s">
        <v>166</v>
      </c>
      <c r="EI19" s="27" t="s">
        <v>166</v>
      </c>
      <c r="EJ19" s="27" t="s">
        <v>166</v>
      </c>
      <c r="EK19" s="27" t="s">
        <v>166</v>
      </c>
      <c r="EL19" s="27" t="s">
        <v>166</v>
      </c>
      <c r="EM19" s="27" t="s">
        <v>166</v>
      </c>
      <c r="EN19" s="27" t="s">
        <v>166</v>
      </c>
      <c r="EO19" s="27" t="s">
        <v>166</v>
      </c>
      <c r="EP19" s="27" t="s">
        <v>166</v>
      </c>
      <c r="EQ19" s="27" t="s">
        <v>166</v>
      </c>
      <c r="ER19" s="27" t="s">
        <v>166</v>
      </c>
      <c r="ES19" s="27" t="s">
        <v>166</v>
      </c>
      <c r="ET19" s="25" t="s">
        <v>166</v>
      </c>
      <c r="EU19" s="27" t="s">
        <v>166</v>
      </c>
      <c r="EV19" s="27" t="s">
        <v>166</v>
      </c>
      <c r="EW19" s="27" t="s">
        <v>166</v>
      </c>
      <c r="EX19" s="25" t="s">
        <v>190</v>
      </c>
      <c r="EY19" s="25" t="s">
        <v>166</v>
      </c>
      <c r="EZ19" s="27" t="s">
        <v>166</v>
      </c>
      <c r="FA19" s="26" t="s">
        <v>166</v>
      </c>
      <c r="FB19" s="26" t="s">
        <v>166</v>
      </c>
      <c r="FC19" s="26" t="s">
        <v>166</v>
      </c>
      <c r="FD19" s="26" t="s">
        <v>166</v>
      </c>
      <c r="FE19" s="26" t="s">
        <v>166</v>
      </c>
      <c r="FF19" s="26" t="s">
        <v>166</v>
      </c>
      <c r="FG19" s="25" t="s">
        <v>166</v>
      </c>
      <c r="FH19" s="4">
        <f>HYPERLINK("https://my.pitchbook.com?c=241348-51T","View Company Online")</f>
      </c>
    </row>
    <row r="20">
      <c r="A20" s="14" t="s">
        <v>434</v>
      </c>
      <c r="B20" s="14" t="s">
        <v>435</v>
      </c>
      <c r="C20" s="14" t="s">
        <v>436</v>
      </c>
      <c r="D20" s="14" t="s">
        <v>166</v>
      </c>
      <c r="E20" s="23" t="s">
        <v>437</v>
      </c>
      <c r="F20" s="21">
        <v>5</v>
      </c>
      <c r="G20" s="14" t="s">
        <v>438</v>
      </c>
      <c r="H20" s="14" t="s">
        <v>166</v>
      </c>
      <c r="I20" s="14" t="s">
        <v>439</v>
      </c>
      <c r="J20" s="14" t="s">
        <v>440</v>
      </c>
      <c r="K20" s="14" t="s">
        <v>171</v>
      </c>
      <c r="L20" s="14" t="s">
        <v>172</v>
      </c>
      <c r="M20" s="14" t="s">
        <v>173</v>
      </c>
      <c r="N20" s="14" t="s">
        <v>441</v>
      </c>
      <c r="O20" s="14" t="s">
        <v>442</v>
      </c>
      <c r="P20" s="14" t="s">
        <v>443</v>
      </c>
      <c r="Q20" s="14" t="s">
        <v>166</v>
      </c>
      <c r="R20" s="14" t="s">
        <v>177</v>
      </c>
      <c r="S20" s="14" t="s">
        <v>178</v>
      </c>
      <c r="T20" s="14" t="s">
        <v>179</v>
      </c>
      <c r="U20" s="14" t="s">
        <v>444</v>
      </c>
      <c r="V20" s="14" t="s">
        <v>445</v>
      </c>
      <c r="W20" s="21" t="s">
        <v>446</v>
      </c>
      <c r="X20" s="14" t="s">
        <v>447</v>
      </c>
      <c r="Y20" s="14" t="s">
        <v>448</v>
      </c>
      <c r="Z20" s="14" t="s">
        <v>449</v>
      </c>
      <c r="AA20" s="14" t="s">
        <v>166</v>
      </c>
      <c r="AB20" s="14" t="s">
        <v>166</v>
      </c>
      <c r="AC20" s="14" t="s">
        <v>166</v>
      </c>
      <c r="AD20" s="14" t="s">
        <v>166</v>
      </c>
      <c r="AE20" s="14" t="s">
        <v>166</v>
      </c>
      <c r="AF20" s="14" t="s">
        <v>166</v>
      </c>
      <c r="AG20" s="14" t="s">
        <v>166</v>
      </c>
      <c r="AH20" s="21">
        <v>3</v>
      </c>
      <c r="AI20" s="3">
        <f>HYPERLINK("https://my.pitchbook.com/?d=183362-41T","183362-41T")</f>
      </c>
      <c r="AJ20" s="19" t="s">
        <v>166</v>
      </c>
      <c r="AK20" s="19">
        <v>44513</v>
      </c>
      <c r="AL20" s="18">
        <v>0.8</v>
      </c>
      <c r="AM20" s="14" t="s">
        <v>185</v>
      </c>
      <c r="AN20" s="18" t="s">
        <v>166</v>
      </c>
      <c r="AO20" s="18" t="s">
        <v>166</v>
      </c>
      <c r="AP20" s="14" t="s">
        <v>166</v>
      </c>
      <c r="AQ20" s="21" t="s">
        <v>166</v>
      </c>
      <c r="AR20" s="21" t="s">
        <v>166</v>
      </c>
      <c r="AS20" s="17" t="s">
        <v>166</v>
      </c>
      <c r="AT20" s="18">
        <v>1.14</v>
      </c>
      <c r="AU20" s="21" t="s">
        <v>186</v>
      </c>
      <c r="AV20" s="21" t="s">
        <v>166</v>
      </c>
      <c r="AW20" s="18" t="s">
        <v>166</v>
      </c>
      <c r="AX20" s="21" t="s">
        <v>166</v>
      </c>
      <c r="AY20" s="14" t="s">
        <v>217</v>
      </c>
      <c r="AZ20" s="14" t="s">
        <v>217</v>
      </c>
      <c r="BA20" s="14" t="s">
        <v>166</v>
      </c>
      <c r="BB20" s="21" t="s">
        <v>166</v>
      </c>
      <c r="BC20" s="14" t="s">
        <v>179</v>
      </c>
      <c r="BD20" s="14" t="s">
        <v>450</v>
      </c>
      <c r="BE20" s="14" t="s">
        <v>189</v>
      </c>
      <c r="BF20" s="18">
        <v>0.8</v>
      </c>
      <c r="BG20" s="14" t="s">
        <v>190</v>
      </c>
      <c r="BH20" s="14" t="s">
        <v>166</v>
      </c>
      <c r="BI20" s="14" t="s">
        <v>166</v>
      </c>
      <c r="BJ20" s="18" t="s">
        <v>166</v>
      </c>
      <c r="BK20" s="18" t="s">
        <v>166</v>
      </c>
      <c r="BL20" s="14" t="s">
        <v>191</v>
      </c>
      <c r="BM20" s="14" t="s">
        <v>178</v>
      </c>
      <c r="BN20" s="14" t="s">
        <v>177</v>
      </c>
      <c r="BO20" s="22" t="s">
        <v>166</v>
      </c>
      <c r="BP20" s="14" t="s">
        <v>451</v>
      </c>
      <c r="BQ20" s="21">
        <v>5</v>
      </c>
      <c r="BR20" s="14" t="s">
        <v>166</v>
      </c>
      <c r="BS20" s="21" t="s">
        <v>166</v>
      </c>
      <c r="BT20" s="14" t="s">
        <v>166</v>
      </c>
      <c r="BU20" s="14" t="s">
        <v>166</v>
      </c>
      <c r="BV20" s="14" t="s">
        <v>166</v>
      </c>
      <c r="BW20" s="14" t="s">
        <v>166</v>
      </c>
      <c r="BX20" s="14" t="s">
        <v>166</v>
      </c>
      <c r="BY20" s="14" t="s">
        <v>166</v>
      </c>
      <c r="BZ20" s="14" t="s">
        <v>166</v>
      </c>
      <c r="CA20" s="14" t="s">
        <v>166</v>
      </c>
      <c r="CB20" s="14" t="s">
        <v>166</v>
      </c>
      <c r="CC20" s="14" t="s">
        <v>166</v>
      </c>
      <c r="CD20" s="14" t="s">
        <v>166</v>
      </c>
      <c r="CE20" s="18" t="s">
        <v>166</v>
      </c>
      <c r="CF20" s="16">
        <v>0.75</v>
      </c>
      <c r="CG20" s="17">
        <v>509.76</v>
      </c>
      <c r="CH20" s="16" t="s">
        <v>166</v>
      </c>
      <c r="CI20" s="16" t="s">
        <v>166</v>
      </c>
      <c r="CJ20" s="16" t="s">
        <v>166</v>
      </c>
      <c r="CK20" s="16" t="s">
        <v>166</v>
      </c>
      <c r="CL20" s="16" t="s">
        <v>166</v>
      </c>
      <c r="CM20" s="20">
        <v>2021</v>
      </c>
      <c r="CN20" s="16" t="s">
        <v>166</v>
      </c>
      <c r="CO20" s="16" t="s">
        <v>166</v>
      </c>
      <c r="CP20" s="16" t="s">
        <v>166</v>
      </c>
      <c r="CQ20" s="16" t="s">
        <v>166</v>
      </c>
      <c r="CR20" s="16" t="s">
        <v>166</v>
      </c>
      <c r="CS20" s="16" t="s">
        <v>166</v>
      </c>
      <c r="CT20" s="16" t="s">
        <v>166</v>
      </c>
      <c r="CU20" s="16" t="s">
        <v>166</v>
      </c>
      <c r="CV20" s="16">
        <v>1.07</v>
      </c>
      <c r="CW20" s="16" t="s">
        <v>166</v>
      </c>
      <c r="CX20" s="16" t="s">
        <v>166</v>
      </c>
      <c r="CY20" s="16" t="s">
        <v>166</v>
      </c>
      <c r="CZ20" s="16" t="s">
        <v>166</v>
      </c>
      <c r="DA20" s="16" t="s">
        <v>166</v>
      </c>
      <c r="DB20" s="16" t="s">
        <v>166</v>
      </c>
      <c r="DC20" s="16" t="s">
        <v>166</v>
      </c>
      <c r="DD20" s="16" t="s">
        <v>166</v>
      </c>
      <c r="DE20" s="17" t="s">
        <v>166</v>
      </c>
      <c r="DF20" s="22">
        <v>45</v>
      </c>
      <c r="DG20" s="14" t="s">
        <v>452</v>
      </c>
      <c r="DH20" s="14" t="s">
        <v>193</v>
      </c>
      <c r="DI20" s="14" t="s">
        <v>194</v>
      </c>
      <c r="DJ20" s="14" t="s">
        <v>453</v>
      </c>
      <c r="DK20" s="14" t="s">
        <v>454</v>
      </c>
      <c r="DL20" s="21" t="s">
        <v>455</v>
      </c>
      <c r="DM20" s="14" t="s">
        <v>198</v>
      </c>
      <c r="DN20" s="13" t="s">
        <v>456</v>
      </c>
      <c r="DO20" s="20">
        <v>2018</v>
      </c>
      <c r="DP20" s="14" t="s">
        <v>166</v>
      </c>
      <c r="DQ20" s="14" t="s">
        <v>166</v>
      </c>
      <c r="DR20" s="18" t="s">
        <v>166</v>
      </c>
      <c r="DS20" s="16" t="s">
        <v>166</v>
      </c>
      <c r="DT20" s="19" t="s">
        <v>166</v>
      </c>
      <c r="DU20" s="14" t="s">
        <v>166</v>
      </c>
      <c r="DV20" s="18" t="s">
        <v>166</v>
      </c>
      <c r="DW20" s="18" t="s">
        <v>166</v>
      </c>
      <c r="DX20" s="16" t="s">
        <v>166</v>
      </c>
      <c r="DY20" s="16" t="s">
        <v>166</v>
      </c>
      <c r="DZ20" s="17" t="s">
        <v>166</v>
      </c>
      <c r="EA20" s="16" t="s">
        <v>166</v>
      </c>
      <c r="EB20" s="16" t="s">
        <v>166</v>
      </c>
      <c r="EC20" s="16" t="s">
        <v>166</v>
      </c>
      <c r="ED20" s="17" t="s">
        <v>166</v>
      </c>
      <c r="EE20" s="17" t="s">
        <v>166</v>
      </c>
      <c r="EF20" s="17" t="s">
        <v>166</v>
      </c>
      <c r="EG20" s="17" t="s">
        <v>166</v>
      </c>
      <c r="EH20" s="16" t="s">
        <v>166</v>
      </c>
      <c r="EI20" s="16" t="s">
        <v>166</v>
      </c>
      <c r="EJ20" s="16" t="s">
        <v>166</v>
      </c>
      <c r="EK20" s="16" t="s">
        <v>166</v>
      </c>
      <c r="EL20" s="16" t="s">
        <v>166</v>
      </c>
      <c r="EM20" s="16" t="s">
        <v>166</v>
      </c>
      <c r="EN20" s="16" t="s">
        <v>166</v>
      </c>
      <c r="EO20" s="16" t="s">
        <v>166</v>
      </c>
      <c r="EP20" s="16" t="s">
        <v>166</v>
      </c>
      <c r="EQ20" s="16" t="s">
        <v>166</v>
      </c>
      <c r="ER20" s="16" t="s">
        <v>166</v>
      </c>
      <c r="ES20" s="16" t="s">
        <v>166</v>
      </c>
      <c r="ET20" s="14" t="s">
        <v>166</v>
      </c>
      <c r="EU20" s="16" t="s">
        <v>166</v>
      </c>
      <c r="EV20" s="16" t="s">
        <v>166</v>
      </c>
      <c r="EW20" s="16" t="s">
        <v>166</v>
      </c>
      <c r="EX20" s="14" t="s">
        <v>190</v>
      </c>
      <c r="EY20" s="14" t="s">
        <v>166</v>
      </c>
      <c r="EZ20" s="16" t="s">
        <v>166</v>
      </c>
      <c r="FA20" s="15">
        <v>7</v>
      </c>
      <c r="FB20" s="15">
        <v>2</v>
      </c>
      <c r="FC20" s="15" t="s">
        <v>166</v>
      </c>
      <c r="FD20" s="15">
        <v>2</v>
      </c>
      <c r="FE20" s="15" t="s">
        <v>166</v>
      </c>
      <c r="FF20" s="15">
        <v>5</v>
      </c>
      <c r="FG20" s="14" t="s">
        <v>457</v>
      </c>
      <c r="FH20" s="3">
        <f>HYPERLINK("https://my.pitchbook.com?c=183362-41T","View Company Online")</f>
      </c>
    </row>
    <row r="21">
      <c r="A21" s="25" t="s">
        <v>458</v>
      </c>
      <c r="B21" s="25" t="s">
        <v>459</v>
      </c>
      <c r="C21" s="25" t="s">
        <v>460</v>
      </c>
      <c r="D21" s="25" t="s">
        <v>166</v>
      </c>
      <c r="E21" s="34" t="s">
        <v>461</v>
      </c>
      <c r="F21" s="32">
        <v>4</v>
      </c>
      <c r="G21" s="25" t="s">
        <v>462</v>
      </c>
      <c r="H21" s="25" t="s">
        <v>166</v>
      </c>
      <c r="I21" s="25" t="s">
        <v>463</v>
      </c>
      <c r="J21" s="25" t="s">
        <v>464</v>
      </c>
      <c r="K21" s="25" t="s">
        <v>171</v>
      </c>
      <c r="L21" s="25" t="s">
        <v>172</v>
      </c>
      <c r="M21" s="25" t="s">
        <v>465</v>
      </c>
      <c r="N21" s="25" t="s">
        <v>466</v>
      </c>
      <c r="O21" s="25" t="s">
        <v>467</v>
      </c>
      <c r="P21" s="25" t="s">
        <v>468</v>
      </c>
      <c r="Q21" s="25" t="s">
        <v>166</v>
      </c>
      <c r="R21" s="25" t="s">
        <v>177</v>
      </c>
      <c r="S21" s="25" t="s">
        <v>178</v>
      </c>
      <c r="T21" s="25" t="s">
        <v>179</v>
      </c>
      <c r="U21" s="25" t="s">
        <v>469</v>
      </c>
      <c r="V21" s="25" t="s">
        <v>470</v>
      </c>
      <c r="W21" s="32" t="s">
        <v>471</v>
      </c>
      <c r="X21" s="25" t="s">
        <v>472</v>
      </c>
      <c r="Y21" s="25" t="s">
        <v>473</v>
      </c>
      <c r="Z21" s="25" t="s">
        <v>474</v>
      </c>
      <c r="AA21" s="25" t="s">
        <v>166</v>
      </c>
      <c r="AB21" s="25" t="s">
        <v>166</v>
      </c>
      <c r="AC21" s="25" t="s">
        <v>166</v>
      </c>
      <c r="AD21" s="25" t="s">
        <v>166</v>
      </c>
      <c r="AE21" s="25" t="s">
        <v>166</v>
      </c>
      <c r="AF21" s="25" t="s">
        <v>166</v>
      </c>
      <c r="AG21" s="25" t="s">
        <v>166</v>
      </c>
      <c r="AH21" s="32">
        <v>6</v>
      </c>
      <c r="AI21" s="4">
        <f>HYPERLINK("https://my.pitchbook.com/?d=204712-03T","204712-03T")</f>
      </c>
      <c r="AJ21" s="30">
        <v>44992</v>
      </c>
      <c r="AK21" s="30">
        <v>45460</v>
      </c>
      <c r="AL21" s="29">
        <v>5.5</v>
      </c>
      <c r="AM21" s="25" t="s">
        <v>185</v>
      </c>
      <c r="AN21" s="29" t="s">
        <v>166</v>
      </c>
      <c r="AO21" s="29" t="s">
        <v>166</v>
      </c>
      <c r="AP21" s="25" t="s">
        <v>166</v>
      </c>
      <c r="AQ21" s="32" t="s">
        <v>166</v>
      </c>
      <c r="AR21" s="32" t="s">
        <v>166</v>
      </c>
      <c r="AS21" s="28" t="s">
        <v>166</v>
      </c>
      <c r="AT21" s="29">
        <v>5.63</v>
      </c>
      <c r="AU21" s="32" t="s">
        <v>186</v>
      </c>
      <c r="AV21" s="32" t="s">
        <v>166</v>
      </c>
      <c r="AW21" s="29" t="s">
        <v>166</v>
      </c>
      <c r="AX21" s="32" t="s">
        <v>166</v>
      </c>
      <c r="AY21" s="25" t="s">
        <v>217</v>
      </c>
      <c r="AZ21" s="25" t="s">
        <v>217</v>
      </c>
      <c r="BA21" s="25" t="s">
        <v>166</v>
      </c>
      <c r="BB21" s="32" t="s">
        <v>166</v>
      </c>
      <c r="BC21" s="25" t="s">
        <v>179</v>
      </c>
      <c r="BD21" s="25" t="s">
        <v>464</v>
      </c>
      <c r="BE21" s="25" t="s">
        <v>189</v>
      </c>
      <c r="BF21" s="29">
        <v>5.5</v>
      </c>
      <c r="BG21" s="25" t="s">
        <v>190</v>
      </c>
      <c r="BH21" s="25" t="s">
        <v>166</v>
      </c>
      <c r="BI21" s="25" t="s">
        <v>166</v>
      </c>
      <c r="BJ21" s="29" t="s">
        <v>166</v>
      </c>
      <c r="BK21" s="29" t="s">
        <v>166</v>
      </c>
      <c r="BL21" s="25" t="s">
        <v>191</v>
      </c>
      <c r="BM21" s="25" t="s">
        <v>178</v>
      </c>
      <c r="BN21" s="25" t="s">
        <v>177</v>
      </c>
      <c r="BO21" s="33">
        <v>10</v>
      </c>
      <c r="BP21" s="25" t="s">
        <v>475</v>
      </c>
      <c r="BQ21" s="32">
        <v>4</v>
      </c>
      <c r="BR21" s="25" t="s">
        <v>166</v>
      </c>
      <c r="BS21" s="32" t="s">
        <v>166</v>
      </c>
      <c r="BT21" s="25" t="s">
        <v>476</v>
      </c>
      <c r="BU21" s="25" t="s">
        <v>166</v>
      </c>
      <c r="BV21" s="25" t="s">
        <v>477</v>
      </c>
      <c r="BW21" s="25" t="s">
        <v>166</v>
      </c>
      <c r="BX21" s="25" t="s">
        <v>166</v>
      </c>
      <c r="BY21" s="25" t="s">
        <v>166</v>
      </c>
      <c r="BZ21" s="25" t="s">
        <v>478</v>
      </c>
      <c r="CA21" s="25" t="s">
        <v>166</v>
      </c>
      <c r="CB21" s="25" t="s">
        <v>166</v>
      </c>
      <c r="CC21" s="25" t="s">
        <v>478</v>
      </c>
      <c r="CD21" s="25" t="s">
        <v>166</v>
      </c>
      <c r="CE21" s="29" t="s">
        <v>166</v>
      </c>
      <c r="CF21" s="27" t="s">
        <v>166</v>
      </c>
      <c r="CG21" s="28" t="s">
        <v>166</v>
      </c>
      <c r="CH21" s="27" t="s">
        <v>166</v>
      </c>
      <c r="CI21" s="27" t="s">
        <v>166</v>
      </c>
      <c r="CJ21" s="27" t="s">
        <v>166</v>
      </c>
      <c r="CK21" s="27" t="s">
        <v>166</v>
      </c>
      <c r="CL21" s="27" t="s">
        <v>166</v>
      </c>
      <c r="CM21" s="31" t="s">
        <v>166</v>
      </c>
      <c r="CN21" s="27" t="s">
        <v>166</v>
      </c>
      <c r="CO21" s="27" t="s">
        <v>166</v>
      </c>
      <c r="CP21" s="27" t="s">
        <v>166</v>
      </c>
      <c r="CQ21" s="27" t="s">
        <v>166</v>
      </c>
      <c r="CR21" s="27" t="s">
        <v>166</v>
      </c>
      <c r="CS21" s="27" t="s">
        <v>166</v>
      </c>
      <c r="CT21" s="27" t="s">
        <v>166</v>
      </c>
      <c r="CU21" s="27" t="s">
        <v>166</v>
      </c>
      <c r="CV21" s="27" t="s">
        <v>166</v>
      </c>
      <c r="CW21" s="27" t="s">
        <v>166</v>
      </c>
      <c r="CX21" s="27" t="s">
        <v>166</v>
      </c>
      <c r="CY21" s="27" t="s">
        <v>166</v>
      </c>
      <c r="CZ21" s="27" t="s">
        <v>166</v>
      </c>
      <c r="DA21" s="27" t="s">
        <v>166</v>
      </c>
      <c r="DB21" s="27" t="s">
        <v>166</v>
      </c>
      <c r="DC21" s="27" t="s">
        <v>166</v>
      </c>
      <c r="DD21" s="27" t="s">
        <v>166</v>
      </c>
      <c r="DE21" s="28" t="s">
        <v>166</v>
      </c>
      <c r="DF21" s="33">
        <v>26</v>
      </c>
      <c r="DG21" s="25" t="s">
        <v>309</v>
      </c>
      <c r="DH21" s="25" t="s">
        <v>193</v>
      </c>
      <c r="DI21" s="25" t="s">
        <v>194</v>
      </c>
      <c r="DJ21" s="25" t="s">
        <v>310</v>
      </c>
      <c r="DK21" s="25" t="s">
        <v>310</v>
      </c>
      <c r="DL21" s="32" t="s">
        <v>479</v>
      </c>
      <c r="DM21" s="25" t="s">
        <v>198</v>
      </c>
      <c r="DN21" s="24" t="s">
        <v>480</v>
      </c>
      <c r="DO21" s="31">
        <v>2022</v>
      </c>
      <c r="DP21" s="25" t="s">
        <v>166</v>
      </c>
      <c r="DQ21" s="25" t="s">
        <v>166</v>
      </c>
      <c r="DR21" s="29" t="s">
        <v>166</v>
      </c>
      <c r="DS21" s="27" t="s">
        <v>166</v>
      </c>
      <c r="DT21" s="30" t="s">
        <v>166</v>
      </c>
      <c r="DU21" s="25" t="s">
        <v>166</v>
      </c>
      <c r="DV21" s="29" t="s">
        <v>166</v>
      </c>
      <c r="DW21" s="29" t="s">
        <v>166</v>
      </c>
      <c r="DX21" s="27" t="s">
        <v>166</v>
      </c>
      <c r="DY21" s="27" t="s">
        <v>166</v>
      </c>
      <c r="DZ21" s="28" t="s">
        <v>166</v>
      </c>
      <c r="EA21" s="27" t="s">
        <v>166</v>
      </c>
      <c r="EB21" s="27" t="s">
        <v>166</v>
      </c>
      <c r="EC21" s="27" t="s">
        <v>166</v>
      </c>
      <c r="ED21" s="28" t="s">
        <v>166</v>
      </c>
      <c r="EE21" s="28" t="s">
        <v>166</v>
      </c>
      <c r="EF21" s="28" t="s">
        <v>166</v>
      </c>
      <c r="EG21" s="28" t="s">
        <v>166</v>
      </c>
      <c r="EH21" s="27" t="s">
        <v>166</v>
      </c>
      <c r="EI21" s="27" t="s">
        <v>166</v>
      </c>
      <c r="EJ21" s="27" t="s">
        <v>166</v>
      </c>
      <c r="EK21" s="27" t="s">
        <v>166</v>
      </c>
      <c r="EL21" s="27" t="s">
        <v>166</v>
      </c>
      <c r="EM21" s="27" t="s">
        <v>166</v>
      </c>
      <c r="EN21" s="27" t="s">
        <v>166</v>
      </c>
      <c r="EO21" s="27" t="s">
        <v>166</v>
      </c>
      <c r="EP21" s="27" t="s">
        <v>166</v>
      </c>
      <c r="EQ21" s="27" t="s">
        <v>166</v>
      </c>
      <c r="ER21" s="27" t="s">
        <v>166</v>
      </c>
      <c r="ES21" s="27" t="s">
        <v>166</v>
      </c>
      <c r="ET21" s="25" t="s">
        <v>166</v>
      </c>
      <c r="EU21" s="27" t="s">
        <v>166</v>
      </c>
      <c r="EV21" s="27" t="s">
        <v>166</v>
      </c>
      <c r="EW21" s="27" t="s">
        <v>166</v>
      </c>
      <c r="EX21" s="25" t="s">
        <v>190</v>
      </c>
      <c r="EY21" s="25" t="s">
        <v>166</v>
      </c>
      <c r="EZ21" s="27" t="s">
        <v>166</v>
      </c>
      <c r="FA21" s="26" t="s">
        <v>166</v>
      </c>
      <c r="FB21" s="26" t="s">
        <v>166</v>
      </c>
      <c r="FC21" s="26" t="s">
        <v>166</v>
      </c>
      <c r="FD21" s="26" t="s">
        <v>166</v>
      </c>
      <c r="FE21" s="26" t="s">
        <v>166</v>
      </c>
      <c r="FF21" s="26" t="s">
        <v>166</v>
      </c>
      <c r="FG21" s="25" t="s">
        <v>166</v>
      </c>
      <c r="FH21" s="4">
        <f>HYPERLINK("https://my.pitchbook.com?c=204712-03T","View Company Online")</f>
      </c>
    </row>
    <row r="22">
      <c r="A22" s="14" t="s">
        <v>481</v>
      </c>
      <c r="B22" s="14" t="s">
        <v>482</v>
      </c>
      <c r="C22" s="14" t="s">
        <v>483</v>
      </c>
      <c r="D22" s="14" t="s">
        <v>166</v>
      </c>
      <c r="E22" s="23" t="s">
        <v>484</v>
      </c>
      <c r="F22" s="21">
        <v>8</v>
      </c>
      <c r="G22" s="14" t="s">
        <v>485</v>
      </c>
      <c r="H22" s="14" t="s">
        <v>166</v>
      </c>
      <c r="I22" s="14" t="s">
        <v>486</v>
      </c>
      <c r="J22" s="14" t="s">
        <v>487</v>
      </c>
      <c r="K22" s="14" t="s">
        <v>171</v>
      </c>
      <c r="L22" s="14" t="s">
        <v>172</v>
      </c>
      <c r="M22" s="14" t="s">
        <v>173</v>
      </c>
      <c r="N22" s="14" t="s">
        <v>488</v>
      </c>
      <c r="O22" s="14" t="s">
        <v>489</v>
      </c>
      <c r="P22" s="14" t="s">
        <v>490</v>
      </c>
      <c r="Q22" s="14" t="s">
        <v>166</v>
      </c>
      <c r="R22" s="14" t="s">
        <v>177</v>
      </c>
      <c r="S22" s="14" t="s">
        <v>178</v>
      </c>
      <c r="T22" s="14" t="s">
        <v>179</v>
      </c>
      <c r="U22" s="14" t="s">
        <v>491</v>
      </c>
      <c r="V22" s="14" t="s">
        <v>492</v>
      </c>
      <c r="W22" s="21" t="s">
        <v>493</v>
      </c>
      <c r="X22" s="14" t="s">
        <v>166</v>
      </c>
      <c r="Y22" s="14" t="s">
        <v>494</v>
      </c>
      <c r="Z22" s="14" t="s">
        <v>166</v>
      </c>
      <c r="AA22" s="14" t="s">
        <v>166</v>
      </c>
      <c r="AB22" s="14" t="s">
        <v>166</v>
      </c>
      <c r="AC22" s="14" t="s">
        <v>166</v>
      </c>
      <c r="AD22" s="14" t="s">
        <v>166</v>
      </c>
      <c r="AE22" s="14" t="s">
        <v>166</v>
      </c>
      <c r="AF22" s="14" t="s">
        <v>166</v>
      </c>
      <c r="AG22" s="14" t="s">
        <v>166</v>
      </c>
      <c r="AH22" s="21">
        <v>1</v>
      </c>
      <c r="AI22" s="3">
        <f>HYPERLINK("https://my.pitchbook.com/?d=233747-47T","233747-47T")</f>
      </c>
      <c r="AJ22" s="19" t="s">
        <v>166</v>
      </c>
      <c r="AK22" s="19">
        <v>44902</v>
      </c>
      <c r="AL22" s="18">
        <v>1.7</v>
      </c>
      <c r="AM22" s="14" t="s">
        <v>185</v>
      </c>
      <c r="AN22" s="18" t="s">
        <v>166</v>
      </c>
      <c r="AO22" s="18" t="s">
        <v>166</v>
      </c>
      <c r="AP22" s="14" t="s">
        <v>166</v>
      </c>
      <c r="AQ22" s="21" t="s">
        <v>166</v>
      </c>
      <c r="AR22" s="21" t="s">
        <v>166</v>
      </c>
      <c r="AS22" s="17" t="s">
        <v>166</v>
      </c>
      <c r="AT22" s="18">
        <v>1.7</v>
      </c>
      <c r="AU22" s="21" t="s">
        <v>186</v>
      </c>
      <c r="AV22" s="21" t="s">
        <v>166</v>
      </c>
      <c r="AW22" s="18" t="s">
        <v>166</v>
      </c>
      <c r="AX22" s="21" t="s">
        <v>166</v>
      </c>
      <c r="AY22" s="14" t="s">
        <v>217</v>
      </c>
      <c r="AZ22" s="14" t="s">
        <v>217</v>
      </c>
      <c r="BA22" s="14" t="s">
        <v>166</v>
      </c>
      <c r="BB22" s="21" t="s">
        <v>166</v>
      </c>
      <c r="BC22" s="14" t="s">
        <v>179</v>
      </c>
      <c r="BD22" s="14" t="s">
        <v>495</v>
      </c>
      <c r="BE22" s="14" t="s">
        <v>189</v>
      </c>
      <c r="BF22" s="18">
        <v>1.7</v>
      </c>
      <c r="BG22" s="14" t="s">
        <v>190</v>
      </c>
      <c r="BH22" s="14" t="s">
        <v>166</v>
      </c>
      <c r="BI22" s="14" t="s">
        <v>166</v>
      </c>
      <c r="BJ22" s="18" t="s">
        <v>166</v>
      </c>
      <c r="BK22" s="18" t="s">
        <v>166</v>
      </c>
      <c r="BL22" s="14" t="s">
        <v>191</v>
      </c>
      <c r="BM22" s="14" t="s">
        <v>178</v>
      </c>
      <c r="BN22" s="14" t="s">
        <v>177</v>
      </c>
      <c r="BO22" s="22" t="s">
        <v>166</v>
      </c>
      <c r="BP22" s="14" t="s">
        <v>496</v>
      </c>
      <c r="BQ22" s="21">
        <v>8</v>
      </c>
      <c r="BR22" s="14" t="s">
        <v>166</v>
      </c>
      <c r="BS22" s="21" t="s">
        <v>166</v>
      </c>
      <c r="BT22" s="14" t="s">
        <v>497</v>
      </c>
      <c r="BU22" s="14" t="s">
        <v>166</v>
      </c>
      <c r="BV22" s="14" t="s">
        <v>498</v>
      </c>
      <c r="BW22" s="14" t="s">
        <v>166</v>
      </c>
      <c r="BX22" s="14" t="s">
        <v>166</v>
      </c>
      <c r="BY22" s="14" t="s">
        <v>166</v>
      </c>
      <c r="BZ22" s="14" t="s">
        <v>166</v>
      </c>
      <c r="CA22" s="14" t="s">
        <v>166</v>
      </c>
      <c r="CB22" s="14" t="s">
        <v>166</v>
      </c>
      <c r="CC22" s="14" t="s">
        <v>166</v>
      </c>
      <c r="CD22" s="14" t="s">
        <v>166</v>
      </c>
      <c r="CE22" s="18" t="s">
        <v>166</v>
      </c>
      <c r="CF22" s="16" t="s">
        <v>166</v>
      </c>
      <c r="CG22" s="17" t="s">
        <v>166</v>
      </c>
      <c r="CH22" s="16" t="s">
        <v>166</v>
      </c>
      <c r="CI22" s="16" t="s">
        <v>166</v>
      </c>
      <c r="CJ22" s="16" t="s">
        <v>166</v>
      </c>
      <c r="CK22" s="16" t="s">
        <v>166</v>
      </c>
      <c r="CL22" s="16" t="s">
        <v>166</v>
      </c>
      <c r="CM22" s="20" t="s">
        <v>166</v>
      </c>
      <c r="CN22" s="16" t="s">
        <v>166</v>
      </c>
      <c r="CO22" s="16" t="s">
        <v>166</v>
      </c>
      <c r="CP22" s="16" t="s">
        <v>166</v>
      </c>
      <c r="CQ22" s="16" t="s">
        <v>166</v>
      </c>
      <c r="CR22" s="16" t="s">
        <v>166</v>
      </c>
      <c r="CS22" s="16" t="s">
        <v>166</v>
      </c>
      <c r="CT22" s="16" t="s">
        <v>166</v>
      </c>
      <c r="CU22" s="16" t="s">
        <v>166</v>
      </c>
      <c r="CV22" s="16" t="s">
        <v>166</v>
      </c>
      <c r="CW22" s="16" t="s">
        <v>166</v>
      </c>
      <c r="CX22" s="16" t="s">
        <v>166</v>
      </c>
      <c r="CY22" s="16" t="s">
        <v>166</v>
      </c>
      <c r="CZ22" s="16" t="s">
        <v>166</v>
      </c>
      <c r="DA22" s="16" t="s">
        <v>166</v>
      </c>
      <c r="DB22" s="16" t="s">
        <v>166</v>
      </c>
      <c r="DC22" s="16" t="s">
        <v>166</v>
      </c>
      <c r="DD22" s="16" t="s">
        <v>166</v>
      </c>
      <c r="DE22" s="17" t="s">
        <v>166</v>
      </c>
      <c r="DF22" s="22">
        <v>5</v>
      </c>
      <c r="DG22" s="14" t="s">
        <v>309</v>
      </c>
      <c r="DH22" s="14" t="s">
        <v>193</v>
      </c>
      <c r="DI22" s="14" t="s">
        <v>194</v>
      </c>
      <c r="DJ22" s="14" t="s">
        <v>310</v>
      </c>
      <c r="DK22" s="14" t="s">
        <v>310</v>
      </c>
      <c r="DL22" s="21" t="s">
        <v>499</v>
      </c>
      <c r="DM22" s="14" t="s">
        <v>198</v>
      </c>
      <c r="DN22" s="13" t="s">
        <v>500</v>
      </c>
      <c r="DO22" s="20">
        <v>2022</v>
      </c>
      <c r="DP22" s="14" t="s">
        <v>166</v>
      </c>
      <c r="DQ22" s="14" t="s">
        <v>166</v>
      </c>
      <c r="DR22" s="18" t="s">
        <v>166</v>
      </c>
      <c r="DS22" s="16" t="s">
        <v>166</v>
      </c>
      <c r="DT22" s="19" t="s">
        <v>166</v>
      </c>
      <c r="DU22" s="14" t="s">
        <v>166</v>
      </c>
      <c r="DV22" s="18" t="s">
        <v>166</v>
      </c>
      <c r="DW22" s="18" t="s">
        <v>166</v>
      </c>
      <c r="DX22" s="16" t="s">
        <v>166</v>
      </c>
      <c r="DY22" s="16" t="s">
        <v>166</v>
      </c>
      <c r="DZ22" s="17" t="s">
        <v>166</v>
      </c>
      <c r="EA22" s="16" t="s">
        <v>166</v>
      </c>
      <c r="EB22" s="16" t="s">
        <v>166</v>
      </c>
      <c r="EC22" s="16" t="s">
        <v>166</v>
      </c>
      <c r="ED22" s="17" t="s">
        <v>166</v>
      </c>
      <c r="EE22" s="17" t="s">
        <v>166</v>
      </c>
      <c r="EF22" s="17" t="s">
        <v>166</v>
      </c>
      <c r="EG22" s="17" t="s">
        <v>166</v>
      </c>
      <c r="EH22" s="16" t="s">
        <v>166</v>
      </c>
      <c r="EI22" s="16" t="s">
        <v>166</v>
      </c>
      <c r="EJ22" s="16" t="s">
        <v>166</v>
      </c>
      <c r="EK22" s="16" t="s">
        <v>166</v>
      </c>
      <c r="EL22" s="16" t="s">
        <v>166</v>
      </c>
      <c r="EM22" s="16" t="s">
        <v>166</v>
      </c>
      <c r="EN22" s="16" t="s">
        <v>166</v>
      </c>
      <c r="EO22" s="16" t="s">
        <v>166</v>
      </c>
      <c r="EP22" s="16" t="s">
        <v>166</v>
      </c>
      <c r="EQ22" s="16" t="s">
        <v>166</v>
      </c>
      <c r="ER22" s="16" t="s">
        <v>166</v>
      </c>
      <c r="ES22" s="16" t="s">
        <v>166</v>
      </c>
      <c r="ET22" s="14" t="s">
        <v>166</v>
      </c>
      <c r="EU22" s="16" t="s">
        <v>166</v>
      </c>
      <c r="EV22" s="16" t="s">
        <v>166</v>
      </c>
      <c r="EW22" s="16" t="s">
        <v>166</v>
      </c>
      <c r="EX22" s="14" t="s">
        <v>190</v>
      </c>
      <c r="EY22" s="14" t="s">
        <v>166</v>
      </c>
      <c r="EZ22" s="16" t="s">
        <v>166</v>
      </c>
      <c r="FA22" s="15" t="s">
        <v>166</v>
      </c>
      <c r="FB22" s="15" t="s">
        <v>166</v>
      </c>
      <c r="FC22" s="15" t="s">
        <v>166</v>
      </c>
      <c r="FD22" s="15" t="s">
        <v>166</v>
      </c>
      <c r="FE22" s="15" t="s">
        <v>166</v>
      </c>
      <c r="FF22" s="15" t="s">
        <v>166</v>
      </c>
      <c r="FG22" s="14" t="s">
        <v>166</v>
      </c>
      <c r="FH22" s="3">
        <f>HYPERLINK("https://my.pitchbook.com?c=233747-47T","View Company Online")</f>
      </c>
    </row>
    <row r="23">
      <c r="A23" s="25" t="s">
        <v>501</v>
      </c>
      <c r="B23" s="25" t="s">
        <v>502</v>
      </c>
      <c r="C23" s="25" t="s">
        <v>503</v>
      </c>
      <c r="D23" s="25" t="s">
        <v>166</v>
      </c>
      <c r="E23" s="34" t="s">
        <v>504</v>
      </c>
      <c r="F23" s="32">
        <v>2</v>
      </c>
      <c r="G23" s="25" t="s">
        <v>505</v>
      </c>
      <c r="H23" s="25" t="s">
        <v>166</v>
      </c>
      <c r="I23" s="25" t="s">
        <v>506</v>
      </c>
      <c r="J23" s="25" t="s">
        <v>507</v>
      </c>
      <c r="K23" s="25" t="s">
        <v>171</v>
      </c>
      <c r="L23" s="25" t="s">
        <v>172</v>
      </c>
      <c r="M23" s="25" t="s">
        <v>173</v>
      </c>
      <c r="N23" s="25" t="s">
        <v>508</v>
      </c>
      <c r="O23" s="25" t="s">
        <v>509</v>
      </c>
      <c r="P23" s="25" t="s">
        <v>510</v>
      </c>
      <c r="Q23" s="25" t="s">
        <v>166</v>
      </c>
      <c r="R23" s="25" t="s">
        <v>177</v>
      </c>
      <c r="S23" s="25" t="s">
        <v>178</v>
      </c>
      <c r="T23" s="25" t="s">
        <v>179</v>
      </c>
      <c r="U23" s="25" t="s">
        <v>511</v>
      </c>
      <c r="V23" s="25" t="s">
        <v>512</v>
      </c>
      <c r="W23" s="32" t="s">
        <v>513</v>
      </c>
      <c r="X23" s="25" t="s">
        <v>514</v>
      </c>
      <c r="Y23" s="25" t="s">
        <v>515</v>
      </c>
      <c r="Z23" s="25" t="s">
        <v>166</v>
      </c>
      <c r="AA23" s="25" t="s">
        <v>242</v>
      </c>
      <c r="AB23" s="25" t="s">
        <v>243</v>
      </c>
      <c r="AC23" s="25" t="s">
        <v>244</v>
      </c>
      <c r="AD23" s="25" t="s">
        <v>166</v>
      </c>
      <c r="AE23" s="25" t="s">
        <v>243</v>
      </c>
      <c r="AF23" s="25" t="s">
        <v>166</v>
      </c>
      <c r="AG23" s="25" t="s">
        <v>246</v>
      </c>
      <c r="AH23" s="32">
        <v>1</v>
      </c>
      <c r="AI23" s="4">
        <f>HYPERLINK("https://my.pitchbook.com/?d=195633-37T","195633-37T")</f>
      </c>
      <c r="AJ23" s="30" t="s">
        <v>166</v>
      </c>
      <c r="AK23" s="30">
        <v>44622</v>
      </c>
      <c r="AL23" s="29">
        <v>5</v>
      </c>
      <c r="AM23" s="25" t="s">
        <v>185</v>
      </c>
      <c r="AN23" s="29">
        <v>20</v>
      </c>
      <c r="AO23" s="29">
        <v>25</v>
      </c>
      <c r="AP23" s="25" t="s">
        <v>185</v>
      </c>
      <c r="AQ23" s="32" t="s">
        <v>166</v>
      </c>
      <c r="AR23" s="32" t="s">
        <v>166</v>
      </c>
      <c r="AS23" s="28">
        <v>20</v>
      </c>
      <c r="AT23" s="29">
        <v>5</v>
      </c>
      <c r="AU23" s="32" t="s">
        <v>186</v>
      </c>
      <c r="AV23" s="32" t="s">
        <v>166</v>
      </c>
      <c r="AW23" s="29">
        <v>4.18</v>
      </c>
      <c r="AX23" s="32" t="s">
        <v>166</v>
      </c>
      <c r="AY23" s="25" t="s">
        <v>217</v>
      </c>
      <c r="AZ23" s="25" t="s">
        <v>217</v>
      </c>
      <c r="BA23" s="25" t="s">
        <v>166</v>
      </c>
      <c r="BB23" s="32" t="s">
        <v>166</v>
      </c>
      <c r="BC23" s="25" t="s">
        <v>179</v>
      </c>
      <c r="BD23" s="25" t="s">
        <v>507</v>
      </c>
      <c r="BE23" s="25" t="s">
        <v>189</v>
      </c>
      <c r="BF23" s="29">
        <v>5</v>
      </c>
      <c r="BG23" s="25" t="s">
        <v>190</v>
      </c>
      <c r="BH23" s="25" t="s">
        <v>166</v>
      </c>
      <c r="BI23" s="25" t="s">
        <v>166</v>
      </c>
      <c r="BJ23" s="29" t="s">
        <v>166</v>
      </c>
      <c r="BK23" s="29" t="s">
        <v>166</v>
      </c>
      <c r="BL23" s="25" t="s">
        <v>191</v>
      </c>
      <c r="BM23" s="25" t="s">
        <v>178</v>
      </c>
      <c r="BN23" s="25" t="s">
        <v>177</v>
      </c>
      <c r="BO23" s="33" t="s">
        <v>166</v>
      </c>
      <c r="BP23" s="25" t="s">
        <v>516</v>
      </c>
      <c r="BQ23" s="32">
        <v>2</v>
      </c>
      <c r="BR23" s="25" t="s">
        <v>166</v>
      </c>
      <c r="BS23" s="32" t="s">
        <v>166</v>
      </c>
      <c r="BT23" s="25" t="s">
        <v>504</v>
      </c>
      <c r="BU23" s="25" t="s">
        <v>166</v>
      </c>
      <c r="BV23" s="25" t="s">
        <v>166</v>
      </c>
      <c r="BW23" s="25" t="s">
        <v>166</v>
      </c>
      <c r="BX23" s="25" t="s">
        <v>166</v>
      </c>
      <c r="BY23" s="25" t="s">
        <v>166</v>
      </c>
      <c r="BZ23" s="25" t="s">
        <v>517</v>
      </c>
      <c r="CA23" s="25" t="s">
        <v>166</v>
      </c>
      <c r="CB23" s="25" t="s">
        <v>166</v>
      </c>
      <c r="CC23" s="25" t="s">
        <v>517</v>
      </c>
      <c r="CD23" s="25" t="s">
        <v>166</v>
      </c>
      <c r="CE23" s="29" t="s">
        <v>166</v>
      </c>
      <c r="CF23" s="27" t="s">
        <v>166</v>
      </c>
      <c r="CG23" s="28" t="s">
        <v>166</v>
      </c>
      <c r="CH23" s="27" t="s">
        <v>166</v>
      </c>
      <c r="CI23" s="27" t="s">
        <v>166</v>
      </c>
      <c r="CJ23" s="27" t="s">
        <v>166</v>
      </c>
      <c r="CK23" s="27" t="s">
        <v>166</v>
      </c>
      <c r="CL23" s="27" t="s">
        <v>166</v>
      </c>
      <c r="CM23" s="31" t="s">
        <v>166</v>
      </c>
      <c r="CN23" s="27" t="s">
        <v>166</v>
      </c>
      <c r="CO23" s="27" t="s">
        <v>166</v>
      </c>
      <c r="CP23" s="27" t="s">
        <v>166</v>
      </c>
      <c r="CQ23" s="27" t="s">
        <v>166</v>
      </c>
      <c r="CR23" s="27" t="s">
        <v>166</v>
      </c>
      <c r="CS23" s="27" t="s">
        <v>166</v>
      </c>
      <c r="CT23" s="27" t="s">
        <v>166</v>
      </c>
      <c r="CU23" s="27" t="s">
        <v>166</v>
      </c>
      <c r="CV23" s="27" t="s">
        <v>166</v>
      </c>
      <c r="CW23" s="27" t="s">
        <v>166</v>
      </c>
      <c r="CX23" s="27" t="s">
        <v>166</v>
      </c>
      <c r="CY23" s="27" t="s">
        <v>166</v>
      </c>
      <c r="CZ23" s="27" t="s">
        <v>166</v>
      </c>
      <c r="DA23" s="27" t="s">
        <v>166</v>
      </c>
      <c r="DB23" s="27" t="s">
        <v>166</v>
      </c>
      <c r="DC23" s="27" t="s">
        <v>166</v>
      </c>
      <c r="DD23" s="27" t="s">
        <v>166</v>
      </c>
      <c r="DE23" s="28" t="s">
        <v>166</v>
      </c>
      <c r="DF23" s="33">
        <v>34</v>
      </c>
      <c r="DG23" s="25" t="s">
        <v>518</v>
      </c>
      <c r="DH23" s="25" t="s">
        <v>193</v>
      </c>
      <c r="DI23" s="25" t="s">
        <v>194</v>
      </c>
      <c r="DJ23" s="25" t="s">
        <v>519</v>
      </c>
      <c r="DK23" s="25" t="s">
        <v>257</v>
      </c>
      <c r="DL23" s="32" t="s">
        <v>520</v>
      </c>
      <c r="DM23" s="25" t="s">
        <v>198</v>
      </c>
      <c r="DN23" s="24" t="s">
        <v>521</v>
      </c>
      <c r="DO23" s="31">
        <v>2022</v>
      </c>
      <c r="DP23" s="25" t="s">
        <v>166</v>
      </c>
      <c r="DQ23" s="25" t="s">
        <v>166</v>
      </c>
      <c r="DR23" s="29" t="s">
        <v>166</v>
      </c>
      <c r="DS23" s="27" t="s">
        <v>166</v>
      </c>
      <c r="DT23" s="30" t="s">
        <v>166</v>
      </c>
      <c r="DU23" s="25" t="s">
        <v>166</v>
      </c>
      <c r="DV23" s="29" t="s">
        <v>166</v>
      </c>
      <c r="DW23" s="29" t="s">
        <v>166</v>
      </c>
      <c r="DX23" s="27" t="s">
        <v>166</v>
      </c>
      <c r="DY23" s="27" t="s">
        <v>166</v>
      </c>
      <c r="DZ23" s="28" t="s">
        <v>166</v>
      </c>
      <c r="EA23" s="27" t="s">
        <v>166</v>
      </c>
      <c r="EB23" s="27" t="s">
        <v>166</v>
      </c>
      <c r="EC23" s="27" t="s">
        <v>166</v>
      </c>
      <c r="ED23" s="28" t="s">
        <v>166</v>
      </c>
      <c r="EE23" s="28" t="s">
        <v>166</v>
      </c>
      <c r="EF23" s="28" t="s">
        <v>166</v>
      </c>
      <c r="EG23" s="28" t="s">
        <v>166</v>
      </c>
      <c r="EH23" s="27" t="s">
        <v>166</v>
      </c>
      <c r="EI23" s="27" t="s">
        <v>166</v>
      </c>
      <c r="EJ23" s="27" t="s">
        <v>166</v>
      </c>
      <c r="EK23" s="27" t="s">
        <v>166</v>
      </c>
      <c r="EL23" s="27" t="s">
        <v>166</v>
      </c>
      <c r="EM23" s="27" t="s">
        <v>166</v>
      </c>
      <c r="EN23" s="27" t="s">
        <v>166</v>
      </c>
      <c r="EO23" s="27" t="s">
        <v>166</v>
      </c>
      <c r="EP23" s="27" t="s">
        <v>166</v>
      </c>
      <c r="EQ23" s="27" t="s">
        <v>166</v>
      </c>
      <c r="ER23" s="27" t="s">
        <v>166</v>
      </c>
      <c r="ES23" s="27" t="s">
        <v>166</v>
      </c>
      <c r="ET23" s="25" t="s">
        <v>166</v>
      </c>
      <c r="EU23" s="27" t="s">
        <v>166</v>
      </c>
      <c r="EV23" s="27" t="s">
        <v>166</v>
      </c>
      <c r="EW23" s="27" t="s">
        <v>166</v>
      </c>
      <c r="EX23" s="25" t="s">
        <v>190</v>
      </c>
      <c r="EY23" s="25" t="s">
        <v>166</v>
      </c>
      <c r="EZ23" s="27" t="s">
        <v>166</v>
      </c>
      <c r="FA23" s="26">
        <v>2</v>
      </c>
      <c r="FB23" s="26">
        <v>1</v>
      </c>
      <c r="FC23" s="26">
        <v>1</v>
      </c>
      <c r="FD23" s="26" t="s">
        <v>166</v>
      </c>
      <c r="FE23" s="26" t="s">
        <v>166</v>
      </c>
      <c r="FF23" s="26">
        <v>1</v>
      </c>
      <c r="FG23" s="25" t="s">
        <v>522</v>
      </c>
      <c r="FH23" s="4">
        <f>HYPERLINK("https://my.pitchbook.com?c=195633-37T","View Company Online")</f>
      </c>
    </row>
    <row r="24">
      <c r="A24" s="14" t="s">
        <v>523</v>
      </c>
      <c r="B24" s="14" t="s">
        <v>524</v>
      </c>
      <c r="C24" s="14" t="s">
        <v>525</v>
      </c>
      <c r="D24" s="14" t="s">
        <v>166</v>
      </c>
      <c r="E24" s="23" t="s">
        <v>526</v>
      </c>
      <c r="F24" s="21">
        <v>12</v>
      </c>
      <c r="G24" s="14" t="s">
        <v>527</v>
      </c>
      <c r="H24" s="14" t="s">
        <v>166</v>
      </c>
      <c r="I24" s="14" t="s">
        <v>528</v>
      </c>
      <c r="J24" s="14" t="s">
        <v>529</v>
      </c>
      <c r="K24" s="14" t="s">
        <v>207</v>
      </c>
      <c r="L24" s="14" t="s">
        <v>208</v>
      </c>
      <c r="M24" s="14" t="s">
        <v>209</v>
      </c>
      <c r="N24" s="14" t="s">
        <v>530</v>
      </c>
      <c r="O24" s="14" t="s">
        <v>531</v>
      </c>
      <c r="P24" s="14" t="s">
        <v>532</v>
      </c>
      <c r="Q24" s="14" t="s">
        <v>166</v>
      </c>
      <c r="R24" s="14" t="s">
        <v>177</v>
      </c>
      <c r="S24" s="14" t="s">
        <v>178</v>
      </c>
      <c r="T24" s="14" t="s">
        <v>179</v>
      </c>
      <c r="U24" s="14" t="s">
        <v>533</v>
      </c>
      <c r="V24" s="14" t="s">
        <v>534</v>
      </c>
      <c r="W24" s="21" t="s">
        <v>535</v>
      </c>
      <c r="X24" s="14" t="s">
        <v>536</v>
      </c>
      <c r="Y24" s="14" t="s">
        <v>537</v>
      </c>
      <c r="Z24" s="14" t="s">
        <v>538</v>
      </c>
      <c r="AA24" s="14" t="s">
        <v>166</v>
      </c>
      <c r="AB24" s="14" t="s">
        <v>166</v>
      </c>
      <c r="AC24" s="14" t="s">
        <v>166</v>
      </c>
      <c r="AD24" s="14" t="s">
        <v>166</v>
      </c>
      <c r="AE24" s="14" t="s">
        <v>166</v>
      </c>
      <c r="AF24" s="14" t="s">
        <v>166</v>
      </c>
      <c r="AG24" s="14" t="s">
        <v>166</v>
      </c>
      <c r="AH24" s="21">
        <v>2</v>
      </c>
      <c r="AI24" s="3">
        <f>HYPERLINK("https://my.pitchbook.com/?d=157882-15T","157882-15T")</f>
      </c>
      <c r="AJ24" s="19">
        <v>44123</v>
      </c>
      <c r="AK24" s="19">
        <v>44259</v>
      </c>
      <c r="AL24" s="18">
        <v>2.92</v>
      </c>
      <c r="AM24" s="14" t="s">
        <v>185</v>
      </c>
      <c r="AN24" s="18" t="s">
        <v>166</v>
      </c>
      <c r="AO24" s="18" t="s">
        <v>166</v>
      </c>
      <c r="AP24" s="14" t="s">
        <v>166</v>
      </c>
      <c r="AQ24" s="21" t="s">
        <v>166</v>
      </c>
      <c r="AR24" s="21" t="s">
        <v>166</v>
      </c>
      <c r="AS24" s="17" t="s">
        <v>166</v>
      </c>
      <c r="AT24" s="18">
        <v>2.97</v>
      </c>
      <c r="AU24" s="21" t="s">
        <v>186</v>
      </c>
      <c r="AV24" s="21" t="s">
        <v>166</v>
      </c>
      <c r="AW24" s="18" t="s">
        <v>166</v>
      </c>
      <c r="AX24" s="21" t="s">
        <v>166</v>
      </c>
      <c r="AY24" s="14" t="s">
        <v>249</v>
      </c>
      <c r="AZ24" s="14" t="s">
        <v>166</v>
      </c>
      <c r="BA24" s="14" t="s">
        <v>166</v>
      </c>
      <c r="BB24" s="21" t="s">
        <v>166</v>
      </c>
      <c r="BC24" s="14" t="s">
        <v>179</v>
      </c>
      <c r="BD24" s="14" t="s">
        <v>539</v>
      </c>
      <c r="BE24" s="14" t="s">
        <v>189</v>
      </c>
      <c r="BF24" s="18">
        <v>2.92</v>
      </c>
      <c r="BG24" s="14" t="s">
        <v>190</v>
      </c>
      <c r="BH24" s="14" t="s">
        <v>166</v>
      </c>
      <c r="BI24" s="14" t="s">
        <v>166</v>
      </c>
      <c r="BJ24" s="18" t="s">
        <v>166</v>
      </c>
      <c r="BK24" s="18" t="s">
        <v>166</v>
      </c>
      <c r="BL24" s="14" t="s">
        <v>191</v>
      </c>
      <c r="BM24" s="14" t="s">
        <v>178</v>
      </c>
      <c r="BN24" s="14" t="s">
        <v>177</v>
      </c>
      <c r="BO24" s="22" t="s">
        <v>166</v>
      </c>
      <c r="BP24" s="14" t="s">
        <v>540</v>
      </c>
      <c r="BQ24" s="21">
        <v>12</v>
      </c>
      <c r="BR24" s="14" t="s">
        <v>166</v>
      </c>
      <c r="BS24" s="21" t="s">
        <v>166</v>
      </c>
      <c r="BT24" s="14" t="s">
        <v>541</v>
      </c>
      <c r="BU24" s="14" t="s">
        <v>166</v>
      </c>
      <c r="BV24" s="14" t="s">
        <v>542</v>
      </c>
      <c r="BW24" s="14" t="s">
        <v>166</v>
      </c>
      <c r="BX24" s="14" t="s">
        <v>166</v>
      </c>
      <c r="BY24" s="14" t="s">
        <v>166</v>
      </c>
      <c r="BZ24" s="14" t="s">
        <v>166</v>
      </c>
      <c r="CA24" s="14" t="s">
        <v>166</v>
      </c>
      <c r="CB24" s="14" t="s">
        <v>166</v>
      </c>
      <c r="CC24" s="14" t="s">
        <v>166</v>
      </c>
      <c r="CD24" s="14" t="s">
        <v>166</v>
      </c>
      <c r="CE24" s="18" t="s">
        <v>166</v>
      </c>
      <c r="CF24" s="16" t="s">
        <v>166</v>
      </c>
      <c r="CG24" s="17" t="s">
        <v>166</v>
      </c>
      <c r="CH24" s="16" t="s">
        <v>166</v>
      </c>
      <c r="CI24" s="16" t="s">
        <v>166</v>
      </c>
      <c r="CJ24" s="16" t="s">
        <v>166</v>
      </c>
      <c r="CK24" s="16" t="s">
        <v>166</v>
      </c>
      <c r="CL24" s="16" t="s">
        <v>166</v>
      </c>
      <c r="CM24" s="20" t="s">
        <v>166</v>
      </c>
      <c r="CN24" s="16" t="s">
        <v>166</v>
      </c>
      <c r="CO24" s="16" t="s">
        <v>166</v>
      </c>
      <c r="CP24" s="16" t="s">
        <v>166</v>
      </c>
      <c r="CQ24" s="16" t="s">
        <v>166</v>
      </c>
      <c r="CR24" s="16" t="s">
        <v>166</v>
      </c>
      <c r="CS24" s="16" t="s">
        <v>166</v>
      </c>
      <c r="CT24" s="16" t="s">
        <v>166</v>
      </c>
      <c r="CU24" s="16" t="s">
        <v>166</v>
      </c>
      <c r="CV24" s="16" t="s">
        <v>166</v>
      </c>
      <c r="CW24" s="16" t="s">
        <v>166</v>
      </c>
      <c r="CX24" s="16" t="s">
        <v>166</v>
      </c>
      <c r="CY24" s="16" t="s">
        <v>166</v>
      </c>
      <c r="CZ24" s="16" t="s">
        <v>166</v>
      </c>
      <c r="DA24" s="16" t="s">
        <v>166</v>
      </c>
      <c r="DB24" s="16" t="s">
        <v>166</v>
      </c>
      <c r="DC24" s="16" t="s">
        <v>166</v>
      </c>
      <c r="DD24" s="16" t="s">
        <v>166</v>
      </c>
      <c r="DE24" s="17" t="s">
        <v>166</v>
      </c>
      <c r="DF24" s="22">
        <v>13</v>
      </c>
      <c r="DG24" s="14" t="s">
        <v>543</v>
      </c>
      <c r="DH24" s="14" t="s">
        <v>193</v>
      </c>
      <c r="DI24" s="14" t="s">
        <v>194</v>
      </c>
      <c r="DJ24" s="14" t="s">
        <v>544</v>
      </c>
      <c r="DK24" s="14" t="s">
        <v>545</v>
      </c>
      <c r="DL24" s="21" t="s">
        <v>546</v>
      </c>
      <c r="DM24" s="14" t="s">
        <v>198</v>
      </c>
      <c r="DN24" s="13" t="s">
        <v>547</v>
      </c>
      <c r="DO24" s="20">
        <v>2015</v>
      </c>
      <c r="DP24" s="14" t="s">
        <v>166</v>
      </c>
      <c r="DQ24" s="14" t="s">
        <v>166</v>
      </c>
      <c r="DR24" s="18" t="s">
        <v>166</v>
      </c>
      <c r="DS24" s="16" t="s">
        <v>166</v>
      </c>
      <c r="DT24" s="19" t="s">
        <v>166</v>
      </c>
      <c r="DU24" s="14" t="s">
        <v>166</v>
      </c>
      <c r="DV24" s="18" t="s">
        <v>166</v>
      </c>
      <c r="DW24" s="18" t="s">
        <v>166</v>
      </c>
      <c r="DX24" s="16" t="s">
        <v>166</v>
      </c>
      <c r="DY24" s="16" t="s">
        <v>166</v>
      </c>
      <c r="DZ24" s="17" t="s">
        <v>166</v>
      </c>
      <c r="EA24" s="16" t="s">
        <v>166</v>
      </c>
      <c r="EB24" s="16" t="s">
        <v>166</v>
      </c>
      <c r="EC24" s="16" t="s">
        <v>166</v>
      </c>
      <c r="ED24" s="17" t="s">
        <v>166</v>
      </c>
      <c r="EE24" s="17" t="s">
        <v>166</v>
      </c>
      <c r="EF24" s="17" t="s">
        <v>166</v>
      </c>
      <c r="EG24" s="17" t="s">
        <v>166</v>
      </c>
      <c r="EH24" s="16" t="s">
        <v>166</v>
      </c>
      <c r="EI24" s="16" t="s">
        <v>166</v>
      </c>
      <c r="EJ24" s="16" t="s">
        <v>166</v>
      </c>
      <c r="EK24" s="16" t="s">
        <v>166</v>
      </c>
      <c r="EL24" s="16" t="s">
        <v>166</v>
      </c>
      <c r="EM24" s="16" t="s">
        <v>166</v>
      </c>
      <c r="EN24" s="16" t="s">
        <v>166</v>
      </c>
      <c r="EO24" s="16" t="s">
        <v>166</v>
      </c>
      <c r="EP24" s="16" t="s">
        <v>166</v>
      </c>
      <c r="EQ24" s="16" t="s">
        <v>166</v>
      </c>
      <c r="ER24" s="16" t="s">
        <v>166</v>
      </c>
      <c r="ES24" s="16" t="s">
        <v>166</v>
      </c>
      <c r="ET24" s="14" t="s">
        <v>166</v>
      </c>
      <c r="EU24" s="16" t="s">
        <v>166</v>
      </c>
      <c r="EV24" s="16" t="s">
        <v>166</v>
      </c>
      <c r="EW24" s="16" t="s">
        <v>166</v>
      </c>
      <c r="EX24" s="14" t="s">
        <v>190</v>
      </c>
      <c r="EY24" s="14" t="s">
        <v>166</v>
      </c>
      <c r="EZ24" s="16" t="s">
        <v>166</v>
      </c>
      <c r="FA24" s="15">
        <v>13</v>
      </c>
      <c r="FB24" s="15">
        <v>5</v>
      </c>
      <c r="FC24" s="15">
        <v>13</v>
      </c>
      <c r="FD24" s="15" t="s">
        <v>166</v>
      </c>
      <c r="FE24" s="15" t="s">
        <v>166</v>
      </c>
      <c r="FF24" s="15" t="s">
        <v>166</v>
      </c>
      <c r="FG24" s="14" t="s">
        <v>548</v>
      </c>
      <c r="FH24" s="3">
        <f>HYPERLINK("https://my.pitchbook.com?c=157882-15T","View Company Online")</f>
      </c>
    </row>
    <row r="25">
      <c r="A25" s="25" t="s">
        <v>549</v>
      </c>
      <c r="B25" s="25" t="s">
        <v>550</v>
      </c>
      <c r="C25" s="25" t="s">
        <v>551</v>
      </c>
      <c r="D25" s="25" t="s">
        <v>166</v>
      </c>
      <c r="E25" s="34" t="s">
        <v>552</v>
      </c>
      <c r="F25" s="32">
        <v>2</v>
      </c>
      <c r="G25" s="25" t="s">
        <v>553</v>
      </c>
      <c r="H25" s="25" t="s">
        <v>166</v>
      </c>
      <c r="I25" s="25" t="s">
        <v>554</v>
      </c>
      <c r="J25" s="25" t="s">
        <v>555</v>
      </c>
      <c r="K25" s="25" t="s">
        <v>207</v>
      </c>
      <c r="L25" s="25" t="s">
        <v>208</v>
      </c>
      <c r="M25" s="25" t="s">
        <v>209</v>
      </c>
      <c r="N25" s="25" t="s">
        <v>556</v>
      </c>
      <c r="O25" s="25" t="s">
        <v>557</v>
      </c>
      <c r="P25" s="25" t="s">
        <v>558</v>
      </c>
      <c r="Q25" s="25" t="s">
        <v>166</v>
      </c>
      <c r="R25" s="25" t="s">
        <v>177</v>
      </c>
      <c r="S25" s="25" t="s">
        <v>178</v>
      </c>
      <c r="T25" s="25" t="s">
        <v>179</v>
      </c>
      <c r="U25" s="25" t="s">
        <v>559</v>
      </c>
      <c r="V25" s="25" t="s">
        <v>560</v>
      </c>
      <c r="W25" s="32" t="s">
        <v>561</v>
      </c>
      <c r="X25" s="25" t="s">
        <v>562</v>
      </c>
      <c r="Y25" s="25" t="s">
        <v>563</v>
      </c>
      <c r="Z25" s="25" t="s">
        <v>166</v>
      </c>
      <c r="AA25" s="25" t="s">
        <v>166</v>
      </c>
      <c r="AB25" s="25" t="s">
        <v>166</v>
      </c>
      <c r="AC25" s="25" t="s">
        <v>166</v>
      </c>
      <c r="AD25" s="25" t="s">
        <v>166</v>
      </c>
      <c r="AE25" s="25" t="s">
        <v>166</v>
      </c>
      <c r="AF25" s="25" t="s">
        <v>166</v>
      </c>
      <c r="AG25" s="25" t="s">
        <v>166</v>
      </c>
      <c r="AH25" s="32">
        <v>4</v>
      </c>
      <c r="AI25" s="4">
        <f>HYPERLINK("https://my.pitchbook.com/?d=179359-66T","179359-66T")</f>
      </c>
      <c r="AJ25" s="30" t="s">
        <v>166</v>
      </c>
      <c r="AK25" s="30">
        <v>44317</v>
      </c>
      <c r="AL25" s="29">
        <v>1.3</v>
      </c>
      <c r="AM25" s="25" t="s">
        <v>185</v>
      </c>
      <c r="AN25" s="29" t="s">
        <v>166</v>
      </c>
      <c r="AO25" s="29" t="s">
        <v>166</v>
      </c>
      <c r="AP25" s="25" t="s">
        <v>166</v>
      </c>
      <c r="AQ25" s="32" t="s">
        <v>166</v>
      </c>
      <c r="AR25" s="32">
        <v>0.11</v>
      </c>
      <c r="AS25" s="28" t="s">
        <v>166</v>
      </c>
      <c r="AT25" s="29">
        <v>2.3</v>
      </c>
      <c r="AU25" s="32" t="s">
        <v>186</v>
      </c>
      <c r="AV25" s="32" t="s">
        <v>166</v>
      </c>
      <c r="AW25" s="29" t="s">
        <v>166</v>
      </c>
      <c r="AX25" s="32" t="s">
        <v>166</v>
      </c>
      <c r="AY25" s="25" t="s">
        <v>187</v>
      </c>
      <c r="AZ25" s="25" t="s">
        <v>166</v>
      </c>
      <c r="BA25" s="25" t="s">
        <v>166</v>
      </c>
      <c r="BB25" s="32" t="s">
        <v>166</v>
      </c>
      <c r="BC25" s="25" t="s">
        <v>179</v>
      </c>
      <c r="BD25" s="25" t="s">
        <v>564</v>
      </c>
      <c r="BE25" s="25" t="s">
        <v>189</v>
      </c>
      <c r="BF25" s="29">
        <v>1.3</v>
      </c>
      <c r="BG25" s="25" t="s">
        <v>190</v>
      </c>
      <c r="BH25" s="25" t="s">
        <v>166</v>
      </c>
      <c r="BI25" s="25" t="s">
        <v>166</v>
      </c>
      <c r="BJ25" s="29" t="s">
        <v>166</v>
      </c>
      <c r="BK25" s="29" t="s">
        <v>166</v>
      </c>
      <c r="BL25" s="25" t="s">
        <v>191</v>
      </c>
      <c r="BM25" s="25" t="s">
        <v>178</v>
      </c>
      <c r="BN25" s="25" t="s">
        <v>177</v>
      </c>
      <c r="BO25" s="33" t="s">
        <v>166</v>
      </c>
      <c r="BP25" s="25" t="s">
        <v>565</v>
      </c>
      <c r="BQ25" s="32">
        <v>1</v>
      </c>
      <c r="BR25" s="25" t="s">
        <v>566</v>
      </c>
      <c r="BS25" s="32">
        <v>1</v>
      </c>
      <c r="BT25" s="25" t="s">
        <v>166</v>
      </c>
      <c r="BU25" s="25" t="s">
        <v>166</v>
      </c>
      <c r="BV25" s="25" t="s">
        <v>567</v>
      </c>
      <c r="BW25" s="25" t="s">
        <v>166</v>
      </c>
      <c r="BX25" s="25" t="s">
        <v>166</v>
      </c>
      <c r="BY25" s="25" t="s">
        <v>166</v>
      </c>
      <c r="BZ25" s="25" t="s">
        <v>166</v>
      </c>
      <c r="CA25" s="25" t="s">
        <v>166</v>
      </c>
      <c r="CB25" s="25" t="s">
        <v>166</v>
      </c>
      <c r="CC25" s="25" t="s">
        <v>166</v>
      </c>
      <c r="CD25" s="25" t="s">
        <v>166</v>
      </c>
      <c r="CE25" s="29" t="s">
        <v>166</v>
      </c>
      <c r="CF25" s="27" t="s">
        <v>166</v>
      </c>
      <c r="CG25" s="28" t="s">
        <v>166</v>
      </c>
      <c r="CH25" s="27" t="s">
        <v>166</v>
      </c>
      <c r="CI25" s="27" t="s">
        <v>166</v>
      </c>
      <c r="CJ25" s="27" t="s">
        <v>166</v>
      </c>
      <c r="CK25" s="27" t="s">
        <v>166</v>
      </c>
      <c r="CL25" s="27" t="s">
        <v>166</v>
      </c>
      <c r="CM25" s="31" t="s">
        <v>166</v>
      </c>
      <c r="CN25" s="27" t="s">
        <v>166</v>
      </c>
      <c r="CO25" s="27" t="s">
        <v>166</v>
      </c>
      <c r="CP25" s="27" t="s">
        <v>166</v>
      </c>
      <c r="CQ25" s="27" t="s">
        <v>166</v>
      </c>
      <c r="CR25" s="27" t="s">
        <v>166</v>
      </c>
      <c r="CS25" s="27" t="s">
        <v>166</v>
      </c>
      <c r="CT25" s="27" t="s">
        <v>166</v>
      </c>
      <c r="CU25" s="27" t="s">
        <v>166</v>
      </c>
      <c r="CV25" s="27" t="s">
        <v>166</v>
      </c>
      <c r="CW25" s="27" t="s">
        <v>166</v>
      </c>
      <c r="CX25" s="27" t="s">
        <v>166</v>
      </c>
      <c r="CY25" s="27" t="s">
        <v>166</v>
      </c>
      <c r="CZ25" s="27" t="s">
        <v>166</v>
      </c>
      <c r="DA25" s="27" t="s">
        <v>166</v>
      </c>
      <c r="DB25" s="27" t="s">
        <v>166</v>
      </c>
      <c r="DC25" s="27" t="s">
        <v>166</v>
      </c>
      <c r="DD25" s="27" t="s">
        <v>166</v>
      </c>
      <c r="DE25" s="28" t="s">
        <v>166</v>
      </c>
      <c r="DF25" s="33">
        <v>13</v>
      </c>
      <c r="DG25" s="25" t="s">
        <v>568</v>
      </c>
      <c r="DH25" s="25" t="s">
        <v>193</v>
      </c>
      <c r="DI25" s="25" t="s">
        <v>194</v>
      </c>
      <c r="DJ25" s="25" t="s">
        <v>569</v>
      </c>
      <c r="DK25" s="25" t="s">
        <v>408</v>
      </c>
      <c r="DL25" s="32" t="s">
        <v>570</v>
      </c>
      <c r="DM25" s="25" t="s">
        <v>198</v>
      </c>
      <c r="DN25" s="24" t="s">
        <v>571</v>
      </c>
      <c r="DO25" s="31">
        <v>2019</v>
      </c>
      <c r="DP25" s="25" t="s">
        <v>166</v>
      </c>
      <c r="DQ25" s="25" t="s">
        <v>166</v>
      </c>
      <c r="DR25" s="29" t="s">
        <v>166</v>
      </c>
      <c r="DS25" s="27" t="s">
        <v>166</v>
      </c>
      <c r="DT25" s="30" t="s">
        <v>166</v>
      </c>
      <c r="DU25" s="25" t="s">
        <v>166</v>
      </c>
      <c r="DV25" s="29" t="s">
        <v>166</v>
      </c>
      <c r="DW25" s="29" t="s">
        <v>166</v>
      </c>
      <c r="DX25" s="27" t="s">
        <v>166</v>
      </c>
      <c r="DY25" s="27" t="s">
        <v>166</v>
      </c>
      <c r="DZ25" s="28" t="s">
        <v>166</v>
      </c>
      <c r="EA25" s="27" t="s">
        <v>166</v>
      </c>
      <c r="EB25" s="27" t="s">
        <v>166</v>
      </c>
      <c r="EC25" s="27" t="s">
        <v>166</v>
      </c>
      <c r="ED25" s="28" t="s">
        <v>166</v>
      </c>
      <c r="EE25" s="28" t="s">
        <v>166</v>
      </c>
      <c r="EF25" s="28" t="s">
        <v>166</v>
      </c>
      <c r="EG25" s="28" t="s">
        <v>166</v>
      </c>
      <c r="EH25" s="27" t="s">
        <v>166</v>
      </c>
      <c r="EI25" s="27" t="s">
        <v>166</v>
      </c>
      <c r="EJ25" s="27" t="s">
        <v>166</v>
      </c>
      <c r="EK25" s="27" t="s">
        <v>166</v>
      </c>
      <c r="EL25" s="27" t="s">
        <v>166</v>
      </c>
      <c r="EM25" s="27" t="s">
        <v>166</v>
      </c>
      <c r="EN25" s="27" t="s">
        <v>166</v>
      </c>
      <c r="EO25" s="27" t="s">
        <v>166</v>
      </c>
      <c r="EP25" s="27" t="s">
        <v>166</v>
      </c>
      <c r="EQ25" s="27" t="s">
        <v>166</v>
      </c>
      <c r="ER25" s="27" t="s">
        <v>166</v>
      </c>
      <c r="ES25" s="27" t="s">
        <v>166</v>
      </c>
      <c r="ET25" s="25" t="s">
        <v>166</v>
      </c>
      <c r="EU25" s="27" t="s">
        <v>166</v>
      </c>
      <c r="EV25" s="27" t="s">
        <v>166</v>
      </c>
      <c r="EW25" s="27" t="s">
        <v>166</v>
      </c>
      <c r="EX25" s="25" t="s">
        <v>190</v>
      </c>
      <c r="EY25" s="25" t="s">
        <v>166</v>
      </c>
      <c r="EZ25" s="27" t="s">
        <v>166</v>
      </c>
      <c r="FA25" s="26">
        <v>1</v>
      </c>
      <c r="FB25" s="26">
        <v>1</v>
      </c>
      <c r="FC25" s="26" t="s">
        <v>166</v>
      </c>
      <c r="FD25" s="26" t="s">
        <v>166</v>
      </c>
      <c r="FE25" s="26" t="s">
        <v>166</v>
      </c>
      <c r="FF25" s="26">
        <v>1</v>
      </c>
      <c r="FG25" s="25" t="s">
        <v>166</v>
      </c>
      <c r="FH25" s="4">
        <f>HYPERLINK("https://my.pitchbook.com?c=179359-66T","View Company Online")</f>
      </c>
    </row>
    <row r="26">
      <c r="A26" s="14" t="s">
        <v>572</v>
      </c>
      <c r="B26" s="14" t="s">
        <v>573</v>
      </c>
      <c r="C26" s="14" t="s">
        <v>574</v>
      </c>
      <c r="D26" s="14" t="s">
        <v>166</v>
      </c>
      <c r="E26" s="23" t="s">
        <v>575</v>
      </c>
      <c r="F26" s="21">
        <v>7</v>
      </c>
      <c r="G26" s="14" t="s">
        <v>576</v>
      </c>
      <c r="H26" s="14" t="s">
        <v>166</v>
      </c>
      <c r="I26" s="14" t="s">
        <v>577</v>
      </c>
      <c r="J26" s="14" t="s">
        <v>578</v>
      </c>
      <c r="K26" s="14" t="s">
        <v>207</v>
      </c>
      <c r="L26" s="14" t="s">
        <v>208</v>
      </c>
      <c r="M26" s="14" t="s">
        <v>209</v>
      </c>
      <c r="N26" s="14" t="s">
        <v>579</v>
      </c>
      <c r="O26" s="14" t="s">
        <v>580</v>
      </c>
      <c r="P26" s="14" t="s">
        <v>581</v>
      </c>
      <c r="Q26" s="14" t="s">
        <v>166</v>
      </c>
      <c r="R26" s="14" t="s">
        <v>177</v>
      </c>
      <c r="S26" s="14" t="s">
        <v>178</v>
      </c>
      <c r="T26" s="14" t="s">
        <v>179</v>
      </c>
      <c r="U26" s="14" t="s">
        <v>582</v>
      </c>
      <c r="V26" s="14" t="s">
        <v>583</v>
      </c>
      <c r="W26" s="21" t="s">
        <v>584</v>
      </c>
      <c r="X26" s="14" t="s">
        <v>585</v>
      </c>
      <c r="Y26" s="14" t="s">
        <v>586</v>
      </c>
      <c r="Z26" s="14" t="s">
        <v>587</v>
      </c>
      <c r="AA26" s="14" t="s">
        <v>166</v>
      </c>
      <c r="AB26" s="14" t="s">
        <v>166</v>
      </c>
      <c r="AC26" s="14" t="s">
        <v>166</v>
      </c>
      <c r="AD26" s="14" t="s">
        <v>166</v>
      </c>
      <c r="AE26" s="14" t="s">
        <v>166</v>
      </c>
      <c r="AF26" s="14" t="s">
        <v>166</v>
      </c>
      <c r="AG26" s="14" t="s">
        <v>166</v>
      </c>
      <c r="AH26" s="21">
        <v>1</v>
      </c>
      <c r="AI26" s="3">
        <f>HYPERLINK("https://my.pitchbook.com/?d=225435-97T","225435-97T")</f>
      </c>
      <c r="AJ26" s="19" t="s">
        <v>166</v>
      </c>
      <c r="AK26" s="19">
        <v>44957</v>
      </c>
      <c r="AL26" s="18">
        <v>4</v>
      </c>
      <c r="AM26" s="14" t="s">
        <v>185</v>
      </c>
      <c r="AN26" s="18" t="s">
        <v>166</v>
      </c>
      <c r="AO26" s="18" t="s">
        <v>166</v>
      </c>
      <c r="AP26" s="14" t="s">
        <v>166</v>
      </c>
      <c r="AQ26" s="21" t="s">
        <v>166</v>
      </c>
      <c r="AR26" s="21" t="s">
        <v>166</v>
      </c>
      <c r="AS26" s="17" t="s">
        <v>166</v>
      </c>
      <c r="AT26" s="18">
        <v>4</v>
      </c>
      <c r="AU26" s="21" t="s">
        <v>186</v>
      </c>
      <c r="AV26" s="21" t="s">
        <v>166</v>
      </c>
      <c r="AW26" s="18" t="s">
        <v>166</v>
      </c>
      <c r="AX26" s="21" t="s">
        <v>166</v>
      </c>
      <c r="AY26" s="14" t="s">
        <v>217</v>
      </c>
      <c r="AZ26" s="14" t="s">
        <v>217</v>
      </c>
      <c r="BA26" s="14" t="s">
        <v>166</v>
      </c>
      <c r="BB26" s="21" t="s">
        <v>166</v>
      </c>
      <c r="BC26" s="14" t="s">
        <v>179</v>
      </c>
      <c r="BD26" s="14" t="s">
        <v>588</v>
      </c>
      <c r="BE26" s="14" t="s">
        <v>189</v>
      </c>
      <c r="BF26" s="18">
        <v>4</v>
      </c>
      <c r="BG26" s="14" t="s">
        <v>190</v>
      </c>
      <c r="BH26" s="14" t="s">
        <v>166</v>
      </c>
      <c r="BI26" s="14" t="s">
        <v>166</v>
      </c>
      <c r="BJ26" s="18" t="s">
        <v>166</v>
      </c>
      <c r="BK26" s="18" t="s">
        <v>166</v>
      </c>
      <c r="BL26" s="14" t="s">
        <v>191</v>
      </c>
      <c r="BM26" s="14" t="s">
        <v>178</v>
      </c>
      <c r="BN26" s="14" t="s">
        <v>177</v>
      </c>
      <c r="BO26" s="22">
        <v>5</v>
      </c>
      <c r="BP26" s="14" t="s">
        <v>589</v>
      </c>
      <c r="BQ26" s="21">
        <v>7</v>
      </c>
      <c r="BR26" s="14" t="s">
        <v>166</v>
      </c>
      <c r="BS26" s="21" t="s">
        <v>166</v>
      </c>
      <c r="BT26" s="14" t="s">
        <v>590</v>
      </c>
      <c r="BU26" s="14" t="s">
        <v>166</v>
      </c>
      <c r="BV26" s="14" t="s">
        <v>166</v>
      </c>
      <c r="BW26" s="14" t="s">
        <v>166</v>
      </c>
      <c r="BX26" s="14" t="s">
        <v>166</v>
      </c>
      <c r="BY26" s="14" t="s">
        <v>166</v>
      </c>
      <c r="BZ26" s="14" t="s">
        <v>166</v>
      </c>
      <c r="CA26" s="14" t="s">
        <v>166</v>
      </c>
      <c r="CB26" s="14" t="s">
        <v>166</v>
      </c>
      <c r="CC26" s="14" t="s">
        <v>166</v>
      </c>
      <c r="CD26" s="14" t="s">
        <v>166</v>
      </c>
      <c r="CE26" s="18" t="s">
        <v>166</v>
      </c>
      <c r="CF26" s="16" t="s">
        <v>166</v>
      </c>
      <c r="CG26" s="17" t="s">
        <v>166</v>
      </c>
      <c r="CH26" s="16" t="s">
        <v>166</v>
      </c>
      <c r="CI26" s="16" t="s">
        <v>166</v>
      </c>
      <c r="CJ26" s="16" t="s">
        <v>166</v>
      </c>
      <c r="CK26" s="16" t="s">
        <v>166</v>
      </c>
      <c r="CL26" s="16" t="s">
        <v>166</v>
      </c>
      <c r="CM26" s="20" t="s">
        <v>166</v>
      </c>
      <c r="CN26" s="16" t="s">
        <v>166</v>
      </c>
      <c r="CO26" s="16" t="s">
        <v>166</v>
      </c>
      <c r="CP26" s="16" t="s">
        <v>166</v>
      </c>
      <c r="CQ26" s="16" t="s">
        <v>166</v>
      </c>
      <c r="CR26" s="16" t="s">
        <v>166</v>
      </c>
      <c r="CS26" s="16" t="s">
        <v>166</v>
      </c>
      <c r="CT26" s="16" t="s">
        <v>166</v>
      </c>
      <c r="CU26" s="16" t="s">
        <v>166</v>
      </c>
      <c r="CV26" s="16" t="s">
        <v>166</v>
      </c>
      <c r="CW26" s="16" t="s">
        <v>166</v>
      </c>
      <c r="CX26" s="16" t="s">
        <v>166</v>
      </c>
      <c r="CY26" s="16" t="s">
        <v>166</v>
      </c>
      <c r="CZ26" s="16" t="s">
        <v>166</v>
      </c>
      <c r="DA26" s="16" t="s">
        <v>166</v>
      </c>
      <c r="DB26" s="16" t="s">
        <v>166</v>
      </c>
      <c r="DC26" s="16" t="s">
        <v>166</v>
      </c>
      <c r="DD26" s="16" t="s">
        <v>166</v>
      </c>
      <c r="DE26" s="17" t="s">
        <v>166</v>
      </c>
      <c r="DF26" s="22">
        <v>15</v>
      </c>
      <c r="DG26" s="14" t="s">
        <v>309</v>
      </c>
      <c r="DH26" s="14" t="s">
        <v>193</v>
      </c>
      <c r="DI26" s="14" t="s">
        <v>194</v>
      </c>
      <c r="DJ26" s="14" t="s">
        <v>310</v>
      </c>
      <c r="DK26" s="14" t="s">
        <v>310</v>
      </c>
      <c r="DL26" s="21" t="s">
        <v>591</v>
      </c>
      <c r="DM26" s="14" t="s">
        <v>198</v>
      </c>
      <c r="DN26" s="13" t="s">
        <v>592</v>
      </c>
      <c r="DO26" s="20">
        <v>2021</v>
      </c>
      <c r="DP26" s="14" t="s">
        <v>166</v>
      </c>
      <c r="DQ26" s="14" t="s">
        <v>166</v>
      </c>
      <c r="DR26" s="18" t="s">
        <v>166</v>
      </c>
      <c r="DS26" s="16" t="s">
        <v>166</v>
      </c>
      <c r="DT26" s="19" t="s">
        <v>166</v>
      </c>
      <c r="DU26" s="14" t="s">
        <v>166</v>
      </c>
      <c r="DV26" s="18" t="s">
        <v>166</v>
      </c>
      <c r="DW26" s="18" t="s">
        <v>166</v>
      </c>
      <c r="DX26" s="16" t="s">
        <v>166</v>
      </c>
      <c r="DY26" s="16" t="s">
        <v>166</v>
      </c>
      <c r="DZ26" s="17" t="s">
        <v>166</v>
      </c>
      <c r="EA26" s="16" t="s">
        <v>166</v>
      </c>
      <c r="EB26" s="16" t="s">
        <v>166</v>
      </c>
      <c r="EC26" s="16" t="s">
        <v>166</v>
      </c>
      <c r="ED26" s="17" t="s">
        <v>166</v>
      </c>
      <c r="EE26" s="17" t="s">
        <v>166</v>
      </c>
      <c r="EF26" s="17" t="s">
        <v>166</v>
      </c>
      <c r="EG26" s="17" t="s">
        <v>166</v>
      </c>
      <c r="EH26" s="16" t="s">
        <v>166</v>
      </c>
      <c r="EI26" s="16" t="s">
        <v>166</v>
      </c>
      <c r="EJ26" s="16" t="s">
        <v>166</v>
      </c>
      <c r="EK26" s="16" t="s">
        <v>166</v>
      </c>
      <c r="EL26" s="16" t="s">
        <v>166</v>
      </c>
      <c r="EM26" s="16" t="s">
        <v>166</v>
      </c>
      <c r="EN26" s="16" t="s">
        <v>166</v>
      </c>
      <c r="EO26" s="16" t="s">
        <v>166</v>
      </c>
      <c r="EP26" s="16" t="s">
        <v>166</v>
      </c>
      <c r="EQ26" s="16" t="s">
        <v>166</v>
      </c>
      <c r="ER26" s="16" t="s">
        <v>166</v>
      </c>
      <c r="ES26" s="16" t="s">
        <v>166</v>
      </c>
      <c r="ET26" s="14" t="s">
        <v>166</v>
      </c>
      <c r="EU26" s="16" t="s">
        <v>166</v>
      </c>
      <c r="EV26" s="16" t="s">
        <v>166</v>
      </c>
      <c r="EW26" s="16" t="s">
        <v>166</v>
      </c>
      <c r="EX26" s="14" t="s">
        <v>190</v>
      </c>
      <c r="EY26" s="14" t="s">
        <v>166</v>
      </c>
      <c r="EZ26" s="16" t="s">
        <v>166</v>
      </c>
      <c r="FA26" s="15" t="s">
        <v>166</v>
      </c>
      <c r="FB26" s="15" t="s">
        <v>166</v>
      </c>
      <c r="FC26" s="15" t="s">
        <v>166</v>
      </c>
      <c r="FD26" s="15" t="s">
        <v>166</v>
      </c>
      <c r="FE26" s="15" t="s">
        <v>166</v>
      </c>
      <c r="FF26" s="15" t="s">
        <v>166</v>
      </c>
      <c r="FG26" s="14" t="s">
        <v>166</v>
      </c>
      <c r="FH26" s="3">
        <f>HYPERLINK("https://my.pitchbook.com?c=225435-97T","View Company Online")</f>
      </c>
    </row>
    <row r="27">
      <c r="A27" s="25" t="s">
        <v>593</v>
      </c>
      <c r="B27" s="25" t="s">
        <v>594</v>
      </c>
      <c r="C27" s="25" t="s">
        <v>595</v>
      </c>
      <c r="D27" s="25" t="s">
        <v>166</v>
      </c>
      <c r="E27" s="34" t="s">
        <v>596</v>
      </c>
      <c r="F27" s="32">
        <v>1</v>
      </c>
      <c r="G27" s="25" t="s">
        <v>597</v>
      </c>
      <c r="H27" s="25" t="s">
        <v>166</v>
      </c>
      <c r="I27" s="25" t="s">
        <v>598</v>
      </c>
      <c r="J27" s="25" t="s">
        <v>599</v>
      </c>
      <c r="K27" s="25" t="s">
        <v>171</v>
      </c>
      <c r="L27" s="25" t="s">
        <v>172</v>
      </c>
      <c r="M27" s="25" t="s">
        <v>600</v>
      </c>
      <c r="N27" s="25" t="s">
        <v>601</v>
      </c>
      <c r="O27" s="25" t="s">
        <v>602</v>
      </c>
      <c r="P27" s="25" t="s">
        <v>603</v>
      </c>
      <c r="Q27" s="25" t="s">
        <v>166</v>
      </c>
      <c r="R27" s="25" t="s">
        <v>177</v>
      </c>
      <c r="S27" s="25" t="s">
        <v>178</v>
      </c>
      <c r="T27" s="25" t="s">
        <v>179</v>
      </c>
      <c r="U27" s="25" t="s">
        <v>604</v>
      </c>
      <c r="V27" s="25" t="s">
        <v>605</v>
      </c>
      <c r="W27" s="32" t="s">
        <v>166</v>
      </c>
      <c r="X27" s="25" t="s">
        <v>166</v>
      </c>
      <c r="Y27" s="25" t="s">
        <v>606</v>
      </c>
      <c r="Z27" s="25" t="s">
        <v>607</v>
      </c>
      <c r="AA27" s="25" t="s">
        <v>166</v>
      </c>
      <c r="AB27" s="25" t="s">
        <v>166</v>
      </c>
      <c r="AC27" s="25" t="s">
        <v>166</v>
      </c>
      <c r="AD27" s="25" t="s">
        <v>166</v>
      </c>
      <c r="AE27" s="25" t="s">
        <v>166</v>
      </c>
      <c r="AF27" s="25" t="s">
        <v>166</v>
      </c>
      <c r="AG27" s="25" t="s">
        <v>166</v>
      </c>
      <c r="AH27" s="32">
        <v>1</v>
      </c>
      <c r="AI27" s="4">
        <f>HYPERLINK("https://my.pitchbook.com/?d=179326-54T","179326-54T")</f>
      </c>
      <c r="AJ27" s="30">
        <v>44420</v>
      </c>
      <c r="AK27" s="30">
        <v>44799</v>
      </c>
      <c r="AL27" s="29">
        <v>1.79</v>
      </c>
      <c r="AM27" s="25" t="s">
        <v>185</v>
      </c>
      <c r="AN27" s="29" t="s">
        <v>166</v>
      </c>
      <c r="AO27" s="29" t="s">
        <v>166</v>
      </c>
      <c r="AP27" s="25" t="s">
        <v>166</v>
      </c>
      <c r="AQ27" s="32" t="s">
        <v>166</v>
      </c>
      <c r="AR27" s="32" t="s">
        <v>166</v>
      </c>
      <c r="AS27" s="28" t="s">
        <v>166</v>
      </c>
      <c r="AT27" s="29">
        <v>1.79</v>
      </c>
      <c r="AU27" s="32" t="s">
        <v>186</v>
      </c>
      <c r="AV27" s="32" t="s">
        <v>166</v>
      </c>
      <c r="AW27" s="29" t="s">
        <v>166</v>
      </c>
      <c r="AX27" s="32" t="s">
        <v>166</v>
      </c>
      <c r="AY27" s="25" t="s">
        <v>217</v>
      </c>
      <c r="AZ27" s="25" t="s">
        <v>217</v>
      </c>
      <c r="BA27" s="25" t="s">
        <v>166</v>
      </c>
      <c r="BB27" s="32" t="s">
        <v>166</v>
      </c>
      <c r="BC27" s="25" t="s">
        <v>179</v>
      </c>
      <c r="BD27" s="25" t="s">
        <v>599</v>
      </c>
      <c r="BE27" s="25" t="s">
        <v>189</v>
      </c>
      <c r="BF27" s="29" t="s">
        <v>166</v>
      </c>
      <c r="BG27" s="25" t="s">
        <v>190</v>
      </c>
      <c r="BH27" s="25" t="s">
        <v>166</v>
      </c>
      <c r="BI27" s="25" t="s">
        <v>166</v>
      </c>
      <c r="BJ27" s="29">
        <v>1.79</v>
      </c>
      <c r="BK27" s="29" t="s">
        <v>166</v>
      </c>
      <c r="BL27" s="25" t="s">
        <v>191</v>
      </c>
      <c r="BM27" s="25" t="s">
        <v>178</v>
      </c>
      <c r="BN27" s="25" t="s">
        <v>177</v>
      </c>
      <c r="BO27" s="33" t="s">
        <v>166</v>
      </c>
      <c r="BP27" s="25" t="s">
        <v>608</v>
      </c>
      <c r="BQ27" s="32">
        <v>1</v>
      </c>
      <c r="BR27" s="25" t="s">
        <v>166</v>
      </c>
      <c r="BS27" s="32" t="s">
        <v>166</v>
      </c>
      <c r="BT27" s="25" t="s">
        <v>166</v>
      </c>
      <c r="BU27" s="25" t="s">
        <v>166</v>
      </c>
      <c r="BV27" s="25" t="s">
        <v>166</v>
      </c>
      <c r="BW27" s="25" t="s">
        <v>166</v>
      </c>
      <c r="BX27" s="25" t="s">
        <v>166</v>
      </c>
      <c r="BY27" s="25" t="s">
        <v>166</v>
      </c>
      <c r="BZ27" s="25" t="s">
        <v>166</v>
      </c>
      <c r="CA27" s="25" t="s">
        <v>166</v>
      </c>
      <c r="CB27" s="25" t="s">
        <v>166</v>
      </c>
      <c r="CC27" s="25" t="s">
        <v>166</v>
      </c>
      <c r="CD27" s="25" t="s">
        <v>166</v>
      </c>
      <c r="CE27" s="29" t="s">
        <v>166</v>
      </c>
      <c r="CF27" s="27" t="s">
        <v>166</v>
      </c>
      <c r="CG27" s="28" t="s">
        <v>166</v>
      </c>
      <c r="CH27" s="27" t="s">
        <v>166</v>
      </c>
      <c r="CI27" s="27" t="s">
        <v>166</v>
      </c>
      <c r="CJ27" s="27" t="s">
        <v>166</v>
      </c>
      <c r="CK27" s="27" t="s">
        <v>166</v>
      </c>
      <c r="CL27" s="27" t="s">
        <v>166</v>
      </c>
      <c r="CM27" s="31" t="s">
        <v>166</v>
      </c>
      <c r="CN27" s="27" t="s">
        <v>166</v>
      </c>
      <c r="CO27" s="27" t="s">
        <v>166</v>
      </c>
      <c r="CP27" s="27" t="s">
        <v>166</v>
      </c>
      <c r="CQ27" s="27" t="s">
        <v>166</v>
      </c>
      <c r="CR27" s="27" t="s">
        <v>166</v>
      </c>
      <c r="CS27" s="27" t="s">
        <v>166</v>
      </c>
      <c r="CT27" s="27" t="s">
        <v>166</v>
      </c>
      <c r="CU27" s="27" t="s">
        <v>166</v>
      </c>
      <c r="CV27" s="27" t="s">
        <v>166</v>
      </c>
      <c r="CW27" s="27" t="s">
        <v>166</v>
      </c>
      <c r="CX27" s="27" t="s">
        <v>166</v>
      </c>
      <c r="CY27" s="27" t="s">
        <v>166</v>
      </c>
      <c r="CZ27" s="27" t="s">
        <v>166</v>
      </c>
      <c r="DA27" s="27" t="s">
        <v>166</v>
      </c>
      <c r="DB27" s="27" t="s">
        <v>166</v>
      </c>
      <c r="DC27" s="27" t="s">
        <v>166</v>
      </c>
      <c r="DD27" s="27" t="s">
        <v>166</v>
      </c>
      <c r="DE27" s="28" t="s">
        <v>166</v>
      </c>
      <c r="DF27" s="33">
        <v>2</v>
      </c>
      <c r="DG27" s="25" t="s">
        <v>609</v>
      </c>
      <c r="DH27" s="25" t="s">
        <v>193</v>
      </c>
      <c r="DI27" s="25" t="s">
        <v>194</v>
      </c>
      <c r="DJ27" s="25" t="s">
        <v>610</v>
      </c>
      <c r="DK27" s="25" t="s">
        <v>545</v>
      </c>
      <c r="DL27" s="32" t="s">
        <v>611</v>
      </c>
      <c r="DM27" s="25" t="s">
        <v>198</v>
      </c>
      <c r="DN27" s="24" t="s">
        <v>612</v>
      </c>
      <c r="DO27" s="31">
        <v>2020</v>
      </c>
      <c r="DP27" s="25" t="s">
        <v>166</v>
      </c>
      <c r="DQ27" s="25" t="s">
        <v>613</v>
      </c>
      <c r="DR27" s="29">
        <v>1.79</v>
      </c>
      <c r="DS27" s="27" t="s">
        <v>166</v>
      </c>
      <c r="DT27" s="30" t="s">
        <v>166</v>
      </c>
      <c r="DU27" s="25" t="s">
        <v>166</v>
      </c>
      <c r="DV27" s="29" t="s">
        <v>166</v>
      </c>
      <c r="DW27" s="29" t="s">
        <v>166</v>
      </c>
      <c r="DX27" s="27" t="s">
        <v>166</v>
      </c>
      <c r="DY27" s="27" t="s">
        <v>166</v>
      </c>
      <c r="DZ27" s="28" t="s">
        <v>166</v>
      </c>
      <c r="EA27" s="27" t="s">
        <v>166</v>
      </c>
      <c r="EB27" s="27" t="s">
        <v>166</v>
      </c>
      <c r="EC27" s="27" t="s">
        <v>166</v>
      </c>
      <c r="ED27" s="28" t="s">
        <v>166</v>
      </c>
      <c r="EE27" s="28" t="s">
        <v>166</v>
      </c>
      <c r="EF27" s="28" t="s">
        <v>166</v>
      </c>
      <c r="EG27" s="28" t="s">
        <v>166</v>
      </c>
      <c r="EH27" s="27" t="s">
        <v>166</v>
      </c>
      <c r="EI27" s="27" t="s">
        <v>166</v>
      </c>
      <c r="EJ27" s="27" t="s">
        <v>166</v>
      </c>
      <c r="EK27" s="27" t="s">
        <v>166</v>
      </c>
      <c r="EL27" s="27" t="s">
        <v>166</v>
      </c>
      <c r="EM27" s="27" t="s">
        <v>166</v>
      </c>
      <c r="EN27" s="27" t="s">
        <v>166</v>
      </c>
      <c r="EO27" s="27" t="s">
        <v>166</v>
      </c>
      <c r="EP27" s="27" t="s">
        <v>166</v>
      </c>
      <c r="EQ27" s="27" t="s">
        <v>166</v>
      </c>
      <c r="ER27" s="27" t="s">
        <v>166</v>
      </c>
      <c r="ES27" s="27" t="s">
        <v>166</v>
      </c>
      <c r="ET27" s="25" t="s">
        <v>166</v>
      </c>
      <c r="EU27" s="27" t="s">
        <v>166</v>
      </c>
      <c r="EV27" s="27" t="s">
        <v>166</v>
      </c>
      <c r="EW27" s="27" t="s">
        <v>166</v>
      </c>
      <c r="EX27" s="25" t="s">
        <v>190</v>
      </c>
      <c r="EY27" s="25" t="s">
        <v>190</v>
      </c>
      <c r="EZ27" s="27" t="s">
        <v>166</v>
      </c>
      <c r="FA27" s="26" t="s">
        <v>166</v>
      </c>
      <c r="FB27" s="26" t="s">
        <v>166</v>
      </c>
      <c r="FC27" s="26" t="s">
        <v>166</v>
      </c>
      <c r="FD27" s="26" t="s">
        <v>166</v>
      </c>
      <c r="FE27" s="26" t="s">
        <v>166</v>
      </c>
      <c r="FF27" s="26" t="s">
        <v>166</v>
      </c>
      <c r="FG27" s="25" t="s">
        <v>166</v>
      </c>
      <c r="FH27" s="4">
        <f>HYPERLINK("https://my.pitchbook.com?c=179326-54T","View Company Online")</f>
      </c>
    </row>
    <row r="28">
      <c r="A28" s="14" t="s">
        <v>614</v>
      </c>
      <c r="B28" s="14" t="s">
        <v>615</v>
      </c>
      <c r="C28" s="14" t="s">
        <v>616</v>
      </c>
      <c r="D28" s="14" t="s">
        <v>166</v>
      </c>
      <c r="E28" s="23" t="s">
        <v>617</v>
      </c>
      <c r="F28" s="21">
        <v>1</v>
      </c>
      <c r="G28" s="14" t="s">
        <v>618</v>
      </c>
      <c r="H28" s="14" t="s">
        <v>166</v>
      </c>
      <c r="I28" s="14" t="s">
        <v>619</v>
      </c>
      <c r="J28" s="14" t="s">
        <v>620</v>
      </c>
      <c r="K28" s="14" t="s">
        <v>207</v>
      </c>
      <c r="L28" s="14" t="s">
        <v>208</v>
      </c>
      <c r="M28" s="14" t="s">
        <v>621</v>
      </c>
      <c r="N28" s="14" t="s">
        <v>622</v>
      </c>
      <c r="O28" s="14" t="s">
        <v>623</v>
      </c>
      <c r="P28" s="14" t="s">
        <v>624</v>
      </c>
      <c r="Q28" s="14" t="s">
        <v>166</v>
      </c>
      <c r="R28" s="14" t="s">
        <v>177</v>
      </c>
      <c r="S28" s="14" t="s">
        <v>358</v>
      </c>
      <c r="T28" s="14" t="s">
        <v>179</v>
      </c>
      <c r="U28" s="14" t="s">
        <v>625</v>
      </c>
      <c r="V28" s="14" t="s">
        <v>626</v>
      </c>
      <c r="W28" s="21" t="s">
        <v>627</v>
      </c>
      <c r="X28" s="14" t="s">
        <v>628</v>
      </c>
      <c r="Y28" s="14" t="s">
        <v>629</v>
      </c>
      <c r="Z28" s="14" t="s">
        <v>166</v>
      </c>
      <c r="AA28" s="14" t="s">
        <v>166</v>
      </c>
      <c r="AB28" s="14" t="s">
        <v>166</v>
      </c>
      <c r="AC28" s="14" t="s">
        <v>166</v>
      </c>
      <c r="AD28" s="14" t="s">
        <v>166</v>
      </c>
      <c r="AE28" s="14" t="s">
        <v>166</v>
      </c>
      <c r="AF28" s="14" t="s">
        <v>166</v>
      </c>
      <c r="AG28" s="14" t="s">
        <v>166</v>
      </c>
      <c r="AH28" s="21">
        <v>1</v>
      </c>
      <c r="AI28" s="3">
        <f>HYPERLINK("https://my.pitchbook.com/?d=217251-37T","217251-37T")</f>
      </c>
      <c r="AJ28" s="19" t="s">
        <v>166</v>
      </c>
      <c r="AK28" s="19">
        <v>44927</v>
      </c>
      <c r="AL28" s="18">
        <v>0.1</v>
      </c>
      <c r="AM28" s="14" t="s">
        <v>185</v>
      </c>
      <c r="AN28" s="18" t="s">
        <v>166</v>
      </c>
      <c r="AO28" s="18" t="s">
        <v>166</v>
      </c>
      <c r="AP28" s="14" t="s">
        <v>166</v>
      </c>
      <c r="AQ28" s="21" t="s">
        <v>166</v>
      </c>
      <c r="AR28" s="21" t="s">
        <v>166</v>
      </c>
      <c r="AS28" s="17" t="s">
        <v>166</v>
      </c>
      <c r="AT28" s="18">
        <v>0.1</v>
      </c>
      <c r="AU28" s="21" t="s">
        <v>186</v>
      </c>
      <c r="AV28" s="21" t="s">
        <v>166</v>
      </c>
      <c r="AW28" s="18" t="s">
        <v>166</v>
      </c>
      <c r="AX28" s="21" t="s">
        <v>166</v>
      </c>
      <c r="AY28" s="14" t="s">
        <v>217</v>
      </c>
      <c r="AZ28" s="14" t="s">
        <v>217</v>
      </c>
      <c r="BA28" s="14" t="s">
        <v>166</v>
      </c>
      <c r="BB28" s="21" t="s">
        <v>166</v>
      </c>
      <c r="BC28" s="14" t="s">
        <v>179</v>
      </c>
      <c r="BD28" s="14" t="s">
        <v>630</v>
      </c>
      <c r="BE28" s="14" t="s">
        <v>189</v>
      </c>
      <c r="BF28" s="18">
        <v>0.1</v>
      </c>
      <c r="BG28" s="14" t="s">
        <v>190</v>
      </c>
      <c r="BH28" s="14" t="s">
        <v>166</v>
      </c>
      <c r="BI28" s="14" t="s">
        <v>166</v>
      </c>
      <c r="BJ28" s="18" t="s">
        <v>166</v>
      </c>
      <c r="BK28" s="18" t="s">
        <v>166</v>
      </c>
      <c r="BL28" s="14" t="s">
        <v>191</v>
      </c>
      <c r="BM28" s="14" t="s">
        <v>358</v>
      </c>
      <c r="BN28" s="14" t="s">
        <v>177</v>
      </c>
      <c r="BO28" s="22" t="s">
        <v>166</v>
      </c>
      <c r="BP28" s="14" t="s">
        <v>617</v>
      </c>
      <c r="BQ28" s="21">
        <v>1</v>
      </c>
      <c r="BR28" s="14" t="s">
        <v>166</v>
      </c>
      <c r="BS28" s="21" t="s">
        <v>166</v>
      </c>
      <c r="BT28" s="14" t="s">
        <v>166</v>
      </c>
      <c r="BU28" s="14" t="s">
        <v>166</v>
      </c>
      <c r="BV28" s="14" t="s">
        <v>166</v>
      </c>
      <c r="BW28" s="14" t="s">
        <v>166</v>
      </c>
      <c r="BX28" s="14" t="s">
        <v>166</v>
      </c>
      <c r="BY28" s="14" t="s">
        <v>166</v>
      </c>
      <c r="BZ28" s="14" t="s">
        <v>166</v>
      </c>
      <c r="CA28" s="14" t="s">
        <v>166</v>
      </c>
      <c r="CB28" s="14" t="s">
        <v>166</v>
      </c>
      <c r="CC28" s="14" t="s">
        <v>166</v>
      </c>
      <c r="CD28" s="14" t="s">
        <v>166</v>
      </c>
      <c r="CE28" s="18" t="s">
        <v>166</v>
      </c>
      <c r="CF28" s="16" t="s">
        <v>166</v>
      </c>
      <c r="CG28" s="17" t="s">
        <v>166</v>
      </c>
      <c r="CH28" s="16" t="s">
        <v>166</v>
      </c>
      <c r="CI28" s="16" t="s">
        <v>166</v>
      </c>
      <c r="CJ28" s="16" t="s">
        <v>166</v>
      </c>
      <c r="CK28" s="16" t="s">
        <v>166</v>
      </c>
      <c r="CL28" s="16" t="s">
        <v>166</v>
      </c>
      <c r="CM28" s="20" t="s">
        <v>166</v>
      </c>
      <c r="CN28" s="16" t="s">
        <v>166</v>
      </c>
      <c r="CO28" s="16" t="s">
        <v>166</v>
      </c>
      <c r="CP28" s="16" t="s">
        <v>166</v>
      </c>
      <c r="CQ28" s="16" t="s">
        <v>166</v>
      </c>
      <c r="CR28" s="16" t="s">
        <v>166</v>
      </c>
      <c r="CS28" s="16" t="s">
        <v>166</v>
      </c>
      <c r="CT28" s="16" t="s">
        <v>166</v>
      </c>
      <c r="CU28" s="16" t="s">
        <v>166</v>
      </c>
      <c r="CV28" s="16" t="s">
        <v>166</v>
      </c>
      <c r="CW28" s="16" t="s">
        <v>166</v>
      </c>
      <c r="CX28" s="16" t="s">
        <v>166</v>
      </c>
      <c r="CY28" s="16" t="s">
        <v>166</v>
      </c>
      <c r="CZ28" s="16" t="s">
        <v>166</v>
      </c>
      <c r="DA28" s="16" t="s">
        <v>166</v>
      </c>
      <c r="DB28" s="16" t="s">
        <v>166</v>
      </c>
      <c r="DC28" s="16" t="s">
        <v>166</v>
      </c>
      <c r="DD28" s="16" t="s">
        <v>166</v>
      </c>
      <c r="DE28" s="17" t="s">
        <v>166</v>
      </c>
      <c r="DF28" s="22" t="s">
        <v>166</v>
      </c>
      <c r="DG28" s="14" t="s">
        <v>429</v>
      </c>
      <c r="DH28" s="14" t="s">
        <v>193</v>
      </c>
      <c r="DI28" s="14" t="s">
        <v>194</v>
      </c>
      <c r="DJ28" s="14" t="s">
        <v>430</v>
      </c>
      <c r="DK28" s="14" t="s">
        <v>431</v>
      </c>
      <c r="DL28" s="21" t="s">
        <v>166</v>
      </c>
      <c r="DM28" s="14" t="s">
        <v>198</v>
      </c>
      <c r="DN28" s="13" t="s">
        <v>631</v>
      </c>
      <c r="DO28" s="20" t="s">
        <v>166</v>
      </c>
      <c r="DP28" s="14" t="s">
        <v>166</v>
      </c>
      <c r="DQ28" s="14" t="s">
        <v>166</v>
      </c>
      <c r="DR28" s="18" t="s">
        <v>166</v>
      </c>
      <c r="DS28" s="16" t="s">
        <v>166</v>
      </c>
      <c r="DT28" s="19" t="s">
        <v>166</v>
      </c>
      <c r="DU28" s="14" t="s">
        <v>166</v>
      </c>
      <c r="DV28" s="18" t="s">
        <v>166</v>
      </c>
      <c r="DW28" s="18" t="s">
        <v>166</v>
      </c>
      <c r="DX28" s="16" t="s">
        <v>166</v>
      </c>
      <c r="DY28" s="16" t="s">
        <v>166</v>
      </c>
      <c r="DZ28" s="17" t="s">
        <v>166</v>
      </c>
      <c r="EA28" s="16" t="s">
        <v>166</v>
      </c>
      <c r="EB28" s="16" t="s">
        <v>166</v>
      </c>
      <c r="EC28" s="16" t="s">
        <v>166</v>
      </c>
      <c r="ED28" s="17" t="s">
        <v>166</v>
      </c>
      <c r="EE28" s="17" t="s">
        <v>166</v>
      </c>
      <c r="EF28" s="17" t="s">
        <v>166</v>
      </c>
      <c r="EG28" s="17" t="s">
        <v>166</v>
      </c>
      <c r="EH28" s="16" t="s">
        <v>166</v>
      </c>
      <c r="EI28" s="16" t="s">
        <v>166</v>
      </c>
      <c r="EJ28" s="16" t="s">
        <v>166</v>
      </c>
      <c r="EK28" s="16" t="s">
        <v>166</v>
      </c>
      <c r="EL28" s="16" t="s">
        <v>166</v>
      </c>
      <c r="EM28" s="16" t="s">
        <v>166</v>
      </c>
      <c r="EN28" s="16" t="s">
        <v>166</v>
      </c>
      <c r="EO28" s="16" t="s">
        <v>166</v>
      </c>
      <c r="EP28" s="16" t="s">
        <v>166</v>
      </c>
      <c r="EQ28" s="16" t="s">
        <v>166</v>
      </c>
      <c r="ER28" s="16" t="s">
        <v>166</v>
      </c>
      <c r="ES28" s="16" t="s">
        <v>166</v>
      </c>
      <c r="ET28" s="14" t="s">
        <v>166</v>
      </c>
      <c r="EU28" s="16" t="s">
        <v>166</v>
      </c>
      <c r="EV28" s="16" t="s">
        <v>166</v>
      </c>
      <c r="EW28" s="16" t="s">
        <v>166</v>
      </c>
      <c r="EX28" s="14" t="s">
        <v>190</v>
      </c>
      <c r="EY28" s="14" t="s">
        <v>166</v>
      </c>
      <c r="EZ28" s="16" t="s">
        <v>166</v>
      </c>
      <c r="FA28" s="15" t="s">
        <v>166</v>
      </c>
      <c r="FB28" s="15" t="s">
        <v>166</v>
      </c>
      <c r="FC28" s="15" t="s">
        <v>166</v>
      </c>
      <c r="FD28" s="15" t="s">
        <v>166</v>
      </c>
      <c r="FE28" s="15" t="s">
        <v>166</v>
      </c>
      <c r="FF28" s="15" t="s">
        <v>166</v>
      </c>
      <c r="FG28" s="14" t="s">
        <v>166</v>
      </c>
      <c r="FH28" s="3">
        <f>HYPERLINK("https://my.pitchbook.com?c=217251-37T","View Company Online")</f>
      </c>
    </row>
    <row r="29">
      <c r="A29" s="25" t="s">
        <v>632</v>
      </c>
      <c r="B29" s="25" t="s">
        <v>633</v>
      </c>
      <c r="C29" s="25" t="s">
        <v>634</v>
      </c>
      <c r="D29" s="25" t="s">
        <v>166</v>
      </c>
      <c r="E29" s="34" t="s">
        <v>635</v>
      </c>
      <c r="F29" s="32">
        <v>7</v>
      </c>
      <c r="G29" s="25" t="s">
        <v>636</v>
      </c>
      <c r="H29" s="25" t="s">
        <v>166</v>
      </c>
      <c r="I29" s="25" t="s">
        <v>637</v>
      </c>
      <c r="J29" s="25" t="s">
        <v>638</v>
      </c>
      <c r="K29" s="25" t="s">
        <v>207</v>
      </c>
      <c r="L29" s="25" t="s">
        <v>208</v>
      </c>
      <c r="M29" s="25" t="s">
        <v>639</v>
      </c>
      <c r="N29" s="25" t="s">
        <v>640</v>
      </c>
      <c r="O29" s="25" t="s">
        <v>641</v>
      </c>
      <c r="P29" s="25" t="s">
        <v>642</v>
      </c>
      <c r="Q29" s="25" t="s">
        <v>166</v>
      </c>
      <c r="R29" s="25" t="s">
        <v>177</v>
      </c>
      <c r="S29" s="25" t="s">
        <v>178</v>
      </c>
      <c r="T29" s="25" t="s">
        <v>179</v>
      </c>
      <c r="U29" s="25" t="s">
        <v>643</v>
      </c>
      <c r="V29" s="25" t="s">
        <v>644</v>
      </c>
      <c r="W29" s="32" t="s">
        <v>645</v>
      </c>
      <c r="X29" s="25" t="s">
        <v>646</v>
      </c>
      <c r="Y29" s="25" t="s">
        <v>647</v>
      </c>
      <c r="Z29" s="25" t="s">
        <v>166</v>
      </c>
      <c r="AA29" s="25" t="s">
        <v>242</v>
      </c>
      <c r="AB29" s="25" t="s">
        <v>243</v>
      </c>
      <c r="AC29" s="25" t="s">
        <v>244</v>
      </c>
      <c r="AD29" s="25" t="s">
        <v>166</v>
      </c>
      <c r="AE29" s="25" t="s">
        <v>243</v>
      </c>
      <c r="AF29" s="25" t="s">
        <v>166</v>
      </c>
      <c r="AG29" s="25" t="s">
        <v>246</v>
      </c>
      <c r="AH29" s="32">
        <v>2</v>
      </c>
      <c r="AI29" s="4">
        <f>HYPERLINK("https://my.pitchbook.com/?d=133905-52T","133905-52T")</f>
      </c>
      <c r="AJ29" s="30" t="s">
        <v>166</v>
      </c>
      <c r="AK29" s="30">
        <v>44379</v>
      </c>
      <c r="AL29" s="29">
        <v>1.5</v>
      </c>
      <c r="AM29" s="25" t="s">
        <v>185</v>
      </c>
      <c r="AN29" s="29">
        <v>8.5</v>
      </c>
      <c r="AO29" s="29">
        <v>10</v>
      </c>
      <c r="AP29" s="25" t="s">
        <v>185</v>
      </c>
      <c r="AQ29" s="32" t="s">
        <v>166</v>
      </c>
      <c r="AR29" s="32" t="s">
        <v>166</v>
      </c>
      <c r="AS29" s="28">
        <v>15</v>
      </c>
      <c r="AT29" s="29">
        <v>2</v>
      </c>
      <c r="AU29" s="32" t="s">
        <v>186</v>
      </c>
      <c r="AV29" s="32" t="s">
        <v>166</v>
      </c>
      <c r="AW29" s="29" t="s">
        <v>166</v>
      </c>
      <c r="AX29" s="32" t="s">
        <v>166</v>
      </c>
      <c r="AY29" s="25" t="s">
        <v>217</v>
      </c>
      <c r="AZ29" s="25" t="s">
        <v>217</v>
      </c>
      <c r="BA29" s="25" t="s">
        <v>166</v>
      </c>
      <c r="BB29" s="32" t="s">
        <v>166</v>
      </c>
      <c r="BC29" s="25" t="s">
        <v>179</v>
      </c>
      <c r="BD29" s="25" t="s">
        <v>638</v>
      </c>
      <c r="BE29" s="25" t="s">
        <v>189</v>
      </c>
      <c r="BF29" s="29">
        <v>1.5</v>
      </c>
      <c r="BG29" s="25" t="s">
        <v>190</v>
      </c>
      <c r="BH29" s="25" t="s">
        <v>166</v>
      </c>
      <c r="BI29" s="25" t="s">
        <v>166</v>
      </c>
      <c r="BJ29" s="29" t="s">
        <v>166</v>
      </c>
      <c r="BK29" s="29" t="s">
        <v>166</v>
      </c>
      <c r="BL29" s="25" t="s">
        <v>191</v>
      </c>
      <c r="BM29" s="25" t="s">
        <v>178</v>
      </c>
      <c r="BN29" s="25" t="s">
        <v>177</v>
      </c>
      <c r="BO29" s="33" t="s">
        <v>166</v>
      </c>
      <c r="BP29" s="25" t="s">
        <v>648</v>
      </c>
      <c r="BQ29" s="32">
        <v>7</v>
      </c>
      <c r="BR29" s="25" t="s">
        <v>166</v>
      </c>
      <c r="BS29" s="32" t="s">
        <v>166</v>
      </c>
      <c r="BT29" s="25" t="s">
        <v>649</v>
      </c>
      <c r="BU29" s="25" t="s">
        <v>166</v>
      </c>
      <c r="BV29" s="25" t="s">
        <v>650</v>
      </c>
      <c r="BW29" s="25" t="s">
        <v>166</v>
      </c>
      <c r="BX29" s="25" t="s">
        <v>166</v>
      </c>
      <c r="BY29" s="25" t="s">
        <v>166</v>
      </c>
      <c r="BZ29" s="25" t="s">
        <v>651</v>
      </c>
      <c r="CA29" s="25" t="s">
        <v>652</v>
      </c>
      <c r="CB29" s="25" t="s">
        <v>166</v>
      </c>
      <c r="CC29" s="25" t="s">
        <v>653</v>
      </c>
      <c r="CD29" s="25" t="s">
        <v>166</v>
      </c>
      <c r="CE29" s="29" t="s">
        <v>166</v>
      </c>
      <c r="CF29" s="27" t="s">
        <v>166</v>
      </c>
      <c r="CG29" s="28" t="s">
        <v>166</v>
      </c>
      <c r="CH29" s="27" t="s">
        <v>166</v>
      </c>
      <c r="CI29" s="27" t="s">
        <v>166</v>
      </c>
      <c r="CJ29" s="27" t="s">
        <v>166</v>
      </c>
      <c r="CK29" s="27" t="s">
        <v>166</v>
      </c>
      <c r="CL29" s="27" t="s">
        <v>166</v>
      </c>
      <c r="CM29" s="31" t="s">
        <v>166</v>
      </c>
      <c r="CN29" s="27" t="s">
        <v>166</v>
      </c>
      <c r="CO29" s="27" t="s">
        <v>166</v>
      </c>
      <c r="CP29" s="27" t="s">
        <v>166</v>
      </c>
      <c r="CQ29" s="27" t="s">
        <v>166</v>
      </c>
      <c r="CR29" s="27" t="s">
        <v>166</v>
      </c>
      <c r="CS29" s="27" t="s">
        <v>166</v>
      </c>
      <c r="CT29" s="27" t="s">
        <v>166</v>
      </c>
      <c r="CU29" s="27" t="s">
        <v>166</v>
      </c>
      <c r="CV29" s="27" t="s">
        <v>166</v>
      </c>
      <c r="CW29" s="27" t="s">
        <v>166</v>
      </c>
      <c r="CX29" s="27" t="s">
        <v>166</v>
      </c>
      <c r="CY29" s="27" t="s">
        <v>166</v>
      </c>
      <c r="CZ29" s="27" t="s">
        <v>166</v>
      </c>
      <c r="DA29" s="27" t="s">
        <v>166</v>
      </c>
      <c r="DB29" s="27" t="s">
        <v>166</v>
      </c>
      <c r="DC29" s="27" t="s">
        <v>166</v>
      </c>
      <c r="DD29" s="27" t="s">
        <v>166</v>
      </c>
      <c r="DE29" s="28" t="s">
        <v>166</v>
      </c>
      <c r="DF29" s="33">
        <v>21</v>
      </c>
      <c r="DG29" s="25" t="s">
        <v>654</v>
      </c>
      <c r="DH29" s="25" t="s">
        <v>193</v>
      </c>
      <c r="DI29" s="25" t="s">
        <v>194</v>
      </c>
      <c r="DJ29" s="25" t="s">
        <v>655</v>
      </c>
      <c r="DK29" s="25" t="s">
        <v>310</v>
      </c>
      <c r="DL29" s="32" t="s">
        <v>656</v>
      </c>
      <c r="DM29" s="25" t="s">
        <v>198</v>
      </c>
      <c r="DN29" s="24" t="s">
        <v>657</v>
      </c>
      <c r="DO29" s="31">
        <v>2018</v>
      </c>
      <c r="DP29" s="25" t="s">
        <v>166</v>
      </c>
      <c r="DQ29" s="25" t="s">
        <v>166</v>
      </c>
      <c r="DR29" s="29" t="s">
        <v>166</v>
      </c>
      <c r="DS29" s="27" t="s">
        <v>166</v>
      </c>
      <c r="DT29" s="30" t="s">
        <v>166</v>
      </c>
      <c r="DU29" s="25" t="s">
        <v>166</v>
      </c>
      <c r="DV29" s="29" t="s">
        <v>166</v>
      </c>
      <c r="DW29" s="29" t="s">
        <v>166</v>
      </c>
      <c r="DX29" s="27" t="s">
        <v>166</v>
      </c>
      <c r="DY29" s="27" t="s">
        <v>166</v>
      </c>
      <c r="DZ29" s="28" t="s">
        <v>166</v>
      </c>
      <c r="EA29" s="27" t="s">
        <v>166</v>
      </c>
      <c r="EB29" s="27" t="s">
        <v>166</v>
      </c>
      <c r="EC29" s="27" t="s">
        <v>166</v>
      </c>
      <c r="ED29" s="28" t="s">
        <v>166</v>
      </c>
      <c r="EE29" s="28" t="s">
        <v>166</v>
      </c>
      <c r="EF29" s="28" t="s">
        <v>166</v>
      </c>
      <c r="EG29" s="28" t="s">
        <v>166</v>
      </c>
      <c r="EH29" s="27" t="s">
        <v>166</v>
      </c>
      <c r="EI29" s="27" t="s">
        <v>166</v>
      </c>
      <c r="EJ29" s="27" t="s">
        <v>166</v>
      </c>
      <c r="EK29" s="27" t="s">
        <v>166</v>
      </c>
      <c r="EL29" s="27" t="s">
        <v>166</v>
      </c>
      <c r="EM29" s="27" t="s">
        <v>166</v>
      </c>
      <c r="EN29" s="27" t="s">
        <v>166</v>
      </c>
      <c r="EO29" s="27" t="s">
        <v>166</v>
      </c>
      <c r="EP29" s="27" t="s">
        <v>166</v>
      </c>
      <c r="EQ29" s="27" t="s">
        <v>166</v>
      </c>
      <c r="ER29" s="27" t="s">
        <v>166</v>
      </c>
      <c r="ES29" s="27" t="s">
        <v>166</v>
      </c>
      <c r="ET29" s="25" t="s">
        <v>166</v>
      </c>
      <c r="EU29" s="27" t="s">
        <v>166</v>
      </c>
      <c r="EV29" s="27" t="s">
        <v>166</v>
      </c>
      <c r="EW29" s="27" t="s">
        <v>166</v>
      </c>
      <c r="EX29" s="25" t="s">
        <v>190</v>
      </c>
      <c r="EY29" s="25" t="s">
        <v>166</v>
      </c>
      <c r="EZ29" s="27" t="s">
        <v>166</v>
      </c>
      <c r="FA29" s="26" t="s">
        <v>166</v>
      </c>
      <c r="FB29" s="26" t="s">
        <v>166</v>
      </c>
      <c r="FC29" s="26" t="s">
        <v>166</v>
      </c>
      <c r="FD29" s="26" t="s">
        <v>166</v>
      </c>
      <c r="FE29" s="26" t="s">
        <v>166</v>
      </c>
      <c r="FF29" s="26" t="s">
        <v>166</v>
      </c>
      <c r="FG29" s="25" t="s">
        <v>166</v>
      </c>
      <c r="FH29" s="4">
        <f>HYPERLINK("https://my.pitchbook.com?c=133905-52T","View Company Online")</f>
      </c>
    </row>
    <row r="30">
      <c r="A30" s="14" t="s">
        <v>658</v>
      </c>
      <c r="B30" s="14" t="s">
        <v>659</v>
      </c>
      <c r="C30" s="14" t="s">
        <v>660</v>
      </c>
      <c r="D30" s="14" t="s">
        <v>166</v>
      </c>
      <c r="E30" s="23" t="s">
        <v>661</v>
      </c>
      <c r="F30" s="21">
        <v>1</v>
      </c>
      <c r="G30" s="14" t="s">
        <v>662</v>
      </c>
      <c r="H30" s="14" t="s">
        <v>166</v>
      </c>
      <c r="I30" s="14" t="s">
        <v>663</v>
      </c>
      <c r="J30" s="14" t="s">
        <v>664</v>
      </c>
      <c r="K30" s="14" t="s">
        <v>207</v>
      </c>
      <c r="L30" s="14" t="s">
        <v>208</v>
      </c>
      <c r="M30" s="14" t="s">
        <v>209</v>
      </c>
      <c r="N30" s="14" t="s">
        <v>396</v>
      </c>
      <c r="O30" s="14" t="s">
        <v>665</v>
      </c>
      <c r="P30" s="14" t="s">
        <v>666</v>
      </c>
      <c r="Q30" s="14" t="s">
        <v>166</v>
      </c>
      <c r="R30" s="14" t="s">
        <v>177</v>
      </c>
      <c r="S30" s="14" t="s">
        <v>178</v>
      </c>
      <c r="T30" s="14" t="s">
        <v>179</v>
      </c>
      <c r="U30" s="14" t="s">
        <v>667</v>
      </c>
      <c r="V30" s="14" t="s">
        <v>668</v>
      </c>
      <c r="W30" s="21" t="s">
        <v>166</v>
      </c>
      <c r="X30" s="14" t="s">
        <v>166</v>
      </c>
      <c r="Y30" s="14" t="s">
        <v>669</v>
      </c>
      <c r="Z30" s="14" t="s">
        <v>670</v>
      </c>
      <c r="AA30" s="14" t="s">
        <v>242</v>
      </c>
      <c r="AB30" s="14" t="s">
        <v>243</v>
      </c>
      <c r="AC30" s="14" t="s">
        <v>244</v>
      </c>
      <c r="AD30" s="14" t="s">
        <v>243</v>
      </c>
      <c r="AE30" s="14" t="s">
        <v>243</v>
      </c>
      <c r="AF30" s="14" t="s">
        <v>166</v>
      </c>
      <c r="AG30" s="14" t="s">
        <v>246</v>
      </c>
      <c r="AH30" s="21">
        <v>1</v>
      </c>
      <c r="AI30" s="3">
        <f>HYPERLINK("https://my.pitchbook.com/?d=216235-72T","216235-72T")</f>
      </c>
      <c r="AJ30" s="19" t="s">
        <v>166</v>
      </c>
      <c r="AK30" s="19">
        <v>44602</v>
      </c>
      <c r="AL30" s="18">
        <v>4.5</v>
      </c>
      <c r="AM30" s="14" t="s">
        <v>247</v>
      </c>
      <c r="AN30" s="18">
        <v>10.5</v>
      </c>
      <c r="AO30" s="18">
        <v>15</v>
      </c>
      <c r="AP30" s="14" t="s">
        <v>185</v>
      </c>
      <c r="AQ30" s="21" t="s">
        <v>166</v>
      </c>
      <c r="AR30" s="21" t="s">
        <v>166</v>
      </c>
      <c r="AS30" s="17">
        <v>40.92</v>
      </c>
      <c r="AT30" s="18">
        <v>4.5</v>
      </c>
      <c r="AU30" s="21" t="s">
        <v>186</v>
      </c>
      <c r="AV30" s="21" t="s">
        <v>166</v>
      </c>
      <c r="AW30" s="18">
        <v>1.19</v>
      </c>
      <c r="AX30" s="21" t="s">
        <v>166</v>
      </c>
      <c r="AY30" s="14" t="s">
        <v>217</v>
      </c>
      <c r="AZ30" s="14" t="s">
        <v>217</v>
      </c>
      <c r="BA30" s="14" t="s">
        <v>166</v>
      </c>
      <c r="BB30" s="21" t="s">
        <v>166</v>
      </c>
      <c r="BC30" s="14" t="s">
        <v>179</v>
      </c>
      <c r="BD30" s="14" t="s">
        <v>664</v>
      </c>
      <c r="BE30" s="14" t="s">
        <v>189</v>
      </c>
      <c r="BF30" s="18">
        <v>4.5</v>
      </c>
      <c r="BG30" s="14" t="s">
        <v>190</v>
      </c>
      <c r="BH30" s="14" t="s">
        <v>166</v>
      </c>
      <c r="BI30" s="14" t="s">
        <v>166</v>
      </c>
      <c r="BJ30" s="18" t="s">
        <v>166</v>
      </c>
      <c r="BK30" s="18" t="s">
        <v>166</v>
      </c>
      <c r="BL30" s="14" t="s">
        <v>191</v>
      </c>
      <c r="BM30" s="14" t="s">
        <v>178</v>
      </c>
      <c r="BN30" s="14" t="s">
        <v>177</v>
      </c>
      <c r="BO30" s="22" t="s">
        <v>166</v>
      </c>
      <c r="BP30" s="14" t="s">
        <v>671</v>
      </c>
      <c r="BQ30" s="21">
        <v>1</v>
      </c>
      <c r="BR30" s="14" t="s">
        <v>166</v>
      </c>
      <c r="BS30" s="21" t="s">
        <v>166</v>
      </c>
      <c r="BT30" s="14" t="s">
        <v>166</v>
      </c>
      <c r="BU30" s="14" t="s">
        <v>166</v>
      </c>
      <c r="BV30" s="14" t="s">
        <v>672</v>
      </c>
      <c r="BW30" s="14" t="s">
        <v>166</v>
      </c>
      <c r="BX30" s="14" t="s">
        <v>166</v>
      </c>
      <c r="BY30" s="14" t="s">
        <v>166</v>
      </c>
      <c r="BZ30" s="14" t="s">
        <v>166</v>
      </c>
      <c r="CA30" s="14" t="s">
        <v>166</v>
      </c>
      <c r="CB30" s="14" t="s">
        <v>166</v>
      </c>
      <c r="CC30" s="14" t="s">
        <v>166</v>
      </c>
      <c r="CD30" s="14" t="s">
        <v>166</v>
      </c>
      <c r="CE30" s="18" t="s">
        <v>166</v>
      </c>
      <c r="CF30" s="16" t="s">
        <v>166</v>
      </c>
      <c r="CG30" s="17" t="s">
        <v>166</v>
      </c>
      <c r="CH30" s="16" t="s">
        <v>166</v>
      </c>
      <c r="CI30" s="16" t="s">
        <v>166</v>
      </c>
      <c r="CJ30" s="16" t="s">
        <v>166</v>
      </c>
      <c r="CK30" s="16" t="s">
        <v>166</v>
      </c>
      <c r="CL30" s="16" t="s">
        <v>166</v>
      </c>
      <c r="CM30" s="20" t="s">
        <v>166</v>
      </c>
      <c r="CN30" s="16" t="s">
        <v>166</v>
      </c>
      <c r="CO30" s="16" t="s">
        <v>166</v>
      </c>
      <c r="CP30" s="16" t="s">
        <v>166</v>
      </c>
      <c r="CQ30" s="16" t="s">
        <v>166</v>
      </c>
      <c r="CR30" s="16" t="s">
        <v>166</v>
      </c>
      <c r="CS30" s="16" t="s">
        <v>166</v>
      </c>
      <c r="CT30" s="16" t="s">
        <v>166</v>
      </c>
      <c r="CU30" s="16" t="s">
        <v>166</v>
      </c>
      <c r="CV30" s="16" t="s">
        <v>166</v>
      </c>
      <c r="CW30" s="16" t="s">
        <v>166</v>
      </c>
      <c r="CX30" s="16" t="s">
        <v>166</v>
      </c>
      <c r="CY30" s="16" t="s">
        <v>166</v>
      </c>
      <c r="CZ30" s="16" t="s">
        <v>166</v>
      </c>
      <c r="DA30" s="16" t="s">
        <v>166</v>
      </c>
      <c r="DB30" s="16" t="s">
        <v>166</v>
      </c>
      <c r="DC30" s="16" t="s">
        <v>166</v>
      </c>
      <c r="DD30" s="16" t="s">
        <v>166</v>
      </c>
      <c r="DE30" s="17" t="s">
        <v>166</v>
      </c>
      <c r="DF30" s="22">
        <v>7</v>
      </c>
      <c r="DG30" s="14" t="s">
        <v>673</v>
      </c>
      <c r="DH30" s="14" t="s">
        <v>193</v>
      </c>
      <c r="DI30" s="14" t="s">
        <v>194</v>
      </c>
      <c r="DJ30" s="14" t="s">
        <v>674</v>
      </c>
      <c r="DK30" s="14" t="s">
        <v>257</v>
      </c>
      <c r="DL30" s="21" t="s">
        <v>675</v>
      </c>
      <c r="DM30" s="14" t="s">
        <v>198</v>
      </c>
      <c r="DN30" s="13" t="s">
        <v>676</v>
      </c>
      <c r="DO30" s="20">
        <v>2020</v>
      </c>
      <c r="DP30" s="14" t="s">
        <v>166</v>
      </c>
      <c r="DQ30" s="14" t="s">
        <v>166</v>
      </c>
      <c r="DR30" s="18" t="s">
        <v>166</v>
      </c>
      <c r="DS30" s="16" t="s">
        <v>166</v>
      </c>
      <c r="DT30" s="19" t="s">
        <v>166</v>
      </c>
      <c r="DU30" s="14" t="s">
        <v>166</v>
      </c>
      <c r="DV30" s="18" t="s">
        <v>166</v>
      </c>
      <c r="DW30" s="18" t="s">
        <v>166</v>
      </c>
      <c r="DX30" s="16" t="s">
        <v>166</v>
      </c>
      <c r="DY30" s="16" t="s">
        <v>166</v>
      </c>
      <c r="DZ30" s="17" t="s">
        <v>166</v>
      </c>
      <c r="EA30" s="16" t="s">
        <v>166</v>
      </c>
      <c r="EB30" s="16" t="s">
        <v>166</v>
      </c>
      <c r="EC30" s="16" t="s">
        <v>166</v>
      </c>
      <c r="ED30" s="17" t="s">
        <v>166</v>
      </c>
      <c r="EE30" s="17" t="s">
        <v>166</v>
      </c>
      <c r="EF30" s="17" t="s">
        <v>166</v>
      </c>
      <c r="EG30" s="17" t="s">
        <v>166</v>
      </c>
      <c r="EH30" s="16" t="s">
        <v>166</v>
      </c>
      <c r="EI30" s="16" t="s">
        <v>166</v>
      </c>
      <c r="EJ30" s="16" t="s">
        <v>166</v>
      </c>
      <c r="EK30" s="16" t="s">
        <v>166</v>
      </c>
      <c r="EL30" s="16" t="s">
        <v>166</v>
      </c>
      <c r="EM30" s="16" t="s">
        <v>166</v>
      </c>
      <c r="EN30" s="16" t="s">
        <v>166</v>
      </c>
      <c r="EO30" s="16" t="s">
        <v>166</v>
      </c>
      <c r="EP30" s="16" t="s">
        <v>166</v>
      </c>
      <c r="EQ30" s="16" t="s">
        <v>166</v>
      </c>
      <c r="ER30" s="16" t="s">
        <v>166</v>
      </c>
      <c r="ES30" s="16" t="s">
        <v>166</v>
      </c>
      <c r="ET30" s="14" t="s">
        <v>166</v>
      </c>
      <c r="EU30" s="16" t="s">
        <v>166</v>
      </c>
      <c r="EV30" s="16" t="s">
        <v>166</v>
      </c>
      <c r="EW30" s="16" t="s">
        <v>166</v>
      </c>
      <c r="EX30" s="14" t="s">
        <v>190</v>
      </c>
      <c r="EY30" s="14" t="s">
        <v>166</v>
      </c>
      <c r="EZ30" s="16" t="s">
        <v>166</v>
      </c>
      <c r="FA30" s="15" t="s">
        <v>166</v>
      </c>
      <c r="FB30" s="15" t="s">
        <v>166</v>
      </c>
      <c r="FC30" s="15" t="s">
        <v>166</v>
      </c>
      <c r="FD30" s="15" t="s">
        <v>166</v>
      </c>
      <c r="FE30" s="15" t="s">
        <v>166</v>
      </c>
      <c r="FF30" s="15" t="s">
        <v>166</v>
      </c>
      <c r="FG30" s="14" t="s">
        <v>166</v>
      </c>
      <c r="FH30" s="3">
        <f>HYPERLINK("https://my.pitchbook.com?c=216235-72T","View Company Online")</f>
      </c>
    </row>
    <row r="31">
      <c r="A31" s="25" t="s">
        <v>677</v>
      </c>
      <c r="B31" s="25" t="s">
        <v>678</v>
      </c>
      <c r="C31" s="25" t="s">
        <v>679</v>
      </c>
      <c r="D31" s="25" t="s">
        <v>166</v>
      </c>
      <c r="E31" s="34" t="s">
        <v>680</v>
      </c>
      <c r="F31" s="32">
        <v>6</v>
      </c>
      <c r="G31" s="25" t="s">
        <v>681</v>
      </c>
      <c r="H31" s="25" t="s">
        <v>166</v>
      </c>
      <c r="I31" s="25" t="s">
        <v>682</v>
      </c>
      <c r="J31" s="25" t="s">
        <v>683</v>
      </c>
      <c r="K31" s="25" t="s">
        <v>207</v>
      </c>
      <c r="L31" s="25" t="s">
        <v>208</v>
      </c>
      <c r="M31" s="25" t="s">
        <v>209</v>
      </c>
      <c r="N31" s="25" t="s">
        <v>684</v>
      </c>
      <c r="O31" s="25" t="s">
        <v>685</v>
      </c>
      <c r="P31" s="25" t="s">
        <v>686</v>
      </c>
      <c r="Q31" s="25" t="s">
        <v>166</v>
      </c>
      <c r="R31" s="25" t="s">
        <v>177</v>
      </c>
      <c r="S31" s="25" t="s">
        <v>358</v>
      </c>
      <c r="T31" s="25" t="s">
        <v>179</v>
      </c>
      <c r="U31" s="25" t="s">
        <v>687</v>
      </c>
      <c r="V31" s="25" t="s">
        <v>688</v>
      </c>
      <c r="W31" s="32" t="s">
        <v>166</v>
      </c>
      <c r="X31" s="25" t="s">
        <v>166</v>
      </c>
      <c r="Y31" s="25" t="s">
        <v>689</v>
      </c>
      <c r="Z31" s="25" t="s">
        <v>166</v>
      </c>
      <c r="AA31" s="25" t="s">
        <v>166</v>
      </c>
      <c r="AB31" s="25" t="s">
        <v>166</v>
      </c>
      <c r="AC31" s="25" t="s">
        <v>166</v>
      </c>
      <c r="AD31" s="25" t="s">
        <v>166</v>
      </c>
      <c r="AE31" s="25" t="s">
        <v>166</v>
      </c>
      <c r="AF31" s="25" t="s">
        <v>166</v>
      </c>
      <c r="AG31" s="25" t="s">
        <v>166</v>
      </c>
      <c r="AH31" s="32">
        <v>1</v>
      </c>
      <c r="AI31" s="4">
        <f>HYPERLINK("https://my.pitchbook.com/?d=245745-46T","245745-46T")</f>
      </c>
      <c r="AJ31" s="30" t="s">
        <v>166</v>
      </c>
      <c r="AK31" s="30">
        <v>45248</v>
      </c>
      <c r="AL31" s="29">
        <v>10</v>
      </c>
      <c r="AM31" s="25" t="s">
        <v>185</v>
      </c>
      <c r="AN31" s="29" t="s">
        <v>166</v>
      </c>
      <c r="AO31" s="29" t="s">
        <v>166</v>
      </c>
      <c r="AP31" s="25" t="s">
        <v>166</v>
      </c>
      <c r="AQ31" s="32" t="s">
        <v>166</v>
      </c>
      <c r="AR31" s="32" t="s">
        <v>166</v>
      </c>
      <c r="AS31" s="28" t="s">
        <v>166</v>
      </c>
      <c r="AT31" s="29">
        <v>10</v>
      </c>
      <c r="AU31" s="32" t="s">
        <v>186</v>
      </c>
      <c r="AV31" s="32" t="s">
        <v>166</v>
      </c>
      <c r="AW31" s="29" t="s">
        <v>166</v>
      </c>
      <c r="AX31" s="32" t="s">
        <v>166</v>
      </c>
      <c r="AY31" s="25" t="s">
        <v>187</v>
      </c>
      <c r="AZ31" s="25" t="s">
        <v>166</v>
      </c>
      <c r="BA31" s="25" t="s">
        <v>166</v>
      </c>
      <c r="BB31" s="32" t="s">
        <v>166</v>
      </c>
      <c r="BC31" s="25" t="s">
        <v>179</v>
      </c>
      <c r="BD31" s="25" t="s">
        <v>683</v>
      </c>
      <c r="BE31" s="25" t="s">
        <v>189</v>
      </c>
      <c r="BF31" s="29">
        <v>10</v>
      </c>
      <c r="BG31" s="25" t="s">
        <v>190</v>
      </c>
      <c r="BH31" s="25" t="s">
        <v>166</v>
      </c>
      <c r="BI31" s="25" t="s">
        <v>166</v>
      </c>
      <c r="BJ31" s="29" t="s">
        <v>166</v>
      </c>
      <c r="BK31" s="29" t="s">
        <v>166</v>
      </c>
      <c r="BL31" s="25" t="s">
        <v>191</v>
      </c>
      <c r="BM31" s="25" t="s">
        <v>358</v>
      </c>
      <c r="BN31" s="25" t="s">
        <v>177</v>
      </c>
      <c r="BO31" s="33" t="s">
        <v>166</v>
      </c>
      <c r="BP31" s="25" t="s">
        <v>690</v>
      </c>
      <c r="BQ31" s="32">
        <v>6</v>
      </c>
      <c r="BR31" s="25" t="s">
        <v>166</v>
      </c>
      <c r="BS31" s="32" t="s">
        <v>166</v>
      </c>
      <c r="BT31" s="25" t="s">
        <v>166</v>
      </c>
      <c r="BU31" s="25" t="s">
        <v>166</v>
      </c>
      <c r="BV31" s="25" t="s">
        <v>166</v>
      </c>
      <c r="BW31" s="25" t="s">
        <v>166</v>
      </c>
      <c r="BX31" s="25" t="s">
        <v>166</v>
      </c>
      <c r="BY31" s="25" t="s">
        <v>166</v>
      </c>
      <c r="BZ31" s="25" t="s">
        <v>166</v>
      </c>
      <c r="CA31" s="25" t="s">
        <v>166</v>
      </c>
      <c r="CB31" s="25" t="s">
        <v>166</v>
      </c>
      <c r="CC31" s="25" t="s">
        <v>166</v>
      </c>
      <c r="CD31" s="25" t="s">
        <v>166</v>
      </c>
      <c r="CE31" s="29" t="s">
        <v>166</v>
      </c>
      <c r="CF31" s="27" t="s">
        <v>166</v>
      </c>
      <c r="CG31" s="28" t="s">
        <v>166</v>
      </c>
      <c r="CH31" s="27" t="s">
        <v>166</v>
      </c>
      <c r="CI31" s="27" t="s">
        <v>166</v>
      </c>
      <c r="CJ31" s="27" t="s">
        <v>166</v>
      </c>
      <c r="CK31" s="27" t="s">
        <v>166</v>
      </c>
      <c r="CL31" s="27" t="s">
        <v>166</v>
      </c>
      <c r="CM31" s="31" t="s">
        <v>166</v>
      </c>
      <c r="CN31" s="27" t="s">
        <v>166</v>
      </c>
      <c r="CO31" s="27" t="s">
        <v>166</v>
      </c>
      <c r="CP31" s="27" t="s">
        <v>166</v>
      </c>
      <c r="CQ31" s="27" t="s">
        <v>166</v>
      </c>
      <c r="CR31" s="27" t="s">
        <v>166</v>
      </c>
      <c r="CS31" s="27" t="s">
        <v>166</v>
      </c>
      <c r="CT31" s="27" t="s">
        <v>166</v>
      </c>
      <c r="CU31" s="27" t="s">
        <v>166</v>
      </c>
      <c r="CV31" s="27" t="s">
        <v>166</v>
      </c>
      <c r="CW31" s="27" t="s">
        <v>166</v>
      </c>
      <c r="CX31" s="27" t="s">
        <v>166</v>
      </c>
      <c r="CY31" s="27" t="s">
        <v>166</v>
      </c>
      <c r="CZ31" s="27" t="s">
        <v>166</v>
      </c>
      <c r="DA31" s="27" t="s">
        <v>166</v>
      </c>
      <c r="DB31" s="27" t="s">
        <v>166</v>
      </c>
      <c r="DC31" s="27" t="s">
        <v>166</v>
      </c>
      <c r="DD31" s="27" t="s">
        <v>166</v>
      </c>
      <c r="DE31" s="28" t="s">
        <v>166</v>
      </c>
      <c r="DF31" s="33" t="s">
        <v>166</v>
      </c>
      <c r="DG31" s="25" t="s">
        <v>673</v>
      </c>
      <c r="DH31" s="25" t="s">
        <v>193</v>
      </c>
      <c r="DI31" s="25" t="s">
        <v>194</v>
      </c>
      <c r="DJ31" s="25" t="s">
        <v>674</v>
      </c>
      <c r="DK31" s="25" t="s">
        <v>257</v>
      </c>
      <c r="DL31" s="32" t="s">
        <v>166</v>
      </c>
      <c r="DM31" s="25" t="s">
        <v>198</v>
      </c>
      <c r="DN31" s="24" t="s">
        <v>691</v>
      </c>
      <c r="DO31" s="31" t="s">
        <v>166</v>
      </c>
      <c r="DP31" s="25" t="s">
        <v>166</v>
      </c>
      <c r="DQ31" s="25" t="s">
        <v>166</v>
      </c>
      <c r="DR31" s="29" t="s">
        <v>166</v>
      </c>
      <c r="DS31" s="27" t="s">
        <v>166</v>
      </c>
      <c r="DT31" s="30" t="s">
        <v>166</v>
      </c>
      <c r="DU31" s="25" t="s">
        <v>166</v>
      </c>
      <c r="DV31" s="29" t="s">
        <v>166</v>
      </c>
      <c r="DW31" s="29" t="s">
        <v>166</v>
      </c>
      <c r="DX31" s="27" t="s">
        <v>166</v>
      </c>
      <c r="DY31" s="27" t="s">
        <v>166</v>
      </c>
      <c r="DZ31" s="28" t="s">
        <v>166</v>
      </c>
      <c r="EA31" s="27" t="s">
        <v>166</v>
      </c>
      <c r="EB31" s="27" t="s">
        <v>166</v>
      </c>
      <c r="EC31" s="27" t="s">
        <v>166</v>
      </c>
      <c r="ED31" s="28" t="s">
        <v>166</v>
      </c>
      <c r="EE31" s="28" t="s">
        <v>166</v>
      </c>
      <c r="EF31" s="28" t="s">
        <v>166</v>
      </c>
      <c r="EG31" s="28" t="s">
        <v>166</v>
      </c>
      <c r="EH31" s="27" t="s">
        <v>166</v>
      </c>
      <c r="EI31" s="27" t="s">
        <v>166</v>
      </c>
      <c r="EJ31" s="27" t="s">
        <v>166</v>
      </c>
      <c r="EK31" s="27" t="s">
        <v>166</v>
      </c>
      <c r="EL31" s="27" t="s">
        <v>166</v>
      </c>
      <c r="EM31" s="27" t="s">
        <v>166</v>
      </c>
      <c r="EN31" s="27" t="s">
        <v>166</v>
      </c>
      <c r="EO31" s="27" t="s">
        <v>166</v>
      </c>
      <c r="EP31" s="27" t="s">
        <v>166</v>
      </c>
      <c r="EQ31" s="27" t="s">
        <v>166</v>
      </c>
      <c r="ER31" s="27" t="s">
        <v>166</v>
      </c>
      <c r="ES31" s="27" t="s">
        <v>166</v>
      </c>
      <c r="ET31" s="25" t="s">
        <v>166</v>
      </c>
      <c r="EU31" s="27" t="s">
        <v>166</v>
      </c>
      <c r="EV31" s="27" t="s">
        <v>166</v>
      </c>
      <c r="EW31" s="27" t="s">
        <v>166</v>
      </c>
      <c r="EX31" s="25" t="s">
        <v>190</v>
      </c>
      <c r="EY31" s="25" t="s">
        <v>166</v>
      </c>
      <c r="EZ31" s="27" t="s">
        <v>166</v>
      </c>
      <c r="FA31" s="26" t="s">
        <v>166</v>
      </c>
      <c r="FB31" s="26" t="s">
        <v>166</v>
      </c>
      <c r="FC31" s="26" t="s">
        <v>166</v>
      </c>
      <c r="FD31" s="26" t="s">
        <v>166</v>
      </c>
      <c r="FE31" s="26" t="s">
        <v>166</v>
      </c>
      <c r="FF31" s="26" t="s">
        <v>166</v>
      </c>
      <c r="FG31" s="25" t="s">
        <v>166</v>
      </c>
      <c r="FH31" s="4">
        <f>HYPERLINK("https://my.pitchbook.com?c=245745-46T","View Company Online")</f>
      </c>
    </row>
    <row r="32">
      <c r="A32" s="14" t="s">
        <v>692</v>
      </c>
      <c r="B32" s="14" t="s">
        <v>693</v>
      </c>
      <c r="C32" s="14" t="s">
        <v>694</v>
      </c>
      <c r="D32" s="14" t="s">
        <v>166</v>
      </c>
      <c r="E32" s="23" t="s">
        <v>695</v>
      </c>
      <c r="F32" s="21">
        <v>1</v>
      </c>
      <c r="G32" s="14" t="s">
        <v>696</v>
      </c>
      <c r="H32" s="14" t="s">
        <v>166</v>
      </c>
      <c r="I32" s="14" t="s">
        <v>697</v>
      </c>
      <c r="J32" s="14" t="s">
        <v>698</v>
      </c>
      <c r="K32" s="14" t="s">
        <v>321</v>
      </c>
      <c r="L32" s="14" t="s">
        <v>322</v>
      </c>
      <c r="M32" s="14" t="s">
        <v>699</v>
      </c>
      <c r="N32" s="14" t="s">
        <v>700</v>
      </c>
      <c r="O32" s="14" t="s">
        <v>325</v>
      </c>
      <c r="P32" s="14" t="s">
        <v>701</v>
      </c>
      <c r="Q32" s="14" t="s">
        <v>166</v>
      </c>
      <c r="R32" s="14" t="s">
        <v>177</v>
      </c>
      <c r="S32" s="14" t="s">
        <v>178</v>
      </c>
      <c r="T32" s="14" t="s">
        <v>179</v>
      </c>
      <c r="U32" s="14" t="s">
        <v>702</v>
      </c>
      <c r="V32" s="14" t="s">
        <v>703</v>
      </c>
      <c r="W32" s="21" t="s">
        <v>166</v>
      </c>
      <c r="X32" s="14" t="s">
        <v>166</v>
      </c>
      <c r="Y32" s="14" t="s">
        <v>704</v>
      </c>
      <c r="Z32" s="14" t="s">
        <v>166</v>
      </c>
      <c r="AA32" s="14" t="s">
        <v>166</v>
      </c>
      <c r="AB32" s="14" t="s">
        <v>166</v>
      </c>
      <c r="AC32" s="14" t="s">
        <v>166</v>
      </c>
      <c r="AD32" s="14" t="s">
        <v>166</v>
      </c>
      <c r="AE32" s="14" t="s">
        <v>166</v>
      </c>
      <c r="AF32" s="14" t="s">
        <v>166</v>
      </c>
      <c r="AG32" s="14" t="s">
        <v>166</v>
      </c>
      <c r="AH32" s="21">
        <v>1</v>
      </c>
      <c r="AI32" s="3">
        <f>HYPERLINK("https://my.pitchbook.com/?d=213993-73T","213993-73T")</f>
      </c>
      <c r="AJ32" s="19" t="s">
        <v>166</v>
      </c>
      <c r="AK32" s="19">
        <v>44818</v>
      </c>
      <c r="AL32" s="18">
        <v>41</v>
      </c>
      <c r="AM32" s="14" t="s">
        <v>185</v>
      </c>
      <c r="AN32" s="18" t="s">
        <v>166</v>
      </c>
      <c r="AO32" s="18" t="s">
        <v>166</v>
      </c>
      <c r="AP32" s="14" t="s">
        <v>166</v>
      </c>
      <c r="AQ32" s="21" t="s">
        <v>166</v>
      </c>
      <c r="AR32" s="21" t="s">
        <v>166</v>
      </c>
      <c r="AS32" s="17" t="s">
        <v>166</v>
      </c>
      <c r="AT32" s="18">
        <v>41</v>
      </c>
      <c r="AU32" s="21" t="s">
        <v>186</v>
      </c>
      <c r="AV32" s="21" t="s">
        <v>166</v>
      </c>
      <c r="AW32" s="18" t="s">
        <v>166</v>
      </c>
      <c r="AX32" s="21" t="s">
        <v>166</v>
      </c>
      <c r="AY32" s="14" t="s">
        <v>187</v>
      </c>
      <c r="AZ32" s="14" t="s">
        <v>166</v>
      </c>
      <c r="BA32" s="14" t="s">
        <v>166</v>
      </c>
      <c r="BB32" s="21" t="s">
        <v>166</v>
      </c>
      <c r="BC32" s="14" t="s">
        <v>179</v>
      </c>
      <c r="BD32" s="14" t="s">
        <v>698</v>
      </c>
      <c r="BE32" s="14" t="s">
        <v>189</v>
      </c>
      <c r="BF32" s="18">
        <v>41</v>
      </c>
      <c r="BG32" s="14" t="s">
        <v>190</v>
      </c>
      <c r="BH32" s="14" t="s">
        <v>166</v>
      </c>
      <c r="BI32" s="14" t="s">
        <v>166</v>
      </c>
      <c r="BJ32" s="18" t="s">
        <v>166</v>
      </c>
      <c r="BK32" s="18" t="s">
        <v>166</v>
      </c>
      <c r="BL32" s="14" t="s">
        <v>191</v>
      </c>
      <c r="BM32" s="14" t="s">
        <v>178</v>
      </c>
      <c r="BN32" s="14" t="s">
        <v>177</v>
      </c>
      <c r="BO32" s="22" t="s">
        <v>166</v>
      </c>
      <c r="BP32" s="14" t="s">
        <v>705</v>
      </c>
      <c r="BQ32" s="21">
        <v>1</v>
      </c>
      <c r="BR32" s="14" t="s">
        <v>166</v>
      </c>
      <c r="BS32" s="21" t="s">
        <v>166</v>
      </c>
      <c r="BT32" s="14" t="s">
        <v>695</v>
      </c>
      <c r="BU32" s="14" t="s">
        <v>166</v>
      </c>
      <c r="BV32" s="14" t="s">
        <v>166</v>
      </c>
      <c r="BW32" s="14" t="s">
        <v>166</v>
      </c>
      <c r="BX32" s="14" t="s">
        <v>166</v>
      </c>
      <c r="BY32" s="14" t="s">
        <v>166</v>
      </c>
      <c r="BZ32" s="14" t="s">
        <v>166</v>
      </c>
      <c r="CA32" s="14" t="s">
        <v>166</v>
      </c>
      <c r="CB32" s="14" t="s">
        <v>166</v>
      </c>
      <c r="CC32" s="14" t="s">
        <v>166</v>
      </c>
      <c r="CD32" s="14" t="s">
        <v>166</v>
      </c>
      <c r="CE32" s="18" t="s">
        <v>166</v>
      </c>
      <c r="CF32" s="16" t="s">
        <v>166</v>
      </c>
      <c r="CG32" s="17" t="s">
        <v>166</v>
      </c>
      <c r="CH32" s="16" t="s">
        <v>166</v>
      </c>
      <c r="CI32" s="16" t="s">
        <v>166</v>
      </c>
      <c r="CJ32" s="16" t="s">
        <v>166</v>
      </c>
      <c r="CK32" s="16" t="s">
        <v>166</v>
      </c>
      <c r="CL32" s="16" t="s">
        <v>166</v>
      </c>
      <c r="CM32" s="20" t="s">
        <v>166</v>
      </c>
      <c r="CN32" s="16" t="s">
        <v>166</v>
      </c>
      <c r="CO32" s="16" t="s">
        <v>166</v>
      </c>
      <c r="CP32" s="16" t="s">
        <v>166</v>
      </c>
      <c r="CQ32" s="16" t="s">
        <v>166</v>
      </c>
      <c r="CR32" s="16" t="s">
        <v>166</v>
      </c>
      <c r="CS32" s="16" t="s">
        <v>166</v>
      </c>
      <c r="CT32" s="16" t="s">
        <v>166</v>
      </c>
      <c r="CU32" s="16" t="s">
        <v>166</v>
      </c>
      <c r="CV32" s="16" t="s">
        <v>166</v>
      </c>
      <c r="CW32" s="16" t="s">
        <v>166</v>
      </c>
      <c r="CX32" s="16" t="s">
        <v>166</v>
      </c>
      <c r="CY32" s="16" t="s">
        <v>166</v>
      </c>
      <c r="CZ32" s="16" t="s">
        <v>166</v>
      </c>
      <c r="DA32" s="16" t="s">
        <v>166</v>
      </c>
      <c r="DB32" s="16" t="s">
        <v>166</v>
      </c>
      <c r="DC32" s="16" t="s">
        <v>166</v>
      </c>
      <c r="DD32" s="16" t="s">
        <v>166</v>
      </c>
      <c r="DE32" s="17" t="s">
        <v>166</v>
      </c>
      <c r="DF32" s="22" t="s">
        <v>166</v>
      </c>
      <c r="DG32" s="14" t="s">
        <v>706</v>
      </c>
      <c r="DH32" s="14" t="s">
        <v>193</v>
      </c>
      <c r="DI32" s="14" t="s">
        <v>194</v>
      </c>
      <c r="DJ32" s="14" t="s">
        <v>707</v>
      </c>
      <c r="DK32" s="14" t="s">
        <v>386</v>
      </c>
      <c r="DL32" s="21" t="s">
        <v>708</v>
      </c>
      <c r="DM32" s="14" t="s">
        <v>198</v>
      </c>
      <c r="DN32" s="13" t="s">
        <v>709</v>
      </c>
      <c r="DO32" s="20">
        <v>2022</v>
      </c>
      <c r="DP32" s="14" t="s">
        <v>166</v>
      </c>
      <c r="DQ32" s="14" t="s">
        <v>166</v>
      </c>
      <c r="DR32" s="18" t="s">
        <v>166</v>
      </c>
      <c r="DS32" s="16" t="s">
        <v>166</v>
      </c>
      <c r="DT32" s="19" t="s">
        <v>166</v>
      </c>
      <c r="DU32" s="14" t="s">
        <v>166</v>
      </c>
      <c r="DV32" s="18" t="s">
        <v>166</v>
      </c>
      <c r="DW32" s="18" t="s">
        <v>166</v>
      </c>
      <c r="DX32" s="16" t="s">
        <v>166</v>
      </c>
      <c r="DY32" s="16" t="s">
        <v>166</v>
      </c>
      <c r="DZ32" s="17" t="s">
        <v>166</v>
      </c>
      <c r="EA32" s="16" t="s">
        <v>166</v>
      </c>
      <c r="EB32" s="16" t="s">
        <v>166</v>
      </c>
      <c r="EC32" s="16" t="s">
        <v>166</v>
      </c>
      <c r="ED32" s="17" t="s">
        <v>166</v>
      </c>
      <c r="EE32" s="17" t="s">
        <v>166</v>
      </c>
      <c r="EF32" s="17" t="s">
        <v>166</v>
      </c>
      <c r="EG32" s="17" t="s">
        <v>166</v>
      </c>
      <c r="EH32" s="16" t="s">
        <v>166</v>
      </c>
      <c r="EI32" s="16" t="s">
        <v>166</v>
      </c>
      <c r="EJ32" s="16" t="s">
        <v>166</v>
      </c>
      <c r="EK32" s="16" t="s">
        <v>166</v>
      </c>
      <c r="EL32" s="16" t="s">
        <v>166</v>
      </c>
      <c r="EM32" s="16" t="s">
        <v>166</v>
      </c>
      <c r="EN32" s="16" t="s">
        <v>166</v>
      </c>
      <c r="EO32" s="16" t="s">
        <v>166</v>
      </c>
      <c r="EP32" s="16" t="s">
        <v>166</v>
      </c>
      <c r="EQ32" s="16" t="s">
        <v>166</v>
      </c>
      <c r="ER32" s="16" t="s">
        <v>166</v>
      </c>
      <c r="ES32" s="16" t="s">
        <v>166</v>
      </c>
      <c r="ET32" s="14" t="s">
        <v>166</v>
      </c>
      <c r="EU32" s="16" t="s">
        <v>166</v>
      </c>
      <c r="EV32" s="16" t="s">
        <v>166</v>
      </c>
      <c r="EW32" s="16" t="s">
        <v>166</v>
      </c>
      <c r="EX32" s="14" t="s">
        <v>190</v>
      </c>
      <c r="EY32" s="14" t="s">
        <v>166</v>
      </c>
      <c r="EZ32" s="16" t="s">
        <v>166</v>
      </c>
      <c r="FA32" s="15" t="s">
        <v>166</v>
      </c>
      <c r="FB32" s="15" t="s">
        <v>166</v>
      </c>
      <c r="FC32" s="15" t="s">
        <v>166</v>
      </c>
      <c r="FD32" s="15" t="s">
        <v>166</v>
      </c>
      <c r="FE32" s="15" t="s">
        <v>166</v>
      </c>
      <c r="FF32" s="15" t="s">
        <v>166</v>
      </c>
      <c r="FG32" s="14" t="s">
        <v>166</v>
      </c>
      <c r="FH32" s="3">
        <f>HYPERLINK("https://my.pitchbook.com?c=213993-73T","View Company Online")</f>
      </c>
    </row>
    <row r="33">
      <c r="A33" s="25" t="s">
        <v>710</v>
      </c>
      <c r="B33" s="25" t="s">
        <v>711</v>
      </c>
      <c r="C33" s="25" t="s">
        <v>712</v>
      </c>
      <c r="D33" s="25" t="s">
        <v>166</v>
      </c>
      <c r="E33" s="34" t="s">
        <v>713</v>
      </c>
      <c r="F33" s="32">
        <v>2</v>
      </c>
      <c r="G33" s="25" t="s">
        <v>714</v>
      </c>
      <c r="H33" s="25" t="s">
        <v>166</v>
      </c>
      <c r="I33" s="25" t="s">
        <v>715</v>
      </c>
      <c r="J33" s="25" t="s">
        <v>716</v>
      </c>
      <c r="K33" s="25" t="s">
        <v>207</v>
      </c>
      <c r="L33" s="25" t="s">
        <v>418</v>
      </c>
      <c r="M33" s="25" t="s">
        <v>419</v>
      </c>
      <c r="N33" s="25" t="s">
        <v>717</v>
      </c>
      <c r="O33" s="25" t="s">
        <v>718</v>
      </c>
      <c r="P33" s="25" t="s">
        <v>719</v>
      </c>
      <c r="Q33" s="25" t="s">
        <v>166</v>
      </c>
      <c r="R33" s="25" t="s">
        <v>177</v>
      </c>
      <c r="S33" s="25" t="s">
        <v>178</v>
      </c>
      <c r="T33" s="25" t="s">
        <v>179</v>
      </c>
      <c r="U33" s="25" t="s">
        <v>720</v>
      </c>
      <c r="V33" s="25" t="s">
        <v>721</v>
      </c>
      <c r="W33" s="32" t="s">
        <v>722</v>
      </c>
      <c r="X33" s="25" t="s">
        <v>723</v>
      </c>
      <c r="Y33" s="25" t="s">
        <v>724</v>
      </c>
      <c r="Z33" s="25" t="s">
        <v>725</v>
      </c>
      <c r="AA33" s="25" t="s">
        <v>242</v>
      </c>
      <c r="AB33" s="25" t="s">
        <v>243</v>
      </c>
      <c r="AC33" s="25" t="s">
        <v>244</v>
      </c>
      <c r="AD33" s="25" t="s">
        <v>243</v>
      </c>
      <c r="AE33" s="25" t="s">
        <v>243</v>
      </c>
      <c r="AF33" s="25" t="s">
        <v>166</v>
      </c>
      <c r="AG33" s="25" t="s">
        <v>166</v>
      </c>
      <c r="AH33" s="32">
        <v>2</v>
      </c>
      <c r="AI33" s="4">
        <f>HYPERLINK("https://my.pitchbook.com/?d=234825-85T","234825-85T")</f>
      </c>
      <c r="AJ33" s="30" t="s">
        <v>166</v>
      </c>
      <c r="AK33" s="30">
        <v>44868</v>
      </c>
      <c r="AL33" s="29">
        <v>0.19</v>
      </c>
      <c r="AM33" s="25" t="s">
        <v>247</v>
      </c>
      <c r="AN33" s="29">
        <v>0.22</v>
      </c>
      <c r="AO33" s="29">
        <v>0.4</v>
      </c>
      <c r="AP33" s="25" t="s">
        <v>185</v>
      </c>
      <c r="AQ33" s="32" t="s">
        <v>166</v>
      </c>
      <c r="AR33" s="32" t="s">
        <v>166</v>
      </c>
      <c r="AS33" s="28">
        <v>46.25</v>
      </c>
      <c r="AT33" s="29">
        <v>0.19</v>
      </c>
      <c r="AU33" s="32" t="s">
        <v>186</v>
      </c>
      <c r="AV33" s="32" t="s">
        <v>166</v>
      </c>
      <c r="AW33" s="29">
        <v>0.05</v>
      </c>
      <c r="AX33" s="32" t="s">
        <v>166</v>
      </c>
      <c r="AY33" s="25" t="s">
        <v>217</v>
      </c>
      <c r="AZ33" s="25" t="s">
        <v>217</v>
      </c>
      <c r="BA33" s="25" t="s">
        <v>166</v>
      </c>
      <c r="BB33" s="32" t="s">
        <v>166</v>
      </c>
      <c r="BC33" s="25" t="s">
        <v>179</v>
      </c>
      <c r="BD33" s="25" t="s">
        <v>716</v>
      </c>
      <c r="BE33" s="25" t="s">
        <v>189</v>
      </c>
      <c r="BF33" s="29">
        <v>0.19</v>
      </c>
      <c r="BG33" s="25" t="s">
        <v>190</v>
      </c>
      <c r="BH33" s="25" t="s">
        <v>166</v>
      </c>
      <c r="BI33" s="25" t="s">
        <v>166</v>
      </c>
      <c r="BJ33" s="29" t="s">
        <v>166</v>
      </c>
      <c r="BK33" s="29" t="s">
        <v>166</v>
      </c>
      <c r="BL33" s="25" t="s">
        <v>191</v>
      </c>
      <c r="BM33" s="25" t="s">
        <v>178</v>
      </c>
      <c r="BN33" s="25" t="s">
        <v>177</v>
      </c>
      <c r="BO33" s="33" t="s">
        <v>166</v>
      </c>
      <c r="BP33" s="25" t="s">
        <v>713</v>
      </c>
      <c r="BQ33" s="32">
        <v>2</v>
      </c>
      <c r="BR33" s="25" t="s">
        <v>166</v>
      </c>
      <c r="BS33" s="32" t="s">
        <v>166</v>
      </c>
      <c r="BT33" s="25" t="s">
        <v>166</v>
      </c>
      <c r="BU33" s="25" t="s">
        <v>166</v>
      </c>
      <c r="BV33" s="25" t="s">
        <v>166</v>
      </c>
      <c r="BW33" s="25" t="s">
        <v>166</v>
      </c>
      <c r="BX33" s="25" t="s">
        <v>166</v>
      </c>
      <c r="BY33" s="25" t="s">
        <v>166</v>
      </c>
      <c r="BZ33" s="25" t="s">
        <v>166</v>
      </c>
      <c r="CA33" s="25" t="s">
        <v>166</v>
      </c>
      <c r="CB33" s="25" t="s">
        <v>166</v>
      </c>
      <c r="CC33" s="25" t="s">
        <v>166</v>
      </c>
      <c r="CD33" s="25" t="s">
        <v>166</v>
      </c>
      <c r="CE33" s="29" t="s">
        <v>166</v>
      </c>
      <c r="CF33" s="27">
        <v>0.25</v>
      </c>
      <c r="CG33" s="28" t="s">
        <v>166</v>
      </c>
      <c r="CH33" s="27" t="s">
        <v>166</v>
      </c>
      <c r="CI33" s="27" t="s">
        <v>166</v>
      </c>
      <c r="CJ33" s="27" t="s">
        <v>166</v>
      </c>
      <c r="CK33" s="27" t="s">
        <v>166</v>
      </c>
      <c r="CL33" s="27" t="s">
        <v>166</v>
      </c>
      <c r="CM33" s="31">
        <v>2022</v>
      </c>
      <c r="CN33" s="27" t="s">
        <v>166</v>
      </c>
      <c r="CO33" s="27" t="s">
        <v>166</v>
      </c>
      <c r="CP33" s="27" t="s">
        <v>166</v>
      </c>
      <c r="CQ33" s="27">
        <v>1.6</v>
      </c>
      <c r="CR33" s="27" t="s">
        <v>166</v>
      </c>
      <c r="CS33" s="27" t="s">
        <v>166</v>
      </c>
      <c r="CT33" s="27" t="s">
        <v>166</v>
      </c>
      <c r="CU33" s="27" t="s">
        <v>166</v>
      </c>
      <c r="CV33" s="27">
        <v>0.74</v>
      </c>
      <c r="CW33" s="27" t="s">
        <v>166</v>
      </c>
      <c r="CX33" s="27" t="s">
        <v>166</v>
      </c>
      <c r="CY33" s="27" t="s">
        <v>166</v>
      </c>
      <c r="CZ33" s="27" t="s">
        <v>166</v>
      </c>
      <c r="DA33" s="27" t="s">
        <v>166</v>
      </c>
      <c r="DB33" s="27" t="s">
        <v>166</v>
      </c>
      <c r="DC33" s="27" t="s">
        <v>166</v>
      </c>
      <c r="DD33" s="27" t="s">
        <v>166</v>
      </c>
      <c r="DE33" s="28" t="s">
        <v>166</v>
      </c>
      <c r="DF33" s="33">
        <v>5</v>
      </c>
      <c r="DG33" s="25" t="s">
        <v>726</v>
      </c>
      <c r="DH33" s="25" t="s">
        <v>193</v>
      </c>
      <c r="DI33" s="25" t="s">
        <v>194</v>
      </c>
      <c r="DJ33" s="25" t="s">
        <v>727</v>
      </c>
      <c r="DK33" s="25" t="s">
        <v>728</v>
      </c>
      <c r="DL33" s="32" t="s">
        <v>729</v>
      </c>
      <c r="DM33" s="25" t="s">
        <v>198</v>
      </c>
      <c r="DN33" s="24" t="s">
        <v>730</v>
      </c>
      <c r="DO33" s="31">
        <v>2016</v>
      </c>
      <c r="DP33" s="25" t="s">
        <v>166</v>
      </c>
      <c r="DQ33" s="25" t="s">
        <v>166</v>
      </c>
      <c r="DR33" s="29" t="s">
        <v>166</v>
      </c>
      <c r="DS33" s="27" t="s">
        <v>166</v>
      </c>
      <c r="DT33" s="30" t="s">
        <v>166</v>
      </c>
      <c r="DU33" s="25" t="s">
        <v>166</v>
      </c>
      <c r="DV33" s="29" t="s">
        <v>166</v>
      </c>
      <c r="DW33" s="29" t="s">
        <v>166</v>
      </c>
      <c r="DX33" s="27" t="s">
        <v>166</v>
      </c>
      <c r="DY33" s="27" t="s">
        <v>166</v>
      </c>
      <c r="DZ33" s="28" t="s">
        <v>166</v>
      </c>
      <c r="EA33" s="27" t="s">
        <v>166</v>
      </c>
      <c r="EB33" s="27" t="s">
        <v>166</v>
      </c>
      <c r="EC33" s="27" t="s">
        <v>166</v>
      </c>
      <c r="ED33" s="28" t="s">
        <v>166</v>
      </c>
      <c r="EE33" s="28" t="s">
        <v>166</v>
      </c>
      <c r="EF33" s="28" t="s">
        <v>166</v>
      </c>
      <c r="EG33" s="28" t="s">
        <v>166</v>
      </c>
      <c r="EH33" s="27" t="s">
        <v>166</v>
      </c>
      <c r="EI33" s="27" t="s">
        <v>166</v>
      </c>
      <c r="EJ33" s="27" t="s">
        <v>166</v>
      </c>
      <c r="EK33" s="27" t="s">
        <v>166</v>
      </c>
      <c r="EL33" s="27" t="s">
        <v>166</v>
      </c>
      <c r="EM33" s="27" t="s">
        <v>166</v>
      </c>
      <c r="EN33" s="27" t="s">
        <v>166</v>
      </c>
      <c r="EO33" s="27" t="s">
        <v>166</v>
      </c>
      <c r="EP33" s="27" t="s">
        <v>166</v>
      </c>
      <c r="EQ33" s="27" t="s">
        <v>166</v>
      </c>
      <c r="ER33" s="27" t="s">
        <v>166</v>
      </c>
      <c r="ES33" s="27" t="s">
        <v>166</v>
      </c>
      <c r="ET33" s="25" t="s">
        <v>166</v>
      </c>
      <c r="EU33" s="27" t="s">
        <v>166</v>
      </c>
      <c r="EV33" s="27" t="s">
        <v>166</v>
      </c>
      <c r="EW33" s="27" t="s">
        <v>166</v>
      </c>
      <c r="EX33" s="25" t="s">
        <v>190</v>
      </c>
      <c r="EY33" s="25" t="s">
        <v>166</v>
      </c>
      <c r="EZ33" s="27" t="s">
        <v>166</v>
      </c>
      <c r="FA33" s="26" t="s">
        <v>166</v>
      </c>
      <c r="FB33" s="26" t="s">
        <v>166</v>
      </c>
      <c r="FC33" s="26" t="s">
        <v>166</v>
      </c>
      <c r="FD33" s="26" t="s">
        <v>166</v>
      </c>
      <c r="FE33" s="26" t="s">
        <v>166</v>
      </c>
      <c r="FF33" s="26" t="s">
        <v>166</v>
      </c>
      <c r="FG33" s="25" t="s">
        <v>166</v>
      </c>
      <c r="FH33" s="4">
        <f>HYPERLINK("https://my.pitchbook.com?c=234825-85T","View Company Online")</f>
      </c>
    </row>
    <row r="34">
      <c r="A34" s="14" t="s">
        <v>731</v>
      </c>
      <c r="B34" s="14" t="s">
        <v>732</v>
      </c>
      <c r="C34" s="14" t="s">
        <v>733</v>
      </c>
      <c r="D34" s="14" t="s">
        <v>166</v>
      </c>
      <c r="E34" s="23" t="s">
        <v>734</v>
      </c>
      <c r="F34" s="21">
        <v>3</v>
      </c>
      <c r="G34" s="14" t="s">
        <v>735</v>
      </c>
      <c r="H34" s="14" t="s">
        <v>166</v>
      </c>
      <c r="I34" s="14" t="s">
        <v>736</v>
      </c>
      <c r="J34" s="14" t="s">
        <v>737</v>
      </c>
      <c r="K34" s="14" t="s">
        <v>207</v>
      </c>
      <c r="L34" s="14" t="s">
        <v>208</v>
      </c>
      <c r="M34" s="14" t="s">
        <v>209</v>
      </c>
      <c r="N34" s="14" t="s">
        <v>738</v>
      </c>
      <c r="O34" s="14" t="s">
        <v>739</v>
      </c>
      <c r="P34" s="14" t="s">
        <v>740</v>
      </c>
      <c r="Q34" s="14" t="s">
        <v>166</v>
      </c>
      <c r="R34" s="14" t="s">
        <v>177</v>
      </c>
      <c r="S34" s="14" t="s">
        <v>178</v>
      </c>
      <c r="T34" s="14" t="s">
        <v>179</v>
      </c>
      <c r="U34" s="14" t="s">
        <v>741</v>
      </c>
      <c r="V34" s="14" t="s">
        <v>742</v>
      </c>
      <c r="W34" s="21" t="s">
        <v>743</v>
      </c>
      <c r="X34" s="14" t="s">
        <v>166</v>
      </c>
      <c r="Y34" s="14" t="s">
        <v>744</v>
      </c>
      <c r="Z34" s="14" t="s">
        <v>745</v>
      </c>
      <c r="AA34" s="14" t="s">
        <v>166</v>
      </c>
      <c r="AB34" s="14" t="s">
        <v>166</v>
      </c>
      <c r="AC34" s="14" t="s">
        <v>166</v>
      </c>
      <c r="AD34" s="14" t="s">
        <v>166</v>
      </c>
      <c r="AE34" s="14" t="s">
        <v>166</v>
      </c>
      <c r="AF34" s="14" t="s">
        <v>166</v>
      </c>
      <c r="AG34" s="14" t="s">
        <v>166</v>
      </c>
      <c r="AH34" s="21">
        <v>8</v>
      </c>
      <c r="AI34" s="3">
        <f>HYPERLINK("https://my.pitchbook.com/?d=241690-78T","241690-78T")</f>
      </c>
      <c r="AJ34" s="19">
        <v>45444</v>
      </c>
      <c r="AK34" s="19">
        <v>45488</v>
      </c>
      <c r="AL34" s="18">
        <v>0.18</v>
      </c>
      <c r="AM34" s="14" t="s">
        <v>185</v>
      </c>
      <c r="AN34" s="18">
        <v>5</v>
      </c>
      <c r="AO34" s="18">
        <v>5.18</v>
      </c>
      <c r="AP34" s="14" t="s">
        <v>185</v>
      </c>
      <c r="AQ34" s="21" t="s">
        <v>166</v>
      </c>
      <c r="AR34" s="21" t="s">
        <v>166</v>
      </c>
      <c r="AS34" s="17">
        <v>3.47</v>
      </c>
      <c r="AT34" s="18">
        <v>0.5</v>
      </c>
      <c r="AU34" s="21" t="s">
        <v>186</v>
      </c>
      <c r="AV34" s="21" t="s">
        <v>166</v>
      </c>
      <c r="AW34" s="18" t="s">
        <v>166</v>
      </c>
      <c r="AX34" s="21" t="s">
        <v>746</v>
      </c>
      <c r="AY34" s="14" t="s">
        <v>187</v>
      </c>
      <c r="AZ34" s="14" t="s">
        <v>746</v>
      </c>
      <c r="BA34" s="14" t="s">
        <v>166</v>
      </c>
      <c r="BB34" s="21" t="s">
        <v>166</v>
      </c>
      <c r="BC34" s="14" t="s">
        <v>179</v>
      </c>
      <c r="BD34" s="14" t="s">
        <v>747</v>
      </c>
      <c r="BE34" s="14" t="s">
        <v>189</v>
      </c>
      <c r="BF34" s="18">
        <v>0.18</v>
      </c>
      <c r="BG34" s="14" t="s">
        <v>190</v>
      </c>
      <c r="BH34" s="14" t="s">
        <v>166</v>
      </c>
      <c r="BI34" s="14" t="s">
        <v>166</v>
      </c>
      <c r="BJ34" s="18" t="s">
        <v>166</v>
      </c>
      <c r="BK34" s="18" t="s">
        <v>166</v>
      </c>
      <c r="BL34" s="14" t="s">
        <v>191</v>
      </c>
      <c r="BM34" s="14" t="s">
        <v>178</v>
      </c>
      <c r="BN34" s="14" t="s">
        <v>177</v>
      </c>
      <c r="BO34" s="22">
        <v>7</v>
      </c>
      <c r="BP34" s="14" t="s">
        <v>734</v>
      </c>
      <c r="BQ34" s="21">
        <v>3</v>
      </c>
      <c r="BR34" s="14" t="s">
        <v>166</v>
      </c>
      <c r="BS34" s="21" t="s">
        <v>166</v>
      </c>
      <c r="BT34" s="14" t="s">
        <v>166</v>
      </c>
      <c r="BU34" s="14" t="s">
        <v>166</v>
      </c>
      <c r="BV34" s="14" t="s">
        <v>748</v>
      </c>
      <c r="BW34" s="14" t="s">
        <v>166</v>
      </c>
      <c r="BX34" s="14" t="s">
        <v>166</v>
      </c>
      <c r="BY34" s="14" t="s">
        <v>166</v>
      </c>
      <c r="BZ34" s="14" t="s">
        <v>166</v>
      </c>
      <c r="CA34" s="14" t="s">
        <v>166</v>
      </c>
      <c r="CB34" s="14" t="s">
        <v>166</v>
      </c>
      <c r="CC34" s="14" t="s">
        <v>166</v>
      </c>
      <c r="CD34" s="14" t="s">
        <v>166</v>
      </c>
      <c r="CE34" s="18" t="s">
        <v>166</v>
      </c>
      <c r="CF34" s="16" t="s">
        <v>166</v>
      </c>
      <c r="CG34" s="17" t="s">
        <v>166</v>
      </c>
      <c r="CH34" s="16" t="s">
        <v>166</v>
      </c>
      <c r="CI34" s="16" t="s">
        <v>166</v>
      </c>
      <c r="CJ34" s="16" t="s">
        <v>166</v>
      </c>
      <c r="CK34" s="16" t="s">
        <v>166</v>
      </c>
      <c r="CL34" s="16" t="s">
        <v>166</v>
      </c>
      <c r="CM34" s="20" t="s">
        <v>166</v>
      </c>
      <c r="CN34" s="16" t="s">
        <v>166</v>
      </c>
      <c r="CO34" s="16" t="s">
        <v>166</v>
      </c>
      <c r="CP34" s="16" t="s">
        <v>166</v>
      </c>
      <c r="CQ34" s="16" t="s">
        <v>166</v>
      </c>
      <c r="CR34" s="16" t="s">
        <v>166</v>
      </c>
      <c r="CS34" s="16" t="s">
        <v>166</v>
      </c>
      <c r="CT34" s="16" t="s">
        <v>166</v>
      </c>
      <c r="CU34" s="16" t="s">
        <v>166</v>
      </c>
      <c r="CV34" s="16" t="s">
        <v>166</v>
      </c>
      <c r="CW34" s="16" t="s">
        <v>166</v>
      </c>
      <c r="CX34" s="16" t="s">
        <v>166</v>
      </c>
      <c r="CY34" s="16" t="s">
        <v>166</v>
      </c>
      <c r="CZ34" s="16" t="s">
        <v>166</v>
      </c>
      <c r="DA34" s="16" t="s">
        <v>166</v>
      </c>
      <c r="DB34" s="16" t="s">
        <v>166</v>
      </c>
      <c r="DC34" s="16" t="s">
        <v>166</v>
      </c>
      <c r="DD34" s="16" t="s">
        <v>166</v>
      </c>
      <c r="DE34" s="17" t="s">
        <v>166</v>
      </c>
      <c r="DF34" s="22">
        <v>7</v>
      </c>
      <c r="DG34" s="14" t="s">
        <v>309</v>
      </c>
      <c r="DH34" s="14" t="s">
        <v>193</v>
      </c>
      <c r="DI34" s="14" t="s">
        <v>194</v>
      </c>
      <c r="DJ34" s="14" t="s">
        <v>310</v>
      </c>
      <c r="DK34" s="14" t="s">
        <v>310</v>
      </c>
      <c r="DL34" s="21" t="s">
        <v>749</v>
      </c>
      <c r="DM34" s="14" t="s">
        <v>198</v>
      </c>
      <c r="DN34" s="13" t="s">
        <v>750</v>
      </c>
      <c r="DO34" s="20">
        <v>2020</v>
      </c>
      <c r="DP34" s="14" t="s">
        <v>166</v>
      </c>
      <c r="DQ34" s="14" t="s">
        <v>166</v>
      </c>
      <c r="DR34" s="18" t="s">
        <v>166</v>
      </c>
      <c r="DS34" s="16" t="s">
        <v>166</v>
      </c>
      <c r="DT34" s="19" t="s">
        <v>166</v>
      </c>
      <c r="DU34" s="14" t="s">
        <v>166</v>
      </c>
      <c r="DV34" s="18" t="s">
        <v>166</v>
      </c>
      <c r="DW34" s="18" t="s">
        <v>166</v>
      </c>
      <c r="DX34" s="16" t="s">
        <v>166</v>
      </c>
      <c r="DY34" s="16" t="s">
        <v>166</v>
      </c>
      <c r="DZ34" s="17" t="s">
        <v>166</v>
      </c>
      <c r="EA34" s="16" t="s">
        <v>166</v>
      </c>
      <c r="EB34" s="16" t="s">
        <v>166</v>
      </c>
      <c r="EC34" s="16" t="s">
        <v>166</v>
      </c>
      <c r="ED34" s="17" t="s">
        <v>166</v>
      </c>
      <c r="EE34" s="17" t="s">
        <v>166</v>
      </c>
      <c r="EF34" s="17" t="s">
        <v>166</v>
      </c>
      <c r="EG34" s="17" t="s">
        <v>166</v>
      </c>
      <c r="EH34" s="16" t="s">
        <v>166</v>
      </c>
      <c r="EI34" s="16" t="s">
        <v>166</v>
      </c>
      <c r="EJ34" s="16" t="s">
        <v>166</v>
      </c>
      <c r="EK34" s="16" t="s">
        <v>166</v>
      </c>
      <c r="EL34" s="16" t="s">
        <v>166</v>
      </c>
      <c r="EM34" s="16" t="s">
        <v>166</v>
      </c>
      <c r="EN34" s="16" t="s">
        <v>166</v>
      </c>
      <c r="EO34" s="16" t="s">
        <v>166</v>
      </c>
      <c r="EP34" s="16" t="s">
        <v>166</v>
      </c>
      <c r="EQ34" s="16" t="s">
        <v>166</v>
      </c>
      <c r="ER34" s="16" t="s">
        <v>166</v>
      </c>
      <c r="ES34" s="16" t="s">
        <v>166</v>
      </c>
      <c r="ET34" s="14" t="s">
        <v>166</v>
      </c>
      <c r="EU34" s="16" t="s">
        <v>166</v>
      </c>
      <c r="EV34" s="16" t="s">
        <v>166</v>
      </c>
      <c r="EW34" s="16" t="s">
        <v>166</v>
      </c>
      <c r="EX34" s="14" t="s">
        <v>190</v>
      </c>
      <c r="EY34" s="14" t="s">
        <v>166</v>
      </c>
      <c r="EZ34" s="16" t="s">
        <v>166</v>
      </c>
      <c r="FA34" s="15" t="s">
        <v>166</v>
      </c>
      <c r="FB34" s="15" t="s">
        <v>166</v>
      </c>
      <c r="FC34" s="15" t="s">
        <v>166</v>
      </c>
      <c r="FD34" s="15" t="s">
        <v>166</v>
      </c>
      <c r="FE34" s="15" t="s">
        <v>166</v>
      </c>
      <c r="FF34" s="15" t="s">
        <v>166</v>
      </c>
      <c r="FG34" s="14" t="s">
        <v>166</v>
      </c>
      <c r="FH34" s="3">
        <f>HYPERLINK("https://my.pitchbook.com?c=241690-78T","View Company Online")</f>
      </c>
    </row>
    <row r="35">
      <c r="A35" s="25" t="s">
        <v>751</v>
      </c>
      <c r="B35" s="25" t="s">
        <v>752</v>
      </c>
      <c r="C35" s="25" t="s">
        <v>753</v>
      </c>
      <c r="D35" s="25" t="s">
        <v>166</v>
      </c>
      <c r="E35" s="34" t="s">
        <v>754</v>
      </c>
      <c r="F35" s="32">
        <v>4</v>
      </c>
      <c r="G35" s="25" t="s">
        <v>755</v>
      </c>
      <c r="H35" s="25" t="s">
        <v>166</v>
      </c>
      <c r="I35" s="25" t="s">
        <v>756</v>
      </c>
      <c r="J35" s="25" t="s">
        <v>757</v>
      </c>
      <c r="K35" s="25" t="s">
        <v>207</v>
      </c>
      <c r="L35" s="25" t="s">
        <v>208</v>
      </c>
      <c r="M35" s="25" t="s">
        <v>209</v>
      </c>
      <c r="N35" s="25" t="s">
        <v>758</v>
      </c>
      <c r="O35" s="25" t="s">
        <v>759</v>
      </c>
      <c r="P35" s="25" t="s">
        <v>760</v>
      </c>
      <c r="Q35" s="25" t="s">
        <v>166</v>
      </c>
      <c r="R35" s="25" t="s">
        <v>177</v>
      </c>
      <c r="S35" s="25" t="s">
        <v>178</v>
      </c>
      <c r="T35" s="25" t="s">
        <v>179</v>
      </c>
      <c r="U35" s="25" t="s">
        <v>761</v>
      </c>
      <c r="V35" s="25" t="s">
        <v>762</v>
      </c>
      <c r="W35" s="32" t="s">
        <v>763</v>
      </c>
      <c r="X35" s="25" t="s">
        <v>764</v>
      </c>
      <c r="Y35" s="25" t="s">
        <v>765</v>
      </c>
      <c r="Z35" s="25" t="s">
        <v>766</v>
      </c>
      <c r="AA35" s="25" t="s">
        <v>242</v>
      </c>
      <c r="AB35" s="25" t="s">
        <v>243</v>
      </c>
      <c r="AC35" s="25" t="s">
        <v>244</v>
      </c>
      <c r="AD35" s="25" t="s">
        <v>243</v>
      </c>
      <c r="AE35" s="25" t="s">
        <v>243</v>
      </c>
      <c r="AF35" s="25" t="s">
        <v>245</v>
      </c>
      <c r="AG35" s="25" t="s">
        <v>246</v>
      </c>
      <c r="AH35" s="32">
        <v>5</v>
      </c>
      <c r="AI35" s="4">
        <f>HYPERLINK("https://my.pitchbook.com/?d=155888-74T","155888-74T")</f>
      </c>
      <c r="AJ35" s="30" t="s">
        <v>166</v>
      </c>
      <c r="AK35" s="30">
        <v>44105</v>
      </c>
      <c r="AL35" s="29">
        <v>1.6</v>
      </c>
      <c r="AM35" s="25" t="s">
        <v>185</v>
      </c>
      <c r="AN35" s="29">
        <v>10.4</v>
      </c>
      <c r="AO35" s="29">
        <v>12</v>
      </c>
      <c r="AP35" s="25" t="s">
        <v>185</v>
      </c>
      <c r="AQ35" s="32" t="s">
        <v>166</v>
      </c>
      <c r="AR35" s="32" t="s">
        <v>166</v>
      </c>
      <c r="AS35" s="28" t="s">
        <v>166</v>
      </c>
      <c r="AT35" s="29">
        <v>1.64</v>
      </c>
      <c r="AU35" s="32" t="s">
        <v>186</v>
      </c>
      <c r="AV35" s="32" t="s">
        <v>166</v>
      </c>
      <c r="AW35" s="29">
        <v>0.85</v>
      </c>
      <c r="AX35" s="32" t="s">
        <v>166</v>
      </c>
      <c r="AY35" s="25" t="s">
        <v>217</v>
      </c>
      <c r="AZ35" s="25" t="s">
        <v>217</v>
      </c>
      <c r="BA35" s="25" t="s">
        <v>166</v>
      </c>
      <c r="BB35" s="32" t="s">
        <v>166</v>
      </c>
      <c r="BC35" s="25" t="s">
        <v>179</v>
      </c>
      <c r="BD35" s="25" t="s">
        <v>767</v>
      </c>
      <c r="BE35" s="25" t="s">
        <v>189</v>
      </c>
      <c r="BF35" s="29">
        <v>1.6</v>
      </c>
      <c r="BG35" s="25" t="s">
        <v>190</v>
      </c>
      <c r="BH35" s="25" t="s">
        <v>166</v>
      </c>
      <c r="BI35" s="25" t="s">
        <v>166</v>
      </c>
      <c r="BJ35" s="29" t="s">
        <v>166</v>
      </c>
      <c r="BK35" s="29" t="s">
        <v>166</v>
      </c>
      <c r="BL35" s="25" t="s">
        <v>191</v>
      </c>
      <c r="BM35" s="25" t="s">
        <v>178</v>
      </c>
      <c r="BN35" s="25" t="s">
        <v>177</v>
      </c>
      <c r="BO35" s="33">
        <v>15</v>
      </c>
      <c r="BP35" s="25" t="s">
        <v>768</v>
      </c>
      <c r="BQ35" s="32">
        <v>4</v>
      </c>
      <c r="BR35" s="25" t="s">
        <v>166</v>
      </c>
      <c r="BS35" s="32" t="s">
        <v>166</v>
      </c>
      <c r="BT35" s="25" t="s">
        <v>166</v>
      </c>
      <c r="BU35" s="25" t="s">
        <v>166</v>
      </c>
      <c r="BV35" s="25" t="s">
        <v>769</v>
      </c>
      <c r="BW35" s="25" t="s">
        <v>166</v>
      </c>
      <c r="BX35" s="25" t="s">
        <v>166</v>
      </c>
      <c r="BY35" s="25" t="s">
        <v>166</v>
      </c>
      <c r="BZ35" s="25" t="s">
        <v>770</v>
      </c>
      <c r="CA35" s="25" t="s">
        <v>770</v>
      </c>
      <c r="CB35" s="25" t="s">
        <v>166</v>
      </c>
      <c r="CC35" s="25" t="s">
        <v>166</v>
      </c>
      <c r="CD35" s="25" t="s">
        <v>166</v>
      </c>
      <c r="CE35" s="29" t="s">
        <v>166</v>
      </c>
      <c r="CF35" s="27">
        <v>0.33</v>
      </c>
      <c r="CG35" s="28">
        <v>15.38</v>
      </c>
      <c r="CH35" s="27" t="s">
        <v>166</v>
      </c>
      <c r="CI35" s="27">
        <v>-0.7</v>
      </c>
      <c r="CJ35" s="27">
        <v>-0.72</v>
      </c>
      <c r="CK35" s="27" t="s">
        <v>166</v>
      </c>
      <c r="CL35" s="27" t="s">
        <v>166</v>
      </c>
      <c r="CM35" s="31">
        <v>2020</v>
      </c>
      <c r="CN35" s="27">
        <v>-16.67</v>
      </c>
      <c r="CO35" s="27" t="s">
        <v>166</v>
      </c>
      <c r="CP35" s="27">
        <v>-17.14</v>
      </c>
      <c r="CQ35" s="27">
        <v>36.36</v>
      </c>
      <c r="CR35" s="27" t="s">
        <v>166</v>
      </c>
      <c r="CS35" s="27">
        <v>-2.22</v>
      </c>
      <c r="CT35" s="27" t="s">
        <v>166</v>
      </c>
      <c r="CU35" s="27">
        <v>-2.29</v>
      </c>
      <c r="CV35" s="27">
        <v>4.85</v>
      </c>
      <c r="CW35" s="27" t="s">
        <v>166</v>
      </c>
      <c r="CX35" s="27" t="s">
        <v>166</v>
      </c>
      <c r="CY35" s="27" t="s">
        <v>166</v>
      </c>
      <c r="CZ35" s="27" t="s">
        <v>166</v>
      </c>
      <c r="DA35" s="27" t="s">
        <v>166</v>
      </c>
      <c r="DB35" s="27" t="s">
        <v>166</v>
      </c>
      <c r="DC35" s="27" t="s">
        <v>166</v>
      </c>
      <c r="DD35" s="27" t="s">
        <v>166</v>
      </c>
      <c r="DE35" s="28">
        <v>-218.18</v>
      </c>
      <c r="DF35" s="33">
        <v>35</v>
      </c>
      <c r="DG35" s="25" t="s">
        <v>771</v>
      </c>
      <c r="DH35" s="25" t="s">
        <v>193</v>
      </c>
      <c r="DI35" s="25" t="s">
        <v>194</v>
      </c>
      <c r="DJ35" s="25" t="s">
        <v>772</v>
      </c>
      <c r="DK35" s="25" t="s">
        <v>257</v>
      </c>
      <c r="DL35" s="32" t="s">
        <v>773</v>
      </c>
      <c r="DM35" s="25" t="s">
        <v>198</v>
      </c>
      <c r="DN35" s="24" t="s">
        <v>774</v>
      </c>
      <c r="DO35" s="31">
        <v>2017</v>
      </c>
      <c r="DP35" s="25" t="s">
        <v>166</v>
      </c>
      <c r="DQ35" s="25" t="s">
        <v>166</v>
      </c>
      <c r="DR35" s="29" t="s">
        <v>166</v>
      </c>
      <c r="DS35" s="27" t="s">
        <v>166</v>
      </c>
      <c r="DT35" s="30" t="s">
        <v>166</v>
      </c>
      <c r="DU35" s="25" t="s">
        <v>166</v>
      </c>
      <c r="DV35" s="29" t="s">
        <v>166</v>
      </c>
      <c r="DW35" s="29" t="s">
        <v>166</v>
      </c>
      <c r="DX35" s="27" t="s">
        <v>166</v>
      </c>
      <c r="DY35" s="27" t="s">
        <v>166</v>
      </c>
      <c r="DZ35" s="28" t="s">
        <v>166</v>
      </c>
      <c r="EA35" s="27" t="s">
        <v>166</v>
      </c>
      <c r="EB35" s="27" t="s">
        <v>166</v>
      </c>
      <c r="EC35" s="27" t="s">
        <v>166</v>
      </c>
      <c r="ED35" s="28" t="s">
        <v>166</v>
      </c>
      <c r="EE35" s="28" t="s">
        <v>166</v>
      </c>
      <c r="EF35" s="28" t="s">
        <v>166</v>
      </c>
      <c r="EG35" s="28" t="s">
        <v>166</v>
      </c>
      <c r="EH35" s="27" t="s">
        <v>166</v>
      </c>
      <c r="EI35" s="27" t="s">
        <v>166</v>
      </c>
      <c r="EJ35" s="27" t="s">
        <v>166</v>
      </c>
      <c r="EK35" s="27" t="s">
        <v>166</v>
      </c>
      <c r="EL35" s="27" t="s">
        <v>166</v>
      </c>
      <c r="EM35" s="27" t="s">
        <v>166</v>
      </c>
      <c r="EN35" s="27" t="s">
        <v>166</v>
      </c>
      <c r="EO35" s="27" t="s">
        <v>166</v>
      </c>
      <c r="EP35" s="27" t="s">
        <v>166</v>
      </c>
      <c r="EQ35" s="27" t="s">
        <v>166</v>
      </c>
      <c r="ER35" s="27" t="s">
        <v>166</v>
      </c>
      <c r="ES35" s="27" t="s">
        <v>166</v>
      </c>
      <c r="ET35" s="25" t="s">
        <v>166</v>
      </c>
      <c r="EU35" s="27" t="s">
        <v>166</v>
      </c>
      <c r="EV35" s="27" t="s">
        <v>166</v>
      </c>
      <c r="EW35" s="27" t="s">
        <v>166</v>
      </c>
      <c r="EX35" s="25" t="s">
        <v>190</v>
      </c>
      <c r="EY35" s="25" t="s">
        <v>166</v>
      </c>
      <c r="EZ35" s="27" t="s">
        <v>166</v>
      </c>
      <c r="FA35" s="26">
        <v>2</v>
      </c>
      <c r="FB35" s="26">
        <v>1</v>
      </c>
      <c r="FC35" s="26">
        <v>2</v>
      </c>
      <c r="FD35" s="26" t="s">
        <v>166</v>
      </c>
      <c r="FE35" s="26" t="s">
        <v>166</v>
      </c>
      <c r="FF35" s="26" t="s">
        <v>166</v>
      </c>
      <c r="FG35" s="25" t="s">
        <v>775</v>
      </c>
      <c r="FH35" s="4">
        <f>HYPERLINK("https://my.pitchbook.com?c=155888-74T","View Company Online")</f>
      </c>
    </row>
    <row r="36">
      <c r="A36" s="14" t="s">
        <v>776</v>
      </c>
      <c r="B36" s="14" t="s">
        <v>777</v>
      </c>
      <c r="C36" s="14" t="s">
        <v>778</v>
      </c>
      <c r="D36" s="14" t="s">
        <v>166</v>
      </c>
      <c r="E36" s="23" t="s">
        <v>779</v>
      </c>
      <c r="F36" s="21">
        <v>2</v>
      </c>
      <c r="G36" s="14" t="s">
        <v>780</v>
      </c>
      <c r="H36" s="14" t="s">
        <v>166</v>
      </c>
      <c r="I36" s="14" t="s">
        <v>781</v>
      </c>
      <c r="J36" s="14" t="s">
        <v>782</v>
      </c>
      <c r="K36" s="14" t="s">
        <v>207</v>
      </c>
      <c r="L36" s="14" t="s">
        <v>208</v>
      </c>
      <c r="M36" s="14" t="s">
        <v>209</v>
      </c>
      <c r="N36" s="14" t="s">
        <v>269</v>
      </c>
      <c r="O36" s="14" t="s">
        <v>783</v>
      </c>
      <c r="P36" s="14" t="s">
        <v>784</v>
      </c>
      <c r="Q36" s="14" t="s">
        <v>166</v>
      </c>
      <c r="R36" s="14" t="s">
        <v>177</v>
      </c>
      <c r="S36" s="14" t="s">
        <v>785</v>
      </c>
      <c r="T36" s="14" t="s">
        <v>179</v>
      </c>
      <c r="U36" s="14" t="s">
        <v>786</v>
      </c>
      <c r="V36" s="14" t="s">
        <v>787</v>
      </c>
      <c r="W36" s="21" t="s">
        <v>788</v>
      </c>
      <c r="X36" s="14" t="s">
        <v>789</v>
      </c>
      <c r="Y36" s="14" t="s">
        <v>790</v>
      </c>
      <c r="Z36" s="14" t="s">
        <v>166</v>
      </c>
      <c r="AA36" s="14" t="s">
        <v>242</v>
      </c>
      <c r="AB36" s="14" t="s">
        <v>243</v>
      </c>
      <c r="AC36" s="14" t="s">
        <v>244</v>
      </c>
      <c r="AD36" s="14" t="s">
        <v>243</v>
      </c>
      <c r="AE36" s="14" t="s">
        <v>243</v>
      </c>
      <c r="AF36" s="14" t="s">
        <v>166</v>
      </c>
      <c r="AG36" s="14" t="s">
        <v>246</v>
      </c>
      <c r="AH36" s="21">
        <v>1</v>
      </c>
      <c r="AI36" s="3">
        <f>HYPERLINK("https://my.pitchbook.com/?d=239529-34T","239529-34T")</f>
      </c>
      <c r="AJ36" s="19">
        <v>45170</v>
      </c>
      <c r="AK36" s="19">
        <v>45226</v>
      </c>
      <c r="AL36" s="18">
        <v>5.17</v>
      </c>
      <c r="AM36" s="14" t="s">
        <v>185</v>
      </c>
      <c r="AN36" s="18">
        <v>10</v>
      </c>
      <c r="AO36" s="18">
        <v>15.17</v>
      </c>
      <c r="AP36" s="14" t="s">
        <v>185</v>
      </c>
      <c r="AQ36" s="21" t="s">
        <v>166</v>
      </c>
      <c r="AR36" s="21" t="s">
        <v>166</v>
      </c>
      <c r="AS36" s="17">
        <v>34.08</v>
      </c>
      <c r="AT36" s="18">
        <v>5.17</v>
      </c>
      <c r="AU36" s="21" t="s">
        <v>186</v>
      </c>
      <c r="AV36" s="21" t="s">
        <v>166</v>
      </c>
      <c r="AW36" s="18">
        <v>1.2</v>
      </c>
      <c r="AX36" s="21" t="s">
        <v>166</v>
      </c>
      <c r="AY36" s="14" t="s">
        <v>217</v>
      </c>
      <c r="AZ36" s="14" t="s">
        <v>217</v>
      </c>
      <c r="BA36" s="14" t="s">
        <v>166</v>
      </c>
      <c r="BB36" s="21" t="s">
        <v>166</v>
      </c>
      <c r="BC36" s="14" t="s">
        <v>179</v>
      </c>
      <c r="BD36" s="14" t="s">
        <v>782</v>
      </c>
      <c r="BE36" s="14" t="s">
        <v>189</v>
      </c>
      <c r="BF36" s="18">
        <v>5.17</v>
      </c>
      <c r="BG36" s="14" t="s">
        <v>190</v>
      </c>
      <c r="BH36" s="14" t="s">
        <v>166</v>
      </c>
      <c r="BI36" s="14" t="s">
        <v>166</v>
      </c>
      <c r="BJ36" s="18" t="s">
        <v>166</v>
      </c>
      <c r="BK36" s="18" t="s">
        <v>166</v>
      </c>
      <c r="BL36" s="14" t="s">
        <v>191</v>
      </c>
      <c r="BM36" s="14" t="s">
        <v>785</v>
      </c>
      <c r="BN36" s="14" t="s">
        <v>177</v>
      </c>
      <c r="BO36" s="22" t="s">
        <v>166</v>
      </c>
      <c r="BP36" s="14" t="s">
        <v>779</v>
      </c>
      <c r="BQ36" s="21">
        <v>2</v>
      </c>
      <c r="BR36" s="14" t="s">
        <v>166</v>
      </c>
      <c r="BS36" s="21" t="s">
        <v>166</v>
      </c>
      <c r="BT36" s="14" t="s">
        <v>166</v>
      </c>
      <c r="BU36" s="14" t="s">
        <v>166</v>
      </c>
      <c r="BV36" s="14" t="s">
        <v>166</v>
      </c>
      <c r="BW36" s="14" t="s">
        <v>166</v>
      </c>
      <c r="BX36" s="14" t="s">
        <v>166</v>
      </c>
      <c r="BY36" s="14" t="s">
        <v>166</v>
      </c>
      <c r="BZ36" s="14" t="s">
        <v>166</v>
      </c>
      <c r="CA36" s="14" t="s">
        <v>166</v>
      </c>
      <c r="CB36" s="14" t="s">
        <v>166</v>
      </c>
      <c r="CC36" s="14" t="s">
        <v>166</v>
      </c>
      <c r="CD36" s="14" t="s">
        <v>166</v>
      </c>
      <c r="CE36" s="18" t="s">
        <v>166</v>
      </c>
      <c r="CF36" s="16" t="s">
        <v>166</v>
      </c>
      <c r="CG36" s="17" t="s">
        <v>166</v>
      </c>
      <c r="CH36" s="16" t="s">
        <v>166</v>
      </c>
      <c r="CI36" s="16" t="s">
        <v>166</v>
      </c>
      <c r="CJ36" s="16" t="s">
        <v>166</v>
      </c>
      <c r="CK36" s="16" t="s">
        <v>166</v>
      </c>
      <c r="CL36" s="16" t="s">
        <v>166</v>
      </c>
      <c r="CM36" s="20" t="s">
        <v>166</v>
      </c>
      <c r="CN36" s="16" t="s">
        <v>166</v>
      </c>
      <c r="CO36" s="16" t="s">
        <v>166</v>
      </c>
      <c r="CP36" s="16" t="s">
        <v>166</v>
      </c>
      <c r="CQ36" s="16" t="s">
        <v>166</v>
      </c>
      <c r="CR36" s="16" t="s">
        <v>166</v>
      </c>
      <c r="CS36" s="16" t="s">
        <v>166</v>
      </c>
      <c r="CT36" s="16" t="s">
        <v>166</v>
      </c>
      <c r="CU36" s="16" t="s">
        <v>166</v>
      </c>
      <c r="CV36" s="16" t="s">
        <v>166</v>
      </c>
      <c r="CW36" s="16" t="s">
        <v>166</v>
      </c>
      <c r="CX36" s="16" t="s">
        <v>166</v>
      </c>
      <c r="CY36" s="16" t="s">
        <v>166</v>
      </c>
      <c r="CZ36" s="16" t="s">
        <v>166</v>
      </c>
      <c r="DA36" s="16" t="s">
        <v>166</v>
      </c>
      <c r="DB36" s="16" t="s">
        <v>166</v>
      </c>
      <c r="DC36" s="16" t="s">
        <v>166</v>
      </c>
      <c r="DD36" s="16" t="s">
        <v>166</v>
      </c>
      <c r="DE36" s="17" t="s">
        <v>166</v>
      </c>
      <c r="DF36" s="22">
        <v>6</v>
      </c>
      <c r="DG36" s="14" t="s">
        <v>673</v>
      </c>
      <c r="DH36" s="14" t="s">
        <v>193</v>
      </c>
      <c r="DI36" s="14" t="s">
        <v>194</v>
      </c>
      <c r="DJ36" s="14" t="s">
        <v>674</v>
      </c>
      <c r="DK36" s="14" t="s">
        <v>257</v>
      </c>
      <c r="DL36" s="21" t="s">
        <v>791</v>
      </c>
      <c r="DM36" s="14" t="s">
        <v>198</v>
      </c>
      <c r="DN36" s="13" t="s">
        <v>792</v>
      </c>
      <c r="DO36" s="20">
        <v>2023</v>
      </c>
      <c r="DP36" s="14" t="s">
        <v>166</v>
      </c>
      <c r="DQ36" s="14" t="s">
        <v>166</v>
      </c>
      <c r="DR36" s="18" t="s">
        <v>166</v>
      </c>
      <c r="DS36" s="16" t="s">
        <v>166</v>
      </c>
      <c r="DT36" s="19" t="s">
        <v>166</v>
      </c>
      <c r="DU36" s="14" t="s">
        <v>166</v>
      </c>
      <c r="DV36" s="18" t="s">
        <v>166</v>
      </c>
      <c r="DW36" s="18" t="s">
        <v>166</v>
      </c>
      <c r="DX36" s="16" t="s">
        <v>166</v>
      </c>
      <c r="DY36" s="16" t="s">
        <v>166</v>
      </c>
      <c r="DZ36" s="17" t="s">
        <v>166</v>
      </c>
      <c r="EA36" s="16" t="s">
        <v>166</v>
      </c>
      <c r="EB36" s="16" t="s">
        <v>166</v>
      </c>
      <c r="EC36" s="16" t="s">
        <v>166</v>
      </c>
      <c r="ED36" s="17" t="s">
        <v>166</v>
      </c>
      <c r="EE36" s="17" t="s">
        <v>166</v>
      </c>
      <c r="EF36" s="17" t="s">
        <v>166</v>
      </c>
      <c r="EG36" s="17" t="s">
        <v>166</v>
      </c>
      <c r="EH36" s="16" t="s">
        <v>166</v>
      </c>
      <c r="EI36" s="16" t="s">
        <v>166</v>
      </c>
      <c r="EJ36" s="16" t="s">
        <v>166</v>
      </c>
      <c r="EK36" s="16" t="s">
        <v>166</v>
      </c>
      <c r="EL36" s="16" t="s">
        <v>166</v>
      </c>
      <c r="EM36" s="16" t="s">
        <v>166</v>
      </c>
      <c r="EN36" s="16" t="s">
        <v>166</v>
      </c>
      <c r="EO36" s="16" t="s">
        <v>166</v>
      </c>
      <c r="EP36" s="16" t="s">
        <v>166</v>
      </c>
      <c r="EQ36" s="16" t="s">
        <v>166</v>
      </c>
      <c r="ER36" s="16" t="s">
        <v>166</v>
      </c>
      <c r="ES36" s="16" t="s">
        <v>166</v>
      </c>
      <c r="ET36" s="14" t="s">
        <v>166</v>
      </c>
      <c r="EU36" s="16" t="s">
        <v>166</v>
      </c>
      <c r="EV36" s="16" t="s">
        <v>166</v>
      </c>
      <c r="EW36" s="16" t="s">
        <v>166</v>
      </c>
      <c r="EX36" s="14" t="s">
        <v>190</v>
      </c>
      <c r="EY36" s="14" t="s">
        <v>166</v>
      </c>
      <c r="EZ36" s="16" t="s">
        <v>166</v>
      </c>
      <c r="FA36" s="15" t="s">
        <v>166</v>
      </c>
      <c r="FB36" s="15" t="s">
        <v>166</v>
      </c>
      <c r="FC36" s="15" t="s">
        <v>166</v>
      </c>
      <c r="FD36" s="15" t="s">
        <v>166</v>
      </c>
      <c r="FE36" s="15" t="s">
        <v>166</v>
      </c>
      <c r="FF36" s="15" t="s">
        <v>166</v>
      </c>
      <c r="FG36" s="14" t="s">
        <v>166</v>
      </c>
      <c r="FH36" s="3">
        <f>HYPERLINK("https://my.pitchbook.com?c=239529-34T","View Company Online")</f>
      </c>
    </row>
    <row r="37">
      <c r="A37" s="25" t="s">
        <v>793</v>
      </c>
      <c r="B37" s="25" t="s">
        <v>794</v>
      </c>
      <c r="C37" s="25" t="s">
        <v>795</v>
      </c>
      <c r="D37" s="25" t="s">
        <v>166</v>
      </c>
      <c r="E37" s="34" t="s">
        <v>796</v>
      </c>
      <c r="F37" s="32">
        <v>1</v>
      </c>
      <c r="G37" s="25" t="s">
        <v>797</v>
      </c>
      <c r="H37" s="25" t="s">
        <v>166</v>
      </c>
      <c r="I37" s="25" t="s">
        <v>798</v>
      </c>
      <c r="J37" s="25" t="s">
        <v>799</v>
      </c>
      <c r="K37" s="25" t="s">
        <v>207</v>
      </c>
      <c r="L37" s="25" t="s">
        <v>208</v>
      </c>
      <c r="M37" s="25" t="s">
        <v>209</v>
      </c>
      <c r="N37" s="25" t="s">
        <v>269</v>
      </c>
      <c r="O37" s="25" t="s">
        <v>800</v>
      </c>
      <c r="P37" s="25" t="s">
        <v>801</v>
      </c>
      <c r="Q37" s="25" t="s">
        <v>166</v>
      </c>
      <c r="R37" s="25" t="s">
        <v>177</v>
      </c>
      <c r="S37" s="25" t="s">
        <v>178</v>
      </c>
      <c r="T37" s="25" t="s">
        <v>179</v>
      </c>
      <c r="U37" s="25" t="s">
        <v>802</v>
      </c>
      <c r="V37" s="25" t="s">
        <v>803</v>
      </c>
      <c r="W37" s="32" t="s">
        <v>804</v>
      </c>
      <c r="X37" s="25" t="s">
        <v>805</v>
      </c>
      <c r="Y37" s="25" t="s">
        <v>806</v>
      </c>
      <c r="Z37" s="25" t="s">
        <v>166</v>
      </c>
      <c r="AA37" s="25" t="s">
        <v>242</v>
      </c>
      <c r="AB37" s="25" t="s">
        <v>243</v>
      </c>
      <c r="AC37" s="25" t="s">
        <v>244</v>
      </c>
      <c r="AD37" s="25" t="s">
        <v>243</v>
      </c>
      <c r="AE37" s="25" t="s">
        <v>243</v>
      </c>
      <c r="AF37" s="25" t="s">
        <v>245</v>
      </c>
      <c r="AG37" s="25" t="s">
        <v>807</v>
      </c>
      <c r="AH37" s="32">
        <v>2</v>
      </c>
      <c r="AI37" s="4">
        <f>HYPERLINK("https://my.pitchbook.com/?d=254580-67T","254580-67T")</f>
      </c>
      <c r="AJ37" s="30" t="s">
        <v>166</v>
      </c>
      <c r="AK37" s="30">
        <v>45363</v>
      </c>
      <c r="AL37" s="29">
        <v>1</v>
      </c>
      <c r="AM37" s="25" t="s">
        <v>247</v>
      </c>
      <c r="AN37" s="29">
        <v>2</v>
      </c>
      <c r="AO37" s="29">
        <v>3</v>
      </c>
      <c r="AP37" s="25" t="s">
        <v>247</v>
      </c>
      <c r="AQ37" s="32" t="s">
        <v>166</v>
      </c>
      <c r="AR37" s="32" t="s">
        <v>166</v>
      </c>
      <c r="AS37" s="28">
        <v>33.33</v>
      </c>
      <c r="AT37" s="29">
        <v>1</v>
      </c>
      <c r="AU37" s="32" t="s">
        <v>186</v>
      </c>
      <c r="AV37" s="32" t="s">
        <v>166</v>
      </c>
      <c r="AW37" s="29">
        <v>0.31</v>
      </c>
      <c r="AX37" s="32" t="s">
        <v>166</v>
      </c>
      <c r="AY37" s="25" t="s">
        <v>217</v>
      </c>
      <c r="AZ37" s="25" t="s">
        <v>217</v>
      </c>
      <c r="BA37" s="25" t="s">
        <v>166</v>
      </c>
      <c r="BB37" s="32" t="s">
        <v>166</v>
      </c>
      <c r="BC37" s="25" t="s">
        <v>179</v>
      </c>
      <c r="BD37" s="25" t="s">
        <v>808</v>
      </c>
      <c r="BE37" s="25" t="s">
        <v>189</v>
      </c>
      <c r="BF37" s="29">
        <v>1</v>
      </c>
      <c r="BG37" s="25" t="s">
        <v>190</v>
      </c>
      <c r="BH37" s="25" t="s">
        <v>166</v>
      </c>
      <c r="BI37" s="25" t="s">
        <v>166</v>
      </c>
      <c r="BJ37" s="29" t="s">
        <v>166</v>
      </c>
      <c r="BK37" s="29" t="s">
        <v>166</v>
      </c>
      <c r="BL37" s="25" t="s">
        <v>191</v>
      </c>
      <c r="BM37" s="25" t="s">
        <v>178</v>
      </c>
      <c r="BN37" s="25" t="s">
        <v>177</v>
      </c>
      <c r="BO37" s="33" t="s">
        <v>166</v>
      </c>
      <c r="BP37" s="25" t="s">
        <v>796</v>
      </c>
      <c r="BQ37" s="32">
        <v>1</v>
      </c>
      <c r="BR37" s="25" t="s">
        <v>166</v>
      </c>
      <c r="BS37" s="32" t="s">
        <v>166</v>
      </c>
      <c r="BT37" s="25" t="s">
        <v>166</v>
      </c>
      <c r="BU37" s="25" t="s">
        <v>166</v>
      </c>
      <c r="BV37" s="25" t="s">
        <v>166</v>
      </c>
      <c r="BW37" s="25" t="s">
        <v>166</v>
      </c>
      <c r="BX37" s="25" t="s">
        <v>166</v>
      </c>
      <c r="BY37" s="25" t="s">
        <v>166</v>
      </c>
      <c r="BZ37" s="25" t="s">
        <v>166</v>
      </c>
      <c r="CA37" s="25" t="s">
        <v>166</v>
      </c>
      <c r="CB37" s="25" t="s">
        <v>166</v>
      </c>
      <c r="CC37" s="25" t="s">
        <v>166</v>
      </c>
      <c r="CD37" s="25" t="s">
        <v>166</v>
      </c>
      <c r="CE37" s="29" t="s">
        <v>166</v>
      </c>
      <c r="CF37" s="27" t="s">
        <v>166</v>
      </c>
      <c r="CG37" s="28" t="s">
        <v>166</v>
      </c>
      <c r="CH37" s="27" t="s">
        <v>166</v>
      </c>
      <c r="CI37" s="27" t="s">
        <v>166</v>
      </c>
      <c r="CJ37" s="27" t="s">
        <v>166</v>
      </c>
      <c r="CK37" s="27" t="s">
        <v>166</v>
      </c>
      <c r="CL37" s="27" t="s">
        <v>166</v>
      </c>
      <c r="CM37" s="31" t="s">
        <v>166</v>
      </c>
      <c r="CN37" s="27" t="s">
        <v>166</v>
      </c>
      <c r="CO37" s="27" t="s">
        <v>166</v>
      </c>
      <c r="CP37" s="27" t="s">
        <v>166</v>
      </c>
      <c r="CQ37" s="27" t="s">
        <v>166</v>
      </c>
      <c r="CR37" s="27" t="s">
        <v>166</v>
      </c>
      <c r="CS37" s="27" t="s">
        <v>166</v>
      </c>
      <c r="CT37" s="27" t="s">
        <v>166</v>
      </c>
      <c r="CU37" s="27" t="s">
        <v>166</v>
      </c>
      <c r="CV37" s="27" t="s">
        <v>166</v>
      </c>
      <c r="CW37" s="27" t="s">
        <v>166</v>
      </c>
      <c r="CX37" s="27" t="s">
        <v>166</v>
      </c>
      <c r="CY37" s="27" t="s">
        <v>166</v>
      </c>
      <c r="CZ37" s="27" t="s">
        <v>166</v>
      </c>
      <c r="DA37" s="27" t="s">
        <v>166</v>
      </c>
      <c r="DB37" s="27" t="s">
        <v>166</v>
      </c>
      <c r="DC37" s="27" t="s">
        <v>166</v>
      </c>
      <c r="DD37" s="27" t="s">
        <v>166</v>
      </c>
      <c r="DE37" s="28" t="s">
        <v>166</v>
      </c>
      <c r="DF37" s="33">
        <v>15</v>
      </c>
      <c r="DG37" s="25" t="s">
        <v>360</v>
      </c>
      <c r="DH37" s="25" t="s">
        <v>193</v>
      </c>
      <c r="DI37" s="25" t="s">
        <v>194</v>
      </c>
      <c r="DJ37" s="25" t="s">
        <v>361</v>
      </c>
      <c r="DK37" s="25" t="s">
        <v>196</v>
      </c>
      <c r="DL37" s="32" t="s">
        <v>809</v>
      </c>
      <c r="DM37" s="25" t="s">
        <v>198</v>
      </c>
      <c r="DN37" s="24" t="s">
        <v>810</v>
      </c>
      <c r="DO37" s="31">
        <v>2022</v>
      </c>
      <c r="DP37" s="25" t="s">
        <v>166</v>
      </c>
      <c r="DQ37" s="25" t="s">
        <v>166</v>
      </c>
      <c r="DR37" s="29" t="s">
        <v>166</v>
      </c>
      <c r="DS37" s="27" t="s">
        <v>166</v>
      </c>
      <c r="DT37" s="30" t="s">
        <v>166</v>
      </c>
      <c r="DU37" s="25" t="s">
        <v>166</v>
      </c>
      <c r="DV37" s="29" t="s">
        <v>166</v>
      </c>
      <c r="DW37" s="29" t="s">
        <v>166</v>
      </c>
      <c r="DX37" s="27" t="s">
        <v>166</v>
      </c>
      <c r="DY37" s="27" t="s">
        <v>166</v>
      </c>
      <c r="DZ37" s="28" t="s">
        <v>166</v>
      </c>
      <c r="EA37" s="27" t="s">
        <v>166</v>
      </c>
      <c r="EB37" s="27" t="s">
        <v>166</v>
      </c>
      <c r="EC37" s="27" t="s">
        <v>166</v>
      </c>
      <c r="ED37" s="28" t="s">
        <v>166</v>
      </c>
      <c r="EE37" s="28" t="s">
        <v>166</v>
      </c>
      <c r="EF37" s="28" t="s">
        <v>166</v>
      </c>
      <c r="EG37" s="28" t="s">
        <v>166</v>
      </c>
      <c r="EH37" s="27" t="s">
        <v>166</v>
      </c>
      <c r="EI37" s="27" t="s">
        <v>166</v>
      </c>
      <c r="EJ37" s="27" t="s">
        <v>166</v>
      </c>
      <c r="EK37" s="27" t="s">
        <v>166</v>
      </c>
      <c r="EL37" s="27" t="s">
        <v>166</v>
      </c>
      <c r="EM37" s="27" t="s">
        <v>166</v>
      </c>
      <c r="EN37" s="27" t="s">
        <v>166</v>
      </c>
      <c r="EO37" s="27" t="s">
        <v>166</v>
      </c>
      <c r="EP37" s="27" t="s">
        <v>166</v>
      </c>
      <c r="EQ37" s="27" t="s">
        <v>166</v>
      </c>
      <c r="ER37" s="27" t="s">
        <v>166</v>
      </c>
      <c r="ES37" s="27" t="s">
        <v>166</v>
      </c>
      <c r="ET37" s="25" t="s">
        <v>166</v>
      </c>
      <c r="EU37" s="27" t="s">
        <v>166</v>
      </c>
      <c r="EV37" s="27" t="s">
        <v>166</v>
      </c>
      <c r="EW37" s="27" t="s">
        <v>166</v>
      </c>
      <c r="EX37" s="25" t="s">
        <v>190</v>
      </c>
      <c r="EY37" s="25" t="s">
        <v>166</v>
      </c>
      <c r="EZ37" s="27" t="s">
        <v>166</v>
      </c>
      <c r="FA37" s="26" t="s">
        <v>166</v>
      </c>
      <c r="FB37" s="26" t="s">
        <v>166</v>
      </c>
      <c r="FC37" s="26" t="s">
        <v>166</v>
      </c>
      <c r="FD37" s="26" t="s">
        <v>166</v>
      </c>
      <c r="FE37" s="26" t="s">
        <v>166</v>
      </c>
      <c r="FF37" s="26" t="s">
        <v>166</v>
      </c>
      <c r="FG37" s="25" t="s">
        <v>166</v>
      </c>
      <c r="FH37" s="4">
        <f>HYPERLINK("https://my.pitchbook.com?c=254580-67T","View Company Online")</f>
      </c>
    </row>
    <row r="38">
      <c r="A38" s="14" t="s">
        <v>811</v>
      </c>
      <c r="B38" s="14" t="s">
        <v>812</v>
      </c>
      <c r="C38" s="14" t="s">
        <v>813</v>
      </c>
      <c r="D38" s="14" t="s">
        <v>166</v>
      </c>
      <c r="E38" s="23" t="s">
        <v>814</v>
      </c>
      <c r="F38" s="21">
        <v>11</v>
      </c>
      <c r="G38" s="14" t="s">
        <v>815</v>
      </c>
      <c r="H38" s="14" t="s">
        <v>166</v>
      </c>
      <c r="I38" s="14" t="s">
        <v>816</v>
      </c>
      <c r="J38" s="14" t="s">
        <v>817</v>
      </c>
      <c r="K38" s="14" t="s">
        <v>171</v>
      </c>
      <c r="L38" s="14" t="s">
        <v>172</v>
      </c>
      <c r="M38" s="14" t="s">
        <v>818</v>
      </c>
      <c r="N38" s="14" t="s">
        <v>819</v>
      </c>
      <c r="O38" s="14" t="s">
        <v>166</v>
      </c>
      <c r="P38" s="14" t="s">
        <v>820</v>
      </c>
      <c r="Q38" s="14" t="s">
        <v>166</v>
      </c>
      <c r="R38" s="14" t="s">
        <v>177</v>
      </c>
      <c r="S38" s="14" t="s">
        <v>178</v>
      </c>
      <c r="T38" s="14" t="s">
        <v>179</v>
      </c>
      <c r="U38" s="14" t="s">
        <v>821</v>
      </c>
      <c r="V38" s="14" t="s">
        <v>822</v>
      </c>
      <c r="W38" s="21" t="s">
        <v>823</v>
      </c>
      <c r="X38" s="14" t="s">
        <v>824</v>
      </c>
      <c r="Y38" s="14" t="s">
        <v>825</v>
      </c>
      <c r="Z38" s="14" t="s">
        <v>826</v>
      </c>
      <c r="AA38" s="14" t="s">
        <v>166</v>
      </c>
      <c r="AB38" s="14" t="s">
        <v>166</v>
      </c>
      <c r="AC38" s="14" t="s">
        <v>166</v>
      </c>
      <c r="AD38" s="14" t="s">
        <v>166</v>
      </c>
      <c r="AE38" s="14" t="s">
        <v>166</v>
      </c>
      <c r="AF38" s="14" t="s">
        <v>166</v>
      </c>
      <c r="AG38" s="14" t="s">
        <v>166</v>
      </c>
      <c r="AH38" s="21">
        <v>3</v>
      </c>
      <c r="AI38" s="3">
        <f>HYPERLINK("https://my.pitchbook.com/?d=174694-78T","174694-78T")</f>
      </c>
      <c r="AJ38" s="19" t="s">
        <v>166</v>
      </c>
      <c r="AK38" s="19">
        <v>44500</v>
      </c>
      <c r="AL38" s="18">
        <v>0.35</v>
      </c>
      <c r="AM38" s="14" t="s">
        <v>185</v>
      </c>
      <c r="AN38" s="18" t="s">
        <v>166</v>
      </c>
      <c r="AO38" s="18" t="s">
        <v>166</v>
      </c>
      <c r="AP38" s="14" t="s">
        <v>166</v>
      </c>
      <c r="AQ38" s="21" t="s">
        <v>166</v>
      </c>
      <c r="AR38" s="21" t="s">
        <v>166</v>
      </c>
      <c r="AS38" s="17" t="s">
        <v>166</v>
      </c>
      <c r="AT38" s="18">
        <v>0.35</v>
      </c>
      <c r="AU38" s="21" t="s">
        <v>186</v>
      </c>
      <c r="AV38" s="21" t="s">
        <v>166</v>
      </c>
      <c r="AW38" s="18" t="s">
        <v>166</v>
      </c>
      <c r="AX38" s="21" t="s">
        <v>746</v>
      </c>
      <c r="AY38" s="14" t="s">
        <v>187</v>
      </c>
      <c r="AZ38" s="14" t="s">
        <v>746</v>
      </c>
      <c r="BA38" s="14" t="s">
        <v>166</v>
      </c>
      <c r="BB38" s="21" t="s">
        <v>166</v>
      </c>
      <c r="BC38" s="14" t="s">
        <v>179</v>
      </c>
      <c r="BD38" s="14" t="s">
        <v>827</v>
      </c>
      <c r="BE38" s="14" t="s">
        <v>189</v>
      </c>
      <c r="BF38" s="18">
        <v>0.35</v>
      </c>
      <c r="BG38" s="14" t="s">
        <v>190</v>
      </c>
      <c r="BH38" s="14" t="s">
        <v>166</v>
      </c>
      <c r="BI38" s="14" t="s">
        <v>166</v>
      </c>
      <c r="BJ38" s="18" t="s">
        <v>166</v>
      </c>
      <c r="BK38" s="18" t="s">
        <v>166</v>
      </c>
      <c r="BL38" s="14" t="s">
        <v>191</v>
      </c>
      <c r="BM38" s="14" t="s">
        <v>178</v>
      </c>
      <c r="BN38" s="14" t="s">
        <v>177</v>
      </c>
      <c r="BO38" s="22">
        <v>3</v>
      </c>
      <c r="BP38" s="14" t="s">
        <v>828</v>
      </c>
      <c r="BQ38" s="21">
        <v>11</v>
      </c>
      <c r="BR38" s="14" t="s">
        <v>166</v>
      </c>
      <c r="BS38" s="21" t="s">
        <v>166</v>
      </c>
      <c r="BT38" s="14" t="s">
        <v>166</v>
      </c>
      <c r="BU38" s="14" t="s">
        <v>166</v>
      </c>
      <c r="BV38" s="14" t="s">
        <v>829</v>
      </c>
      <c r="BW38" s="14" t="s">
        <v>166</v>
      </c>
      <c r="BX38" s="14" t="s">
        <v>166</v>
      </c>
      <c r="BY38" s="14" t="s">
        <v>166</v>
      </c>
      <c r="BZ38" s="14" t="s">
        <v>166</v>
      </c>
      <c r="CA38" s="14" t="s">
        <v>166</v>
      </c>
      <c r="CB38" s="14" t="s">
        <v>166</v>
      </c>
      <c r="CC38" s="14" t="s">
        <v>166</v>
      </c>
      <c r="CD38" s="14" t="s">
        <v>166</v>
      </c>
      <c r="CE38" s="18" t="s">
        <v>166</v>
      </c>
      <c r="CF38" s="16" t="s">
        <v>166</v>
      </c>
      <c r="CG38" s="17" t="s">
        <v>166</v>
      </c>
      <c r="CH38" s="16" t="s">
        <v>166</v>
      </c>
      <c r="CI38" s="16" t="s">
        <v>166</v>
      </c>
      <c r="CJ38" s="16" t="s">
        <v>166</v>
      </c>
      <c r="CK38" s="16" t="s">
        <v>166</v>
      </c>
      <c r="CL38" s="16" t="s">
        <v>166</v>
      </c>
      <c r="CM38" s="20" t="s">
        <v>166</v>
      </c>
      <c r="CN38" s="16" t="s">
        <v>166</v>
      </c>
      <c r="CO38" s="16" t="s">
        <v>166</v>
      </c>
      <c r="CP38" s="16" t="s">
        <v>166</v>
      </c>
      <c r="CQ38" s="16" t="s">
        <v>166</v>
      </c>
      <c r="CR38" s="16" t="s">
        <v>166</v>
      </c>
      <c r="CS38" s="16" t="s">
        <v>166</v>
      </c>
      <c r="CT38" s="16" t="s">
        <v>166</v>
      </c>
      <c r="CU38" s="16" t="s">
        <v>166</v>
      </c>
      <c r="CV38" s="16" t="s">
        <v>166</v>
      </c>
      <c r="CW38" s="16" t="s">
        <v>166</v>
      </c>
      <c r="CX38" s="16" t="s">
        <v>166</v>
      </c>
      <c r="CY38" s="16" t="s">
        <v>166</v>
      </c>
      <c r="CZ38" s="16" t="s">
        <v>166</v>
      </c>
      <c r="DA38" s="16" t="s">
        <v>166</v>
      </c>
      <c r="DB38" s="16" t="s">
        <v>166</v>
      </c>
      <c r="DC38" s="16" t="s">
        <v>166</v>
      </c>
      <c r="DD38" s="16" t="s">
        <v>166</v>
      </c>
      <c r="DE38" s="17" t="s">
        <v>166</v>
      </c>
      <c r="DF38" s="22">
        <v>10</v>
      </c>
      <c r="DG38" s="14" t="s">
        <v>309</v>
      </c>
      <c r="DH38" s="14" t="s">
        <v>193</v>
      </c>
      <c r="DI38" s="14" t="s">
        <v>194</v>
      </c>
      <c r="DJ38" s="14" t="s">
        <v>310</v>
      </c>
      <c r="DK38" s="14" t="s">
        <v>310</v>
      </c>
      <c r="DL38" s="21" t="s">
        <v>830</v>
      </c>
      <c r="DM38" s="14" t="s">
        <v>198</v>
      </c>
      <c r="DN38" s="13" t="s">
        <v>831</v>
      </c>
      <c r="DO38" s="20">
        <v>2019</v>
      </c>
      <c r="DP38" s="14" t="s">
        <v>166</v>
      </c>
      <c r="DQ38" s="14" t="s">
        <v>166</v>
      </c>
      <c r="DR38" s="18" t="s">
        <v>166</v>
      </c>
      <c r="DS38" s="16" t="s">
        <v>166</v>
      </c>
      <c r="DT38" s="19" t="s">
        <v>166</v>
      </c>
      <c r="DU38" s="14" t="s">
        <v>166</v>
      </c>
      <c r="DV38" s="18" t="s">
        <v>166</v>
      </c>
      <c r="DW38" s="18" t="s">
        <v>166</v>
      </c>
      <c r="DX38" s="16" t="s">
        <v>166</v>
      </c>
      <c r="DY38" s="16" t="s">
        <v>166</v>
      </c>
      <c r="DZ38" s="17" t="s">
        <v>166</v>
      </c>
      <c r="EA38" s="16" t="s">
        <v>166</v>
      </c>
      <c r="EB38" s="16" t="s">
        <v>166</v>
      </c>
      <c r="EC38" s="16" t="s">
        <v>166</v>
      </c>
      <c r="ED38" s="17" t="s">
        <v>166</v>
      </c>
      <c r="EE38" s="17" t="s">
        <v>166</v>
      </c>
      <c r="EF38" s="17" t="s">
        <v>166</v>
      </c>
      <c r="EG38" s="17" t="s">
        <v>166</v>
      </c>
      <c r="EH38" s="16" t="s">
        <v>166</v>
      </c>
      <c r="EI38" s="16" t="s">
        <v>166</v>
      </c>
      <c r="EJ38" s="16" t="s">
        <v>166</v>
      </c>
      <c r="EK38" s="16" t="s">
        <v>166</v>
      </c>
      <c r="EL38" s="16" t="s">
        <v>166</v>
      </c>
      <c r="EM38" s="16" t="s">
        <v>166</v>
      </c>
      <c r="EN38" s="16" t="s">
        <v>166</v>
      </c>
      <c r="EO38" s="16" t="s">
        <v>166</v>
      </c>
      <c r="EP38" s="16" t="s">
        <v>166</v>
      </c>
      <c r="EQ38" s="16" t="s">
        <v>166</v>
      </c>
      <c r="ER38" s="16" t="s">
        <v>166</v>
      </c>
      <c r="ES38" s="16" t="s">
        <v>166</v>
      </c>
      <c r="ET38" s="14" t="s">
        <v>166</v>
      </c>
      <c r="EU38" s="16" t="s">
        <v>166</v>
      </c>
      <c r="EV38" s="16" t="s">
        <v>166</v>
      </c>
      <c r="EW38" s="16" t="s">
        <v>166</v>
      </c>
      <c r="EX38" s="14" t="s">
        <v>190</v>
      </c>
      <c r="EY38" s="14" t="s">
        <v>166</v>
      </c>
      <c r="EZ38" s="16" t="s">
        <v>166</v>
      </c>
      <c r="FA38" s="15" t="s">
        <v>166</v>
      </c>
      <c r="FB38" s="15" t="s">
        <v>166</v>
      </c>
      <c r="FC38" s="15" t="s">
        <v>166</v>
      </c>
      <c r="FD38" s="15" t="s">
        <v>166</v>
      </c>
      <c r="FE38" s="15" t="s">
        <v>166</v>
      </c>
      <c r="FF38" s="15" t="s">
        <v>166</v>
      </c>
      <c r="FG38" s="14" t="s">
        <v>166</v>
      </c>
      <c r="FH38" s="3">
        <f>HYPERLINK("https://my.pitchbook.com?c=174694-78T","View Company Online")</f>
      </c>
    </row>
    <row r="39">
      <c r="A39" s="25" t="s">
        <v>832</v>
      </c>
      <c r="B39" s="25" t="s">
        <v>833</v>
      </c>
      <c r="C39" s="25" t="s">
        <v>834</v>
      </c>
      <c r="D39" s="25" t="s">
        <v>166</v>
      </c>
      <c r="E39" s="34" t="s">
        <v>835</v>
      </c>
      <c r="F39" s="32">
        <v>6</v>
      </c>
      <c r="G39" s="25" t="s">
        <v>836</v>
      </c>
      <c r="H39" s="25" t="s">
        <v>166</v>
      </c>
      <c r="I39" s="25" t="s">
        <v>837</v>
      </c>
      <c r="J39" s="25" t="s">
        <v>838</v>
      </c>
      <c r="K39" s="25" t="s">
        <v>207</v>
      </c>
      <c r="L39" s="25" t="s">
        <v>208</v>
      </c>
      <c r="M39" s="25" t="s">
        <v>839</v>
      </c>
      <c r="N39" s="25" t="s">
        <v>840</v>
      </c>
      <c r="O39" s="25" t="s">
        <v>841</v>
      </c>
      <c r="P39" s="25" t="s">
        <v>842</v>
      </c>
      <c r="Q39" s="25" t="s">
        <v>166</v>
      </c>
      <c r="R39" s="25" t="s">
        <v>177</v>
      </c>
      <c r="S39" s="25" t="s">
        <v>178</v>
      </c>
      <c r="T39" s="25" t="s">
        <v>179</v>
      </c>
      <c r="U39" s="25" t="s">
        <v>843</v>
      </c>
      <c r="V39" s="25" t="s">
        <v>844</v>
      </c>
      <c r="W39" s="32" t="s">
        <v>166</v>
      </c>
      <c r="X39" s="25" t="s">
        <v>845</v>
      </c>
      <c r="Y39" s="25" t="s">
        <v>846</v>
      </c>
      <c r="Z39" s="25" t="s">
        <v>166</v>
      </c>
      <c r="AA39" s="25" t="s">
        <v>242</v>
      </c>
      <c r="AB39" s="25" t="s">
        <v>243</v>
      </c>
      <c r="AC39" s="25" t="s">
        <v>244</v>
      </c>
      <c r="AD39" s="25" t="s">
        <v>243</v>
      </c>
      <c r="AE39" s="25" t="s">
        <v>243</v>
      </c>
      <c r="AF39" s="25" t="s">
        <v>166</v>
      </c>
      <c r="AG39" s="25" t="s">
        <v>246</v>
      </c>
      <c r="AH39" s="32">
        <v>1</v>
      </c>
      <c r="AI39" s="4">
        <f>HYPERLINK("https://my.pitchbook.com/?d=207579-16T","207579-16T")</f>
      </c>
      <c r="AJ39" s="30" t="s">
        <v>166</v>
      </c>
      <c r="AK39" s="30">
        <v>45001</v>
      </c>
      <c r="AL39" s="29">
        <v>4.5</v>
      </c>
      <c r="AM39" s="25" t="s">
        <v>185</v>
      </c>
      <c r="AN39" s="29">
        <v>15.5</v>
      </c>
      <c r="AO39" s="29">
        <v>20</v>
      </c>
      <c r="AP39" s="25" t="s">
        <v>185</v>
      </c>
      <c r="AQ39" s="32" t="s">
        <v>166</v>
      </c>
      <c r="AR39" s="32" t="s">
        <v>166</v>
      </c>
      <c r="AS39" s="28">
        <v>22.5</v>
      </c>
      <c r="AT39" s="29">
        <v>4.5</v>
      </c>
      <c r="AU39" s="32" t="s">
        <v>186</v>
      </c>
      <c r="AV39" s="32" t="s">
        <v>166</v>
      </c>
      <c r="AW39" s="29">
        <v>1.8</v>
      </c>
      <c r="AX39" s="32" t="s">
        <v>166</v>
      </c>
      <c r="AY39" s="25" t="s">
        <v>217</v>
      </c>
      <c r="AZ39" s="25" t="s">
        <v>217</v>
      </c>
      <c r="BA39" s="25" t="s">
        <v>166</v>
      </c>
      <c r="BB39" s="32" t="s">
        <v>166</v>
      </c>
      <c r="BC39" s="25" t="s">
        <v>179</v>
      </c>
      <c r="BD39" s="25" t="s">
        <v>847</v>
      </c>
      <c r="BE39" s="25" t="s">
        <v>189</v>
      </c>
      <c r="BF39" s="29">
        <v>4.5</v>
      </c>
      <c r="BG39" s="25" t="s">
        <v>190</v>
      </c>
      <c r="BH39" s="25" t="s">
        <v>166</v>
      </c>
      <c r="BI39" s="25" t="s">
        <v>166</v>
      </c>
      <c r="BJ39" s="29" t="s">
        <v>166</v>
      </c>
      <c r="BK39" s="29" t="s">
        <v>166</v>
      </c>
      <c r="BL39" s="25" t="s">
        <v>191</v>
      </c>
      <c r="BM39" s="25" t="s">
        <v>358</v>
      </c>
      <c r="BN39" s="25" t="s">
        <v>177</v>
      </c>
      <c r="BO39" s="33">
        <v>2</v>
      </c>
      <c r="BP39" s="25" t="s">
        <v>848</v>
      </c>
      <c r="BQ39" s="32">
        <v>6</v>
      </c>
      <c r="BR39" s="25" t="s">
        <v>166</v>
      </c>
      <c r="BS39" s="32" t="s">
        <v>166</v>
      </c>
      <c r="BT39" s="25" t="s">
        <v>849</v>
      </c>
      <c r="BU39" s="25" t="s">
        <v>166</v>
      </c>
      <c r="BV39" s="25" t="s">
        <v>850</v>
      </c>
      <c r="BW39" s="25" t="s">
        <v>166</v>
      </c>
      <c r="BX39" s="25" t="s">
        <v>166</v>
      </c>
      <c r="BY39" s="25" t="s">
        <v>166</v>
      </c>
      <c r="BZ39" s="25" t="s">
        <v>166</v>
      </c>
      <c r="CA39" s="25" t="s">
        <v>166</v>
      </c>
      <c r="CB39" s="25" t="s">
        <v>166</v>
      </c>
      <c r="CC39" s="25" t="s">
        <v>166</v>
      </c>
      <c r="CD39" s="25" t="s">
        <v>166</v>
      </c>
      <c r="CE39" s="29" t="s">
        <v>166</v>
      </c>
      <c r="CF39" s="27" t="s">
        <v>166</v>
      </c>
      <c r="CG39" s="28" t="s">
        <v>166</v>
      </c>
      <c r="CH39" s="27" t="s">
        <v>166</v>
      </c>
      <c r="CI39" s="27" t="s">
        <v>166</v>
      </c>
      <c r="CJ39" s="27" t="s">
        <v>166</v>
      </c>
      <c r="CK39" s="27" t="s">
        <v>166</v>
      </c>
      <c r="CL39" s="27" t="s">
        <v>166</v>
      </c>
      <c r="CM39" s="31" t="s">
        <v>166</v>
      </c>
      <c r="CN39" s="27" t="s">
        <v>166</v>
      </c>
      <c r="CO39" s="27" t="s">
        <v>166</v>
      </c>
      <c r="CP39" s="27" t="s">
        <v>166</v>
      </c>
      <c r="CQ39" s="27" t="s">
        <v>166</v>
      </c>
      <c r="CR39" s="27" t="s">
        <v>166</v>
      </c>
      <c r="CS39" s="27" t="s">
        <v>166</v>
      </c>
      <c r="CT39" s="27" t="s">
        <v>166</v>
      </c>
      <c r="CU39" s="27" t="s">
        <v>166</v>
      </c>
      <c r="CV39" s="27" t="s">
        <v>166</v>
      </c>
      <c r="CW39" s="27" t="s">
        <v>166</v>
      </c>
      <c r="CX39" s="27" t="s">
        <v>166</v>
      </c>
      <c r="CY39" s="27" t="s">
        <v>166</v>
      </c>
      <c r="CZ39" s="27" t="s">
        <v>166</v>
      </c>
      <c r="DA39" s="27" t="s">
        <v>166</v>
      </c>
      <c r="DB39" s="27" t="s">
        <v>166</v>
      </c>
      <c r="DC39" s="27" t="s">
        <v>166</v>
      </c>
      <c r="DD39" s="27" t="s">
        <v>166</v>
      </c>
      <c r="DE39" s="28" t="s">
        <v>166</v>
      </c>
      <c r="DF39" s="33">
        <v>17</v>
      </c>
      <c r="DG39" s="25" t="s">
        <v>673</v>
      </c>
      <c r="DH39" s="25" t="s">
        <v>193</v>
      </c>
      <c r="DI39" s="25" t="s">
        <v>194</v>
      </c>
      <c r="DJ39" s="25" t="s">
        <v>674</v>
      </c>
      <c r="DK39" s="25" t="s">
        <v>257</v>
      </c>
      <c r="DL39" s="32" t="s">
        <v>851</v>
      </c>
      <c r="DM39" s="25" t="s">
        <v>198</v>
      </c>
      <c r="DN39" s="24" t="s">
        <v>852</v>
      </c>
      <c r="DO39" s="31">
        <v>2022</v>
      </c>
      <c r="DP39" s="25" t="s">
        <v>166</v>
      </c>
      <c r="DQ39" s="25" t="s">
        <v>166</v>
      </c>
      <c r="DR39" s="29" t="s">
        <v>166</v>
      </c>
      <c r="DS39" s="27" t="s">
        <v>166</v>
      </c>
      <c r="DT39" s="30" t="s">
        <v>166</v>
      </c>
      <c r="DU39" s="25" t="s">
        <v>166</v>
      </c>
      <c r="DV39" s="29" t="s">
        <v>166</v>
      </c>
      <c r="DW39" s="29" t="s">
        <v>166</v>
      </c>
      <c r="DX39" s="27" t="s">
        <v>166</v>
      </c>
      <c r="DY39" s="27" t="s">
        <v>166</v>
      </c>
      <c r="DZ39" s="28" t="s">
        <v>166</v>
      </c>
      <c r="EA39" s="27" t="s">
        <v>166</v>
      </c>
      <c r="EB39" s="27" t="s">
        <v>166</v>
      </c>
      <c r="EC39" s="27" t="s">
        <v>166</v>
      </c>
      <c r="ED39" s="28" t="s">
        <v>166</v>
      </c>
      <c r="EE39" s="28" t="s">
        <v>166</v>
      </c>
      <c r="EF39" s="28" t="s">
        <v>166</v>
      </c>
      <c r="EG39" s="28" t="s">
        <v>166</v>
      </c>
      <c r="EH39" s="27" t="s">
        <v>166</v>
      </c>
      <c r="EI39" s="27" t="s">
        <v>166</v>
      </c>
      <c r="EJ39" s="27" t="s">
        <v>166</v>
      </c>
      <c r="EK39" s="27" t="s">
        <v>166</v>
      </c>
      <c r="EL39" s="27" t="s">
        <v>166</v>
      </c>
      <c r="EM39" s="27" t="s">
        <v>166</v>
      </c>
      <c r="EN39" s="27" t="s">
        <v>166</v>
      </c>
      <c r="EO39" s="27" t="s">
        <v>166</v>
      </c>
      <c r="EP39" s="27" t="s">
        <v>166</v>
      </c>
      <c r="EQ39" s="27" t="s">
        <v>166</v>
      </c>
      <c r="ER39" s="27" t="s">
        <v>166</v>
      </c>
      <c r="ES39" s="27" t="s">
        <v>166</v>
      </c>
      <c r="ET39" s="25" t="s">
        <v>166</v>
      </c>
      <c r="EU39" s="27" t="s">
        <v>166</v>
      </c>
      <c r="EV39" s="27" t="s">
        <v>166</v>
      </c>
      <c r="EW39" s="27" t="s">
        <v>166</v>
      </c>
      <c r="EX39" s="25" t="s">
        <v>190</v>
      </c>
      <c r="EY39" s="25" t="s">
        <v>166</v>
      </c>
      <c r="EZ39" s="27" t="s">
        <v>166</v>
      </c>
      <c r="FA39" s="26" t="s">
        <v>166</v>
      </c>
      <c r="FB39" s="26" t="s">
        <v>166</v>
      </c>
      <c r="FC39" s="26" t="s">
        <v>166</v>
      </c>
      <c r="FD39" s="26" t="s">
        <v>166</v>
      </c>
      <c r="FE39" s="26" t="s">
        <v>166</v>
      </c>
      <c r="FF39" s="26" t="s">
        <v>166</v>
      </c>
      <c r="FG39" s="25" t="s">
        <v>166</v>
      </c>
      <c r="FH39" s="4">
        <f>HYPERLINK("https://my.pitchbook.com?c=207579-16T","View Company Online")</f>
      </c>
    </row>
    <row r="40">
      <c r="A40" s="14" t="s">
        <v>853</v>
      </c>
      <c r="B40" s="14" t="s">
        <v>854</v>
      </c>
      <c r="C40" s="14" t="s">
        <v>855</v>
      </c>
      <c r="D40" s="14" t="s">
        <v>166</v>
      </c>
      <c r="E40" s="23" t="s">
        <v>856</v>
      </c>
      <c r="F40" s="21">
        <v>3</v>
      </c>
      <c r="G40" s="14" t="s">
        <v>857</v>
      </c>
      <c r="H40" s="14" t="s">
        <v>166</v>
      </c>
      <c r="I40" s="14" t="s">
        <v>858</v>
      </c>
      <c r="J40" s="14" t="s">
        <v>859</v>
      </c>
      <c r="K40" s="14" t="s">
        <v>207</v>
      </c>
      <c r="L40" s="14" t="s">
        <v>208</v>
      </c>
      <c r="M40" s="14" t="s">
        <v>209</v>
      </c>
      <c r="N40" s="14" t="s">
        <v>860</v>
      </c>
      <c r="O40" s="14" t="s">
        <v>861</v>
      </c>
      <c r="P40" s="14" t="s">
        <v>862</v>
      </c>
      <c r="Q40" s="14" t="s">
        <v>863</v>
      </c>
      <c r="R40" s="14" t="s">
        <v>177</v>
      </c>
      <c r="S40" s="14" t="s">
        <v>178</v>
      </c>
      <c r="T40" s="14" t="s">
        <v>179</v>
      </c>
      <c r="U40" s="14" t="s">
        <v>864</v>
      </c>
      <c r="V40" s="14" t="s">
        <v>865</v>
      </c>
      <c r="W40" s="21" t="s">
        <v>866</v>
      </c>
      <c r="X40" s="14" t="s">
        <v>867</v>
      </c>
      <c r="Y40" s="14" t="s">
        <v>868</v>
      </c>
      <c r="Z40" s="14" t="s">
        <v>869</v>
      </c>
      <c r="AA40" s="14" t="s">
        <v>242</v>
      </c>
      <c r="AB40" s="14" t="s">
        <v>243</v>
      </c>
      <c r="AC40" s="14" t="s">
        <v>244</v>
      </c>
      <c r="AD40" s="14" t="s">
        <v>243</v>
      </c>
      <c r="AE40" s="14" t="s">
        <v>243</v>
      </c>
      <c r="AF40" s="14" t="s">
        <v>166</v>
      </c>
      <c r="AG40" s="14" t="s">
        <v>246</v>
      </c>
      <c r="AH40" s="21">
        <v>1</v>
      </c>
      <c r="AI40" s="3">
        <f>HYPERLINK("https://my.pitchbook.com/?d=204410-98T","204410-98T")</f>
      </c>
      <c r="AJ40" s="19">
        <v>44797</v>
      </c>
      <c r="AK40" s="19">
        <v>44812</v>
      </c>
      <c r="AL40" s="18">
        <v>2.97</v>
      </c>
      <c r="AM40" s="14" t="s">
        <v>185</v>
      </c>
      <c r="AN40" s="18">
        <v>15</v>
      </c>
      <c r="AO40" s="18">
        <v>17.97</v>
      </c>
      <c r="AP40" s="14" t="s">
        <v>185</v>
      </c>
      <c r="AQ40" s="21" t="s">
        <v>166</v>
      </c>
      <c r="AR40" s="21" t="s">
        <v>166</v>
      </c>
      <c r="AS40" s="17">
        <v>23.59</v>
      </c>
      <c r="AT40" s="18">
        <v>2.97</v>
      </c>
      <c r="AU40" s="21" t="s">
        <v>186</v>
      </c>
      <c r="AV40" s="21" t="s">
        <v>166</v>
      </c>
      <c r="AW40" s="18">
        <v>1.37</v>
      </c>
      <c r="AX40" s="21" t="s">
        <v>166</v>
      </c>
      <c r="AY40" s="14" t="s">
        <v>217</v>
      </c>
      <c r="AZ40" s="14" t="s">
        <v>217</v>
      </c>
      <c r="BA40" s="14" t="s">
        <v>166</v>
      </c>
      <c r="BB40" s="21" t="s">
        <v>166</v>
      </c>
      <c r="BC40" s="14" t="s">
        <v>179</v>
      </c>
      <c r="BD40" s="14" t="s">
        <v>859</v>
      </c>
      <c r="BE40" s="14" t="s">
        <v>189</v>
      </c>
      <c r="BF40" s="18">
        <v>2.97</v>
      </c>
      <c r="BG40" s="14" t="s">
        <v>190</v>
      </c>
      <c r="BH40" s="14" t="s">
        <v>166</v>
      </c>
      <c r="BI40" s="14" t="s">
        <v>166</v>
      </c>
      <c r="BJ40" s="18" t="s">
        <v>166</v>
      </c>
      <c r="BK40" s="18" t="s">
        <v>166</v>
      </c>
      <c r="BL40" s="14" t="s">
        <v>191</v>
      </c>
      <c r="BM40" s="14" t="s">
        <v>358</v>
      </c>
      <c r="BN40" s="14" t="s">
        <v>177</v>
      </c>
      <c r="BO40" s="22" t="s">
        <v>166</v>
      </c>
      <c r="BP40" s="14" t="s">
        <v>856</v>
      </c>
      <c r="BQ40" s="21">
        <v>3</v>
      </c>
      <c r="BR40" s="14" t="s">
        <v>166</v>
      </c>
      <c r="BS40" s="21" t="s">
        <v>166</v>
      </c>
      <c r="BT40" s="14" t="s">
        <v>870</v>
      </c>
      <c r="BU40" s="14" t="s">
        <v>166</v>
      </c>
      <c r="BV40" s="14" t="s">
        <v>871</v>
      </c>
      <c r="BW40" s="14" t="s">
        <v>166</v>
      </c>
      <c r="BX40" s="14" t="s">
        <v>166</v>
      </c>
      <c r="BY40" s="14" t="s">
        <v>166</v>
      </c>
      <c r="BZ40" s="14" t="s">
        <v>872</v>
      </c>
      <c r="CA40" s="14" t="s">
        <v>872</v>
      </c>
      <c r="CB40" s="14" t="s">
        <v>166</v>
      </c>
      <c r="CC40" s="14" t="s">
        <v>166</v>
      </c>
      <c r="CD40" s="14" t="s">
        <v>166</v>
      </c>
      <c r="CE40" s="18" t="s">
        <v>166</v>
      </c>
      <c r="CF40" s="16" t="s">
        <v>166</v>
      </c>
      <c r="CG40" s="17" t="s">
        <v>166</v>
      </c>
      <c r="CH40" s="16" t="s">
        <v>166</v>
      </c>
      <c r="CI40" s="16" t="s">
        <v>166</v>
      </c>
      <c r="CJ40" s="16" t="s">
        <v>166</v>
      </c>
      <c r="CK40" s="16" t="s">
        <v>166</v>
      </c>
      <c r="CL40" s="16" t="s">
        <v>166</v>
      </c>
      <c r="CM40" s="20" t="s">
        <v>166</v>
      </c>
      <c r="CN40" s="16" t="s">
        <v>166</v>
      </c>
      <c r="CO40" s="16" t="s">
        <v>166</v>
      </c>
      <c r="CP40" s="16" t="s">
        <v>166</v>
      </c>
      <c r="CQ40" s="16" t="s">
        <v>166</v>
      </c>
      <c r="CR40" s="16" t="s">
        <v>166</v>
      </c>
      <c r="CS40" s="16" t="s">
        <v>166</v>
      </c>
      <c r="CT40" s="16" t="s">
        <v>166</v>
      </c>
      <c r="CU40" s="16" t="s">
        <v>166</v>
      </c>
      <c r="CV40" s="16" t="s">
        <v>166</v>
      </c>
      <c r="CW40" s="16" t="s">
        <v>166</v>
      </c>
      <c r="CX40" s="16" t="s">
        <v>166</v>
      </c>
      <c r="CY40" s="16" t="s">
        <v>166</v>
      </c>
      <c r="CZ40" s="16" t="s">
        <v>166</v>
      </c>
      <c r="DA40" s="16" t="s">
        <v>166</v>
      </c>
      <c r="DB40" s="16" t="s">
        <v>166</v>
      </c>
      <c r="DC40" s="16" t="s">
        <v>166</v>
      </c>
      <c r="DD40" s="16" t="s">
        <v>166</v>
      </c>
      <c r="DE40" s="17" t="s">
        <v>166</v>
      </c>
      <c r="DF40" s="22">
        <v>6</v>
      </c>
      <c r="DG40" s="14" t="s">
        <v>309</v>
      </c>
      <c r="DH40" s="14" t="s">
        <v>193</v>
      </c>
      <c r="DI40" s="14" t="s">
        <v>194</v>
      </c>
      <c r="DJ40" s="14" t="s">
        <v>310</v>
      </c>
      <c r="DK40" s="14" t="s">
        <v>310</v>
      </c>
      <c r="DL40" s="21" t="s">
        <v>873</v>
      </c>
      <c r="DM40" s="14" t="s">
        <v>198</v>
      </c>
      <c r="DN40" s="13" t="s">
        <v>874</v>
      </c>
      <c r="DO40" s="20">
        <v>2022</v>
      </c>
      <c r="DP40" s="14" t="s">
        <v>166</v>
      </c>
      <c r="DQ40" s="14" t="s">
        <v>166</v>
      </c>
      <c r="DR40" s="18" t="s">
        <v>166</v>
      </c>
      <c r="DS40" s="16" t="s">
        <v>166</v>
      </c>
      <c r="DT40" s="19" t="s">
        <v>166</v>
      </c>
      <c r="DU40" s="14" t="s">
        <v>166</v>
      </c>
      <c r="DV40" s="18" t="s">
        <v>166</v>
      </c>
      <c r="DW40" s="18" t="s">
        <v>166</v>
      </c>
      <c r="DX40" s="16" t="s">
        <v>166</v>
      </c>
      <c r="DY40" s="16" t="s">
        <v>166</v>
      </c>
      <c r="DZ40" s="17" t="s">
        <v>166</v>
      </c>
      <c r="EA40" s="16" t="s">
        <v>166</v>
      </c>
      <c r="EB40" s="16" t="s">
        <v>166</v>
      </c>
      <c r="EC40" s="16" t="s">
        <v>166</v>
      </c>
      <c r="ED40" s="17" t="s">
        <v>166</v>
      </c>
      <c r="EE40" s="17" t="s">
        <v>166</v>
      </c>
      <c r="EF40" s="17" t="s">
        <v>166</v>
      </c>
      <c r="EG40" s="17" t="s">
        <v>166</v>
      </c>
      <c r="EH40" s="16" t="s">
        <v>166</v>
      </c>
      <c r="EI40" s="16" t="s">
        <v>166</v>
      </c>
      <c r="EJ40" s="16" t="s">
        <v>166</v>
      </c>
      <c r="EK40" s="16" t="s">
        <v>166</v>
      </c>
      <c r="EL40" s="16" t="s">
        <v>166</v>
      </c>
      <c r="EM40" s="16" t="s">
        <v>166</v>
      </c>
      <c r="EN40" s="16" t="s">
        <v>166</v>
      </c>
      <c r="EO40" s="16" t="s">
        <v>166</v>
      </c>
      <c r="EP40" s="16" t="s">
        <v>166</v>
      </c>
      <c r="EQ40" s="16" t="s">
        <v>166</v>
      </c>
      <c r="ER40" s="16" t="s">
        <v>166</v>
      </c>
      <c r="ES40" s="16" t="s">
        <v>166</v>
      </c>
      <c r="ET40" s="14" t="s">
        <v>166</v>
      </c>
      <c r="EU40" s="16" t="s">
        <v>166</v>
      </c>
      <c r="EV40" s="16" t="s">
        <v>166</v>
      </c>
      <c r="EW40" s="16" t="s">
        <v>166</v>
      </c>
      <c r="EX40" s="14" t="s">
        <v>190</v>
      </c>
      <c r="EY40" s="14" t="s">
        <v>166</v>
      </c>
      <c r="EZ40" s="16" t="s">
        <v>166</v>
      </c>
      <c r="FA40" s="15" t="s">
        <v>166</v>
      </c>
      <c r="FB40" s="15" t="s">
        <v>166</v>
      </c>
      <c r="FC40" s="15" t="s">
        <v>166</v>
      </c>
      <c r="FD40" s="15" t="s">
        <v>166</v>
      </c>
      <c r="FE40" s="15" t="s">
        <v>166</v>
      </c>
      <c r="FF40" s="15" t="s">
        <v>166</v>
      </c>
      <c r="FG40" s="14" t="s">
        <v>166</v>
      </c>
      <c r="FH40" s="3">
        <f>HYPERLINK("https://my.pitchbook.com?c=204410-98T","View Company Online")</f>
      </c>
    </row>
    <row r="41">
      <c r="A41" s="25" t="s">
        <v>875</v>
      </c>
      <c r="B41" s="25" t="s">
        <v>876</v>
      </c>
      <c r="C41" s="25" t="s">
        <v>877</v>
      </c>
      <c r="D41" s="25" t="s">
        <v>166</v>
      </c>
      <c r="E41" s="34" t="s">
        <v>878</v>
      </c>
      <c r="F41" s="32">
        <v>2</v>
      </c>
      <c r="G41" s="25" t="s">
        <v>879</v>
      </c>
      <c r="H41" s="25" t="s">
        <v>166</v>
      </c>
      <c r="I41" s="25" t="s">
        <v>880</v>
      </c>
      <c r="J41" s="25" t="s">
        <v>881</v>
      </c>
      <c r="K41" s="25" t="s">
        <v>207</v>
      </c>
      <c r="L41" s="25" t="s">
        <v>208</v>
      </c>
      <c r="M41" s="25" t="s">
        <v>882</v>
      </c>
      <c r="N41" s="25" t="s">
        <v>883</v>
      </c>
      <c r="O41" s="25" t="s">
        <v>884</v>
      </c>
      <c r="P41" s="25" t="s">
        <v>885</v>
      </c>
      <c r="Q41" s="25" t="s">
        <v>166</v>
      </c>
      <c r="R41" s="25" t="s">
        <v>177</v>
      </c>
      <c r="S41" s="25" t="s">
        <v>178</v>
      </c>
      <c r="T41" s="25" t="s">
        <v>179</v>
      </c>
      <c r="U41" s="25" t="s">
        <v>886</v>
      </c>
      <c r="V41" s="25" t="s">
        <v>887</v>
      </c>
      <c r="W41" s="32" t="s">
        <v>888</v>
      </c>
      <c r="X41" s="25" t="s">
        <v>889</v>
      </c>
      <c r="Y41" s="25" t="s">
        <v>890</v>
      </c>
      <c r="Z41" s="25" t="s">
        <v>166</v>
      </c>
      <c r="AA41" s="25" t="s">
        <v>166</v>
      </c>
      <c r="AB41" s="25" t="s">
        <v>166</v>
      </c>
      <c r="AC41" s="25" t="s">
        <v>166</v>
      </c>
      <c r="AD41" s="25" t="s">
        <v>166</v>
      </c>
      <c r="AE41" s="25" t="s">
        <v>166</v>
      </c>
      <c r="AF41" s="25" t="s">
        <v>166</v>
      </c>
      <c r="AG41" s="25" t="s">
        <v>166</v>
      </c>
      <c r="AH41" s="32">
        <v>1</v>
      </c>
      <c r="AI41" s="4">
        <f>HYPERLINK("https://my.pitchbook.com/?d=140931-19T","140931-19T")</f>
      </c>
      <c r="AJ41" s="30" t="s">
        <v>166</v>
      </c>
      <c r="AK41" s="30">
        <v>44105</v>
      </c>
      <c r="AL41" s="29">
        <v>1</v>
      </c>
      <c r="AM41" s="25" t="s">
        <v>185</v>
      </c>
      <c r="AN41" s="29" t="s">
        <v>166</v>
      </c>
      <c r="AO41" s="29" t="s">
        <v>166</v>
      </c>
      <c r="AP41" s="25" t="s">
        <v>166</v>
      </c>
      <c r="AQ41" s="32" t="s">
        <v>166</v>
      </c>
      <c r="AR41" s="32" t="s">
        <v>166</v>
      </c>
      <c r="AS41" s="28" t="s">
        <v>166</v>
      </c>
      <c r="AT41" s="29">
        <v>1</v>
      </c>
      <c r="AU41" s="32" t="s">
        <v>186</v>
      </c>
      <c r="AV41" s="32" t="s">
        <v>166</v>
      </c>
      <c r="AW41" s="29" t="s">
        <v>166</v>
      </c>
      <c r="AX41" s="32" t="s">
        <v>166</v>
      </c>
      <c r="AY41" s="25" t="s">
        <v>217</v>
      </c>
      <c r="AZ41" s="25" t="s">
        <v>217</v>
      </c>
      <c r="BA41" s="25" t="s">
        <v>166</v>
      </c>
      <c r="BB41" s="32" t="s">
        <v>166</v>
      </c>
      <c r="BC41" s="25" t="s">
        <v>179</v>
      </c>
      <c r="BD41" s="25" t="s">
        <v>891</v>
      </c>
      <c r="BE41" s="25" t="s">
        <v>189</v>
      </c>
      <c r="BF41" s="29">
        <v>1</v>
      </c>
      <c r="BG41" s="25" t="s">
        <v>190</v>
      </c>
      <c r="BH41" s="25" t="s">
        <v>166</v>
      </c>
      <c r="BI41" s="25" t="s">
        <v>166</v>
      </c>
      <c r="BJ41" s="29" t="s">
        <v>166</v>
      </c>
      <c r="BK41" s="29" t="s">
        <v>166</v>
      </c>
      <c r="BL41" s="25" t="s">
        <v>191</v>
      </c>
      <c r="BM41" s="25" t="s">
        <v>178</v>
      </c>
      <c r="BN41" s="25" t="s">
        <v>177</v>
      </c>
      <c r="BO41" s="33" t="s">
        <v>166</v>
      </c>
      <c r="BP41" s="25" t="s">
        <v>892</v>
      </c>
      <c r="BQ41" s="32">
        <v>2</v>
      </c>
      <c r="BR41" s="25" t="s">
        <v>166</v>
      </c>
      <c r="BS41" s="32" t="s">
        <v>166</v>
      </c>
      <c r="BT41" s="25" t="s">
        <v>166</v>
      </c>
      <c r="BU41" s="25" t="s">
        <v>166</v>
      </c>
      <c r="BV41" s="25" t="s">
        <v>166</v>
      </c>
      <c r="BW41" s="25" t="s">
        <v>166</v>
      </c>
      <c r="BX41" s="25" t="s">
        <v>166</v>
      </c>
      <c r="BY41" s="25" t="s">
        <v>166</v>
      </c>
      <c r="BZ41" s="25" t="s">
        <v>166</v>
      </c>
      <c r="CA41" s="25" t="s">
        <v>166</v>
      </c>
      <c r="CB41" s="25" t="s">
        <v>166</v>
      </c>
      <c r="CC41" s="25" t="s">
        <v>166</v>
      </c>
      <c r="CD41" s="25" t="s">
        <v>166</v>
      </c>
      <c r="CE41" s="29" t="s">
        <v>166</v>
      </c>
      <c r="CF41" s="27" t="s">
        <v>166</v>
      </c>
      <c r="CG41" s="28" t="s">
        <v>166</v>
      </c>
      <c r="CH41" s="27" t="s">
        <v>166</v>
      </c>
      <c r="CI41" s="27" t="s">
        <v>166</v>
      </c>
      <c r="CJ41" s="27" t="s">
        <v>166</v>
      </c>
      <c r="CK41" s="27" t="s">
        <v>166</v>
      </c>
      <c r="CL41" s="27" t="s">
        <v>166</v>
      </c>
      <c r="CM41" s="31" t="s">
        <v>166</v>
      </c>
      <c r="CN41" s="27" t="s">
        <v>166</v>
      </c>
      <c r="CO41" s="27" t="s">
        <v>166</v>
      </c>
      <c r="CP41" s="27" t="s">
        <v>166</v>
      </c>
      <c r="CQ41" s="27" t="s">
        <v>166</v>
      </c>
      <c r="CR41" s="27" t="s">
        <v>166</v>
      </c>
      <c r="CS41" s="27" t="s">
        <v>166</v>
      </c>
      <c r="CT41" s="27" t="s">
        <v>166</v>
      </c>
      <c r="CU41" s="27" t="s">
        <v>166</v>
      </c>
      <c r="CV41" s="27" t="s">
        <v>166</v>
      </c>
      <c r="CW41" s="27" t="s">
        <v>166</v>
      </c>
      <c r="CX41" s="27" t="s">
        <v>166</v>
      </c>
      <c r="CY41" s="27" t="s">
        <v>166</v>
      </c>
      <c r="CZ41" s="27" t="s">
        <v>166</v>
      </c>
      <c r="DA41" s="27" t="s">
        <v>166</v>
      </c>
      <c r="DB41" s="27" t="s">
        <v>166</v>
      </c>
      <c r="DC41" s="27" t="s">
        <v>166</v>
      </c>
      <c r="DD41" s="27" t="s">
        <v>166</v>
      </c>
      <c r="DE41" s="28" t="s">
        <v>166</v>
      </c>
      <c r="DF41" s="33">
        <v>15</v>
      </c>
      <c r="DG41" s="25" t="s">
        <v>893</v>
      </c>
      <c r="DH41" s="25" t="s">
        <v>193</v>
      </c>
      <c r="DI41" s="25" t="s">
        <v>194</v>
      </c>
      <c r="DJ41" s="25" t="s">
        <v>894</v>
      </c>
      <c r="DK41" s="25" t="s">
        <v>257</v>
      </c>
      <c r="DL41" s="32" t="s">
        <v>895</v>
      </c>
      <c r="DM41" s="25" t="s">
        <v>198</v>
      </c>
      <c r="DN41" s="24" t="s">
        <v>896</v>
      </c>
      <c r="DO41" s="31">
        <v>2019</v>
      </c>
      <c r="DP41" s="25" t="s">
        <v>166</v>
      </c>
      <c r="DQ41" s="25" t="s">
        <v>166</v>
      </c>
      <c r="DR41" s="29" t="s">
        <v>166</v>
      </c>
      <c r="DS41" s="27" t="s">
        <v>166</v>
      </c>
      <c r="DT41" s="30" t="s">
        <v>166</v>
      </c>
      <c r="DU41" s="25" t="s">
        <v>166</v>
      </c>
      <c r="DV41" s="29" t="s">
        <v>166</v>
      </c>
      <c r="DW41" s="29" t="s">
        <v>166</v>
      </c>
      <c r="DX41" s="27" t="s">
        <v>166</v>
      </c>
      <c r="DY41" s="27" t="s">
        <v>166</v>
      </c>
      <c r="DZ41" s="28" t="s">
        <v>166</v>
      </c>
      <c r="EA41" s="27" t="s">
        <v>166</v>
      </c>
      <c r="EB41" s="27" t="s">
        <v>166</v>
      </c>
      <c r="EC41" s="27" t="s">
        <v>166</v>
      </c>
      <c r="ED41" s="28" t="s">
        <v>166</v>
      </c>
      <c r="EE41" s="28" t="s">
        <v>166</v>
      </c>
      <c r="EF41" s="28" t="s">
        <v>166</v>
      </c>
      <c r="EG41" s="28" t="s">
        <v>166</v>
      </c>
      <c r="EH41" s="27" t="s">
        <v>166</v>
      </c>
      <c r="EI41" s="27" t="s">
        <v>166</v>
      </c>
      <c r="EJ41" s="27" t="s">
        <v>166</v>
      </c>
      <c r="EK41" s="27" t="s">
        <v>166</v>
      </c>
      <c r="EL41" s="27" t="s">
        <v>166</v>
      </c>
      <c r="EM41" s="27" t="s">
        <v>166</v>
      </c>
      <c r="EN41" s="27" t="s">
        <v>166</v>
      </c>
      <c r="EO41" s="27" t="s">
        <v>166</v>
      </c>
      <c r="EP41" s="27" t="s">
        <v>166</v>
      </c>
      <c r="EQ41" s="27" t="s">
        <v>166</v>
      </c>
      <c r="ER41" s="27" t="s">
        <v>166</v>
      </c>
      <c r="ES41" s="27" t="s">
        <v>166</v>
      </c>
      <c r="ET41" s="25" t="s">
        <v>166</v>
      </c>
      <c r="EU41" s="27" t="s">
        <v>166</v>
      </c>
      <c r="EV41" s="27" t="s">
        <v>166</v>
      </c>
      <c r="EW41" s="27" t="s">
        <v>166</v>
      </c>
      <c r="EX41" s="25" t="s">
        <v>190</v>
      </c>
      <c r="EY41" s="25" t="s">
        <v>166</v>
      </c>
      <c r="EZ41" s="27" t="s">
        <v>166</v>
      </c>
      <c r="FA41" s="26">
        <v>6</v>
      </c>
      <c r="FB41" s="26">
        <v>3</v>
      </c>
      <c r="FC41" s="26" t="s">
        <v>166</v>
      </c>
      <c r="FD41" s="26">
        <v>2</v>
      </c>
      <c r="FE41" s="26" t="s">
        <v>166</v>
      </c>
      <c r="FF41" s="26">
        <v>4</v>
      </c>
      <c r="FG41" s="25" t="s">
        <v>897</v>
      </c>
      <c r="FH41" s="4">
        <f>HYPERLINK("https://my.pitchbook.com?c=140931-19T","View Company Online")</f>
      </c>
    </row>
    <row r="42">
      <c r="A42" s="14" t="s">
        <v>898</v>
      </c>
      <c r="B42" s="14" t="s">
        <v>899</v>
      </c>
      <c r="C42" s="14" t="s">
        <v>900</v>
      </c>
      <c r="D42" s="14" t="s">
        <v>166</v>
      </c>
      <c r="E42" s="23" t="s">
        <v>901</v>
      </c>
      <c r="F42" s="21">
        <v>11</v>
      </c>
      <c r="G42" s="14" t="s">
        <v>902</v>
      </c>
      <c r="H42" s="14" t="s">
        <v>166</v>
      </c>
      <c r="I42" s="14" t="s">
        <v>903</v>
      </c>
      <c r="J42" s="14" t="s">
        <v>904</v>
      </c>
      <c r="K42" s="14" t="s">
        <v>207</v>
      </c>
      <c r="L42" s="14" t="s">
        <v>208</v>
      </c>
      <c r="M42" s="14" t="s">
        <v>296</v>
      </c>
      <c r="N42" s="14" t="s">
        <v>905</v>
      </c>
      <c r="O42" s="14" t="s">
        <v>325</v>
      </c>
      <c r="P42" s="14" t="s">
        <v>906</v>
      </c>
      <c r="Q42" s="14" t="s">
        <v>166</v>
      </c>
      <c r="R42" s="14" t="s">
        <v>177</v>
      </c>
      <c r="S42" s="14" t="s">
        <v>178</v>
      </c>
      <c r="T42" s="14" t="s">
        <v>179</v>
      </c>
      <c r="U42" s="14" t="s">
        <v>907</v>
      </c>
      <c r="V42" s="14" t="s">
        <v>908</v>
      </c>
      <c r="W42" s="21" t="s">
        <v>166</v>
      </c>
      <c r="X42" s="14" t="s">
        <v>909</v>
      </c>
      <c r="Y42" s="14" t="s">
        <v>910</v>
      </c>
      <c r="Z42" s="14" t="s">
        <v>911</v>
      </c>
      <c r="AA42" s="14" t="s">
        <v>166</v>
      </c>
      <c r="AB42" s="14" t="s">
        <v>166</v>
      </c>
      <c r="AC42" s="14" t="s">
        <v>166</v>
      </c>
      <c r="AD42" s="14" t="s">
        <v>166</v>
      </c>
      <c r="AE42" s="14" t="s">
        <v>166</v>
      </c>
      <c r="AF42" s="14" t="s">
        <v>166</v>
      </c>
      <c r="AG42" s="14" t="s">
        <v>166</v>
      </c>
      <c r="AH42" s="21">
        <v>2</v>
      </c>
      <c r="AI42" s="3">
        <f>HYPERLINK("https://my.pitchbook.com/?d=167569-75T","167569-75T")</f>
      </c>
      <c r="AJ42" s="19">
        <v>44274</v>
      </c>
      <c r="AK42" s="19">
        <v>44410</v>
      </c>
      <c r="AL42" s="18">
        <v>2.1</v>
      </c>
      <c r="AM42" s="14" t="s">
        <v>185</v>
      </c>
      <c r="AN42" s="18" t="s">
        <v>166</v>
      </c>
      <c r="AO42" s="18" t="s">
        <v>166</v>
      </c>
      <c r="AP42" s="14" t="s">
        <v>166</v>
      </c>
      <c r="AQ42" s="21" t="s">
        <v>166</v>
      </c>
      <c r="AR42" s="21" t="s">
        <v>166</v>
      </c>
      <c r="AS42" s="17" t="s">
        <v>166</v>
      </c>
      <c r="AT42" s="18">
        <v>2.23</v>
      </c>
      <c r="AU42" s="21" t="s">
        <v>186</v>
      </c>
      <c r="AV42" s="21" t="s">
        <v>166</v>
      </c>
      <c r="AW42" s="18" t="s">
        <v>166</v>
      </c>
      <c r="AX42" s="21" t="s">
        <v>166</v>
      </c>
      <c r="AY42" s="14" t="s">
        <v>217</v>
      </c>
      <c r="AZ42" s="14" t="s">
        <v>217</v>
      </c>
      <c r="BA42" s="14" t="s">
        <v>166</v>
      </c>
      <c r="BB42" s="21" t="s">
        <v>166</v>
      </c>
      <c r="BC42" s="14" t="s">
        <v>179</v>
      </c>
      <c r="BD42" s="14" t="s">
        <v>912</v>
      </c>
      <c r="BE42" s="14" t="s">
        <v>189</v>
      </c>
      <c r="BF42" s="18">
        <v>2.1</v>
      </c>
      <c r="BG42" s="14" t="s">
        <v>190</v>
      </c>
      <c r="BH42" s="14" t="s">
        <v>166</v>
      </c>
      <c r="BI42" s="14" t="s">
        <v>166</v>
      </c>
      <c r="BJ42" s="18" t="s">
        <v>166</v>
      </c>
      <c r="BK42" s="18" t="s">
        <v>166</v>
      </c>
      <c r="BL42" s="14" t="s">
        <v>191</v>
      </c>
      <c r="BM42" s="14" t="s">
        <v>178</v>
      </c>
      <c r="BN42" s="14" t="s">
        <v>177</v>
      </c>
      <c r="BO42" s="22" t="s">
        <v>166</v>
      </c>
      <c r="BP42" s="14" t="s">
        <v>913</v>
      </c>
      <c r="BQ42" s="21">
        <v>10</v>
      </c>
      <c r="BR42" s="14" t="s">
        <v>914</v>
      </c>
      <c r="BS42" s="21">
        <v>1</v>
      </c>
      <c r="BT42" s="14" t="s">
        <v>166</v>
      </c>
      <c r="BU42" s="14" t="s">
        <v>166</v>
      </c>
      <c r="BV42" s="14" t="s">
        <v>915</v>
      </c>
      <c r="BW42" s="14" t="s">
        <v>166</v>
      </c>
      <c r="BX42" s="14" t="s">
        <v>166</v>
      </c>
      <c r="BY42" s="14" t="s">
        <v>166</v>
      </c>
      <c r="BZ42" s="14" t="s">
        <v>166</v>
      </c>
      <c r="CA42" s="14" t="s">
        <v>166</v>
      </c>
      <c r="CB42" s="14" t="s">
        <v>166</v>
      </c>
      <c r="CC42" s="14" t="s">
        <v>166</v>
      </c>
      <c r="CD42" s="14" t="s">
        <v>166</v>
      </c>
      <c r="CE42" s="18" t="s">
        <v>166</v>
      </c>
      <c r="CF42" s="16" t="s">
        <v>166</v>
      </c>
      <c r="CG42" s="17" t="s">
        <v>166</v>
      </c>
      <c r="CH42" s="16" t="s">
        <v>166</v>
      </c>
      <c r="CI42" s="16" t="s">
        <v>166</v>
      </c>
      <c r="CJ42" s="16" t="s">
        <v>166</v>
      </c>
      <c r="CK42" s="16" t="s">
        <v>166</v>
      </c>
      <c r="CL42" s="16" t="s">
        <v>166</v>
      </c>
      <c r="CM42" s="20" t="s">
        <v>166</v>
      </c>
      <c r="CN42" s="16" t="s">
        <v>166</v>
      </c>
      <c r="CO42" s="16" t="s">
        <v>166</v>
      </c>
      <c r="CP42" s="16" t="s">
        <v>166</v>
      </c>
      <c r="CQ42" s="16" t="s">
        <v>166</v>
      </c>
      <c r="CR42" s="16" t="s">
        <v>166</v>
      </c>
      <c r="CS42" s="16" t="s">
        <v>166</v>
      </c>
      <c r="CT42" s="16" t="s">
        <v>166</v>
      </c>
      <c r="CU42" s="16" t="s">
        <v>166</v>
      </c>
      <c r="CV42" s="16" t="s">
        <v>166</v>
      </c>
      <c r="CW42" s="16" t="s">
        <v>166</v>
      </c>
      <c r="CX42" s="16" t="s">
        <v>166</v>
      </c>
      <c r="CY42" s="16" t="s">
        <v>166</v>
      </c>
      <c r="CZ42" s="16" t="s">
        <v>166</v>
      </c>
      <c r="DA42" s="16" t="s">
        <v>166</v>
      </c>
      <c r="DB42" s="16" t="s">
        <v>166</v>
      </c>
      <c r="DC42" s="16" t="s">
        <v>166</v>
      </c>
      <c r="DD42" s="16" t="s">
        <v>166</v>
      </c>
      <c r="DE42" s="17" t="s">
        <v>166</v>
      </c>
      <c r="DF42" s="22">
        <v>13</v>
      </c>
      <c r="DG42" s="14" t="s">
        <v>309</v>
      </c>
      <c r="DH42" s="14" t="s">
        <v>193</v>
      </c>
      <c r="DI42" s="14" t="s">
        <v>194</v>
      </c>
      <c r="DJ42" s="14" t="s">
        <v>310</v>
      </c>
      <c r="DK42" s="14" t="s">
        <v>310</v>
      </c>
      <c r="DL42" s="21" t="s">
        <v>479</v>
      </c>
      <c r="DM42" s="14" t="s">
        <v>198</v>
      </c>
      <c r="DN42" s="13" t="s">
        <v>916</v>
      </c>
      <c r="DO42" s="20">
        <v>2021</v>
      </c>
      <c r="DP42" s="14" t="s">
        <v>166</v>
      </c>
      <c r="DQ42" s="14" t="s">
        <v>166</v>
      </c>
      <c r="DR42" s="18" t="s">
        <v>166</v>
      </c>
      <c r="DS42" s="16" t="s">
        <v>166</v>
      </c>
      <c r="DT42" s="19" t="s">
        <v>166</v>
      </c>
      <c r="DU42" s="14" t="s">
        <v>166</v>
      </c>
      <c r="DV42" s="18" t="s">
        <v>166</v>
      </c>
      <c r="DW42" s="18" t="s">
        <v>166</v>
      </c>
      <c r="DX42" s="16" t="s">
        <v>166</v>
      </c>
      <c r="DY42" s="16" t="s">
        <v>166</v>
      </c>
      <c r="DZ42" s="17" t="s">
        <v>166</v>
      </c>
      <c r="EA42" s="16" t="s">
        <v>166</v>
      </c>
      <c r="EB42" s="16" t="s">
        <v>166</v>
      </c>
      <c r="EC42" s="16" t="s">
        <v>166</v>
      </c>
      <c r="ED42" s="17" t="s">
        <v>166</v>
      </c>
      <c r="EE42" s="17" t="s">
        <v>166</v>
      </c>
      <c r="EF42" s="17" t="s">
        <v>166</v>
      </c>
      <c r="EG42" s="17" t="s">
        <v>166</v>
      </c>
      <c r="EH42" s="16" t="s">
        <v>166</v>
      </c>
      <c r="EI42" s="16" t="s">
        <v>166</v>
      </c>
      <c r="EJ42" s="16" t="s">
        <v>166</v>
      </c>
      <c r="EK42" s="16" t="s">
        <v>166</v>
      </c>
      <c r="EL42" s="16" t="s">
        <v>166</v>
      </c>
      <c r="EM42" s="16" t="s">
        <v>166</v>
      </c>
      <c r="EN42" s="16" t="s">
        <v>166</v>
      </c>
      <c r="EO42" s="16" t="s">
        <v>166</v>
      </c>
      <c r="EP42" s="16" t="s">
        <v>166</v>
      </c>
      <c r="EQ42" s="16" t="s">
        <v>166</v>
      </c>
      <c r="ER42" s="16" t="s">
        <v>166</v>
      </c>
      <c r="ES42" s="16" t="s">
        <v>166</v>
      </c>
      <c r="ET42" s="14" t="s">
        <v>166</v>
      </c>
      <c r="EU42" s="16" t="s">
        <v>166</v>
      </c>
      <c r="EV42" s="16" t="s">
        <v>166</v>
      </c>
      <c r="EW42" s="16" t="s">
        <v>166</v>
      </c>
      <c r="EX42" s="14" t="s">
        <v>190</v>
      </c>
      <c r="EY42" s="14" t="s">
        <v>166</v>
      </c>
      <c r="EZ42" s="16" t="s">
        <v>166</v>
      </c>
      <c r="FA42" s="15" t="s">
        <v>166</v>
      </c>
      <c r="FB42" s="15" t="s">
        <v>166</v>
      </c>
      <c r="FC42" s="15" t="s">
        <v>166</v>
      </c>
      <c r="FD42" s="15" t="s">
        <v>166</v>
      </c>
      <c r="FE42" s="15" t="s">
        <v>166</v>
      </c>
      <c r="FF42" s="15" t="s">
        <v>166</v>
      </c>
      <c r="FG42" s="14" t="s">
        <v>166</v>
      </c>
      <c r="FH42" s="3">
        <f>HYPERLINK("https://my.pitchbook.com?c=167569-75T","View Company Online")</f>
      </c>
    </row>
    <row r="43">
      <c r="A43" s="25" t="s">
        <v>917</v>
      </c>
      <c r="B43" s="25" t="s">
        <v>918</v>
      </c>
      <c r="C43" s="25" t="s">
        <v>919</v>
      </c>
      <c r="D43" s="25" t="s">
        <v>166</v>
      </c>
      <c r="E43" s="34" t="s">
        <v>920</v>
      </c>
      <c r="F43" s="32">
        <v>9</v>
      </c>
      <c r="G43" s="25" t="s">
        <v>921</v>
      </c>
      <c r="H43" s="25" t="s">
        <v>166</v>
      </c>
      <c r="I43" s="25" t="s">
        <v>922</v>
      </c>
      <c r="J43" s="25" t="s">
        <v>923</v>
      </c>
      <c r="K43" s="25" t="s">
        <v>207</v>
      </c>
      <c r="L43" s="25" t="s">
        <v>208</v>
      </c>
      <c r="M43" s="25" t="s">
        <v>209</v>
      </c>
      <c r="N43" s="25" t="s">
        <v>924</v>
      </c>
      <c r="O43" s="25" t="s">
        <v>580</v>
      </c>
      <c r="P43" s="25" t="s">
        <v>925</v>
      </c>
      <c r="Q43" s="25" t="s">
        <v>926</v>
      </c>
      <c r="R43" s="25" t="s">
        <v>177</v>
      </c>
      <c r="S43" s="25" t="s">
        <v>178</v>
      </c>
      <c r="T43" s="25" t="s">
        <v>179</v>
      </c>
      <c r="U43" s="25" t="s">
        <v>927</v>
      </c>
      <c r="V43" s="25" t="s">
        <v>928</v>
      </c>
      <c r="W43" s="32" t="s">
        <v>166</v>
      </c>
      <c r="X43" s="25" t="s">
        <v>929</v>
      </c>
      <c r="Y43" s="25" t="s">
        <v>930</v>
      </c>
      <c r="Z43" s="25" t="s">
        <v>931</v>
      </c>
      <c r="AA43" s="25" t="s">
        <v>166</v>
      </c>
      <c r="AB43" s="25" t="s">
        <v>166</v>
      </c>
      <c r="AC43" s="25" t="s">
        <v>166</v>
      </c>
      <c r="AD43" s="25" t="s">
        <v>166</v>
      </c>
      <c r="AE43" s="25" t="s">
        <v>166</v>
      </c>
      <c r="AF43" s="25" t="s">
        <v>166</v>
      </c>
      <c r="AG43" s="25" t="s">
        <v>166</v>
      </c>
      <c r="AH43" s="32">
        <v>1</v>
      </c>
      <c r="AI43" s="4">
        <f>HYPERLINK("https://my.pitchbook.com/?d=261258-58T","261258-58T")</f>
      </c>
      <c r="AJ43" s="30">
        <v>45261</v>
      </c>
      <c r="AK43" s="30">
        <v>45448</v>
      </c>
      <c r="AL43" s="29">
        <v>2.39</v>
      </c>
      <c r="AM43" s="25" t="s">
        <v>185</v>
      </c>
      <c r="AN43" s="29">
        <v>13.61</v>
      </c>
      <c r="AO43" s="29">
        <v>16</v>
      </c>
      <c r="AP43" s="25" t="s">
        <v>185</v>
      </c>
      <c r="AQ43" s="32" t="s">
        <v>166</v>
      </c>
      <c r="AR43" s="32" t="s">
        <v>166</v>
      </c>
      <c r="AS43" s="28" t="s">
        <v>166</v>
      </c>
      <c r="AT43" s="29">
        <v>2.39</v>
      </c>
      <c r="AU43" s="32" t="s">
        <v>186</v>
      </c>
      <c r="AV43" s="32" t="s">
        <v>166</v>
      </c>
      <c r="AW43" s="29" t="s">
        <v>166</v>
      </c>
      <c r="AX43" s="32" t="s">
        <v>166</v>
      </c>
      <c r="AY43" s="25" t="s">
        <v>217</v>
      </c>
      <c r="AZ43" s="25" t="s">
        <v>217</v>
      </c>
      <c r="BA43" s="25" t="s">
        <v>166</v>
      </c>
      <c r="BB43" s="32" t="s">
        <v>166</v>
      </c>
      <c r="BC43" s="25" t="s">
        <v>179</v>
      </c>
      <c r="BD43" s="25" t="s">
        <v>932</v>
      </c>
      <c r="BE43" s="25" t="s">
        <v>189</v>
      </c>
      <c r="BF43" s="29">
        <v>2.39</v>
      </c>
      <c r="BG43" s="25" t="s">
        <v>190</v>
      </c>
      <c r="BH43" s="25" t="s">
        <v>166</v>
      </c>
      <c r="BI43" s="25" t="s">
        <v>166</v>
      </c>
      <c r="BJ43" s="29" t="s">
        <v>166</v>
      </c>
      <c r="BK43" s="29" t="s">
        <v>166</v>
      </c>
      <c r="BL43" s="25" t="s">
        <v>191</v>
      </c>
      <c r="BM43" s="25" t="s">
        <v>178</v>
      </c>
      <c r="BN43" s="25" t="s">
        <v>177</v>
      </c>
      <c r="BO43" s="33" t="s">
        <v>166</v>
      </c>
      <c r="BP43" s="25" t="s">
        <v>933</v>
      </c>
      <c r="BQ43" s="32">
        <v>9</v>
      </c>
      <c r="BR43" s="25" t="s">
        <v>166</v>
      </c>
      <c r="BS43" s="32" t="s">
        <v>166</v>
      </c>
      <c r="BT43" s="25" t="s">
        <v>934</v>
      </c>
      <c r="BU43" s="25" t="s">
        <v>166</v>
      </c>
      <c r="BV43" s="25" t="s">
        <v>166</v>
      </c>
      <c r="BW43" s="25" t="s">
        <v>166</v>
      </c>
      <c r="BX43" s="25" t="s">
        <v>166</v>
      </c>
      <c r="BY43" s="25" t="s">
        <v>166</v>
      </c>
      <c r="BZ43" s="25" t="s">
        <v>166</v>
      </c>
      <c r="CA43" s="25" t="s">
        <v>166</v>
      </c>
      <c r="CB43" s="25" t="s">
        <v>166</v>
      </c>
      <c r="CC43" s="25" t="s">
        <v>166</v>
      </c>
      <c r="CD43" s="25" t="s">
        <v>166</v>
      </c>
      <c r="CE43" s="29" t="s">
        <v>166</v>
      </c>
      <c r="CF43" s="27" t="s">
        <v>166</v>
      </c>
      <c r="CG43" s="28" t="s">
        <v>166</v>
      </c>
      <c r="CH43" s="27" t="s">
        <v>166</v>
      </c>
      <c r="CI43" s="27" t="s">
        <v>166</v>
      </c>
      <c r="CJ43" s="27" t="s">
        <v>166</v>
      </c>
      <c r="CK43" s="27" t="s">
        <v>166</v>
      </c>
      <c r="CL43" s="27" t="s">
        <v>166</v>
      </c>
      <c r="CM43" s="31" t="s">
        <v>166</v>
      </c>
      <c r="CN43" s="27" t="s">
        <v>166</v>
      </c>
      <c r="CO43" s="27" t="s">
        <v>166</v>
      </c>
      <c r="CP43" s="27" t="s">
        <v>166</v>
      </c>
      <c r="CQ43" s="27" t="s">
        <v>166</v>
      </c>
      <c r="CR43" s="27" t="s">
        <v>166</v>
      </c>
      <c r="CS43" s="27" t="s">
        <v>166</v>
      </c>
      <c r="CT43" s="27" t="s">
        <v>166</v>
      </c>
      <c r="CU43" s="27" t="s">
        <v>166</v>
      </c>
      <c r="CV43" s="27" t="s">
        <v>166</v>
      </c>
      <c r="CW43" s="27" t="s">
        <v>166</v>
      </c>
      <c r="CX43" s="27" t="s">
        <v>166</v>
      </c>
      <c r="CY43" s="27" t="s">
        <v>166</v>
      </c>
      <c r="CZ43" s="27" t="s">
        <v>166</v>
      </c>
      <c r="DA43" s="27" t="s">
        <v>166</v>
      </c>
      <c r="DB43" s="27" t="s">
        <v>166</v>
      </c>
      <c r="DC43" s="27" t="s">
        <v>166</v>
      </c>
      <c r="DD43" s="27" t="s">
        <v>166</v>
      </c>
      <c r="DE43" s="28" t="s">
        <v>166</v>
      </c>
      <c r="DF43" s="33">
        <v>5</v>
      </c>
      <c r="DG43" s="25" t="s">
        <v>309</v>
      </c>
      <c r="DH43" s="25" t="s">
        <v>193</v>
      </c>
      <c r="DI43" s="25" t="s">
        <v>194</v>
      </c>
      <c r="DJ43" s="25" t="s">
        <v>310</v>
      </c>
      <c r="DK43" s="25" t="s">
        <v>310</v>
      </c>
      <c r="DL43" s="32" t="s">
        <v>935</v>
      </c>
      <c r="DM43" s="25" t="s">
        <v>198</v>
      </c>
      <c r="DN43" s="24" t="s">
        <v>936</v>
      </c>
      <c r="DO43" s="31">
        <v>2023</v>
      </c>
      <c r="DP43" s="25" t="s">
        <v>166</v>
      </c>
      <c r="DQ43" s="25" t="s">
        <v>166</v>
      </c>
      <c r="DR43" s="29" t="s">
        <v>166</v>
      </c>
      <c r="DS43" s="27" t="s">
        <v>166</v>
      </c>
      <c r="DT43" s="30" t="s">
        <v>166</v>
      </c>
      <c r="DU43" s="25" t="s">
        <v>166</v>
      </c>
      <c r="DV43" s="29" t="s">
        <v>166</v>
      </c>
      <c r="DW43" s="29" t="s">
        <v>166</v>
      </c>
      <c r="DX43" s="27" t="s">
        <v>166</v>
      </c>
      <c r="DY43" s="27" t="s">
        <v>166</v>
      </c>
      <c r="DZ43" s="28" t="s">
        <v>166</v>
      </c>
      <c r="EA43" s="27" t="s">
        <v>166</v>
      </c>
      <c r="EB43" s="27" t="s">
        <v>166</v>
      </c>
      <c r="EC43" s="27" t="s">
        <v>166</v>
      </c>
      <c r="ED43" s="28" t="s">
        <v>166</v>
      </c>
      <c r="EE43" s="28" t="s">
        <v>166</v>
      </c>
      <c r="EF43" s="28" t="s">
        <v>166</v>
      </c>
      <c r="EG43" s="28" t="s">
        <v>166</v>
      </c>
      <c r="EH43" s="27" t="s">
        <v>166</v>
      </c>
      <c r="EI43" s="27" t="s">
        <v>166</v>
      </c>
      <c r="EJ43" s="27" t="s">
        <v>166</v>
      </c>
      <c r="EK43" s="27" t="s">
        <v>166</v>
      </c>
      <c r="EL43" s="27" t="s">
        <v>166</v>
      </c>
      <c r="EM43" s="27" t="s">
        <v>166</v>
      </c>
      <c r="EN43" s="27" t="s">
        <v>166</v>
      </c>
      <c r="EO43" s="27" t="s">
        <v>166</v>
      </c>
      <c r="EP43" s="27" t="s">
        <v>166</v>
      </c>
      <c r="EQ43" s="27" t="s">
        <v>166</v>
      </c>
      <c r="ER43" s="27" t="s">
        <v>166</v>
      </c>
      <c r="ES43" s="27" t="s">
        <v>166</v>
      </c>
      <c r="ET43" s="25" t="s">
        <v>166</v>
      </c>
      <c r="EU43" s="27" t="s">
        <v>166</v>
      </c>
      <c r="EV43" s="27" t="s">
        <v>166</v>
      </c>
      <c r="EW43" s="27" t="s">
        <v>166</v>
      </c>
      <c r="EX43" s="25" t="s">
        <v>190</v>
      </c>
      <c r="EY43" s="25" t="s">
        <v>166</v>
      </c>
      <c r="EZ43" s="27" t="s">
        <v>166</v>
      </c>
      <c r="FA43" s="26" t="s">
        <v>166</v>
      </c>
      <c r="FB43" s="26" t="s">
        <v>166</v>
      </c>
      <c r="FC43" s="26" t="s">
        <v>166</v>
      </c>
      <c r="FD43" s="26" t="s">
        <v>166</v>
      </c>
      <c r="FE43" s="26" t="s">
        <v>166</v>
      </c>
      <c r="FF43" s="26" t="s">
        <v>166</v>
      </c>
      <c r="FG43" s="25" t="s">
        <v>166</v>
      </c>
      <c r="FH43" s="4">
        <f>HYPERLINK("https://my.pitchbook.com?c=261258-58T","View Company Online")</f>
      </c>
    </row>
    <row r="44">
      <c r="A44" s="14" t="s">
        <v>937</v>
      </c>
      <c r="B44" s="14" t="s">
        <v>938</v>
      </c>
      <c r="C44" s="14" t="s">
        <v>939</v>
      </c>
      <c r="D44" s="14" t="s">
        <v>166</v>
      </c>
      <c r="E44" s="23" t="s">
        <v>940</v>
      </c>
      <c r="F44" s="21">
        <v>5</v>
      </c>
      <c r="G44" s="14" t="s">
        <v>941</v>
      </c>
      <c r="H44" s="14" t="s">
        <v>166</v>
      </c>
      <c r="I44" s="14" t="s">
        <v>942</v>
      </c>
      <c r="J44" s="14" t="s">
        <v>943</v>
      </c>
      <c r="K44" s="14" t="s">
        <v>207</v>
      </c>
      <c r="L44" s="14" t="s">
        <v>208</v>
      </c>
      <c r="M44" s="14" t="s">
        <v>296</v>
      </c>
      <c r="N44" s="14" t="s">
        <v>944</v>
      </c>
      <c r="O44" s="14" t="s">
        <v>945</v>
      </c>
      <c r="P44" s="14" t="s">
        <v>946</v>
      </c>
      <c r="Q44" s="14" t="s">
        <v>166</v>
      </c>
      <c r="R44" s="14" t="s">
        <v>177</v>
      </c>
      <c r="S44" s="14" t="s">
        <v>178</v>
      </c>
      <c r="T44" s="14" t="s">
        <v>179</v>
      </c>
      <c r="U44" s="14" t="s">
        <v>947</v>
      </c>
      <c r="V44" s="14" t="s">
        <v>948</v>
      </c>
      <c r="W44" s="21" t="s">
        <v>166</v>
      </c>
      <c r="X44" s="14" t="s">
        <v>166</v>
      </c>
      <c r="Y44" s="14" t="s">
        <v>949</v>
      </c>
      <c r="Z44" s="14" t="s">
        <v>950</v>
      </c>
      <c r="AA44" s="14" t="s">
        <v>166</v>
      </c>
      <c r="AB44" s="14" t="s">
        <v>166</v>
      </c>
      <c r="AC44" s="14" t="s">
        <v>166</v>
      </c>
      <c r="AD44" s="14" t="s">
        <v>166</v>
      </c>
      <c r="AE44" s="14" t="s">
        <v>166</v>
      </c>
      <c r="AF44" s="14" t="s">
        <v>166</v>
      </c>
      <c r="AG44" s="14" t="s">
        <v>166</v>
      </c>
      <c r="AH44" s="21">
        <v>1</v>
      </c>
      <c r="AI44" s="3">
        <f>HYPERLINK("https://my.pitchbook.com/?d=234295-39T","234295-39T")</f>
      </c>
      <c r="AJ44" s="19">
        <v>44974</v>
      </c>
      <c r="AK44" s="19">
        <v>44995</v>
      </c>
      <c r="AL44" s="18">
        <v>5.5</v>
      </c>
      <c r="AM44" s="14" t="s">
        <v>185</v>
      </c>
      <c r="AN44" s="18" t="s">
        <v>166</v>
      </c>
      <c r="AO44" s="18" t="s">
        <v>166</v>
      </c>
      <c r="AP44" s="14" t="s">
        <v>166</v>
      </c>
      <c r="AQ44" s="21" t="s">
        <v>166</v>
      </c>
      <c r="AR44" s="21" t="s">
        <v>166</v>
      </c>
      <c r="AS44" s="17" t="s">
        <v>166</v>
      </c>
      <c r="AT44" s="18">
        <v>5.5</v>
      </c>
      <c r="AU44" s="21" t="s">
        <v>186</v>
      </c>
      <c r="AV44" s="21" t="s">
        <v>166</v>
      </c>
      <c r="AW44" s="18" t="s">
        <v>166</v>
      </c>
      <c r="AX44" s="21" t="s">
        <v>166</v>
      </c>
      <c r="AY44" s="14" t="s">
        <v>217</v>
      </c>
      <c r="AZ44" s="14" t="s">
        <v>217</v>
      </c>
      <c r="BA44" s="14" t="s">
        <v>166</v>
      </c>
      <c r="BB44" s="21" t="s">
        <v>166</v>
      </c>
      <c r="BC44" s="14" t="s">
        <v>179</v>
      </c>
      <c r="BD44" s="14" t="s">
        <v>943</v>
      </c>
      <c r="BE44" s="14" t="s">
        <v>189</v>
      </c>
      <c r="BF44" s="18">
        <v>5.5</v>
      </c>
      <c r="BG44" s="14" t="s">
        <v>190</v>
      </c>
      <c r="BH44" s="14" t="s">
        <v>166</v>
      </c>
      <c r="BI44" s="14" t="s">
        <v>166</v>
      </c>
      <c r="BJ44" s="18" t="s">
        <v>166</v>
      </c>
      <c r="BK44" s="18" t="s">
        <v>166</v>
      </c>
      <c r="BL44" s="14" t="s">
        <v>191</v>
      </c>
      <c r="BM44" s="14" t="s">
        <v>358</v>
      </c>
      <c r="BN44" s="14" t="s">
        <v>177</v>
      </c>
      <c r="BO44" s="22" t="s">
        <v>166</v>
      </c>
      <c r="BP44" s="14" t="s">
        <v>951</v>
      </c>
      <c r="BQ44" s="21">
        <v>5</v>
      </c>
      <c r="BR44" s="14" t="s">
        <v>166</v>
      </c>
      <c r="BS44" s="21" t="s">
        <v>166</v>
      </c>
      <c r="BT44" s="14" t="s">
        <v>952</v>
      </c>
      <c r="BU44" s="14" t="s">
        <v>166</v>
      </c>
      <c r="BV44" s="14" t="s">
        <v>953</v>
      </c>
      <c r="BW44" s="14" t="s">
        <v>166</v>
      </c>
      <c r="BX44" s="14" t="s">
        <v>166</v>
      </c>
      <c r="BY44" s="14" t="s">
        <v>166</v>
      </c>
      <c r="BZ44" s="14" t="s">
        <v>166</v>
      </c>
      <c r="CA44" s="14" t="s">
        <v>166</v>
      </c>
      <c r="CB44" s="14" t="s">
        <v>166</v>
      </c>
      <c r="CC44" s="14" t="s">
        <v>166</v>
      </c>
      <c r="CD44" s="14" t="s">
        <v>166</v>
      </c>
      <c r="CE44" s="18" t="s">
        <v>166</v>
      </c>
      <c r="CF44" s="16" t="s">
        <v>166</v>
      </c>
      <c r="CG44" s="17" t="s">
        <v>166</v>
      </c>
      <c r="CH44" s="16" t="s">
        <v>166</v>
      </c>
      <c r="CI44" s="16" t="s">
        <v>166</v>
      </c>
      <c r="CJ44" s="16" t="s">
        <v>166</v>
      </c>
      <c r="CK44" s="16" t="s">
        <v>166</v>
      </c>
      <c r="CL44" s="16" t="s">
        <v>166</v>
      </c>
      <c r="CM44" s="20" t="s">
        <v>166</v>
      </c>
      <c r="CN44" s="16" t="s">
        <v>166</v>
      </c>
      <c r="CO44" s="16" t="s">
        <v>166</v>
      </c>
      <c r="CP44" s="16" t="s">
        <v>166</v>
      </c>
      <c r="CQ44" s="16" t="s">
        <v>166</v>
      </c>
      <c r="CR44" s="16" t="s">
        <v>166</v>
      </c>
      <c r="CS44" s="16" t="s">
        <v>166</v>
      </c>
      <c r="CT44" s="16" t="s">
        <v>166</v>
      </c>
      <c r="CU44" s="16" t="s">
        <v>166</v>
      </c>
      <c r="CV44" s="16" t="s">
        <v>166</v>
      </c>
      <c r="CW44" s="16" t="s">
        <v>166</v>
      </c>
      <c r="CX44" s="16" t="s">
        <v>166</v>
      </c>
      <c r="CY44" s="16" t="s">
        <v>166</v>
      </c>
      <c r="CZ44" s="16" t="s">
        <v>166</v>
      </c>
      <c r="DA44" s="16" t="s">
        <v>166</v>
      </c>
      <c r="DB44" s="16" t="s">
        <v>166</v>
      </c>
      <c r="DC44" s="16" t="s">
        <v>166</v>
      </c>
      <c r="DD44" s="16" t="s">
        <v>166</v>
      </c>
      <c r="DE44" s="17" t="s">
        <v>166</v>
      </c>
      <c r="DF44" s="22">
        <v>25</v>
      </c>
      <c r="DG44" s="14" t="s">
        <v>954</v>
      </c>
      <c r="DH44" s="14" t="s">
        <v>193</v>
      </c>
      <c r="DI44" s="14" t="s">
        <v>194</v>
      </c>
      <c r="DJ44" s="14" t="s">
        <v>955</v>
      </c>
      <c r="DK44" s="14" t="s">
        <v>257</v>
      </c>
      <c r="DL44" s="21" t="s">
        <v>956</v>
      </c>
      <c r="DM44" s="14" t="s">
        <v>198</v>
      </c>
      <c r="DN44" s="13" t="s">
        <v>957</v>
      </c>
      <c r="DO44" s="20">
        <v>2022</v>
      </c>
      <c r="DP44" s="14" t="s">
        <v>166</v>
      </c>
      <c r="DQ44" s="14" t="s">
        <v>166</v>
      </c>
      <c r="DR44" s="18" t="s">
        <v>166</v>
      </c>
      <c r="DS44" s="16" t="s">
        <v>166</v>
      </c>
      <c r="DT44" s="19" t="s">
        <v>166</v>
      </c>
      <c r="DU44" s="14" t="s">
        <v>166</v>
      </c>
      <c r="DV44" s="18" t="s">
        <v>166</v>
      </c>
      <c r="DW44" s="18" t="s">
        <v>166</v>
      </c>
      <c r="DX44" s="16" t="s">
        <v>166</v>
      </c>
      <c r="DY44" s="16" t="s">
        <v>166</v>
      </c>
      <c r="DZ44" s="17" t="s">
        <v>166</v>
      </c>
      <c r="EA44" s="16" t="s">
        <v>166</v>
      </c>
      <c r="EB44" s="16" t="s">
        <v>166</v>
      </c>
      <c r="EC44" s="16" t="s">
        <v>166</v>
      </c>
      <c r="ED44" s="17" t="s">
        <v>166</v>
      </c>
      <c r="EE44" s="17" t="s">
        <v>166</v>
      </c>
      <c r="EF44" s="17" t="s">
        <v>166</v>
      </c>
      <c r="EG44" s="17" t="s">
        <v>166</v>
      </c>
      <c r="EH44" s="16" t="s">
        <v>166</v>
      </c>
      <c r="EI44" s="16" t="s">
        <v>166</v>
      </c>
      <c r="EJ44" s="16" t="s">
        <v>166</v>
      </c>
      <c r="EK44" s="16" t="s">
        <v>166</v>
      </c>
      <c r="EL44" s="16" t="s">
        <v>166</v>
      </c>
      <c r="EM44" s="16" t="s">
        <v>166</v>
      </c>
      <c r="EN44" s="16" t="s">
        <v>166</v>
      </c>
      <c r="EO44" s="16" t="s">
        <v>166</v>
      </c>
      <c r="EP44" s="16" t="s">
        <v>166</v>
      </c>
      <c r="EQ44" s="16" t="s">
        <v>166</v>
      </c>
      <c r="ER44" s="16" t="s">
        <v>166</v>
      </c>
      <c r="ES44" s="16" t="s">
        <v>166</v>
      </c>
      <c r="ET44" s="14" t="s">
        <v>166</v>
      </c>
      <c r="EU44" s="16" t="s">
        <v>166</v>
      </c>
      <c r="EV44" s="16" t="s">
        <v>166</v>
      </c>
      <c r="EW44" s="16" t="s">
        <v>166</v>
      </c>
      <c r="EX44" s="14" t="s">
        <v>190</v>
      </c>
      <c r="EY44" s="14" t="s">
        <v>166</v>
      </c>
      <c r="EZ44" s="16" t="s">
        <v>166</v>
      </c>
      <c r="FA44" s="15" t="s">
        <v>166</v>
      </c>
      <c r="FB44" s="15" t="s">
        <v>166</v>
      </c>
      <c r="FC44" s="15" t="s">
        <v>166</v>
      </c>
      <c r="FD44" s="15" t="s">
        <v>166</v>
      </c>
      <c r="FE44" s="15" t="s">
        <v>166</v>
      </c>
      <c r="FF44" s="15" t="s">
        <v>166</v>
      </c>
      <c r="FG44" s="14" t="s">
        <v>166</v>
      </c>
      <c r="FH44" s="3">
        <f>HYPERLINK("https://my.pitchbook.com?c=234295-39T","View Company Online")</f>
      </c>
    </row>
    <row r="45">
      <c r="A45" s="25" t="s">
        <v>958</v>
      </c>
      <c r="B45" s="25" t="s">
        <v>959</v>
      </c>
      <c r="C45" s="25" t="s">
        <v>960</v>
      </c>
      <c r="D45" s="25" t="s">
        <v>166</v>
      </c>
      <c r="E45" s="34" t="s">
        <v>961</v>
      </c>
      <c r="F45" s="32">
        <v>2</v>
      </c>
      <c r="G45" s="25" t="s">
        <v>962</v>
      </c>
      <c r="H45" s="25" t="s">
        <v>166</v>
      </c>
      <c r="I45" s="25" t="s">
        <v>963</v>
      </c>
      <c r="J45" s="25" t="s">
        <v>964</v>
      </c>
      <c r="K45" s="25" t="s">
        <v>207</v>
      </c>
      <c r="L45" s="25" t="s">
        <v>208</v>
      </c>
      <c r="M45" s="25" t="s">
        <v>965</v>
      </c>
      <c r="N45" s="25" t="s">
        <v>966</v>
      </c>
      <c r="O45" s="25" t="s">
        <v>967</v>
      </c>
      <c r="P45" s="25" t="s">
        <v>968</v>
      </c>
      <c r="Q45" s="25" t="s">
        <v>166</v>
      </c>
      <c r="R45" s="25" t="s">
        <v>177</v>
      </c>
      <c r="S45" s="25" t="s">
        <v>178</v>
      </c>
      <c r="T45" s="25" t="s">
        <v>179</v>
      </c>
      <c r="U45" s="25" t="s">
        <v>969</v>
      </c>
      <c r="V45" s="25" t="s">
        <v>970</v>
      </c>
      <c r="W45" s="32" t="s">
        <v>971</v>
      </c>
      <c r="X45" s="25" t="s">
        <v>972</v>
      </c>
      <c r="Y45" s="25" t="s">
        <v>973</v>
      </c>
      <c r="Z45" s="25" t="s">
        <v>974</v>
      </c>
      <c r="AA45" s="25" t="s">
        <v>242</v>
      </c>
      <c r="AB45" s="25" t="s">
        <v>243</v>
      </c>
      <c r="AC45" s="25" t="s">
        <v>244</v>
      </c>
      <c r="AD45" s="25" t="s">
        <v>243</v>
      </c>
      <c r="AE45" s="25" t="s">
        <v>243</v>
      </c>
      <c r="AF45" s="25" t="s">
        <v>166</v>
      </c>
      <c r="AG45" s="25" t="s">
        <v>246</v>
      </c>
      <c r="AH45" s="32">
        <v>3</v>
      </c>
      <c r="AI45" s="4">
        <f>HYPERLINK("https://my.pitchbook.com/?d=274498-48T","274498-48T")</f>
      </c>
      <c r="AJ45" s="30">
        <v>45562</v>
      </c>
      <c r="AK45" s="30">
        <v>45576</v>
      </c>
      <c r="AL45" s="29">
        <v>8.84</v>
      </c>
      <c r="AM45" s="25" t="s">
        <v>185</v>
      </c>
      <c r="AN45" s="29">
        <v>14</v>
      </c>
      <c r="AO45" s="29">
        <v>22.84</v>
      </c>
      <c r="AP45" s="25" t="s">
        <v>185</v>
      </c>
      <c r="AQ45" s="32" t="s">
        <v>166</v>
      </c>
      <c r="AR45" s="32" t="s">
        <v>166</v>
      </c>
      <c r="AS45" s="28">
        <v>47.53</v>
      </c>
      <c r="AT45" s="29">
        <v>9.09</v>
      </c>
      <c r="AU45" s="32" t="s">
        <v>186</v>
      </c>
      <c r="AV45" s="32" t="s">
        <v>166</v>
      </c>
      <c r="AW45" s="29">
        <v>0.58</v>
      </c>
      <c r="AX45" s="32" t="s">
        <v>248</v>
      </c>
      <c r="AY45" s="25" t="s">
        <v>249</v>
      </c>
      <c r="AZ45" s="25" t="s">
        <v>248</v>
      </c>
      <c r="BA45" s="25" t="s">
        <v>166</v>
      </c>
      <c r="BB45" s="32" t="s">
        <v>166</v>
      </c>
      <c r="BC45" s="25" t="s">
        <v>179</v>
      </c>
      <c r="BD45" s="25" t="s">
        <v>964</v>
      </c>
      <c r="BE45" s="25" t="s">
        <v>189</v>
      </c>
      <c r="BF45" s="29">
        <v>8.84</v>
      </c>
      <c r="BG45" s="25" t="s">
        <v>190</v>
      </c>
      <c r="BH45" s="25" t="s">
        <v>166</v>
      </c>
      <c r="BI45" s="25" t="s">
        <v>166</v>
      </c>
      <c r="BJ45" s="29" t="s">
        <v>166</v>
      </c>
      <c r="BK45" s="29" t="s">
        <v>166</v>
      </c>
      <c r="BL45" s="25" t="s">
        <v>191</v>
      </c>
      <c r="BM45" s="25" t="s">
        <v>178</v>
      </c>
      <c r="BN45" s="25" t="s">
        <v>177</v>
      </c>
      <c r="BO45" s="33" t="s">
        <v>166</v>
      </c>
      <c r="BP45" s="25" t="s">
        <v>961</v>
      </c>
      <c r="BQ45" s="32">
        <v>2</v>
      </c>
      <c r="BR45" s="25" t="s">
        <v>166</v>
      </c>
      <c r="BS45" s="32" t="s">
        <v>166</v>
      </c>
      <c r="BT45" s="25" t="s">
        <v>166</v>
      </c>
      <c r="BU45" s="25" t="s">
        <v>166</v>
      </c>
      <c r="BV45" s="25" t="s">
        <v>166</v>
      </c>
      <c r="BW45" s="25" t="s">
        <v>166</v>
      </c>
      <c r="BX45" s="25" t="s">
        <v>166</v>
      </c>
      <c r="BY45" s="25" t="s">
        <v>166</v>
      </c>
      <c r="BZ45" s="25" t="s">
        <v>166</v>
      </c>
      <c r="CA45" s="25" t="s">
        <v>166</v>
      </c>
      <c r="CB45" s="25" t="s">
        <v>166</v>
      </c>
      <c r="CC45" s="25" t="s">
        <v>166</v>
      </c>
      <c r="CD45" s="25" t="s">
        <v>166</v>
      </c>
      <c r="CE45" s="29" t="s">
        <v>166</v>
      </c>
      <c r="CF45" s="27" t="s">
        <v>166</v>
      </c>
      <c r="CG45" s="28" t="s">
        <v>166</v>
      </c>
      <c r="CH45" s="27" t="s">
        <v>166</v>
      </c>
      <c r="CI45" s="27" t="s">
        <v>166</v>
      </c>
      <c r="CJ45" s="27" t="s">
        <v>166</v>
      </c>
      <c r="CK45" s="27" t="s">
        <v>166</v>
      </c>
      <c r="CL45" s="27" t="s">
        <v>166</v>
      </c>
      <c r="CM45" s="31" t="s">
        <v>166</v>
      </c>
      <c r="CN45" s="27" t="s">
        <v>166</v>
      </c>
      <c r="CO45" s="27" t="s">
        <v>166</v>
      </c>
      <c r="CP45" s="27" t="s">
        <v>166</v>
      </c>
      <c r="CQ45" s="27" t="s">
        <v>166</v>
      </c>
      <c r="CR45" s="27" t="s">
        <v>166</v>
      </c>
      <c r="CS45" s="27" t="s">
        <v>166</v>
      </c>
      <c r="CT45" s="27" t="s">
        <v>166</v>
      </c>
      <c r="CU45" s="27" t="s">
        <v>166</v>
      </c>
      <c r="CV45" s="27" t="s">
        <v>166</v>
      </c>
      <c r="CW45" s="27" t="s">
        <v>166</v>
      </c>
      <c r="CX45" s="27" t="s">
        <v>166</v>
      </c>
      <c r="CY45" s="27" t="s">
        <v>166</v>
      </c>
      <c r="CZ45" s="27" t="s">
        <v>166</v>
      </c>
      <c r="DA45" s="27" t="s">
        <v>166</v>
      </c>
      <c r="DB45" s="27" t="s">
        <v>166</v>
      </c>
      <c r="DC45" s="27" t="s">
        <v>166</v>
      </c>
      <c r="DD45" s="27" t="s">
        <v>166</v>
      </c>
      <c r="DE45" s="28" t="s">
        <v>166</v>
      </c>
      <c r="DF45" s="33">
        <v>46</v>
      </c>
      <c r="DG45" s="25" t="s">
        <v>673</v>
      </c>
      <c r="DH45" s="25" t="s">
        <v>193</v>
      </c>
      <c r="DI45" s="25" t="s">
        <v>194</v>
      </c>
      <c r="DJ45" s="25" t="s">
        <v>674</v>
      </c>
      <c r="DK45" s="25" t="s">
        <v>257</v>
      </c>
      <c r="DL45" s="32" t="s">
        <v>975</v>
      </c>
      <c r="DM45" s="25" t="s">
        <v>198</v>
      </c>
      <c r="DN45" s="24" t="s">
        <v>976</v>
      </c>
      <c r="DO45" s="31">
        <v>2019</v>
      </c>
      <c r="DP45" s="25" t="s">
        <v>166</v>
      </c>
      <c r="DQ45" s="25" t="s">
        <v>166</v>
      </c>
      <c r="DR45" s="29" t="s">
        <v>166</v>
      </c>
      <c r="DS45" s="27" t="s">
        <v>166</v>
      </c>
      <c r="DT45" s="30" t="s">
        <v>166</v>
      </c>
      <c r="DU45" s="25" t="s">
        <v>166</v>
      </c>
      <c r="DV45" s="29" t="s">
        <v>166</v>
      </c>
      <c r="DW45" s="29" t="s">
        <v>166</v>
      </c>
      <c r="DX45" s="27" t="s">
        <v>166</v>
      </c>
      <c r="DY45" s="27" t="s">
        <v>166</v>
      </c>
      <c r="DZ45" s="28" t="s">
        <v>166</v>
      </c>
      <c r="EA45" s="27" t="s">
        <v>166</v>
      </c>
      <c r="EB45" s="27" t="s">
        <v>166</v>
      </c>
      <c r="EC45" s="27" t="s">
        <v>166</v>
      </c>
      <c r="ED45" s="28" t="s">
        <v>166</v>
      </c>
      <c r="EE45" s="28" t="s">
        <v>166</v>
      </c>
      <c r="EF45" s="28" t="s">
        <v>166</v>
      </c>
      <c r="EG45" s="28" t="s">
        <v>166</v>
      </c>
      <c r="EH45" s="27" t="s">
        <v>166</v>
      </c>
      <c r="EI45" s="27" t="s">
        <v>166</v>
      </c>
      <c r="EJ45" s="27" t="s">
        <v>166</v>
      </c>
      <c r="EK45" s="27" t="s">
        <v>166</v>
      </c>
      <c r="EL45" s="27" t="s">
        <v>166</v>
      </c>
      <c r="EM45" s="27" t="s">
        <v>166</v>
      </c>
      <c r="EN45" s="27" t="s">
        <v>166</v>
      </c>
      <c r="EO45" s="27" t="s">
        <v>166</v>
      </c>
      <c r="EP45" s="27" t="s">
        <v>166</v>
      </c>
      <c r="EQ45" s="27" t="s">
        <v>166</v>
      </c>
      <c r="ER45" s="27" t="s">
        <v>166</v>
      </c>
      <c r="ES45" s="27" t="s">
        <v>166</v>
      </c>
      <c r="ET45" s="25" t="s">
        <v>166</v>
      </c>
      <c r="EU45" s="27" t="s">
        <v>166</v>
      </c>
      <c r="EV45" s="27" t="s">
        <v>166</v>
      </c>
      <c r="EW45" s="27" t="s">
        <v>166</v>
      </c>
      <c r="EX45" s="25" t="s">
        <v>190</v>
      </c>
      <c r="EY45" s="25" t="s">
        <v>166</v>
      </c>
      <c r="EZ45" s="27" t="s">
        <v>166</v>
      </c>
      <c r="FA45" s="26" t="s">
        <v>166</v>
      </c>
      <c r="FB45" s="26" t="s">
        <v>166</v>
      </c>
      <c r="FC45" s="26" t="s">
        <v>166</v>
      </c>
      <c r="FD45" s="26" t="s">
        <v>166</v>
      </c>
      <c r="FE45" s="26" t="s">
        <v>166</v>
      </c>
      <c r="FF45" s="26" t="s">
        <v>166</v>
      </c>
      <c r="FG45" s="25" t="s">
        <v>166</v>
      </c>
      <c r="FH45" s="4">
        <f>HYPERLINK("https://my.pitchbook.com?c=274498-48T","View Company Online")</f>
      </c>
    </row>
    <row r="46">
      <c r="A46" s="14" t="s">
        <v>977</v>
      </c>
      <c r="B46" s="14" t="s">
        <v>978</v>
      </c>
      <c r="C46" s="14" t="s">
        <v>979</v>
      </c>
      <c r="D46" s="14" t="s">
        <v>166</v>
      </c>
      <c r="E46" s="23" t="s">
        <v>980</v>
      </c>
      <c r="F46" s="21">
        <v>17</v>
      </c>
      <c r="G46" s="14" t="s">
        <v>981</v>
      </c>
      <c r="H46" s="14" t="s">
        <v>166</v>
      </c>
      <c r="I46" s="14" t="s">
        <v>982</v>
      </c>
      <c r="J46" s="14" t="s">
        <v>983</v>
      </c>
      <c r="K46" s="14" t="s">
        <v>207</v>
      </c>
      <c r="L46" s="14" t="s">
        <v>208</v>
      </c>
      <c r="M46" s="14" t="s">
        <v>209</v>
      </c>
      <c r="N46" s="14" t="s">
        <v>396</v>
      </c>
      <c r="O46" s="14" t="s">
        <v>984</v>
      </c>
      <c r="P46" s="14" t="s">
        <v>985</v>
      </c>
      <c r="Q46" s="14" t="s">
        <v>166</v>
      </c>
      <c r="R46" s="14" t="s">
        <v>177</v>
      </c>
      <c r="S46" s="14" t="s">
        <v>178</v>
      </c>
      <c r="T46" s="14" t="s">
        <v>179</v>
      </c>
      <c r="U46" s="14" t="s">
        <v>986</v>
      </c>
      <c r="V46" s="14" t="s">
        <v>987</v>
      </c>
      <c r="W46" s="21" t="s">
        <v>988</v>
      </c>
      <c r="X46" s="14" t="s">
        <v>989</v>
      </c>
      <c r="Y46" s="14" t="s">
        <v>990</v>
      </c>
      <c r="Z46" s="14" t="s">
        <v>166</v>
      </c>
      <c r="AA46" s="14" t="s">
        <v>242</v>
      </c>
      <c r="AB46" s="14" t="s">
        <v>243</v>
      </c>
      <c r="AC46" s="14" t="s">
        <v>244</v>
      </c>
      <c r="AD46" s="14" t="s">
        <v>243</v>
      </c>
      <c r="AE46" s="14" t="s">
        <v>243</v>
      </c>
      <c r="AF46" s="14" t="s">
        <v>166</v>
      </c>
      <c r="AG46" s="14" t="s">
        <v>246</v>
      </c>
      <c r="AH46" s="21">
        <v>3</v>
      </c>
      <c r="AI46" s="3">
        <f>HYPERLINK("https://my.pitchbook.com/?d=134751-70T","134751-70T")</f>
      </c>
      <c r="AJ46" s="19">
        <v>43831</v>
      </c>
      <c r="AK46" s="19">
        <v>44230</v>
      </c>
      <c r="AL46" s="18">
        <v>5</v>
      </c>
      <c r="AM46" s="14" t="s">
        <v>185</v>
      </c>
      <c r="AN46" s="18">
        <v>15</v>
      </c>
      <c r="AO46" s="18">
        <v>20</v>
      </c>
      <c r="AP46" s="14" t="s">
        <v>185</v>
      </c>
      <c r="AQ46" s="21" t="s">
        <v>166</v>
      </c>
      <c r="AR46" s="21" t="s">
        <v>166</v>
      </c>
      <c r="AS46" s="17">
        <v>29.85</v>
      </c>
      <c r="AT46" s="18">
        <v>5.4</v>
      </c>
      <c r="AU46" s="21" t="s">
        <v>186</v>
      </c>
      <c r="AV46" s="21" t="s">
        <v>166</v>
      </c>
      <c r="AW46" s="18">
        <v>1.29</v>
      </c>
      <c r="AX46" s="21" t="s">
        <v>166</v>
      </c>
      <c r="AY46" s="14" t="s">
        <v>217</v>
      </c>
      <c r="AZ46" s="14" t="s">
        <v>217</v>
      </c>
      <c r="BA46" s="14" t="s">
        <v>166</v>
      </c>
      <c r="BB46" s="21" t="s">
        <v>166</v>
      </c>
      <c r="BC46" s="14" t="s">
        <v>179</v>
      </c>
      <c r="BD46" s="14" t="s">
        <v>991</v>
      </c>
      <c r="BE46" s="14" t="s">
        <v>189</v>
      </c>
      <c r="BF46" s="18">
        <v>5</v>
      </c>
      <c r="BG46" s="14" t="s">
        <v>190</v>
      </c>
      <c r="BH46" s="14" t="s">
        <v>166</v>
      </c>
      <c r="BI46" s="14" t="s">
        <v>166</v>
      </c>
      <c r="BJ46" s="18" t="s">
        <v>166</v>
      </c>
      <c r="BK46" s="18" t="s">
        <v>166</v>
      </c>
      <c r="BL46" s="14" t="s">
        <v>191</v>
      </c>
      <c r="BM46" s="14" t="s">
        <v>178</v>
      </c>
      <c r="BN46" s="14" t="s">
        <v>177</v>
      </c>
      <c r="BO46" s="22" t="s">
        <v>166</v>
      </c>
      <c r="BP46" s="14" t="s">
        <v>992</v>
      </c>
      <c r="BQ46" s="21">
        <v>16</v>
      </c>
      <c r="BR46" s="14" t="s">
        <v>914</v>
      </c>
      <c r="BS46" s="21">
        <v>1</v>
      </c>
      <c r="BT46" s="14" t="s">
        <v>993</v>
      </c>
      <c r="BU46" s="14" t="s">
        <v>166</v>
      </c>
      <c r="BV46" s="14" t="s">
        <v>994</v>
      </c>
      <c r="BW46" s="14" t="s">
        <v>166</v>
      </c>
      <c r="BX46" s="14" t="s">
        <v>166</v>
      </c>
      <c r="BY46" s="14" t="s">
        <v>166</v>
      </c>
      <c r="BZ46" s="14" t="s">
        <v>995</v>
      </c>
      <c r="CA46" s="14" t="s">
        <v>996</v>
      </c>
      <c r="CB46" s="14" t="s">
        <v>166</v>
      </c>
      <c r="CC46" s="14" t="s">
        <v>997</v>
      </c>
      <c r="CD46" s="14" t="s">
        <v>166</v>
      </c>
      <c r="CE46" s="18" t="s">
        <v>166</v>
      </c>
      <c r="CF46" s="16" t="s">
        <v>166</v>
      </c>
      <c r="CG46" s="17" t="s">
        <v>166</v>
      </c>
      <c r="CH46" s="16" t="s">
        <v>166</v>
      </c>
      <c r="CI46" s="16" t="s">
        <v>166</v>
      </c>
      <c r="CJ46" s="16" t="s">
        <v>166</v>
      </c>
      <c r="CK46" s="16" t="s">
        <v>166</v>
      </c>
      <c r="CL46" s="16" t="s">
        <v>166</v>
      </c>
      <c r="CM46" s="20" t="s">
        <v>166</v>
      </c>
      <c r="CN46" s="16" t="s">
        <v>166</v>
      </c>
      <c r="CO46" s="16" t="s">
        <v>166</v>
      </c>
      <c r="CP46" s="16" t="s">
        <v>166</v>
      </c>
      <c r="CQ46" s="16" t="s">
        <v>166</v>
      </c>
      <c r="CR46" s="16" t="s">
        <v>166</v>
      </c>
      <c r="CS46" s="16" t="s">
        <v>166</v>
      </c>
      <c r="CT46" s="16" t="s">
        <v>166</v>
      </c>
      <c r="CU46" s="16" t="s">
        <v>166</v>
      </c>
      <c r="CV46" s="16" t="s">
        <v>166</v>
      </c>
      <c r="CW46" s="16" t="s">
        <v>166</v>
      </c>
      <c r="CX46" s="16" t="s">
        <v>166</v>
      </c>
      <c r="CY46" s="16" t="s">
        <v>166</v>
      </c>
      <c r="CZ46" s="16" t="s">
        <v>166</v>
      </c>
      <c r="DA46" s="16" t="s">
        <v>166</v>
      </c>
      <c r="DB46" s="16" t="s">
        <v>166</v>
      </c>
      <c r="DC46" s="16" t="s">
        <v>166</v>
      </c>
      <c r="DD46" s="16" t="s">
        <v>166</v>
      </c>
      <c r="DE46" s="17" t="s">
        <v>166</v>
      </c>
      <c r="DF46" s="22">
        <v>41</v>
      </c>
      <c r="DG46" s="14" t="s">
        <v>998</v>
      </c>
      <c r="DH46" s="14" t="s">
        <v>193</v>
      </c>
      <c r="DI46" s="14" t="s">
        <v>194</v>
      </c>
      <c r="DJ46" s="14" t="s">
        <v>999</v>
      </c>
      <c r="DK46" s="14" t="s">
        <v>1000</v>
      </c>
      <c r="DL46" s="21" t="s">
        <v>166</v>
      </c>
      <c r="DM46" s="14" t="s">
        <v>198</v>
      </c>
      <c r="DN46" s="13" t="s">
        <v>1001</v>
      </c>
      <c r="DO46" s="20">
        <v>2019</v>
      </c>
      <c r="DP46" s="14" t="s">
        <v>166</v>
      </c>
      <c r="DQ46" s="14" t="s">
        <v>166</v>
      </c>
      <c r="DR46" s="18" t="s">
        <v>166</v>
      </c>
      <c r="DS46" s="16" t="s">
        <v>166</v>
      </c>
      <c r="DT46" s="19" t="s">
        <v>166</v>
      </c>
      <c r="DU46" s="14" t="s">
        <v>166</v>
      </c>
      <c r="DV46" s="18" t="s">
        <v>166</v>
      </c>
      <c r="DW46" s="18" t="s">
        <v>166</v>
      </c>
      <c r="DX46" s="16" t="s">
        <v>166</v>
      </c>
      <c r="DY46" s="16" t="s">
        <v>166</v>
      </c>
      <c r="DZ46" s="17" t="s">
        <v>166</v>
      </c>
      <c r="EA46" s="16" t="s">
        <v>166</v>
      </c>
      <c r="EB46" s="16" t="s">
        <v>166</v>
      </c>
      <c r="EC46" s="16" t="s">
        <v>166</v>
      </c>
      <c r="ED46" s="17" t="s">
        <v>166</v>
      </c>
      <c r="EE46" s="17" t="s">
        <v>166</v>
      </c>
      <c r="EF46" s="17" t="s">
        <v>166</v>
      </c>
      <c r="EG46" s="17" t="s">
        <v>166</v>
      </c>
      <c r="EH46" s="16" t="s">
        <v>166</v>
      </c>
      <c r="EI46" s="16" t="s">
        <v>166</v>
      </c>
      <c r="EJ46" s="16" t="s">
        <v>166</v>
      </c>
      <c r="EK46" s="16" t="s">
        <v>166</v>
      </c>
      <c r="EL46" s="16" t="s">
        <v>166</v>
      </c>
      <c r="EM46" s="16" t="s">
        <v>166</v>
      </c>
      <c r="EN46" s="16" t="s">
        <v>166</v>
      </c>
      <c r="EO46" s="16" t="s">
        <v>166</v>
      </c>
      <c r="EP46" s="16" t="s">
        <v>166</v>
      </c>
      <c r="EQ46" s="16" t="s">
        <v>166</v>
      </c>
      <c r="ER46" s="16" t="s">
        <v>166</v>
      </c>
      <c r="ES46" s="16" t="s">
        <v>166</v>
      </c>
      <c r="ET46" s="14" t="s">
        <v>166</v>
      </c>
      <c r="EU46" s="16" t="s">
        <v>166</v>
      </c>
      <c r="EV46" s="16" t="s">
        <v>166</v>
      </c>
      <c r="EW46" s="16" t="s">
        <v>166</v>
      </c>
      <c r="EX46" s="14" t="s">
        <v>190</v>
      </c>
      <c r="EY46" s="14" t="s">
        <v>166</v>
      </c>
      <c r="EZ46" s="16" t="s">
        <v>166</v>
      </c>
      <c r="FA46" s="15" t="s">
        <v>166</v>
      </c>
      <c r="FB46" s="15" t="s">
        <v>166</v>
      </c>
      <c r="FC46" s="15" t="s">
        <v>166</v>
      </c>
      <c r="FD46" s="15" t="s">
        <v>166</v>
      </c>
      <c r="FE46" s="15" t="s">
        <v>166</v>
      </c>
      <c r="FF46" s="15" t="s">
        <v>166</v>
      </c>
      <c r="FG46" s="14" t="s">
        <v>166</v>
      </c>
      <c r="FH46" s="3">
        <f>HYPERLINK("https://my.pitchbook.com?c=134751-70T","View Company Online")</f>
      </c>
    </row>
    <row r="47">
      <c r="A47" s="25" t="s">
        <v>1002</v>
      </c>
      <c r="B47" s="25" t="s">
        <v>1003</v>
      </c>
      <c r="C47" s="25" t="s">
        <v>1004</v>
      </c>
      <c r="D47" s="25" t="s">
        <v>166</v>
      </c>
      <c r="E47" s="34" t="s">
        <v>1005</v>
      </c>
      <c r="F47" s="32">
        <v>7</v>
      </c>
      <c r="G47" s="25" t="s">
        <v>1006</v>
      </c>
      <c r="H47" s="25" t="s">
        <v>166</v>
      </c>
      <c r="I47" s="25" t="s">
        <v>1007</v>
      </c>
      <c r="J47" s="25" t="s">
        <v>1008</v>
      </c>
      <c r="K47" s="25" t="s">
        <v>207</v>
      </c>
      <c r="L47" s="25" t="s">
        <v>208</v>
      </c>
      <c r="M47" s="25" t="s">
        <v>209</v>
      </c>
      <c r="N47" s="25" t="s">
        <v>1009</v>
      </c>
      <c r="O47" s="25" t="s">
        <v>665</v>
      </c>
      <c r="P47" s="25" t="s">
        <v>1010</v>
      </c>
      <c r="Q47" s="25" t="s">
        <v>166</v>
      </c>
      <c r="R47" s="25" t="s">
        <v>177</v>
      </c>
      <c r="S47" s="25" t="s">
        <v>178</v>
      </c>
      <c r="T47" s="25" t="s">
        <v>179</v>
      </c>
      <c r="U47" s="25" t="s">
        <v>1011</v>
      </c>
      <c r="V47" s="25" t="s">
        <v>1012</v>
      </c>
      <c r="W47" s="32" t="s">
        <v>1013</v>
      </c>
      <c r="X47" s="25" t="s">
        <v>1014</v>
      </c>
      <c r="Y47" s="25" t="s">
        <v>1015</v>
      </c>
      <c r="Z47" s="25" t="s">
        <v>1016</v>
      </c>
      <c r="AA47" s="25" t="s">
        <v>242</v>
      </c>
      <c r="AB47" s="25" t="s">
        <v>243</v>
      </c>
      <c r="AC47" s="25" t="s">
        <v>244</v>
      </c>
      <c r="AD47" s="25" t="s">
        <v>243</v>
      </c>
      <c r="AE47" s="25" t="s">
        <v>243</v>
      </c>
      <c r="AF47" s="25" t="s">
        <v>166</v>
      </c>
      <c r="AG47" s="25" t="s">
        <v>807</v>
      </c>
      <c r="AH47" s="32">
        <v>1</v>
      </c>
      <c r="AI47" s="4">
        <f>HYPERLINK("https://my.pitchbook.com/?d=184781-80T","184781-80T")</f>
      </c>
      <c r="AJ47" s="30">
        <v>44496</v>
      </c>
      <c r="AK47" s="30">
        <v>44538</v>
      </c>
      <c r="AL47" s="29">
        <v>3.78</v>
      </c>
      <c r="AM47" s="25" t="s">
        <v>185</v>
      </c>
      <c r="AN47" s="29">
        <v>9</v>
      </c>
      <c r="AO47" s="29">
        <v>12.78</v>
      </c>
      <c r="AP47" s="25" t="s">
        <v>185</v>
      </c>
      <c r="AQ47" s="32" t="s">
        <v>166</v>
      </c>
      <c r="AR47" s="32" t="s">
        <v>166</v>
      </c>
      <c r="AS47" s="28">
        <v>32.88</v>
      </c>
      <c r="AT47" s="29">
        <v>3.78</v>
      </c>
      <c r="AU47" s="32" t="s">
        <v>186</v>
      </c>
      <c r="AV47" s="32" t="s">
        <v>166</v>
      </c>
      <c r="AW47" s="29">
        <v>1.26</v>
      </c>
      <c r="AX47" s="32" t="s">
        <v>166</v>
      </c>
      <c r="AY47" s="25" t="s">
        <v>217</v>
      </c>
      <c r="AZ47" s="25" t="s">
        <v>217</v>
      </c>
      <c r="BA47" s="25" t="s">
        <v>166</v>
      </c>
      <c r="BB47" s="32" t="s">
        <v>166</v>
      </c>
      <c r="BC47" s="25" t="s">
        <v>179</v>
      </c>
      <c r="BD47" s="25" t="s">
        <v>1017</v>
      </c>
      <c r="BE47" s="25" t="s">
        <v>189</v>
      </c>
      <c r="BF47" s="29">
        <v>3.78</v>
      </c>
      <c r="BG47" s="25" t="s">
        <v>190</v>
      </c>
      <c r="BH47" s="25" t="s">
        <v>166</v>
      </c>
      <c r="BI47" s="25" t="s">
        <v>166</v>
      </c>
      <c r="BJ47" s="29" t="s">
        <v>166</v>
      </c>
      <c r="BK47" s="29" t="s">
        <v>166</v>
      </c>
      <c r="BL47" s="25" t="s">
        <v>191</v>
      </c>
      <c r="BM47" s="25" t="s">
        <v>178</v>
      </c>
      <c r="BN47" s="25" t="s">
        <v>177</v>
      </c>
      <c r="BO47" s="33" t="s">
        <v>166</v>
      </c>
      <c r="BP47" s="25" t="s">
        <v>1018</v>
      </c>
      <c r="BQ47" s="32">
        <v>7</v>
      </c>
      <c r="BR47" s="25" t="s">
        <v>166</v>
      </c>
      <c r="BS47" s="32" t="s">
        <v>166</v>
      </c>
      <c r="BT47" s="25" t="s">
        <v>1019</v>
      </c>
      <c r="BU47" s="25" t="s">
        <v>166</v>
      </c>
      <c r="BV47" s="25" t="s">
        <v>1020</v>
      </c>
      <c r="BW47" s="25" t="s">
        <v>166</v>
      </c>
      <c r="BX47" s="25" t="s">
        <v>166</v>
      </c>
      <c r="BY47" s="25" t="s">
        <v>166</v>
      </c>
      <c r="BZ47" s="25" t="s">
        <v>996</v>
      </c>
      <c r="CA47" s="25" t="s">
        <v>996</v>
      </c>
      <c r="CB47" s="25" t="s">
        <v>166</v>
      </c>
      <c r="CC47" s="25" t="s">
        <v>166</v>
      </c>
      <c r="CD47" s="25" t="s">
        <v>166</v>
      </c>
      <c r="CE47" s="29" t="s">
        <v>166</v>
      </c>
      <c r="CF47" s="27" t="s">
        <v>166</v>
      </c>
      <c r="CG47" s="28" t="s">
        <v>166</v>
      </c>
      <c r="CH47" s="27" t="s">
        <v>166</v>
      </c>
      <c r="CI47" s="27" t="s">
        <v>166</v>
      </c>
      <c r="CJ47" s="27" t="s">
        <v>166</v>
      </c>
      <c r="CK47" s="27" t="s">
        <v>166</v>
      </c>
      <c r="CL47" s="27" t="s">
        <v>166</v>
      </c>
      <c r="CM47" s="31" t="s">
        <v>166</v>
      </c>
      <c r="CN47" s="27" t="s">
        <v>166</v>
      </c>
      <c r="CO47" s="27" t="s">
        <v>166</v>
      </c>
      <c r="CP47" s="27" t="s">
        <v>166</v>
      </c>
      <c r="CQ47" s="27" t="s">
        <v>166</v>
      </c>
      <c r="CR47" s="27" t="s">
        <v>166</v>
      </c>
      <c r="CS47" s="27" t="s">
        <v>166</v>
      </c>
      <c r="CT47" s="27" t="s">
        <v>166</v>
      </c>
      <c r="CU47" s="27" t="s">
        <v>166</v>
      </c>
      <c r="CV47" s="27" t="s">
        <v>166</v>
      </c>
      <c r="CW47" s="27" t="s">
        <v>166</v>
      </c>
      <c r="CX47" s="27" t="s">
        <v>166</v>
      </c>
      <c r="CY47" s="27" t="s">
        <v>166</v>
      </c>
      <c r="CZ47" s="27" t="s">
        <v>166</v>
      </c>
      <c r="DA47" s="27" t="s">
        <v>166</v>
      </c>
      <c r="DB47" s="27" t="s">
        <v>166</v>
      </c>
      <c r="DC47" s="27" t="s">
        <v>166</v>
      </c>
      <c r="DD47" s="27" t="s">
        <v>166</v>
      </c>
      <c r="DE47" s="28" t="s">
        <v>166</v>
      </c>
      <c r="DF47" s="33">
        <v>29</v>
      </c>
      <c r="DG47" s="25" t="s">
        <v>1021</v>
      </c>
      <c r="DH47" s="25" t="s">
        <v>193</v>
      </c>
      <c r="DI47" s="25" t="s">
        <v>194</v>
      </c>
      <c r="DJ47" s="25" t="s">
        <v>1022</v>
      </c>
      <c r="DK47" s="25" t="s">
        <v>1023</v>
      </c>
      <c r="DL47" s="32" t="s">
        <v>1024</v>
      </c>
      <c r="DM47" s="25" t="s">
        <v>198</v>
      </c>
      <c r="DN47" s="24" t="s">
        <v>1025</v>
      </c>
      <c r="DO47" s="31">
        <v>2018</v>
      </c>
      <c r="DP47" s="25" t="s">
        <v>166</v>
      </c>
      <c r="DQ47" s="25" t="s">
        <v>166</v>
      </c>
      <c r="DR47" s="29" t="s">
        <v>166</v>
      </c>
      <c r="DS47" s="27" t="s">
        <v>166</v>
      </c>
      <c r="DT47" s="30" t="s">
        <v>166</v>
      </c>
      <c r="DU47" s="25" t="s">
        <v>166</v>
      </c>
      <c r="DV47" s="29" t="s">
        <v>166</v>
      </c>
      <c r="DW47" s="29" t="s">
        <v>166</v>
      </c>
      <c r="DX47" s="27" t="s">
        <v>166</v>
      </c>
      <c r="DY47" s="27" t="s">
        <v>166</v>
      </c>
      <c r="DZ47" s="28" t="s">
        <v>166</v>
      </c>
      <c r="EA47" s="27" t="s">
        <v>166</v>
      </c>
      <c r="EB47" s="27" t="s">
        <v>166</v>
      </c>
      <c r="EC47" s="27" t="s">
        <v>166</v>
      </c>
      <c r="ED47" s="28" t="s">
        <v>166</v>
      </c>
      <c r="EE47" s="28" t="s">
        <v>166</v>
      </c>
      <c r="EF47" s="28" t="s">
        <v>166</v>
      </c>
      <c r="EG47" s="28" t="s">
        <v>166</v>
      </c>
      <c r="EH47" s="27" t="s">
        <v>166</v>
      </c>
      <c r="EI47" s="27" t="s">
        <v>166</v>
      </c>
      <c r="EJ47" s="27" t="s">
        <v>166</v>
      </c>
      <c r="EK47" s="27" t="s">
        <v>166</v>
      </c>
      <c r="EL47" s="27" t="s">
        <v>166</v>
      </c>
      <c r="EM47" s="27" t="s">
        <v>166</v>
      </c>
      <c r="EN47" s="27" t="s">
        <v>166</v>
      </c>
      <c r="EO47" s="27" t="s">
        <v>166</v>
      </c>
      <c r="EP47" s="27" t="s">
        <v>166</v>
      </c>
      <c r="EQ47" s="27" t="s">
        <v>166</v>
      </c>
      <c r="ER47" s="27" t="s">
        <v>166</v>
      </c>
      <c r="ES47" s="27" t="s">
        <v>166</v>
      </c>
      <c r="ET47" s="25" t="s">
        <v>166</v>
      </c>
      <c r="EU47" s="27" t="s">
        <v>166</v>
      </c>
      <c r="EV47" s="27" t="s">
        <v>166</v>
      </c>
      <c r="EW47" s="27" t="s">
        <v>166</v>
      </c>
      <c r="EX47" s="25" t="s">
        <v>190</v>
      </c>
      <c r="EY47" s="25" t="s">
        <v>166</v>
      </c>
      <c r="EZ47" s="27" t="s">
        <v>166</v>
      </c>
      <c r="FA47" s="26" t="s">
        <v>166</v>
      </c>
      <c r="FB47" s="26" t="s">
        <v>166</v>
      </c>
      <c r="FC47" s="26" t="s">
        <v>166</v>
      </c>
      <c r="FD47" s="26" t="s">
        <v>166</v>
      </c>
      <c r="FE47" s="26" t="s">
        <v>166</v>
      </c>
      <c r="FF47" s="26" t="s">
        <v>166</v>
      </c>
      <c r="FG47" s="25" t="s">
        <v>166</v>
      </c>
      <c r="FH47" s="4">
        <f>HYPERLINK("https://my.pitchbook.com?c=184781-80T","View Company Online")</f>
      </c>
    </row>
    <row r="48">
      <c r="A48" s="14" t="s">
        <v>1026</v>
      </c>
      <c r="B48" s="14" t="s">
        <v>1027</v>
      </c>
      <c r="C48" s="14" t="s">
        <v>1028</v>
      </c>
      <c r="D48" s="14" t="s">
        <v>166</v>
      </c>
      <c r="E48" s="23" t="s">
        <v>1029</v>
      </c>
      <c r="F48" s="21">
        <v>2</v>
      </c>
      <c r="G48" s="14" t="s">
        <v>1030</v>
      </c>
      <c r="H48" s="14" t="s">
        <v>166</v>
      </c>
      <c r="I48" s="14" t="s">
        <v>1031</v>
      </c>
      <c r="J48" s="14" t="s">
        <v>1032</v>
      </c>
      <c r="K48" s="14" t="s">
        <v>171</v>
      </c>
      <c r="L48" s="14" t="s">
        <v>172</v>
      </c>
      <c r="M48" s="14" t="s">
        <v>1033</v>
      </c>
      <c r="N48" s="14" t="s">
        <v>1034</v>
      </c>
      <c r="O48" s="14" t="s">
        <v>1035</v>
      </c>
      <c r="P48" s="14" t="s">
        <v>1036</v>
      </c>
      <c r="Q48" s="14" t="s">
        <v>166</v>
      </c>
      <c r="R48" s="14" t="s">
        <v>177</v>
      </c>
      <c r="S48" s="14" t="s">
        <v>178</v>
      </c>
      <c r="T48" s="14" t="s">
        <v>179</v>
      </c>
      <c r="U48" s="14" t="s">
        <v>1037</v>
      </c>
      <c r="V48" s="14" t="s">
        <v>1038</v>
      </c>
      <c r="W48" s="21" t="s">
        <v>166</v>
      </c>
      <c r="X48" s="14" t="s">
        <v>1039</v>
      </c>
      <c r="Y48" s="14" t="s">
        <v>1040</v>
      </c>
      <c r="Z48" s="14" t="s">
        <v>1041</v>
      </c>
      <c r="AA48" s="14" t="s">
        <v>166</v>
      </c>
      <c r="AB48" s="14" t="s">
        <v>166</v>
      </c>
      <c r="AC48" s="14" t="s">
        <v>166</v>
      </c>
      <c r="AD48" s="14" t="s">
        <v>166</v>
      </c>
      <c r="AE48" s="14" t="s">
        <v>166</v>
      </c>
      <c r="AF48" s="14" t="s">
        <v>166</v>
      </c>
      <c r="AG48" s="14" t="s">
        <v>166</v>
      </c>
      <c r="AH48" s="21">
        <v>1</v>
      </c>
      <c r="AI48" s="3">
        <f>HYPERLINK("https://my.pitchbook.com/?d=215258-50T","215258-50T")</f>
      </c>
      <c r="AJ48" s="19" t="s">
        <v>166</v>
      </c>
      <c r="AK48" s="19">
        <v>44775</v>
      </c>
      <c r="AL48" s="18">
        <v>0.2</v>
      </c>
      <c r="AM48" s="14" t="s">
        <v>185</v>
      </c>
      <c r="AN48" s="18" t="s">
        <v>166</v>
      </c>
      <c r="AO48" s="18" t="s">
        <v>166</v>
      </c>
      <c r="AP48" s="14" t="s">
        <v>166</v>
      </c>
      <c r="AQ48" s="21" t="s">
        <v>166</v>
      </c>
      <c r="AR48" s="21" t="s">
        <v>166</v>
      </c>
      <c r="AS48" s="17" t="s">
        <v>166</v>
      </c>
      <c r="AT48" s="18">
        <v>0.2</v>
      </c>
      <c r="AU48" s="21" t="s">
        <v>186</v>
      </c>
      <c r="AV48" s="21" t="s">
        <v>166</v>
      </c>
      <c r="AW48" s="18" t="s">
        <v>166</v>
      </c>
      <c r="AX48" s="21" t="s">
        <v>166</v>
      </c>
      <c r="AY48" s="14" t="s">
        <v>217</v>
      </c>
      <c r="AZ48" s="14" t="s">
        <v>217</v>
      </c>
      <c r="BA48" s="14" t="s">
        <v>166</v>
      </c>
      <c r="BB48" s="21" t="s">
        <v>166</v>
      </c>
      <c r="BC48" s="14" t="s">
        <v>179</v>
      </c>
      <c r="BD48" s="14" t="s">
        <v>1042</v>
      </c>
      <c r="BE48" s="14" t="s">
        <v>189</v>
      </c>
      <c r="BF48" s="18">
        <v>0.2</v>
      </c>
      <c r="BG48" s="14" t="s">
        <v>190</v>
      </c>
      <c r="BH48" s="14" t="s">
        <v>166</v>
      </c>
      <c r="BI48" s="14" t="s">
        <v>166</v>
      </c>
      <c r="BJ48" s="18" t="s">
        <v>166</v>
      </c>
      <c r="BK48" s="18" t="s">
        <v>166</v>
      </c>
      <c r="BL48" s="14" t="s">
        <v>191</v>
      </c>
      <c r="BM48" s="14" t="s">
        <v>178</v>
      </c>
      <c r="BN48" s="14" t="s">
        <v>177</v>
      </c>
      <c r="BO48" s="22" t="s">
        <v>166</v>
      </c>
      <c r="BP48" s="14" t="s">
        <v>1029</v>
      </c>
      <c r="BQ48" s="21">
        <v>2</v>
      </c>
      <c r="BR48" s="14" t="s">
        <v>166</v>
      </c>
      <c r="BS48" s="21" t="s">
        <v>166</v>
      </c>
      <c r="BT48" s="14" t="s">
        <v>1043</v>
      </c>
      <c r="BU48" s="14" t="s">
        <v>166</v>
      </c>
      <c r="BV48" s="14" t="s">
        <v>166</v>
      </c>
      <c r="BW48" s="14" t="s">
        <v>166</v>
      </c>
      <c r="BX48" s="14" t="s">
        <v>166</v>
      </c>
      <c r="BY48" s="14" t="s">
        <v>166</v>
      </c>
      <c r="BZ48" s="14" t="s">
        <v>166</v>
      </c>
      <c r="CA48" s="14" t="s">
        <v>166</v>
      </c>
      <c r="CB48" s="14" t="s">
        <v>166</v>
      </c>
      <c r="CC48" s="14" t="s">
        <v>166</v>
      </c>
      <c r="CD48" s="14" t="s">
        <v>166</v>
      </c>
      <c r="CE48" s="18" t="s">
        <v>166</v>
      </c>
      <c r="CF48" s="16" t="s">
        <v>166</v>
      </c>
      <c r="CG48" s="17" t="s">
        <v>166</v>
      </c>
      <c r="CH48" s="16" t="s">
        <v>166</v>
      </c>
      <c r="CI48" s="16" t="s">
        <v>166</v>
      </c>
      <c r="CJ48" s="16" t="s">
        <v>166</v>
      </c>
      <c r="CK48" s="16" t="s">
        <v>166</v>
      </c>
      <c r="CL48" s="16" t="s">
        <v>166</v>
      </c>
      <c r="CM48" s="20" t="s">
        <v>166</v>
      </c>
      <c r="CN48" s="16" t="s">
        <v>166</v>
      </c>
      <c r="CO48" s="16" t="s">
        <v>166</v>
      </c>
      <c r="CP48" s="16" t="s">
        <v>166</v>
      </c>
      <c r="CQ48" s="16" t="s">
        <v>166</v>
      </c>
      <c r="CR48" s="16" t="s">
        <v>166</v>
      </c>
      <c r="CS48" s="16" t="s">
        <v>166</v>
      </c>
      <c r="CT48" s="16" t="s">
        <v>166</v>
      </c>
      <c r="CU48" s="16" t="s">
        <v>166</v>
      </c>
      <c r="CV48" s="16" t="s">
        <v>166</v>
      </c>
      <c r="CW48" s="16" t="s">
        <v>166</v>
      </c>
      <c r="CX48" s="16" t="s">
        <v>166</v>
      </c>
      <c r="CY48" s="16" t="s">
        <v>166</v>
      </c>
      <c r="CZ48" s="16" t="s">
        <v>166</v>
      </c>
      <c r="DA48" s="16" t="s">
        <v>166</v>
      </c>
      <c r="DB48" s="16" t="s">
        <v>166</v>
      </c>
      <c r="DC48" s="16" t="s">
        <v>166</v>
      </c>
      <c r="DD48" s="16" t="s">
        <v>166</v>
      </c>
      <c r="DE48" s="17" t="s">
        <v>166</v>
      </c>
      <c r="DF48" s="22">
        <v>5</v>
      </c>
      <c r="DG48" s="14" t="s">
        <v>673</v>
      </c>
      <c r="DH48" s="14" t="s">
        <v>193</v>
      </c>
      <c r="DI48" s="14" t="s">
        <v>194</v>
      </c>
      <c r="DJ48" s="14" t="s">
        <v>674</v>
      </c>
      <c r="DK48" s="14" t="s">
        <v>257</v>
      </c>
      <c r="DL48" s="21" t="s">
        <v>166</v>
      </c>
      <c r="DM48" s="14" t="s">
        <v>198</v>
      </c>
      <c r="DN48" s="13" t="s">
        <v>1044</v>
      </c>
      <c r="DO48" s="20">
        <v>2020</v>
      </c>
      <c r="DP48" s="14" t="s">
        <v>166</v>
      </c>
      <c r="DQ48" s="14" t="s">
        <v>166</v>
      </c>
      <c r="DR48" s="18" t="s">
        <v>166</v>
      </c>
      <c r="DS48" s="16" t="s">
        <v>166</v>
      </c>
      <c r="DT48" s="19" t="s">
        <v>166</v>
      </c>
      <c r="DU48" s="14" t="s">
        <v>166</v>
      </c>
      <c r="DV48" s="18" t="s">
        <v>166</v>
      </c>
      <c r="DW48" s="18" t="s">
        <v>166</v>
      </c>
      <c r="DX48" s="16" t="s">
        <v>166</v>
      </c>
      <c r="DY48" s="16" t="s">
        <v>166</v>
      </c>
      <c r="DZ48" s="17" t="s">
        <v>166</v>
      </c>
      <c r="EA48" s="16" t="s">
        <v>166</v>
      </c>
      <c r="EB48" s="16" t="s">
        <v>166</v>
      </c>
      <c r="EC48" s="16" t="s">
        <v>166</v>
      </c>
      <c r="ED48" s="17" t="s">
        <v>166</v>
      </c>
      <c r="EE48" s="17" t="s">
        <v>166</v>
      </c>
      <c r="EF48" s="17" t="s">
        <v>166</v>
      </c>
      <c r="EG48" s="17" t="s">
        <v>166</v>
      </c>
      <c r="EH48" s="16" t="s">
        <v>166</v>
      </c>
      <c r="EI48" s="16" t="s">
        <v>166</v>
      </c>
      <c r="EJ48" s="16" t="s">
        <v>166</v>
      </c>
      <c r="EK48" s="16" t="s">
        <v>166</v>
      </c>
      <c r="EL48" s="16" t="s">
        <v>166</v>
      </c>
      <c r="EM48" s="16" t="s">
        <v>166</v>
      </c>
      <c r="EN48" s="16" t="s">
        <v>166</v>
      </c>
      <c r="EO48" s="16" t="s">
        <v>166</v>
      </c>
      <c r="EP48" s="16" t="s">
        <v>166</v>
      </c>
      <c r="EQ48" s="16" t="s">
        <v>166</v>
      </c>
      <c r="ER48" s="16" t="s">
        <v>166</v>
      </c>
      <c r="ES48" s="16" t="s">
        <v>166</v>
      </c>
      <c r="ET48" s="14" t="s">
        <v>166</v>
      </c>
      <c r="EU48" s="16" t="s">
        <v>166</v>
      </c>
      <c r="EV48" s="16" t="s">
        <v>166</v>
      </c>
      <c r="EW48" s="16" t="s">
        <v>166</v>
      </c>
      <c r="EX48" s="14" t="s">
        <v>190</v>
      </c>
      <c r="EY48" s="14" t="s">
        <v>166</v>
      </c>
      <c r="EZ48" s="16" t="s">
        <v>166</v>
      </c>
      <c r="FA48" s="15" t="s">
        <v>166</v>
      </c>
      <c r="FB48" s="15" t="s">
        <v>166</v>
      </c>
      <c r="FC48" s="15" t="s">
        <v>166</v>
      </c>
      <c r="FD48" s="15" t="s">
        <v>166</v>
      </c>
      <c r="FE48" s="15" t="s">
        <v>166</v>
      </c>
      <c r="FF48" s="15" t="s">
        <v>166</v>
      </c>
      <c r="FG48" s="14" t="s">
        <v>166</v>
      </c>
      <c r="FH48" s="3">
        <f>HYPERLINK("https://my.pitchbook.com?c=215258-50T","View Company Online")</f>
      </c>
    </row>
    <row r="49">
      <c r="A49" s="25" t="s">
        <v>1045</v>
      </c>
      <c r="B49" s="25" t="s">
        <v>1046</v>
      </c>
      <c r="C49" s="25" t="s">
        <v>1047</v>
      </c>
      <c r="D49" s="25" t="s">
        <v>166</v>
      </c>
      <c r="E49" s="34" t="s">
        <v>1048</v>
      </c>
      <c r="F49" s="32">
        <v>4</v>
      </c>
      <c r="G49" s="25" t="s">
        <v>1049</v>
      </c>
      <c r="H49" s="25" t="s">
        <v>166</v>
      </c>
      <c r="I49" s="25" t="s">
        <v>1050</v>
      </c>
      <c r="J49" s="25" t="s">
        <v>1051</v>
      </c>
      <c r="K49" s="25" t="s">
        <v>207</v>
      </c>
      <c r="L49" s="25" t="s">
        <v>208</v>
      </c>
      <c r="M49" s="25" t="s">
        <v>296</v>
      </c>
      <c r="N49" s="25" t="s">
        <v>1052</v>
      </c>
      <c r="O49" s="25" t="s">
        <v>1053</v>
      </c>
      <c r="P49" s="25" t="s">
        <v>1054</v>
      </c>
      <c r="Q49" s="25" t="s">
        <v>1055</v>
      </c>
      <c r="R49" s="25" t="s">
        <v>177</v>
      </c>
      <c r="S49" s="25" t="s">
        <v>178</v>
      </c>
      <c r="T49" s="25" t="s">
        <v>179</v>
      </c>
      <c r="U49" s="25" t="s">
        <v>1056</v>
      </c>
      <c r="V49" s="25" t="s">
        <v>1057</v>
      </c>
      <c r="W49" s="32" t="s">
        <v>166</v>
      </c>
      <c r="X49" s="25" t="s">
        <v>1058</v>
      </c>
      <c r="Y49" s="25" t="s">
        <v>1059</v>
      </c>
      <c r="Z49" s="25" t="s">
        <v>166</v>
      </c>
      <c r="AA49" s="25" t="s">
        <v>166</v>
      </c>
      <c r="AB49" s="25" t="s">
        <v>166</v>
      </c>
      <c r="AC49" s="25" t="s">
        <v>166</v>
      </c>
      <c r="AD49" s="25" t="s">
        <v>166</v>
      </c>
      <c r="AE49" s="25" t="s">
        <v>166</v>
      </c>
      <c r="AF49" s="25" t="s">
        <v>166</v>
      </c>
      <c r="AG49" s="25" t="s">
        <v>166</v>
      </c>
      <c r="AH49" s="32">
        <v>1</v>
      </c>
      <c r="AI49" s="4">
        <f>HYPERLINK("https://my.pitchbook.com/?d=228172-24T","228172-24T")</f>
      </c>
      <c r="AJ49" s="30" t="s">
        <v>166</v>
      </c>
      <c r="AK49" s="30">
        <v>44562</v>
      </c>
      <c r="AL49" s="29">
        <v>6.3</v>
      </c>
      <c r="AM49" s="25" t="s">
        <v>185</v>
      </c>
      <c r="AN49" s="29" t="s">
        <v>166</v>
      </c>
      <c r="AO49" s="29" t="s">
        <v>166</v>
      </c>
      <c r="AP49" s="25" t="s">
        <v>166</v>
      </c>
      <c r="AQ49" s="32" t="s">
        <v>166</v>
      </c>
      <c r="AR49" s="32" t="s">
        <v>166</v>
      </c>
      <c r="AS49" s="28" t="s">
        <v>166</v>
      </c>
      <c r="AT49" s="29">
        <v>6.3</v>
      </c>
      <c r="AU49" s="32" t="s">
        <v>186</v>
      </c>
      <c r="AV49" s="32" t="s">
        <v>166</v>
      </c>
      <c r="AW49" s="29" t="s">
        <v>166</v>
      </c>
      <c r="AX49" s="32" t="s">
        <v>166</v>
      </c>
      <c r="AY49" s="25" t="s">
        <v>217</v>
      </c>
      <c r="AZ49" s="25" t="s">
        <v>217</v>
      </c>
      <c r="BA49" s="25" t="s">
        <v>166</v>
      </c>
      <c r="BB49" s="32" t="s">
        <v>166</v>
      </c>
      <c r="BC49" s="25" t="s">
        <v>179</v>
      </c>
      <c r="BD49" s="25" t="s">
        <v>1060</v>
      </c>
      <c r="BE49" s="25" t="s">
        <v>189</v>
      </c>
      <c r="BF49" s="29">
        <v>6.3</v>
      </c>
      <c r="BG49" s="25" t="s">
        <v>190</v>
      </c>
      <c r="BH49" s="25" t="s">
        <v>166</v>
      </c>
      <c r="BI49" s="25" t="s">
        <v>166</v>
      </c>
      <c r="BJ49" s="29" t="s">
        <v>166</v>
      </c>
      <c r="BK49" s="29" t="s">
        <v>166</v>
      </c>
      <c r="BL49" s="25" t="s">
        <v>191</v>
      </c>
      <c r="BM49" s="25" t="s">
        <v>178</v>
      </c>
      <c r="BN49" s="25" t="s">
        <v>177</v>
      </c>
      <c r="BO49" s="33" t="s">
        <v>166</v>
      </c>
      <c r="BP49" s="25" t="s">
        <v>1048</v>
      </c>
      <c r="BQ49" s="32">
        <v>4</v>
      </c>
      <c r="BR49" s="25" t="s">
        <v>166</v>
      </c>
      <c r="BS49" s="32" t="s">
        <v>166</v>
      </c>
      <c r="BT49" s="25" t="s">
        <v>166</v>
      </c>
      <c r="BU49" s="25" t="s">
        <v>166</v>
      </c>
      <c r="BV49" s="25" t="s">
        <v>166</v>
      </c>
      <c r="BW49" s="25" t="s">
        <v>166</v>
      </c>
      <c r="BX49" s="25" t="s">
        <v>166</v>
      </c>
      <c r="BY49" s="25" t="s">
        <v>166</v>
      </c>
      <c r="BZ49" s="25" t="s">
        <v>166</v>
      </c>
      <c r="CA49" s="25" t="s">
        <v>166</v>
      </c>
      <c r="CB49" s="25" t="s">
        <v>166</v>
      </c>
      <c r="CC49" s="25" t="s">
        <v>166</v>
      </c>
      <c r="CD49" s="25" t="s">
        <v>166</v>
      </c>
      <c r="CE49" s="29" t="s">
        <v>166</v>
      </c>
      <c r="CF49" s="27" t="s">
        <v>166</v>
      </c>
      <c r="CG49" s="28" t="s">
        <v>166</v>
      </c>
      <c r="CH49" s="27" t="s">
        <v>166</v>
      </c>
      <c r="CI49" s="27" t="s">
        <v>166</v>
      </c>
      <c r="CJ49" s="27" t="s">
        <v>166</v>
      </c>
      <c r="CK49" s="27" t="s">
        <v>166</v>
      </c>
      <c r="CL49" s="27" t="s">
        <v>166</v>
      </c>
      <c r="CM49" s="31" t="s">
        <v>166</v>
      </c>
      <c r="CN49" s="27" t="s">
        <v>166</v>
      </c>
      <c r="CO49" s="27" t="s">
        <v>166</v>
      </c>
      <c r="CP49" s="27" t="s">
        <v>166</v>
      </c>
      <c r="CQ49" s="27" t="s">
        <v>166</v>
      </c>
      <c r="CR49" s="27" t="s">
        <v>166</v>
      </c>
      <c r="CS49" s="27" t="s">
        <v>166</v>
      </c>
      <c r="CT49" s="27" t="s">
        <v>166</v>
      </c>
      <c r="CU49" s="27" t="s">
        <v>166</v>
      </c>
      <c r="CV49" s="27" t="s">
        <v>166</v>
      </c>
      <c r="CW49" s="27" t="s">
        <v>166</v>
      </c>
      <c r="CX49" s="27" t="s">
        <v>166</v>
      </c>
      <c r="CY49" s="27" t="s">
        <v>166</v>
      </c>
      <c r="CZ49" s="27" t="s">
        <v>166</v>
      </c>
      <c r="DA49" s="27" t="s">
        <v>166</v>
      </c>
      <c r="DB49" s="27" t="s">
        <v>166</v>
      </c>
      <c r="DC49" s="27" t="s">
        <v>166</v>
      </c>
      <c r="DD49" s="27" t="s">
        <v>166</v>
      </c>
      <c r="DE49" s="28" t="s">
        <v>166</v>
      </c>
      <c r="DF49" s="33">
        <v>33</v>
      </c>
      <c r="DG49" s="25" t="s">
        <v>1061</v>
      </c>
      <c r="DH49" s="25" t="s">
        <v>193</v>
      </c>
      <c r="DI49" s="25" t="s">
        <v>194</v>
      </c>
      <c r="DJ49" s="25" t="s">
        <v>1062</v>
      </c>
      <c r="DK49" s="25" t="s">
        <v>1063</v>
      </c>
      <c r="DL49" s="32" t="s">
        <v>166</v>
      </c>
      <c r="DM49" s="25" t="s">
        <v>198</v>
      </c>
      <c r="DN49" s="24" t="s">
        <v>1064</v>
      </c>
      <c r="DO49" s="31">
        <v>2022</v>
      </c>
      <c r="DP49" s="25" t="s">
        <v>166</v>
      </c>
      <c r="DQ49" s="25" t="s">
        <v>166</v>
      </c>
      <c r="DR49" s="29" t="s">
        <v>166</v>
      </c>
      <c r="DS49" s="27" t="s">
        <v>166</v>
      </c>
      <c r="DT49" s="30" t="s">
        <v>166</v>
      </c>
      <c r="DU49" s="25" t="s">
        <v>166</v>
      </c>
      <c r="DV49" s="29" t="s">
        <v>166</v>
      </c>
      <c r="DW49" s="29" t="s">
        <v>166</v>
      </c>
      <c r="DX49" s="27" t="s">
        <v>166</v>
      </c>
      <c r="DY49" s="27" t="s">
        <v>166</v>
      </c>
      <c r="DZ49" s="28" t="s">
        <v>166</v>
      </c>
      <c r="EA49" s="27" t="s">
        <v>166</v>
      </c>
      <c r="EB49" s="27" t="s">
        <v>166</v>
      </c>
      <c r="EC49" s="27" t="s">
        <v>166</v>
      </c>
      <c r="ED49" s="28" t="s">
        <v>166</v>
      </c>
      <c r="EE49" s="28" t="s">
        <v>166</v>
      </c>
      <c r="EF49" s="28" t="s">
        <v>166</v>
      </c>
      <c r="EG49" s="28" t="s">
        <v>166</v>
      </c>
      <c r="EH49" s="27" t="s">
        <v>166</v>
      </c>
      <c r="EI49" s="27" t="s">
        <v>166</v>
      </c>
      <c r="EJ49" s="27" t="s">
        <v>166</v>
      </c>
      <c r="EK49" s="27" t="s">
        <v>166</v>
      </c>
      <c r="EL49" s="27" t="s">
        <v>166</v>
      </c>
      <c r="EM49" s="27" t="s">
        <v>166</v>
      </c>
      <c r="EN49" s="27" t="s">
        <v>166</v>
      </c>
      <c r="EO49" s="27" t="s">
        <v>166</v>
      </c>
      <c r="EP49" s="27" t="s">
        <v>166</v>
      </c>
      <c r="EQ49" s="27" t="s">
        <v>166</v>
      </c>
      <c r="ER49" s="27" t="s">
        <v>166</v>
      </c>
      <c r="ES49" s="27" t="s">
        <v>166</v>
      </c>
      <c r="ET49" s="25" t="s">
        <v>166</v>
      </c>
      <c r="EU49" s="27" t="s">
        <v>166</v>
      </c>
      <c r="EV49" s="27" t="s">
        <v>166</v>
      </c>
      <c r="EW49" s="27" t="s">
        <v>166</v>
      </c>
      <c r="EX49" s="25" t="s">
        <v>190</v>
      </c>
      <c r="EY49" s="25" t="s">
        <v>166</v>
      </c>
      <c r="EZ49" s="27" t="s">
        <v>166</v>
      </c>
      <c r="FA49" s="26" t="s">
        <v>166</v>
      </c>
      <c r="FB49" s="26" t="s">
        <v>166</v>
      </c>
      <c r="FC49" s="26" t="s">
        <v>166</v>
      </c>
      <c r="FD49" s="26" t="s">
        <v>166</v>
      </c>
      <c r="FE49" s="26" t="s">
        <v>166</v>
      </c>
      <c r="FF49" s="26" t="s">
        <v>166</v>
      </c>
      <c r="FG49" s="25" t="s">
        <v>166</v>
      </c>
      <c r="FH49" s="4">
        <f>HYPERLINK("https://my.pitchbook.com?c=228172-24T","View Company Online")</f>
      </c>
    </row>
    <row r="50">
      <c r="A50" s="14" t="s">
        <v>1065</v>
      </c>
      <c r="B50" s="14" t="s">
        <v>1066</v>
      </c>
      <c r="C50" s="14" t="s">
        <v>1067</v>
      </c>
      <c r="D50" s="14" t="s">
        <v>166</v>
      </c>
      <c r="E50" s="23" t="s">
        <v>1068</v>
      </c>
      <c r="F50" s="21">
        <v>8</v>
      </c>
      <c r="G50" s="14" t="s">
        <v>1069</v>
      </c>
      <c r="H50" s="14" t="s">
        <v>166</v>
      </c>
      <c r="I50" s="14" t="s">
        <v>1070</v>
      </c>
      <c r="J50" s="14" t="s">
        <v>1071</v>
      </c>
      <c r="K50" s="14" t="s">
        <v>207</v>
      </c>
      <c r="L50" s="14" t="s">
        <v>208</v>
      </c>
      <c r="M50" s="14" t="s">
        <v>209</v>
      </c>
      <c r="N50" s="14" t="s">
        <v>684</v>
      </c>
      <c r="O50" s="14" t="s">
        <v>1072</v>
      </c>
      <c r="P50" s="14" t="s">
        <v>1073</v>
      </c>
      <c r="Q50" s="14" t="s">
        <v>166</v>
      </c>
      <c r="R50" s="14" t="s">
        <v>177</v>
      </c>
      <c r="S50" s="14" t="s">
        <v>178</v>
      </c>
      <c r="T50" s="14" t="s">
        <v>179</v>
      </c>
      <c r="U50" s="14" t="s">
        <v>1074</v>
      </c>
      <c r="V50" s="14" t="s">
        <v>1075</v>
      </c>
      <c r="W50" s="21" t="s">
        <v>166</v>
      </c>
      <c r="X50" s="14" t="s">
        <v>166</v>
      </c>
      <c r="Y50" s="14" t="s">
        <v>1076</v>
      </c>
      <c r="Z50" s="14" t="s">
        <v>166</v>
      </c>
      <c r="AA50" s="14" t="s">
        <v>166</v>
      </c>
      <c r="AB50" s="14" t="s">
        <v>166</v>
      </c>
      <c r="AC50" s="14" t="s">
        <v>166</v>
      </c>
      <c r="AD50" s="14" t="s">
        <v>166</v>
      </c>
      <c r="AE50" s="14" t="s">
        <v>166</v>
      </c>
      <c r="AF50" s="14" t="s">
        <v>166</v>
      </c>
      <c r="AG50" s="14" t="s">
        <v>166</v>
      </c>
      <c r="AH50" s="21">
        <v>2</v>
      </c>
      <c r="AI50" s="3">
        <f>HYPERLINK("https://my.pitchbook.com/?d=266675-59T","266675-59T")</f>
      </c>
      <c r="AJ50" s="19" t="s">
        <v>166</v>
      </c>
      <c r="AK50" s="19">
        <v>45474</v>
      </c>
      <c r="AL50" s="18">
        <v>5.1</v>
      </c>
      <c r="AM50" s="14" t="s">
        <v>185</v>
      </c>
      <c r="AN50" s="18" t="s">
        <v>166</v>
      </c>
      <c r="AO50" s="18" t="s">
        <v>166</v>
      </c>
      <c r="AP50" s="14" t="s">
        <v>166</v>
      </c>
      <c r="AQ50" s="21" t="s">
        <v>166</v>
      </c>
      <c r="AR50" s="21" t="s">
        <v>166</v>
      </c>
      <c r="AS50" s="17" t="s">
        <v>166</v>
      </c>
      <c r="AT50" s="18">
        <v>5.1</v>
      </c>
      <c r="AU50" s="21" t="s">
        <v>186</v>
      </c>
      <c r="AV50" s="21" t="s">
        <v>166</v>
      </c>
      <c r="AW50" s="18" t="s">
        <v>166</v>
      </c>
      <c r="AX50" s="21" t="s">
        <v>166</v>
      </c>
      <c r="AY50" s="14" t="s">
        <v>217</v>
      </c>
      <c r="AZ50" s="14" t="s">
        <v>217</v>
      </c>
      <c r="BA50" s="14" t="s">
        <v>166</v>
      </c>
      <c r="BB50" s="21" t="s">
        <v>166</v>
      </c>
      <c r="BC50" s="14" t="s">
        <v>179</v>
      </c>
      <c r="BD50" s="14" t="s">
        <v>1071</v>
      </c>
      <c r="BE50" s="14" t="s">
        <v>189</v>
      </c>
      <c r="BF50" s="18">
        <v>5.1</v>
      </c>
      <c r="BG50" s="14" t="s">
        <v>190</v>
      </c>
      <c r="BH50" s="14" t="s">
        <v>166</v>
      </c>
      <c r="BI50" s="14" t="s">
        <v>166</v>
      </c>
      <c r="BJ50" s="18" t="s">
        <v>166</v>
      </c>
      <c r="BK50" s="18" t="s">
        <v>166</v>
      </c>
      <c r="BL50" s="14" t="s">
        <v>191</v>
      </c>
      <c r="BM50" s="14" t="s">
        <v>178</v>
      </c>
      <c r="BN50" s="14" t="s">
        <v>177</v>
      </c>
      <c r="BO50" s="22" t="s">
        <v>166</v>
      </c>
      <c r="BP50" s="14" t="s">
        <v>1068</v>
      </c>
      <c r="BQ50" s="21">
        <v>8</v>
      </c>
      <c r="BR50" s="14" t="s">
        <v>166</v>
      </c>
      <c r="BS50" s="21" t="s">
        <v>166</v>
      </c>
      <c r="BT50" s="14" t="s">
        <v>166</v>
      </c>
      <c r="BU50" s="14" t="s">
        <v>166</v>
      </c>
      <c r="BV50" s="14" t="s">
        <v>166</v>
      </c>
      <c r="BW50" s="14" t="s">
        <v>166</v>
      </c>
      <c r="BX50" s="14" t="s">
        <v>166</v>
      </c>
      <c r="BY50" s="14" t="s">
        <v>166</v>
      </c>
      <c r="BZ50" s="14" t="s">
        <v>166</v>
      </c>
      <c r="CA50" s="14" t="s">
        <v>166</v>
      </c>
      <c r="CB50" s="14" t="s">
        <v>166</v>
      </c>
      <c r="CC50" s="14" t="s">
        <v>166</v>
      </c>
      <c r="CD50" s="14" t="s">
        <v>166</v>
      </c>
      <c r="CE50" s="18" t="s">
        <v>166</v>
      </c>
      <c r="CF50" s="16" t="s">
        <v>166</v>
      </c>
      <c r="CG50" s="17" t="s">
        <v>166</v>
      </c>
      <c r="CH50" s="16" t="s">
        <v>166</v>
      </c>
      <c r="CI50" s="16" t="s">
        <v>166</v>
      </c>
      <c r="CJ50" s="16" t="s">
        <v>166</v>
      </c>
      <c r="CK50" s="16" t="s">
        <v>166</v>
      </c>
      <c r="CL50" s="16" t="s">
        <v>166</v>
      </c>
      <c r="CM50" s="20" t="s">
        <v>166</v>
      </c>
      <c r="CN50" s="16" t="s">
        <v>166</v>
      </c>
      <c r="CO50" s="16" t="s">
        <v>166</v>
      </c>
      <c r="CP50" s="16" t="s">
        <v>166</v>
      </c>
      <c r="CQ50" s="16" t="s">
        <v>166</v>
      </c>
      <c r="CR50" s="16" t="s">
        <v>166</v>
      </c>
      <c r="CS50" s="16" t="s">
        <v>166</v>
      </c>
      <c r="CT50" s="16" t="s">
        <v>166</v>
      </c>
      <c r="CU50" s="16" t="s">
        <v>166</v>
      </c>
      <c r="CV50" s="16" t="s">
        <v>166</v>
      </c>
      <c r="CW50" s="16" t="s">
        <v>166</v>
      </c>
      <c r="CX50" s="16" t="s">
        <v>166</v>
      </c>
      <c r="CY50" s="16" t="s">
        <v>166</v>
      </c>
      <c r="CZ50" s="16" t="s">
        <v>166</v>
      </c>
      <c r="DA50" s="16" t="s">
        <v>166</v>
      </c>
      <c r="DB50" s="16" t="s">
        <v>166</v>
      </c>
      <c r="DC50" s="16" t="s">
        <v>166</v>
      </c>
      <c r="DD50" s="16" t="s">
        <v>166</v>
      </c>
      <c r="DE50" s="17" t="s">
        <v>166</v>
      </c>
      <c r="DF50" s="22">
        <v>7</v>
      </c>
      <c r="DG50" s="14" t="s">
        <v>1077</v>
      </c>
      <c r="DH50" s="14" t="s">
        <v>193</v>
      </c>
      <c r="DI50" s="14" t="s">
        <v>194</v>
      </c>
      <c r="DJ50" s="14" t="s">
        <v>1078</v>
      </c>
      <c r="DK50" s="14" t="s">
        <v>257</v>
      </c>
      <c r="DL50" s="21" t="s">
        <v>1079</v>
      </c>
      <c r="DM50" s="14" t="s">
        <v>198</v>
      </c>
      <c r="DN50" s="13" t="s">
        <v>1080</v>
      </c>
      <c r="DO50" s="20">
        <v>2023</v>
      </c>
      <c r="DP50" s="14" t="s">
        <v>166</v>
      </c>
      <c r="DQ50" s="14" t="s">
        <v>166</v>
      </c>
      <c r="DR50" s="18" t="s">
        <v>166</v>
      </c>
      <c r="DS50" s="16" t="s">
        <v>166</v>
      </c>
      <c r="DT50" s="19" t="s">
        <v>166</v>
      </c>
      <c r="DU50" s="14" t="s">
        <v>166</v>
      </c>
      <c r="DV50" s="18" t="s">
        <v>166</v>
      </c>
      <c r="DW50" s="18" t="s">
        <v>166</v>
      </c>
      <c r="DX50" s="16" t="s">
        <v>166</v>
      </c>
      <c r="DY50" s="16" t="s">
        <v>166</v>
      </c>
      <c r="DZ50" s="17" t="s">
        <v>166</v>
      </c>
      <c r="EA50" s="16" t="s">
        <v>166</v>
      </c>
      <c r="EB50" s="16" t="s">
        <v>166</v>
      </c>
      <c r="EC50" s="16" t="s">
        <v>166</v>
      </c>
      <c r="ED50" s="17" t="s">
        <v>166</v>
      </c>
      <c r="EE50" s="17" t="s">
        <v>166</v>
      </c>
      <c r="EF50" s="17" t="s">
        <v>166</v>
      </c>
      <c r="EG50" s="17" t="s">
        <v>166</v>
      </c>
      <c r="EH50" s="16" t="s">
        <v>166</v>
      </c>
      <c r="EI50" s="16" t="s">
        <v>166</v>
      </c>
      <c r="EJ50" s="16" t="s">
        <v>166</v>
      </c>
      <c r="EK50" s="16" t="s">
        <v>166</v>
      </c>
      <c r="EL50" s="16" t="s">
        <v>166</v>
      </c>
      <c r="EM50" s="16" t="s">
        <v>166</v>
      </c>
      <c r="EN50" s="16" t="s">
        <v>166</v>
      </c>
      <c r="EO50" s="16" t="s">
        <v>166</v>
      </c>
      <c r="EP50" s="16" t="s">
        <v>166</v>
      </c>
      <c r="EQ50" s="16" t="s">
        <v>166</v>
      </c>
      <c r="ER50" s="16" t="s">
        <v>166</v>
      </c>
      <c r="ES50" s="16" t="s">
        <v>166</v>
      </c>
      <c r="ET50" s="14" t="s">
        <v>166</v>
      </c>
      <c r="EU50" s="16" t="s">
        <v>166</v>
      </c>
      <c r="EV50" s="16" t="s">
        <v>166</v>
      </c>
      <c r="EW50" s="16" t="s">
        <v>166</v>
      </c>
      <c r="EX50" s="14" t="s">
        <v>190</v>
      </c>
      <c r="EY50" s="14" t="s">
        <v>166</v>
      </c>
      <c r="EZ50" s="16" t="s">
        <v>166</v>
      </c>
      <c r="FA50" s="15" t="s">
        <v>166</v>
      </c>
      <c r="FB50" s="15" t="s">
        <v>166</v>
      </c>
      <c r="FC50" s="15" t="s">
        <v>166</v>
      </c>
      <c r="FD50" s="15" t="s">
        <v>166</v>
      </c>
      <c r="FE50" s="15" t="s">
        <v>166</v>
      </c>
      <c r="FF50" s="15" t="s">
        <v>166</v>
      </c>
      <c r="FG50" s="14" t="s">
        <v>166</v>
      </c>
      <c r="FH50" s="3">
        <f>HYPERLINK("https://my.pitchbook.com?c=266675-59T","View Company Online")</f>
      </c>
    </row>
    <row r="51">
      <c r="A51" s="25" t="s">
        <v>1081</v>
      </c>
      <c r="B51" s="25" t="s">
        <v>1082</v>
      </c>
      <c r="C51" s="25" t="s">
        <v>1083</v>
      </c>
      <c r="D51" s="25" t="s">
        <v>166</v>
      </c>
      <c r="E51" s="34" t="s">
        <v>1084</v>
      </c>
      <c r="F51" s="32">
        <v>2</v>
      </c>
      <c r="G51" s="25" t="s">
        <v>1085</v>
      </c>
      <c r="H51" s="25" t="s">
        <v>166</v>
      </c>
      <c r="I51" s="25" t="s">
        <v>1086</v>
      </c>
      <c r="J51" s="25" t="s">
        <v>1087</v>
      </c>
      <c r="K51" s="25" t="s">
        <v>171</v>
      </c>
      <c r="L51" s="25" t="s">
        <v>172</v>
      </c>
      <c r="M51" s="25" t="s">
        <v>173</v>
      </c>
      <c r="N51" s="25" t="s">
        <v>1088</v>
      </c>
      <c r="O51" s="25" t="s">
        <v>1089</v>
      </c>
      <c r="P51" s="25" t="s">
        <v>1090</v>
      </c>
      <c r="Q51" s="25" t="s">
        <v>166</v>
      </c>
      <c r="R51" s="25" t="s">
        <v>177</v>
      </c>
      <c r="S51" s="25" t="s">
        <v>178</v>
      </c>
      <c r="T51" s="25" t="s">
        <v>179</v>
      </c>
      <c r="U51" s="25" t="s">
        <v>1091</v>
      </c>
      <c r="V51" s="25" t="s">
        <v>1092</v>
      </c>
      <c r="W51" s="32" t="s">
        <v>166</v>
      </c>
      <c r="X51" s="25" t="s">
        <v>1093</v>
      </c>
      <c r="Y51" s="25" t="s">
        <v>1094</v>
      </c>
      <c r="Z51" s="25" t="s">
        <v>166</v>
      </c>
      <c r="AA51" s="25" t="s">
        <v>166</v>
      </c>
      <c r="AB51" s="25" t="s">
        <v>166</v>
      </c>
      <c r="AC51" s="25" t="s">
        <v>166</v>
      </c>
      <c r="AD51" s="25" t="s">
        <v>166</v>
      </c>
      <c r="AE51" s="25" t="s">
        <v>166</v>
      </c>
      <c r="AF51" s="25" t="s">
        <v>166</v>
      </c>
      <c r="AG51" s="25" t="s">
        <v>166</v>
      </c>
      <c r="AH51" s="32">
        <v>3</v>
      </c>
      <c r="AI51" s="4">
        <f>HYPERLINK("https://my.pitchbook.com/?d=260521-75T","260521-75T")</f>
      </c>
      <c r="AJ51" s="30" t="s">
        <v>166</v>
      </c>
      <c r="AK51" s="30">
        <v>45399</v>
      </c>
      <c r="AL51" s="29">
        <v>1.9</v>
      </c>
      <c r="AM51" s="25" t="s">
        <v>185</v>
      </c>
      <c r="AN51" s="29" t="s">
        <v>166</v>
      </c>
      <c r="AO51" s="29" t="s">
        <v>166</v>
      </c>
      <c r="AP51" s="25" t="s">
        <v>166</v>
      </c>
      <c r="AQ51" s="32" t="s">
        <v>166</v>
      </c>
      <c r="AR51" s="32" t="s">
        <v>166</v>
      </c>
      <c r="AS51" s="28" t="s">
        <v>166</v>
      </c>
      <c r="AT51" s="29">
        <v>1.92</v>
      </c>
      <c r="AU51" s="32" t="s">
        <v>186</v>
      </c>
      <c r="AV51" s="32" t="s">
        <v>166</v>
      </c>
      <c r="AW51" s="29" t="s">
        <v>166</v>
      </c>
      <c r="AX51" s="32" t="s">
        <v>166</v>
      </c>
      <c r="AY51" s="25" t="s">
        <v>217</v>
      </c>
      <c r="AZ51" s="25" t="s">
        <v>217</v>
      </c>
      <c r="BA51" s="25" t="s">
        <v>166</v>
      </c>
      <c r="BB51" s="32" t="s">
        <v>166</v>
      </c>
      <c r="BC51" s="25" t="s">
        <v>179</v>
      </c>
      <c r="BD51" s="25" t="s">
        <v>1087</v>
      </c>
      <c r="BE51" s="25" t="s">
        <v>189</v>
      </c>
      <c r="BF51" s="29" t="s">
        <v>166</v>
      </c>
      <c r="BG51" s="25" t="s">
        <v>190</v>
      </c>
      <c r="BH51" s="25" t="s">
        <v>166</v>
      </c>
      <c r="BI51" s="25" t="s">
        <v>166</v>
      </c>
      <c r="BJ51" s="29">
        <v>1.9</v>
      </c>
      <c r="BK51" s="29" t="s">
        <v>166</v>
      </c>
      <c r="BL51" s="25" t="s">
        <v>191</v>
      </c>
      <c r="BM51" s="25" t="s">
        <v>178</v>
      </c>
      <c r="BN51" s="25" t="s">
        <v>177</v>
      </c>
      <c r="BO51" s="33" t="s">
        <v>166</v>
      </c>
      <c r="BP51" s="25" t="s">
        <v>1095</v>
      </c>
      <c r="BQ51" s="32">
        <v>1</v>
      </c>
      <c r="BR51" s="25" t="s">
        <v>252</v>
      </c>
      <c r="BS51" s="32">
        <v>1</v>
      </c>
      <c r="BT51" s="25" t="s">
        <v>1096</v>
      </c>
      <c r="BU51" s="25" t="s">
        <v>166</v>
      </c>
      <c r="BV51" s="25" t="s">
        <v>1097</v>
      </c>
      <c r="BW51" s="25" t="s">
        <v>166</v>
      </c>
      <c r="BX51" s="25" t="s">
        <v>166</v>
      </c>
      <c r="BY51" s="25" t="s">
        <v>166</v>
      </c>
      <c r="BZ51" s="25" t="s">
        <v>166</v>
      </c>
      <c r="CA51" s="25" t="s">
        <v>166</v>
      </c>
      <c r="CB51" s="25" t="s">
        <v>166</v>
      </c>
      <c r="CC51" s="25" t="s">
        <v>166</v>
      </c>
      <c r="CD51" s="25" t="s">
        <v>166</v>
      </c>
      <c r="CE51" s="29" t="s">
        <v>166</v>
      </c>
      <c r="CF51" s="27" t="s">
        <v>166</v>
      </c>
      <c r="CG51" s="28" t="s">
        <v>166</v>
      </c>
      <c r="CH51" s="27" t="s">
        <v>166</v>
      </c>
      <c r="CI51" s="27" t="s">
        <v>166</v>
      </c>
      <c r="CJ51" s="27" t="s">
        <v>166</v>
      </c>
      <c r="CK51" s="27" t="s">
        <v>166</v>
      </c>
      <c r="CL51" s="27" t="s">
        <v>166</v>
      </c>
      <c r="CM51" s="31" t="s">
        <v>166</v>
      </c>
      <c r="CN51" s="27" t="s">
        <v>166</v>
      </c>
      <c r="CO51" s="27" t="s">
        <v>166</v>
      </c>
      <c r="CP51" s="27" t="s">
        <v>166</v>
      </c>
      <c r="CQ51" s="27" t="s">
        <v>166</v>
      </c>
      <c r="CR51" s="27" t="s">
        <v>166</v>
      </c>
      <c r="CS51" s="27" t="s">
        <v>166</v>
      </c>
      <c r="CT51" s="27" t="s">
        <v>166</v>
      </c>
      <c r="CU51" s="27" t="s">
        <v>166</v>
      </c>
      <c r="CV51" s="27" t="s">
        <v>166</v>
      </c>
      <c r="CW51" s="27" t="s">
        <v>166</v>
      </c>
      <c r="CX51" s="27" t="s">
        <v>166</v>
      </c>
      <c r="CY51" s="27" t="s">
        <v>166</v>
      </c>
      <c r="CZ51" s="27" t="s">
        <v>166</v>
      </c>
      <c r="DA51" s="27" t="s">
        <v>166</v>
      </c>
      <c r="DB51" s="27" t="s">
        <v>166</v>
      </c>
      <c r="DC51" s="27" t="s">
        <v>166</v>
      </c>
      <c r="DD51" s="27" t="s">
        <v>166</v>
      </c>
      <c r="DE51" s="28" t="s">
        <v>166</v>
      </c>
      <c r="DF51" s="33">
        <v>9</v>
      </c>
      <c r="DG51" s="25" t="s">
        <v>309</v>
      </c>
      <c r="DH51" s="25" t="s">
        <v>193</v>
      </c>
      <c r="DI51" s="25" t="s">
        <v>194</v>
      </c>
      <c r="DJ51" s="25" t="s">
        <v>310</v>
      </c>
      <c r="DK51" s="25" t="s">
        <v>310</v>
      </c>
      <c r="DL51" s="32" t="s">
        <v>166</v>
      </c>
      <c r="DM51" s="25" t="s">
        <v>198</v>
      </c>
      <c r="DN51" s="24" t="s">
        <v>1098</v>
      </c>
      <c r="DO51" s="31">
        <v>2022</v>
      </c>
      <c r="DP51" s="25" t="s">
        <v>166</v>
      </c>
      <c r="DQ51" s="25" t="s">
        <v>1099</v>
      </c>
      <c r="DR51" s="29">
        <v>1.9</v>
      </c>
      <c r="DS51" s="27" t="s">
        <v>166</v>
      </c>
      <c r="DT51" s="30" t="s">
        <v>166</v>
      </c>
      <c r="DU51" s="25" t="s">
        <v>166</v>
      </c>
      <c r="DV51" s="29" t="s">
        <v>166</v>
      </c>
      <c r="DW51" s="29" t="s">
        <v>166</v>
      </c>
      <c r="DX51" s="27" t="s">
        <v>166</v>
      </c>
      <c r="DY51" s="27" t="s">
        <v>166</v>
      </c>
      <c r="DZ51" s="28" t="s">
        <v>166</v>
      </c>
      <c r="EA51" s="27" t="s">
        <v>166</v>
      </c>
      <c r="EB51" s="27" t="s">
        <v>166</v>
      </c>
      <c r="EC51" s="27" t="s">
        <v>166</v>
      </c>
      <c r="ED51" s="28" t="s">
        <v>166</v>
      </c>
      <c r="EE51" s="28" t="s">
        <v>166</v>
      </c>
      <c r="EF51" s="28" t="s">
        <v>166</v>
      </c>
      <c r="EG51" s="28" t="s">
        <v>166</v>
      </c>
      <c r="EH51" s="27" t="s">
        <v>166</v>
      </c>
      <c r="EI51" s="27" t="s">
        <v>166</v>
      </c>
      <c r="EJ51" s="27" t="s">
        <v>166</v>
      </c>
      <c r="EK51" s="27" t="s">
        <v>166</v>
      </c>
      <c r="EL51" s="27" t="s">
        <v>166</v>
      </c>
      <c r="EM51" s="27" t="s">
        <v>166</v>
      </c>
      <c r="EN51" s="27" t="s">
        <v>166</v>
      </c>
      <c r="EO51" s="27" t="s">
        <v>166</v>
      </c>
      <c r="EP51" s="27" t="s">
        <v>166</v>
      </c>
      <c r="EQ51" s="27" t="s">
        <v>166</v>
      </c>
      <c r="ER51" s="27" t="s">
        <v>166</v>
      </c>
      <c r="ES51" s="27" t="s">
        <v>166</v>
      </c>
      <c r="ET51" s="25" t="s">
        <v>166</v>
      </c>
      <c r="EU51" s="27" t="s">
        <v>166</v>
      </c>
      <c r="EV51" s="27" t="s">
        <v>166</v>
      </c>
      <c r="EW51" s="27" t="s">
        <v>166</v>
      </c>
      <c r="EX51" s="25" t="s">
        <v>190</v>
      </c>
      <c r="EY51" s="25" t="s">
        <v>190</v>
      </c>
      <c r="EZ51" s="27" t="s">
        <v>166</v>
      </c>
      <c r="FA51" s="26" t="s">
        <v>166</v>
      </c>
      <c r="FB51" s="26" t="s">
        <v>166</v>
      </c>
      <c r="FC51" s="26" t="s">
        <v>166</v>
      </c>
      <c r="FD51" s="26" t="s">
        <v>166</v>
      </c>
      <c r="FE51" s="26" t="s">
        <v>166</v>
      </c>
      <c r="FF51" s="26" t="s">
        <v>166</v>
      </c>
      <c r="FG51" s="25" t="s">
        <v>166</v>
      </c>
      <c r="FH51" s="4">
        <f>HYPERLINK("https://my.pitchbook.com?c=260521-75T","View Company Online")</f>
      </c>
    </row>
    <row r="52">
      <c r="A52" s="14" t="s">
        <v>1100</v>
      </c>
      <c r="B52" s="14" t="s">
        <v>1101</v>
      </c>
      <c r="C52" s="14" t="s">
        <v>1102</v>
      </c>
      <c r="D52" s="14" t="s">
        <v>166</v>
      </c>
      <c r="E52" s="23" t="s">
        <v>1103</v>
      </c>
      <c r="F52" s="21">
        <v>1</v>
      </c>
      <c r="G52" s="14" t="s">
        <v>1104</v>
      </c>
      <c r="H52" s="14" t="s">
        <v>166</v>
      </c>
      <c r="I52" s="14" t="s">
        <v>1105</v>
      </c>
      <c r="J52" s="14" t="s">
        <v>1106</v>
      </c>
      <c r="K52" s="14" t="s">
        <v>207</v>
      </c>
      <c r="L52" s="14" t="s">
        <v>208</v>
      </c>
      <c r="M52" s="14" t="s">
        <v>209</v>
      </c>
      <c r="N52" s="14" t="s">
        <v>269</v>
      </c>
      <c r="O52" s="14" t="s">
        <v>1107</v>
      </c>
      <c r="P52" s="14" t="s">
        <v>1108</v>
      </c>
      <c r="Q52" s="14" t="s">
        <v>166</v>
      </c>
      <c r="R52" s="14" t="s">
        <v>177</v>
      </c>
      <c r="S52" s="14" t="s">
        <v>178</v>
      </c>
      <c r="T52" s="14" t="s">
        <v>179</v>
      </c>
      <c r="U52" s="14" t="s">
        <v>1109</v>
      </c>
      <c r="V52" s="14" t="s">
        <v>1110</v>
      </c>
      <c r="W52" s="21" t="s">
        <v>1111</v>
      </c>
      <c r="X52" s="14" t="s">
        <v>1112</v>
      </c>
      <c r="Y52" s="14" t="s">
        <v>1113</v>
      </c>
      <c r="Z52" s="14" t="s">
        <v>166</v>
      </c>
      <c r="AA52" s="14" t="s">
        <v>242</v>
      </c>
      <c r="AB52" s="14" t="s">
        <v>243</v>
      </c>
      <c r="AC52" s="14" t="s">
        <v>244</v>
      </c>
      <c r="AD52" s="14" t="s">
        <v>243</v>
      </c>
      <c r="AE52" s="14" t="s">
        <v>243</v>
      </c>
      <c r="AF52" s="14" t="s">
        <v>166</v>
      </c>
      <c r="AG52" s="14" t="s">
        <v>246</v>
      </c>
      <c r="AH52" s="21">
        <v>2</v>
      </c>
      <c r="AI52" s="3">
        <f>HYPERLINK("https://my.pitchbook.com/?d=271724-77T","271724-77T")</f>
      </c>
      <c r="AJ52" s="19" t="s">
        <v>166</v>
      </c>
      <c r="AK52" s="19">
        <v>45545</v>
      </c>
      <c r="AL52" s="18">
        <v>2.5</v>
      </c>
      <c r="AM52" s="14" t="s">
        <v>247</v>
      </c>
      <c r="AN52" s="18">
        <v>7.5</v>
      </c>
      <c r="AO52" s="18">
        <v>10</v>
      </c>
      <c r="AP52" s="14" t="s">
        <v>247</v>
      </c>
      <c r="AQ52" s="21" t="s">
        <v>166</v>
      </c>
      <c r="AR52" s="21" t="s">
        <v>166</v>
      </c>
      <c r="AS52" s="17">
        <v>26.22</v>
      </c>
      <c r="AT52" s="18">
        <v>2.5</v>
      </c>
      <c r="AU52" s="21" t="s">
        <v>186</v>
      </c>
      <c r="AV52" s="21" t="s">
        <v>166</v>
      </c>
      <c r="AW52" s="18">
        <v>0.51</v>
      </c>
      <c r="AX52" s="21" t="s">
        <v>248</v>
      </c>
      <c r="AY52" s="14" t="s">
        <v>249</v>
      </c>
      <c r="AZ52" s="14" t="s">
        <v>248</v>
      </c>
      <c r="BA52" s="14" t="s">
        <v>166</v>
      </c>
      <c r="BB52" s="21" t="s">
        <v>166</v>
      </c>
      <c r="BC52" s="14" t="s">
        <v>179</v>
      </c>
      <c r="BD52" s="14" t="s">
        <v>1106</v>
      </c>
      <c r="BE52" s="14" t="s">
        <v>189</v>
      </c>
      <c r="BF52" s="18">
        <v>2.5</v>
      </c>
      <c r="BG52" s="14" t="s">
        <v>190</v>
      </c>
      <c r="BH52" s="14" t="s">
        <v>166</v>
      </c>
      <c r="BI52" s="14" t="s">
        <v>166</v>
      </c>
      <c r="BJ52" s="18" t="s">
        <v>166</v>
      </c>
      <c r="BK52" s="18" t="s">
        <v>166</v>
      </c>
      <c r="BL52" s="14" t="s">
        <v>191</v>
      </c>
      <c r="BM52" s="14" t="s">
        <v>178</v>
      </c>
      <c r="BN52" s="14" t="s">
        <v>177</v>
      </c>
      <c r="BO52" s="22" t="s">
        <v>166</v>
      </c>
      <c r="BP52" s="14" t="s">
        <v>1114</v>
      </c>
      <c r="BQ52" s="21">
        <v>1</v>
      </c>
      <c r="BR52" s="14" t="s">
        <v>166</v>
      </c>
      <c r="BS52" s="21" t="s">
        <v>166</v>
      </c>
      <c r="BT52" s="14" t="s">
        <v>1103</v>
      </c>
      <c r="BU52" s="14" t="s">
        <v>166</v>
      </c>
      <c r="BV52" s="14" t="s">
        <v>166</v>
      </c>
      <c r="BW52" s="14" t="s">
        <v>166</v>
      </c>
      <c r="BX52" s="14" t="s">
        <v>166</v>
      </c>
      <c r="BY52" s="14" t="s">
        <v>166</v>
      </c>
      <c r="BZ52" s="14" t="s">
        <v>166</v>
      </c>
      <c r="CA52" s="14" t="s">
        <v>166</v>
      </c>
      <c r="CB52" s="14" t="s">
        <v>166</v>
      </c>
      <c r="CC52" s="14" t="s">
        <v>166</v>
      </c>
      <c r="CD52" s="14" t="s">
        <v>166</v>
      </c>
      <c r="CE52" s="18" t="s">
        <v>166</v>
      </c>
      <c r="CF52" s="16" t="s">
        <v>166</v>
      </c>
      <c r="CG52" s="17" t="s">
        <v>166</v>
      </c>
      <c r="CH52" s="16" t="s">
        <v>166</v>
      </c>
      <c r="CI52" s="16" t="s">
        <v>166</v>
      </c>
      <c r="CJ52" s="16" t="s">
        <v>166</v>
      </c>
      <c r="CK52" s="16" t="s">
        <v>166</v>
      </c>
      <c r="CL52" s="16" t="s">
        <v>166</v>
      </c>
      <c r="CM52" s="20" t="s">
        <v>166</v>
      </c>
      <c r="CN52" s="16" t="s">
        <v>166</v>
      </c>
      <c r="CO52" s="16" t="s">
        <v>166</v>
      </c>
      <c r="CP52" s="16" t="s">
        <v>166</v>
      </c>
      <c r="CQ52" s="16" t="s">
        <v>166</v>
      </c>
      <c r="CR52" s="16" t="s">
        <v>166</v>
      </c>
      <c r="CS52" s="16" t="s">
        <v>166</v>
      </c>
      <c r="CT52" s="16" t="s">
        <v>166</v>
      </c>
      <c r="CU52" s="16" t="s">
        <v>166</v>
      </c>
      <c r="CV52" s="16" t="s">
        <v>166</v>
      </c>
      <c r="CW52" s="16" t="s">
        <v>166</v>
      </c>
      <c r="CX52" s="16" t="s">
        <v>166</v>
      </c>
      <c r="CY52" s="16" t="s">
        <v>166</v>
      </c>
      <c r="CZ52" s="16" t="s">
        <v>166</v>
      </c>
      <c r="DA52" s="16" t="s">
        <v>166</v>
      </c>
      <c r="DB52" s="16" t="s">
        <v>166</v>
      </c>
      <c r="DC52" s="16" t="s">
        <v>166</v>
      </c>
      <c r="DD52" s="16" t="s">
        <v>166</v>
      </c>
      <c r="DE52" s="17" t="s">
        <v>166</v>
      </c>
      <c r="DF52" s="22">
        <v>18</v>
      </c>
      <c r="DG52" s="14" t="s">
        <v>1115</v>
      </c>
      <c r="DH52" s="14" t="s">
        <v>193</v>
      </c>
      <c r="DI52" s="14" t="s">
        <v>194</v>
      </c>
      <c r="DJ52" s="14" t="s">
        <v>1116</v>
      </c>
      <c r="DK52" s="14" t="s">
        <v>1117</v>
      </c>
      <c r="DL52" s="21" t="s">
        <v>1118</v>
      </c>
      <c r="DM52" s="14" t="s">
        <v>198</v>
      </c>
      <c r="DN52" s="13" t="s">
        <v>1119</v>
      </c>
      <c r="DO52" s="20">
        <v>2018</v>
      </c>
      <c r="DP52" s="14" t="s">
        <v>166</v>
      </c>
      <c r="DQ52" s="14" t="s">
        <v>166</v>
      </c>
      <c r="DR52" s="18" t="s">
        <v>166</v>
      </c>
      <c r="DS52" s="16" t="s">
        <v>166</v>
      </c>
      <c r="DT52" s="19" t="s">
        <v>166</v>
      </c>
      <c r="DU52" s="14" t="s">
        <v>166</v>
      </c>
      <c r="DV52" s="18" t="s">
        <v>166</v>
      </c>
      <c r="DW52" s="18" t="s">
        <v>166</v>
      </c>
      <c r="DX52" s="16" t="s">
        <v>166</v>
      </c>
      <c r="DY52" s="16" t="s">
        <v>166</v>
      </c>
      <c r="DZ52" s="17" t="s">
        <v>166</v>
      </c>
      <c r="EA52" s="16" t="s">
        <v>166</v>
      </c>
      <c r="EB52" s="16" t="s">
        <v>166</v>
      </c>
      <c r="EC52" s="16" t="s">
        <v>166</v>
      </c>
      <c r="ED52" s="17" t="s">
        <v>166</v>
      </c>
      <c r="EE52" s="17" t="s">
        <v>166</v>
      </c>
      <c r="EF52" s="17" t="s">
        <v>166</v>
      </c>
      <c r="EG52" s="17" t="s">
        <v>166</v>
      </c>
      <c r="EH52" s="16" t="s">
        <v>166</v>
      </c>
      <c r="EI52" s="16" t="s">
        <v>166</v>
      </c>
      <c r="EJ52" s="16" t="s">
        <v>166</v>
      </c>
      <c r="EK52" s="16" t="s">
        <v>166</v>
      </c>
      <c r="EL52" s="16" t="s">
        <v>166</v>
      </c>
      <c r="EM52" s="16" t="s">
        <v>166</v>
      </c>
      <c r="EN52" s="16" t="s">
        <v>166</v>
      </c>
      <c r="EO52" s="16" t="s">
        <v>166</v>
      </c>
      <c r="EP52" s="16" t="s">
        <v>166</v>
      </c>
      <c r="EQ52" s="16" t="s">
        <v>166</v>
      </c>
      <c r="ER52" s="16" t="s">
        <v>166</v>
      </c>
      <c r="ES52" s="16" t="s">
        <v>166</v>
      </c>
      <c r="ET52" s="14" t="s">
        <v>166</v>
      </c>
      <c r="EU52" s="16" t="s">
        <v>166</v>
      </c>
      <c r="EV52" s="16" t="s">
        <v>166</v>
      </c>
      <c r="EW52" s="16" t="s">
        <v>166</v>
      </c>
      <c r="EX52" s="14" t="s">
        <v>190</v>
      </c>
      <c r="EY52" s="14" t="s">
        <v>166</v>
      </c>
      <c r="EZ52" s="16" t="s">
        <v>166</v>
      </c>
      <c r="FA52" s="15" t="s">
        <v>166</v>
      </c>
      <c r="FB52" s="15" t="s">
        <v>166</v>
      </c>
      <c r="FC52" s="15" t="s">
        <v>166</v>
      </c>
      <c r="FD52" s="15" t="s">
        <v>166</v>
      </c>
      <c r="FE52" s="15" t="s">
        <v>166</v>
      </c>
      <c r="FF52" s="15" t="s">
        <v>166</v>
      </c>
      <c r="FG52" s="14" t="s">
        <v>166</v>
      </c>
      <c r="FH52" s="3">
        <f>HYPERLINK("https://my.pitchbook.com?c=271724-77T","View Company Online")</f>
      </c>
    </row>
    <row r="53">
      <c r="A53" s="25" t="s">
        <v>1120</v>
      </c>
      <c r="B53" s="25" t="s">
        <v>1121</v>
      </c>
      <c r="C53" s="25" t="s">
        <v>1122</v>
      </c>
      <c r="D53" s="25" t="s">
        <v>166</v>
      </c>
      <c r="E53" s="34" t="s">
        <v>1123</v>
      </c>
      <c r="F53" s="32">
        <v>15</v>
      </c>
      <c r="G53" s="25" t="s">
        <v>1124</v>
      </c>
      <c r="H53" s="25" t="s">
        <v>166</v>
      </c>
      <c r="I53" s="25" t="s">
        <v>1125</v>
      </c>
      <c r="J53" s="25" t="s">
        <v>1126</v>
      </c>
      <c r="K53" s="25" t="s">
        <v>207</v>
      </c>
      <c r="L53" s="25" t="s">
        <v>208</v>
      </c>
      <c r="M53" s="25" t="s">
        <v>209</v>
      </c>
      <c r="N53" s="25" t="s">
        <v>684</v>
      </c>
      <c r="O53" s="25" t="s">
        <v>1127</v>
      </c>
      <c r="P53" s="25" t="s">
        <v>1128</v>
      </c>
      <c r="Q53" s="25" t="s">
        <v>166</v>
      </c>
      <c r="R53" s="25" t="s">
        <v>177</v>
      </c>
      <c r="S53" s="25" t="s">
        <v>178</v>
      </c>
      <c r="T53" s="25" t="s">
        <v>179</v>
      </c>
      <c r="U53" s="25" t="s">
        <v>1129</v>
      </c>
      <c r="V53" s="25" t="s">
        <v>1130</v>
      </c>
      <c r="W53" s="32" t="s">
        <v>1131</v>
      </c>
      <c r="X53" s="25" t="s">
        <v>1132</v>
      </c>
      <c r="Y53" s="25" t="s">
        <v>1133</v>
      </c>
      <c r="Z53" s="25" t="s">
        <v>166</v>
      </c>
      <c r="AA53" s="25" t="s">
        <v>166</v>
      </c>
      <c r="AB53" s="25" t="s">
        <v>166</v>
      </c>
      <c r="AC53" s="25" t="s">
        <v>166</v>
      </c>
      <c r="AD53" s="25" t="s">
        <v>166</v>
      </c>
      <c r="AE53" s="25" t="s">
        <v>166</v>
      </c>
      <c r="AF53" s="25" t="s">
        <v>166</v>
      </c>
      <c r="AG53" s="25" t="s">
        <v>166</v>
      </c>
      <c r="AH53" s="32">
        <v>1</v>
      </c>
      <c r="AI53" s="4">
        <f>HYPERLINK("https://my.pitchbook.com/?d=196142-14T","196142-14T")</f>
      </c>
      <c r="AJ53" s="30" t="s">
        <v>166</v>
      </c>
      <c r="AK53" s="30">
        <v>44726</v>
      </c>
      <c r="AL53" s="29">
        <v>1.5</v>
      </c>
      <c r="AM53" s="25" t="s">
        <v>185</v>
      </c>
      <c r="AN53" s="29">
        <v>6</v>
      </c>
      <c r="AO53" s="29">
        <v>7.5</v>
      </c>
      <c r="AP53" s="25" t="s">
        <v>185</v>
      </c>
      <c r="AQ53" s="32" t="s">
        <v>166</v>
      </c>
      <c r="AR53" s="32" t="s">
        <v>166</v>
      </c>
      <c r="AS53" s="28" t="s">
        <v>166</v>
      </c>
      <c r="AT53" s="29">
        <v>1.5</v>
      </c>
      <c r="AU53" s="32" t="s">
        <v>186</v>
      </c>
      <c r="AV53" s="32" t="s">
        <v>166</v>
      </c>
      <c r="AW53" s="29" t="s">
        <v>166</v>
      </c>
      <c r="AX53" s="32" t="s">
        <v>166</v>
      </c>
      <c r="AY53" s="25" t="s">
        <v>217</v>
      </c>
      <c r="AZ53" s="25" t="s">
        <v>217</v>
      </c>
      <c r="BA53" s="25" t="s">
        <v>166</v>
      </c>
      <c r="BB53" s="32" t="s">
        <v>166</v>
      </c>
      <c r="BC53" s="25" t="s">
        <v>179</v>
      </c>
      <c r="BD53" s="25" t="s">
        <v>1134</v>
      </c>
      <c r="BE53" s="25" t="s">
        <v>189</v>
      </c>
      <c r="BF53" s="29">
        <v>1.5</v>
      </c>
      <c r="BG53" s="25" t="s">
        <v>190</v>
      </c>
      <c r="BH53" s="25" t="s">
        <v>166</v>
      </c>
      <c r="BI53" s="25" t="s">
        <v>166</v>
      </c>
      <c r="BJ53" s="29" t="s">
        <v>166</v>
      </c>
      <c r="BK53" s="29" t="s">
        <v>166</v>
      </c>
      <c r="BL53" s="25" t="s">
        <v>191</v>
      </c>
      <c r="BM53" s="25" t="s">
        <v>178</v>
      </c>
      <c r="BN53" s="25" t="s">
        <v>177</v>
      </c>
      <c r="BO53" s="33" t="s">
        <v>166</v>
      </c>
      <c r="BP53" s="25" t="s">
        <v>1135</v>
      </c>
      <c r="BQ53" s="32">
        <v>15</v>
      </c>
      <c r="BR53" s="25" t="s">
        <v>166</v>
      </c>
      <c r="BS53" s="32" t="s">
        <v>166</v>
      </c>
      <c r="BT53" s="25" t="s">
        <v>166</v>
      </c>
      <c r="BU53" s="25" t="s">
        <v>166</v>
      </c>
      <c r="BV53" s="25" t="s">
        <v>166</v>
      </c>
      <c r="BW53" s="25" t="s">
        <v>166</v>
      </c>
      <c r="BX53" s="25" t="s">
        <v>166</v>
      </c>
      <c r="BY53" s="25" t="s">
        <v>166</v>
      </c>
      <c r="BZ53" s="25" t="s">
        <v>770</v>
      </c>
      <c r="CA53" s="25" t="s">
        <v>770</v>
      </c>
      <c r="CB53" s="25" t="s">
        <v>166</v>
      </c>
      <c r="CC53" s="25" t="s">
        <v>166</v>
      </c>
      <c r="CD53" s="25" t="s">
        <v>166</v>
      </c>
      <c r="CE53" s="29" t="s">
        <v>166</v>
      </c>
      <c r="CF53" s="27" t="s">
        <v>166</v>
      </c>
      <c r="CG53" s="28" t="s">
        <v>166</v>
      </c>
      <c r="CH53" s="27" t="s">
        <v>166</v>
      </c>
      <c r="CI53" s="27" t="s">
        <v>166</v>
      </c>
      <c r="CJ53" s="27" t="s">
        <v>166</v>
      </c>
      <c r="CK53" s="27" t="s">
        <v>166</v>
      </c>
      <c r="CL53" s="27" t="s">
        <v>166</v>
      </c>
      <c r="CM53" s="31" t="s">
        <v>166</v>
      </c>
      <c r="CN53" s="27" t="s">
        <v>166</v>
      </c>
      <c r="CO53" s="27" t="s">
        <v>166</v>
      </c>
      <c r="CP53" s="27" t="s">
        <v>166</v>
      </c>
      <c r="CQ53" s="27" t="s">
        <v>166</v>
      </c>
      <c r="CR53" s="27" t="s">
        <v>166</v>
      </c>
      <c r="CS53" s="27" t="s">
        <v>166</v>
      </c>
      <c r="CT53" s="27" t="s">
        <v>166</v>
      </c>
      <c r="CU53" s="27" t="s">
        <v>166</v>
      </c>
      <c r="CV53" s="27" t="s">
        <v>166</v>
      </c>
      <c r="CW53" s="27" t="s">
        <v>166</v>
      </c>
      <c r="CX53" s="27" t="s">
        <v>166</v>
      </c>
      <c r="CY53" s="27" t="s">
        <v>166</v>
      </c>
      <c r="CZ53" s="27" t="s">
        <v>166</v>
      </c>
      <c r="DA53" s="27" t="s">
        <v>166</v>
      </c>
      <c r="DB53" s="27" t="s">
        <v>166</v>
      </c>
      <c r="DC53" s="27" t="s">
        <v>166</v>
      </c>
      <c r="DD53" s="27" t="s">
        <v>166</v>
      </c>
      <c r="DE53" s="28" t="s">
        <v>166</v>
      </c>
      <c r="DF53" s="33">
        <v>20</v>
      </c>
      <c r="DG53" s="25" t="s">
        <v>1136</v>
      </c>
      <c r="DH53" s="25" t="s">
        <v>193</v>
      </c>
      <c r="DI53" s="25" t="s">
        <v>194</v>
      </c>
      <c r="DJ53" s="25" t="s">
        <v>1137</v>
      </c>
      <c r="DK53" s="25" t="s">
        <v>1138</v>
      </c>
      <c r="DL53" s="32" t="s">
        <v>1139</v>
      </c>
      <c r="DM53" s="25" t="s">
        <v>198</v>
      </c>
      <c r="DN53" s="24" t="s">
        <v>1140</v>
      </c>
      <c r="DO53" s="31">
        <v>2021</v>
      </c>
      <c r="DP53" s="25" t="s">
        <v>166</v>
      </c>
      <c r="DQ53" s="25" t="s">
        <v>166</v>
      </c>
      <c r="DR53" s="29" t="s">
        <v>166</v>
      </c>
      <c r="DS53" s="27" t="s">
        <v>166</v>
      </c>
      <c r="DT53" s="30" t="s">
        <v>166</v>
      </c>
      <c r="DU53" s="25" t="s">
        <v>166</v>
      </c>
      <c r="DV53" s="29" t="s">
        <v>166</v>
      </c>
      <c r="DW53" s="29" t="s">
        <v>166</v>
      </c>
      <c r="DX53" s="27" t="s">
        <v>166</v>
      </c>
      <c r="DY53" s="27" t="s">
        <v>166</v>
      </c>
      <c r="DZ53" s="28" t="s">
        <v>166</v>
      </c>
      <c r="EA53" s="27" t="s">
        <v>166</v>
      </c>
      <c r="EB53" s="27" t="s">
        <v>166</v>
      </c>
      <c r="EC53" s="27" t="s">
        <v>166</v>
      </c>
      <c r="ED53" s="28" t="s">
        <v>166</v>
      </c>
      <c r="EE53" s="28" t="s">
        <v>166</v>
      </c>
      <c r="EF53" s="28" t="s">
        <v>166</v>
      </c>
      <c r="EG53" s="28" t="s">
        <v>166</v>
      </c>
      <c r="EH53" s="27" t="s">
        <v>166</v>
      </c>
      <c r="EI53" s="27" t="s">
        <v>166</v>
      </c>
      <c r="EJ53" s="27" t="s">
        <v>166</v>
      </c>
      <c r="EK53" s="27" t="s">
        <v>166</v>
      </c>
      <c r="EL53" s="27" t="s">
        <v>166</v>
      </c>
      <c r="EM53" s="27" t="s">
        <v>166</v>
      </c>
      <c r="EN53" s="27" t="s">
        <v>166</v>
      </c>
      <c r="EO53" s="27" t="s">
        <v>166</v>
      </c>
      <c r="EP53" s="27" t="s">
        <v>166</v>
      </c>
      <c r="EQ53" s="27" t="s">
        <v>166</v>
      </c>
      <c r="ER53" s="27" t="s">
        <v>166</v>
      </c>
      <c r="ES53" s="27" t="s">
        <v>166</v>
      </c>
      <c r="ET53" s="25" t="s">
        <v>166</v>
      </c>
      <c r="EU53" s="27" t="s">
        <v>166</v>
      </c>
      <c r="EV53" s="27" t="s">
        <v>166</v>
      </c>
      <c r="EW53" s="27" t="s">
        <v>166</v>
      </c>
      <c r="EX53" s="25" t="s">
        <v>190</v>
      </c>
      <c r="EY53" s="25" t="s">
        <v>166</v>
      </c>
      <c r="EZ53" s="27" t="s">
        <v>166</v>
      </c>
      <c r="FA53" s="26" t="s">
        <v>166</v>
      </c>
      <c r="FB53" s="26" t="s">
        <v>166</v>
      </c>
      <c r="FC53" s="26" t="s">
        <v>166</v>
      </c>
      <c r="FD53" s="26" t="s">
        <v>166</v>
      </c>
      <c r="FE53" s="26" t="s">
        <v>166</v>
      </c>
      <c r="FF53" s="26" t="s">
        <v>166</v>
      </c>
      <c r="FG53" s="25" t="s">
        <v>166</v>
      </c>
      <c r="FH53" s="4">
        <f>HYPERLINK("https://my.pitchbook.com?c=196142-14T","View Company Online")</f>
      </c>
    </row>
    <row r="54">
      <c r="A54" s="14" t="s">
        <v>1141</v>
      </c>
      <c r="B54" s="14" t="s">
        <v>1142</v>
      </c>
      <c r="C54" s="14" t="s">
        <v>1143</v>
      </c>
      <c r="D54" s="14" t="s">
        <v>166</v>
      </c>
      <c r="E54" s="23" t="s">
        <v>1144</v>
      </c>
      <c r="F54" s="21">
        <v>3</v>
      </c>
      <c r="G54" s="14" t="s">
        <v>1145</v>
      </c>
      <c r="H54" s="14" t="s">
        <v>166</v>
      </c>
      <c r="I54" s="14" t="s">
        <v>1146</v>
      </c>
      <c r="J54" s="14" t="s">
        <v>1147</v>
      </c>
      <c r="K54" s="14" t="s">
        <v>207</v>
      </c>
      <c r="L54" s="14" t="s">
        <v>208</v>
      </c>
      <c r="M54" s="14" t="s">
        <v>296</v>
      </c>
      <c r="N54" s="14" t="s">
        <v>1052</v>
      </c>
      <c r="O54" s="14" t="s">
        <v>325</v>
      </c>
      <c r="P54" s="14" t="s">
        <v>1148</v>
      </c>
      <c r="Q54" s="14" t="s">
        <v>166</v>
      </c>
      <c r="R54" s="14" t="s">
        <v>177</v>
      </c>
      <c r="S54" s="14" t="s">
        <v>178</v>
      </c>
      <c r="T54" s="14" t="s">
        <v>179</v>
      </c>
      <c r="U54" s="14" t="s">
        <v>1149</v>
      </c>
      <c r="V54" s="14" t="s">
        <v>1150</v>
      </c>
      <c r="W54" s="21" t="s">
        <v>166</v>
      </c>
      <c r="X54" s="14" t="s">
        <v>1151</v>
      </c>
      <c r="Y54" s="14" t="s">
        <v>1152</v>
      </c>
      <c r="Z54" s="14" t="s">
        <v>166</v>
      </c>
      <c r="AA54" s="14" t="s">
        <v>166</v>
      </c>
      <c r="AB54" s="14" t="s">
        <v>166</v>
      </c>
      <c r="AC54" s="14" t="s">
        <v>166</v>
      </c>
      <c r="AD54" s="14" t="s">
        <v>166</v>
      </c>
      <c r="AE54" s="14" t="s">
        <v>166</v>
      </c>
      <c r="AF54" s="14" t="s">
        <v>166</v>
      </c>
      <c r="AG54" s="14" t="s">
        <v>166</v>
      </c>
      <c r="AH54" s="21">
        <v>1</v>
      </c>
      <c r="AI54" s="3">
        <f>HYPERLINK("https://my.pitchbook.com/?d=244512-01T","244512-01T")</f>
      </c>
      <c r="AJ54" s="19" t="s">
        <v>166</v>
      </c>
      <c r="AK54" s="19">
        <v>45194</v>
      </c>
      <c r="AL54" s="18">
        <v>0.5</v>
      </c>
      <c r="AM54" s="14" t="s">
        <v>185</v>
      </c>
      <c r="AN54" s="18">
        <v>4.5</v>
      </c>
      <c r="AO54" s="18">
        <v>5</v>
      </c>
      <c r="AP54" s="14" t="s">
        <v>185</v>
      </c>
      <c r="AQ54" s="21" t="s">
        <v>166</v>
      </c>
      <c r="AR54" s="21" t="s">
        <v>166</v>
      </c>
      <c r="AS54" s="17">
        <v>10</v>
      </c>
      <c r="AT54" s="18">
        <v>0.5</v>
      </c>
      <c r="AU54" s="21" t="s">
        <v>186</v>
      </c>
      <c r="AV54" s="21" t="s">
        <v>166</v>
      </c>
      <c r="AW54" s="18" t="s">
        <v>166</v>
      </c>
      <c r="AX54" s="21" t="s">
        <v>166</v>
      </c>
      <c r="AY54" s="14" t="s">
        <v>217</v>
      </c>
      <c r="AZ54" s="14" t="s">
        <v>217</v>
      </c>
      <c r="BA54" s="14" t="s">
        <v>166</v>
      </c>
      <c r="BB54" s="21" t="s">
        <v>166</v>
      </c>
      <c r="BC54" s="14" t="s">
        <v>179</v>
      </c>
      <c r="BD54" s="14" t="s">
        <v>1153</v>
      </c>
      <c r="BE54" s="14" t="s">
        <v>189</v>
      </c>
      <c r="BF54" s="18">
        <v>0.5</v>
      </c>
      <c r="BG54" s="14" t="s">
        <v>190</v>
      </c>
      <c r="BH54" s="14" t="s">
        <v>166</v>
      </c>
      <c r="BI54" s="14" t="s">
        <v>166</v>
      </c>
      <c r="BJ54" s="18" t="s">
        <v>166</v>
      </c>
      <c r="BK54" s="18" t="s">
        <v>166</v>
      </c>
      <c r="BL54" s="14" t="s">
        <v>191</v>
      </c>
      <c r="BM54" s="14" t="s">
        <v>178</v>
      </c>
      <c r="BN54" s="14" t="s">
        <v>177</v>
      </c>
      <c r="BO54" s="22">
        <v>5</v>
      </c>
      <c r="BP54" s="14" t="s">
        <v>1144</v>
      </c>
      <c r="BQ54" s="21">
        <v>3</v>
      </c>
      <c r="BR54" s="14" t="s">
        <v>166</v>
      </c>
      <c r="BS54" s="21" t="s">
        <v>166</v>
      </c>
      <c r="BT54" s="14" t="s">
        <v>166</v>
      </c>
      <c r="BU54" s="14" t="s">
        <v>166</v>
      </c>
      <c r="BV54" s="14" t="s">
        <v>166</v>
      </c>
      <c r="BW54" s="14" t="s">
        <v>166</v>
      </c>
      <c r="BX54" s="14" t="s">
        <v>166</v>
      </c>
      <c r="BY54" s="14" t="s">
        <v>166</v>
      </c>
      <c r="BZ54" s="14" t="s">
        <v>166</v>
      </c>
      <c r="CA54" s="14" t="s">
        <v>166</v>
      </c>
      <c r="CB54" s="14" t="s">
        <v>166</v>
      </c>
      <c r="CC54" s="14" t="s">
        <v>166</v>
      </c>
      <c r="CD54" s="14" t="s">
        <v>166</v>
      </c>
      <c r="CE54" s="18" t="s">
        <v>166</v>
      </c>
      <c r="CF54" s="16" t="s">
        <v>166</v>
      </c>
      <c r="CG54" s="17" t="s">
        <v>166</v>
      </c>
      <c r="CH54" s="16" t="s">
        <v>166</v>
      </c>
      <c r="CI54" s="16" t="s">
        <v>166</v>
      </c>
      <c r="CJ54" s="16" t="s">
        <v>166</v>
      </c>
      <c r="CK54" s="16" t="s">
        <v>166</v>
      </c>
      <c r="CL54" s="16" t="s">
        <v>166</v>
      </c>
      <c r="CM54" s="20" t="s">
        <v>166</v>
      </c>
      <c r="CN54" s="16" t="s">
        <v>166</v>
      </c>
      <c r="CO54" s="16" t="s">
        <v>166</v>
      </c>
      <c r="CP54" s="16" t="s">
        <v>166</v>
      </c>
      <c r="CQ54" s="16" t="s">
        <v>166</v>
      </c>
      <c r="CR54" s="16" t="s">
        <v>166</v>
      </c>
      <c r="CS54" s="16" t="s">
        <v>166</v>
      </c>
      <c r="CT54" s="16" t="s">
        <v>166</v>
      </c>
      <c r="CU54" s="16" t="s">
        <v>166</v>
      </c>
      <c r="CV54" s="16" t="s">
        <v>166</v>
      </c>
      <c r="CW54" s="16" t="s">
        <v>166</v>
      </c>
      <c r="CX54" s="16" t="s">
        <v>166</v>
      </c>
      <c r="CY54" s="16" t="s">
        <v>166</v>
      </c>
      <c r="CZ54" s="16" t="s">
        <v>166</v>
      </c>
      <c r="DA54" s="16" t="s">
        <v>166</v>
      </c>
      <c r="DB54" s="16" t="s">
        <v>166</v>
      </c>
      <c r="DC54" s="16" t="s">
        <v>166</v>
      </c>
      <c r="DD54" s="16" t="s">
        <v>166</v>
      </c>
      <c r="DE54" s="17" t="s">
        <v>166</v>
      </c>
      <c r="DF54" s="22">
        <v>6</v>
      </c>
      <c r="DG54" s="14" t="s">
        <v>309</v>
      </c>
      <c r="DH54" s="14" t="s">
        <v>193</v>
      </c>
      <c r="DI54" s="14" t="s">
        <v>194</v>
      </c>
      <c r="DJ54" s="14" t="s">
        <v>310</v>
      </c>
      <c r="DK54" s="14" t="s">
        <v>310</v>
      </c>
      <c r="DL54" s="21" t="s">
        <v>1154</v>
      </c>
      <c r="DM54" s="14" t="s">
        <v>198</v>
      </c>
      <c r="DN54" s="13" t="s">
        <v>1155</v>
      </c>
      <c r="DO54" s="20">
        <v>2022</v>
      </c>
      <c r="DP54" s="14" t="s">
        <v>166</v>
      </c>
      <c r="DQ54" s="14" t="s">
        <v>166</v>
      </c>
      <c r="DR54" s="18" t="s">
        <v>166</v>
      </c>
      <c r="DS54" s="16" t="s">
        <v>166</v>
      </c>
      <c r="DT54" s="19" t="s">
        <v>166</v>
      </c>
      <c r="DU54" s="14" t="s">
        <v>166</v>
      </c>
      <c r="DV54" s="18" t="s">
        <v>166</v>
      </c>
      <c r="DW54" s="18" t="s">
        <v>166</v>
      </c>
      <c r="DX54" s="16" t="s">
        <v>166</v>
      </c>
      <c r="DY54" s="16" t="s">
        <v>166</v>
      </c>
      <c r="DZ54" s="17" t="s">
        <v>166</v>
      </c>
      <c r="EA54" s="16" t="s">
        <v>166</v>
      </c>
      <c r="EB54" s="16" t="s">
        <v>166</v>
      </c>
      <c r="EC54" s="16" t="s">
        <v>166</v>
      </c>
      <c r="ED54" s="17" t="s">
        <v>166</v>
      </c>
      <c r="EE54" s="17" t="s">
        <v>166</v>
      </c>
      <c r="EF54" s="17" t="s">
        <v>166</v>
      </c>
      <c r="EG54" s="17" t="s">
        <v>166</v>
      </c>
      <c r="EH54" s="16" t="s">
        <v>166</v>
      </c>
      <c r="EI54" s="16" t="s">
        <v>166</v>
      </c>
      <c r="EJ54" s="16" t="s">
        <v>166</v>
      </c>
      <c r="EK54" s="16" t="s">
        <v>166</v>
      </c>
      <c r="EL54" s="16" t="s">
        <v>166</v>
      </c>
      <c r="EM54" s="16" t="s">
        <v>166</v>
      </c>
      <c r="EN54" s="16" t="s">
        <v>166</v>
      </c>
      <c r="EO54" s="16" t="s">
        <v>166</v>
      </c>
      <c r="EP54" s="16" t="s">
        <v>166</v>
      </c>
      <c r="EQ54" s="16" t="s">
        <v>166</v>
      </c>
      <c r="ER54" s="16" t="s">
        <v>166</v>
      </c>
      <c r="ES54" s="16" t="s">
        <v>166</v>
      </c>
      <c r="ET54" s="14" t="s">
        <v>166</v>
      </c>
      <c r="EU54" s="16" t="s">
        <v>166</v>
      </c>
      <c r="EV54" s="16" t="s">
        <v>166</v>
      </c>
      <c r="EW54" s="16" t="s">
        <v>166</v>
      </c>
      <c r="EX54" s="14" t="s">
        <v>190</v>
      </c>
      <c r="EY54" s="14" t="s">
        <v>166</v>
      </c>
      <c r="EZ54" s="16" t="s">
        <v>166</v>
      </c>
      <c r="FA54" s="15" t="s">
        <v>166</v>
      </c>
      <c r="FB54" s="15" t="s">
        <v>166</v>
      </c>
      <c r="FC54" s="15" t="s">
        <v>166</v>
      </c>
      <c r="FD54" s="15" t="s">
        <v>166</v>
      </c>
      <c r="FE54" s="15" t="s">
        <v>166</v>
      </c>
      <c r="FF54" s="15" t="s">
        <v>166</v>
      </c>
      <c r="FG54" s="14" t="s">
        <v>166</v>
      </c>
      <c r="FH54" s="3">
        <f>HYPERLINK("https://my.pitchbook.com?c=244512-01T","View Company Online")</f>
      </c>
    </row>
    <row r="55">
      <c r="A55" s="25" t="s">
        <v>1156</v>
      </c>
      <c r="B55" s="25" t="s">
        <v>1157</v>
      </c>
      <c r="C55" s="25" t="s">
        <v>1158</v>
      </c>
      <c r="D55" s="25" t="s">
        <v>166</v>
      </c>
      <c r="E55" s="34" t="s">
        <v>1159</v>
      </c>
      <c r="F55" s="32">
        <v>3</v>
      </c>
      <c r="G55" s="25" t="s">
        <v>1160</v>
      </c>
      <c r="H55" s="25" t="s">
        <v>166</v>
      </c>
      <c r="I55" s="25" t="s">
        <v>1161</v>
      </c>
      <c r="J55" s="25" t="s">
        <v>1162</v>
      </c>
      <c r="K55" s="25" t="s">
        <v>207</v>
      </c>
      <c r="L55" s="25" t="s">
        <v>208</v>
      </c>
      <c r="M55" s="25" t="s">
        <v>209</v>
      </c>
      <c r="N55" s="25" t="s">
        <v>684</v>
      </c>
      <c r="O55" s="25" t="s">
        <v>665</v>
      </c>
      <c r="P55" s="25" t="s">
        <v>1163</v>
      </c>
      <c r="Q55" s="25" t="s">
        <v>166</v>
      </c>
      <c r="R55" s="25" t="s">
        <v>177</v>
      </c>
      <c r="S55" s="25" t="s">
        <v>178</v>
      </c>
      <c r="T55" s="25" t="s">
        <v>179</v>
      </c>
      <c r="U55" s="25" t="s">
        <v>1164</v>
      </c>
      <c r="V55" s="25" t="s">
        <v>1165</v>
      </c>
      <c r="W55" s="32" t="s">
        <v>166</v>
      </c>
      <c r="X55" s="25" t="s">
        <v>1166</v>
      </c>
      <c r="Y55" s="25" t="s">
        <v>1167</v>
      </c>
      <c r="Z55" s="25" t="s">
        <v>1168</v>
      </c>
      <c r="AA55" s="25" t="s">
        <v>242</v>
      </c>
      <c r="AB55" s="25" t="s">
        <v>243</v>
      </c>
      <c r="AC55" s="25" t="s">
        <v>244</v>
      </c>
      <c r="AD55" s="25" t="s">
        <v>243</v>
      </c>
      <c r="AE55" s="25" t="s">
        <v>243</v>
      </c>
      <c r="AF55" s="25" t="s">
        <v>166</v>
      </c>
      <c r="AG55" s="25" t="s">
        <v>807</v>
      </c>
      <c r="AH55" s="32">
        <v>1</v>
      </c>
      <c r="AI55" s="4">
        <f>HYPERLINK("https://my.pitchbook.com/?d=215076-88T","215076-88T")</f>
      </c>
      <c r="AJ55" s="30" t="s">
        <v>166</v>
      </c>
      <c r="AK55" s="30">
        <v>45019</v>
      </c>
      <c r="AL55" s="29">
        <v>7</v>
      </c>
      <c r="AM55" s="25" t="s">
        <v>185</v>
      </c>
      <c r="AN55" s="29">
        <v>17</v>
      </c>
      <c r="AO55" s="29">
        <v>24</v>
      </c>
      <c r="AP55" s="25" t="s">
        <v>185</v>
      </c>
      <c r="AQ55" s="32" t="s">
        <v>166</v>
      </c>
      <c r="AR55" s="32" t="s">
        <v>166</v>
      </c>
      <c r="AS55" s="28">
        <v>29.17</v>
      </c>
      <c r="AT55" s="29">
        <v>7</v>
      </c>
      <c r="AU55" s="32" t="s">
        <v>186</v>
      </c>
      <c r="AV55" s="32" t="s">
        <v>166</v>
      </c>
      <c r="AW55" s="29">
        <v>4.92</v>
      </c>
      <c r="AX55" s="32" t="s">
        <v>166</v>
      </c>
      <c r="AY55" s="25" t="s">
        <v>217</v>
      </c>
      <c r="AZ55" s="25" t="s">
        <v>217</v>
      </c>
      <c r="BA55" s="25" t="s">
        <v>166</v>
      </c>
      <c r="BB55" s="32" t="s">
        <v>166</v>
      </c>
      <c r="BC55" s="25" t="s">
        <v>179</v>
      </c>
      <c r="BD55" s="25" t="s">
        <v>1162</v>
      </c>
      <c r="BE55" s="25" t="s">
        <v>189</v>
      </c>
      <c r="BF55" s="29">
        <v>7</v>
      </c>
      <c r="BG55" s="25" t="s">
        <v>190</v>
      </c>
      <c r="BH55" s="25" t="s">
        <v>166</v>
      </c>
      <c r="BI55" s="25" t="s">
        <v>166</v>
      </c>
      <c r="BJ55" s="29" t="s">
        <v>166</v>
      </c>
      <c r="BK55" s="29" t="s">
        <v>166</v>
      </c>
      <c r="BL55" s="25" t="s">
        <v>191</v>
      </c>
      <c r="BM55" s="25" t="s">
        <v>178</v>
      </c>
      <c r="BN55" s="25" t="s">
        <v>177</v>
      </c>
      <c r="BO55" s="33" t="s">
        <v>166</v>
      </c>
      <c r="BP55" s="25" t="s">
        <v>1169</v>
      </c>
      <c r="BQ55" s="32">
        <v>3</v>
      </c>
      <c r="BR55" s="25" t="s">
        <v>166</v>
      </c>
      <c r="BS55" s="32" t="s">
        <v>166</v>
      </c>
      <c r="BT55" s="25" t="s">
        <v>1170</v>
      </c>
      <c r="BU55" s="25" t="s">
        <v>166</v>
      </c>
      <c r="BV55" s="25" t="s">
        <v>1171</v>
      </c>
      <c r="BW55" s="25" t="s">
        <v>166</v>
      </c>
      <c r="BX55" s="25" t="s">
        <v>166</v>
      </c>
      <c r="BY55" s="25" t="s">
        <v>166</v>
      </c>
      <c r="BZ55" s="25" t="s">
        <v>166</v>
      </c>
      <c r="CA55" s="25" t="s">
        <v>166</v>
      </c>
      <c r="CB55" s="25" t="s">
        <v>166</v>
      </c>
      <c r="CC55" s="25" t="s">
        <v>166</v>
      </c>
      <c r="CD55" s="25" t="s">
        <v>166</v>
      </c>
      <c r="CE55" s="29" t="s">
        <v>166</v>
      </c>
      <c r="CF55" s="27" t="s">
        <v>166</v>
      </c>
      <c r="CG55" s="28" t="s">
        <v>166</v>
      </c>
      <c r="CH55" s="27" t="s">
        <v>166</v>
      </c>
      <c r="CI55" s="27" t="s">
        <v>166</v>
      </c>
      <c r="CJ55" s="27" t="s">
        <v>166</v>
      </c>
      <c r="CK55" s="27" t="s">
        <v>166</v>
      </c>
      <c r="CL55" s="27" t="s">
        <v>166</v>
      </c>
      <c r="CM55" s="31" t="s">
        <v>166</v>
      </c>
      <c r="CN55" s="27" t="s">
        <v>166</v>
      </c>
      <c r="CO55" s="27" t="s">
        <v>166</v>
      </c>
      <c r="CP55" s="27" t="s">
        <v>166</v>
      </c>
      <c r="CQ55" s="27" t="s">
        <v>166</v>
      </c>
      <c r="CR55" s="27" t="s">
        <v>166</v>
      </c>
      <c r="CS55" s="27" t="s">
        <v>166</v>
      </c>
      <c r="CT55" s="27" t="s">
        <v>166</v>
      </c>
      <c r="CU55" s="27" t="s">
        <v>166</v>
      </c>
      <c r="CV55" s="27" t="s">
        <v>166</v>
      </c>
      <c r="CW55" s="27" t="s">
        <v>166</v>
      </c>
      <c r="CX55" s="27" t="s">
        <v>166</v>
      </c>
      <c r="CY55" s="27" t="s">
        <v>166</v>
      </c>
      <c r="CZ55" s="27" t="s">
        <v>166</v>
      </c>
      <c r="DA55" s="27" t="s">
        <v>166</v>
      </c>
      <c r="DB55" s="27" t="s">
        <v>166</v>
      </c>
      <c r="DC55" s="27" t="s">
        <v>166</v>
      </c>
      <c r="DD55" s="27" t="s">
        <v>166</v>
      </c>
      <c r="DE55" s="28" t="s">
        <v>166</v>
      </c>
      <c r="DF55" s="33">
        <v>50</v>
      </c>
      <c r="DG55" s="25" t="s">
        <v>309</v>
      </c>
      <c r="DH55" s="25" t="s">
        <v>193</v>
      </c>
      <c r="DI55" s="25" t="s">
        <v>194</v>
      </c>
      <c r="DJ55" s="25" t="s">
        <v>310</v>
      </c>
      <c r="DK55" s="25" t="s">
        <v>310</v>
      </c>
      <c r="DL55" s="32" t="s">
        <v>1172</v>
      </c>
      <c r="DM55" s="25" t="s">
        <v>198</v>
      </c>
      <c r="DN55" s="24" t="s">
        <v>1173</v>
      </c>
      <c r="DO55" s="31">
        <v>2023</v>
      </c>
      <c r="DP55" s="25" t="s">
        <v>166</v>
      </c>
      <c r="DQ55" s="25" t="s">
        <v>166</v>
      </c>
      <c r="DR55" s="29" t="s">
        <v>166</v>
      </c>
      <c r="DS55" s="27" t="s">
        <v>166</v>
      </c>
      <c r="DT55" s="30" t="s">
        <v>166</v>
      </c>
      <c r="DU55" s="25" t="s">
        <v>166</v>
      </c>
      <c r="DV55" s="29" t="s">
        <v>166</v>
      </c>
      <c r="DW55" s="29" t="s">
        <v>166</v>
      </c>
      <c r="DX55" s="27" t="s">
        <v>166</v>
      </c>
      <c r="DY55" s="27" t="s">
        <v>166</v>
      </c>
      <c r="DZ55" s="28" t="s">
        <v>166</v>
      </c>
      <c r="EA55" s="27" t="s">
        <v>166</v>
      </c>
      <c r="EB55" s="27" t="s">
        <v>166</v>
      </c>
      <c r="EC55" s="27" t="s">
        <v>166</v>
      </c>
      <c r="ED55" s="28" t="s">
        <v>166</v>
      </c>
      <c r="EE55" s="28" t="s">
        <v>166</v>
      </c>
      <c r="EF55" s="28" t="s">
        <v>166</v>
      </c>
      <c r="EG55" s="28" t="s">
        <v>166</v>
      </c>
      <c r="EH55" s="27" t="s">
        <v>166</v>
      </c>
      <c r="EI55" s="27" t="s">
        <v>166</v>
      </c>
      <c r="EJ55" s="27" t="s">
        <v>166</v>
      </c>
      <c r="EK55" s="27" t="s">
        <v>166</v>
      </c>
      <c r="EL55" s="27" t="s">
        <v>166</v>
      </c>
      <c r="EM55" s="27" t="s">
        <v>166</v>
      </c>
      <c r="EN55" s="27" t="s">
        <v>166</v>
      </c>
      <c r="EO55" s="27" t="s">
        <v>166</v>
      </c>
      <c r="EP55" s="27" t="s">
        <v>166</v>
      </c>
      <c r="EQ55" s="27" t="s">
        <v>166</v>
      </c>
      <c r="ER55" s="27" t="s">
        <v>166</v>
      </c>
      <c r="ES55" s="27" t="s">
        <v>166</v>
      </c>
      <c r="ET55" s="25" t="s">
        <v>166</v>
      </c>
      <c r="EU55" s="27" t="s">
        <v>166</v>
      </c>
      <c r="EV55" s="27" t="s">
        <v>166</v>
      </c>
      <c r="EW55" s="27" t="s">
        <v>166</v>
      </c>
      <c r="EX55" s="25" t="s">
        <v>190</v>
      </c>
      <c r="EY55" s="25" t="s">
        <v>166</v>
      </c>
      <c r="EZ55" s="27" t="s">
        <v>166</v>
      </c>
      <c r="FA55" s="26" t="s">
        <v>166</v>
      </c>
      <c r="FB55" s="26" t="s">
        <v>166</v>
      </c>
      <c r="FC55" s="26" t="s">
        <v>166</v>
      </c>
      <c r="FD55" s="26" t="s">
        <v>166</v>
      </c>
      <c r="FE55" s="26" t="s">
        <v>166</v>
      </c>
      <c r="FF55" s="26" t="s">
        <v>166</v>
      </c>
      <c r="FG55" s="25" t="s">
        <v>166</v>
      </c>
      <c r="FH55" s="4">
        <f>HYPERLINK("https://my.pitchbook.com?c=215076-88T","View Company Online")</f>
      </c>
    </row>
    <row r="56">
      <c r="A56" s="14" t="s">
        <v>1174</v>
      </c>
      <c r="B56" s="14" t="s">
        <v>1175</v>
      </c>
      <c r="C56" s="14" t="s">
        <v>1176</v>
      </c>
      <c r="D56" s="14" t="s">
        <v>166</v>
      </c>
      <c r="E56" s="23" t="s">
        <v>1177</v>
      </c>
      <c r="F56" s="21">
        <v>1</v>
      </c>
      <c r="G56" s="14" t="s">
        <v>1178</v>
      </c>
      <c r="H56" s="14" t="s">
        <v>166</v>
      </c>
      <c r="I56" s="14" t="s">
        <v>1179</v>
      </c>
      <c r="J56" s="14" t="s">
        <v>1180</v>
      </c>
      <c r="K56" s="14" t="s">
        <v>207</v>
      </c>
      <c r="L56" s="14" t="s">
        <v>208</v>
      </c>
      <c r="M56" s="14" t="s">
        <v>1181</v>
      </c>
      <c r="N56" s="14" t="s">
        <v>1182</v>
      </c>
      <c r="O56" s="14" t="s">
        <v>1183</v>
      </c>
      <c r="P56" s="14" t="s">
        <v>1184</v>
      </c>
      <c r="Q56" s="14" t="s">
        <v>166</v>
      </c>
      <c r="R56" s="14" t="s">
        <v>177</v>
      </c>
      <c r="S56" s="14" t="s">
        <v>1185</v>
      </c>
      <c r="T56" s="14" t="s">
        <v>179</v>
      </c>
      <c r="U56" s="14" t="s">
        <v>1186</v>
      </c>
      <c r="V56" s="14" t="s">
        <v>1187</v>
      </c>
      <c r="W56" s="21" t="s">
        <v>166</v>
      </c>
      <c r="X56" s="14" t="s">
        <v>1188</v>
      </c>
      <c r="Y56" s="14" t="s">
        <v>1189</v>
      </c>
      <c r="Z56" s="14" t="s">
        <v>1190</v>
      </c>
      <c r="AA56" s="14" t="s">
        <v>166</v>
      </c>
      <c r="AB56" s="14" t="s">
        <v>166</v>
      </c>
      <c r="AC56" s="14" t="s">
        <v>166</v>
      </c>
      <c r="AD56" s="14" t="s">
        <v>166</v>
      </c>
      <c r="AE56" s="14" t="s">
        <v>166</v>
      </c>
      <c r="AF56" s="14" t="s">
        <v>166</v>
      </c>
      <c r="AG56" s="14" t="s">
        <v>166</v>
      </c>
      <c r="AH56" s="21">
        <v>3</v>
      </c>
      <c r="AI56" s="3">
        <f>HYPERLINK("https://my.pitchbook.com/?d=191770-75T","191770-75T")</f>
      </c>
      <c r="AJ56" s="19">
        <v>44621</v>
      </c>
      <c r="AK56" s="19">
        <v>44621</v>
      </c>
      <c r="AL56" s="18">
        <v>1</v>
      </c>
      <c r="AM56" s="14" t="s">
        <v>185</v>
      </c>
      <c r="AN56" s="18">
        <v>6</v>
      </c>
      <c r="AO56" s="18">
        <v>7</v>
      </c>
      <c r="AP56" s="14" t="s">
        <v>185</v>
      </c>
      <c r="AQ56" s="21" t="s">
        <v>166</v>
      </c>
      <c r="AR56" s="21" t="s">
        <v>166</v>
      </c>
      <c r="AS56" s="17">
        <v>14.28</v>
      </c>
      <c r="AT56" s="18">
        <v>1.06</v>
      </c>
      <c r="AU56" s="21" t="s">
        <v>186</v>
      </c>
      <c r="AV56" s="21" t="s">
        <v>166</v>
      </c>
      <c r="AW56" s="18" t="s">
        <v>166</v>
      </c>
      <c r="AX56" s="21" t="s">
        <v>166</v>
      </c>
      <c r="AY56" s="14" t="s">
        <v>217</v>
      </c>
      <c r="AZ56" s="14" t="s">
        <v>217</v>
      </c>
      <c r="BA56" s="14" t="s">
        <v>166</v>
      </c>
      <c r="BB56" s="21" t="s">
        <v>166</v>
      </c>
      <c r="BC56" s="14" t="s">
        <v>179</v>
      </c>
      <c r="BD56" s="14" t="s">
        <v>1180</v>
      </c>
      <c r="BE56" s="14" t="s">
        <v>189</v>
      </c>
      <c r="BF56" s="18">
        <v>1</v>
      </c>
      <c r="BG56" s="14" t="s">
        <v>190</v>
      </c>
      <c r="BH56" s="14" t="s">
        <v>166</v>
      </c>
      <c r="BI56" s="14" t="s">
        <v>166</v>
      </c>
      <c r="BJ56" s="18" t="s">
        <v>166</v>
      </c>
      <c r="BK56" s="18" t="s">
        <v>166</v>
      </c>
      <c r="BL56" s="14" t="s">
        <v>191</v>
      </c>
      <c r="BM56" s="14" t="s">
        <v>1185</v>
      </c>
      <c r="BN56" s="14" t="s">
        <v>177</v>
      </c>
      <c r="BO56" s="22">
        <v>1</v>
      </c>
      <c r="BP56" s="14" t="s">
        <v>1177</v>
      </c>
      <c r="BQ56" s="21">
        <v>1</v>
      </c>
      <c r="BR56" s="14" t="s">
        <v>166</v>
      </c>
      <c r="BS56" s="21" t="s">
        <v>166</v>
      </c>
      <c r="BT56" s="14" t="s">
        <v>166</v>
      </c>
      <c r="BU56" s="14" t="s">
        <v>166</v>
      </c>
      <c r="BV56" s="14" t="s">
        <v>166</v>
      </c>
      <c r="BW56" s="14" t="s">
        <v>166</v>
      </c>
      <c r="BX56" s="14" t="s">
        <v>166</v>
      </c>
      <c r="BY56" s="14" t="s">
        <v>166</v>
      </c>
      <c r="BZ56" s="14" t="s">
        <v>166</v>
      </c>
      <c r="CA56" s="14" t="s">
        <v>166</v>
      </c>
      <c r="CB56" s="14" t="s">
        <v>166</v>
      </c>
      <c r="CC56" s="14" t="s">
        <v>166</v>
      </c>
      <c r="CD56" s="14" t="s">
        <v>166</v>
      </c>
      <c r="CE56" s="18" t="s">
        <v>166</v>
      </c>
      <c r="CF56" s="16" t="s">
        <v>166</v>
      </c>
      <c r="CG56" s="17" t="s">
        <v>166</v>
      </c>
      <c r="CH56" s="16" t="s">
        <v>166</v>
      </c>
      <c r="CI56" s="16" t="s">
        <v>166</v>
      </c>
      <c r="CJ56" s="16" t="s">
        <v>166</v>
      </c>
      <c r="CK56" s="16" t="s">
        <v>166</v>
      </c>
      <c r="CL56" s="16" t="s">
        <v>166</v>
      </c>
      <c r="CM56" s="20" t="s">
        <v>166</v>
      </c>
      <c r="CN56" s="16" t="s">
        <v>166</v>
      </c>
      <c r="CO56" s="16" t="s">
        <v>166</v>
      </c>
      <c r="CP56" s="16" t="s">
        <v>166</v>
      </c>
      <c r="CQ56" s="16" t="s">
        <v>166</v>
      </c>
      <c r="CR56" s="16" t="s">
        <v>166</v>
      </c>
      <c r="CS56" s="16" t="s">
        <v>166</v>
      </c>
      <c r="CT56" s="16" t="s">
        <v>166</v>
      </c>
      <c r="CU56" s="16" t="s">
        <v>166</v>
      </c>
      <c r="CV56" s="16" t="s">
        <v>166</v>
      </c>
      <c r="CW56" s="16" t="s">
        <v>166</v>
      </c>
      <c r="CX56" s="16" t="s">
        <v>166</v>
      </c>
      <c r="CY56" s="16" t="s">
        <v>166</v>
      </c>
      <c r="CZ56" s="16" t="s">
        <v>166</v>
      </c>
      <c r="DA56" s="16" t="s">
        <v>166</v>
      </c>
      <c r="DB56" s="16" t="s">
        <v>166</v>
      </c>
      <c r="DC56" s="16" t="s">
        <v>166</v>
      </c>
      <c r="DD56" s="16" t="s">
        <v>166</v>
      </c>
      <c r="DE56" s="17" t="s">
        <v>166</v>
      </c>
      <c r="DF56" s="22">
        <v>2</v>
      </c>
      <c r="DG56" s="14" t="s">
        <v>1191</v>
      </c>
      <c r="DH56" s="14" t="s">
        <v>193</v>
      </c>
      <c r="DI56" s="14" t="s">
        <v>194</v>
      </c>
      <c r="DJ56" s="14" t="s">
        <v>1192</v>
      </c>
      <c r="DK56" s="14" t="s">
        <v>1023</v>
      </c>
      <c r="DL56" s="21" t="s">
        <v>1193</v>
      </c>
      <c r="DM56" s="14" t="s">
        <v>198</v>
      </c>
      <c r="DN56" s="13" t="s">
        <v>1194</v>
      </c>
      <c r="DO56" s="20">
        <v>2019</v>
      </c>
      <c r="DP56" s="14" t="s">
        <v>166</v>
      </c>
      <c r="DQ56" s="14" t="s">
        <v>166</v>
      </c>
      <c r="DR56" s="18" t="s">
        <v>166</v>
      </c>
      <c r="DS56" s="16" t="s">
        <v>166</v>
      </c>
      <c r="DT56" s="19" t="s">
        <v>166</v>
      </c>
      <c r="DU56" s="14" t="s">
        <v>166</v>
      </c>
      <c r="DV56" s="18" t="s">
        <v>166</v>
      </c>
      <c r="DW56" s="18" t="s">
        <v>166</v>
      </c>
      <c r="DX56" s="16" t="s">
        <v>166</v>
      </c>
      <c r="DY56" s="16" t="s">
        <v>166</v>
      </c>
      <c r="DZ56" s="17" t="s">
        <v>166</v>
      </c>
      <c r="EA56" s="16" t="s">
        <v>166</v>
      </c>
      <c r="EB56" s="16" t="s">
        <v>166</v>
      </c>
      <c r="EC56" s="16" t="s">
        <v>166</v>
      </c>
      <c r="ED56" s="17" t="s">
        <v>166</v>
      </c>
      <c r="EE56" s="17" t="s">
        <v>166</v>
      </c>
      <c r="EF56" s="17" t="s">
        <v>166</v>
      </c>
      <c r="EG56" s="17" t="s">
        <v>166</v>
      </c>
      <c r="EH56" s="16" t="s">
        <v>166</v>
      </c>
      <c r="EI56" s="16" t="s">
        <v>166</v>
      </c>
      <c r="EJ56" s="16" t="s">
        <v>166</v>
      </c>
      <c r="EK56" s="16" t="s">
        <v>166</v>
      </c>
      <c r="EL56" s="16" t="s">
        <v>166</v>
      </c>
      <c r="EM56" s="16" t="s">
        <v>166</v>
      </c>
      <c r="EN56" s="16" t="s">
        <v>166</v>
      </c>
      <c r="EO56" s="16" t="s">
        <v>166</v>
      </c>
      <c r="EP56" s="16" t="s">
        <v>166</v>
      </c>
      <c r="EQ56" s="16" t="s">
        <v>166</v>
      </c>
      <c r="ER56" s="16" t="s">
        <v>166</v>
      </c>
      <c r="ES56" s="16" t="s">
        <v>166</v>
      </c>
      <c r="ET56" s="14" t="s">
        <v>166</v>
      </c>
      <c r="EU56" s="16" t="s">
        <v>166</v>
      </c>
      <c r="EV56" s="16" t="s">
        <v>166</v>
      </c>
      <c r="EW56" s="16" t="s">
        <v>166</v>
      </c>
      <c r="EX56" s="14" t="s">
        <v>190</v>
      </c>
      <c r="EY56" s="14" t="s">
        <v>166</v>
      </c>
      <c r="EZ56" s="16" t="s">
        <v>166</v>
      </c>
      <c r="FA56" s="15" t="s">
        <v>166</v>
      </c>
      <c r="FB56" s="15" t="s">
        <v>166</v>
      </c>
      <c r="FC56" s="15" t="s">
        <v>166</v>
      </c>
      <c r="FD56" s="15" t="s">
        <v>166</v>
      </c>
      <c r="FE56" s="15" t="s">
        <v>166</v>
      </c>
      <c r="FF56" s="15" t="s">
        <v>166</v>
      </c>
      <c r="FG56" s="14" t="s">
        <v>166</v>
      </c>
      <c r="FH56" s="3">
        <f>HYPERLINK("https://my.pitchbook.com?c=191770-75T","View Company Online")</f>
      </c>
    </row>
    <row r="57">
      <c r="A57" s="25" t="s">
        <v>1195</v>
      </c>
      <c r="B57" s="25" t="s">
        <v>1196</v>
      </c>
      <c r="C57" s="25" t="s">
        <v>1197</v>
      </c>
      <c r="D57" s="25" t="s">
        <v>166</v>
      </c>
      <c r="E57" s="34" t="s">
        <v>1198</v>
      </c>
      <c r="F57" s="32">
        <v>3</v>
      </c>
      <c r="G57" s="25" t="s">
        <v>1199</v>
      </c>
      <c r="H57" s="25" t="s">
        <v>166</v>
      </c>
      <c r="I57" s="25" t="s">
        <v>1200</v>
      </c>
      <c r="J57" s="25" t="s">
        <v>1201</v>
      </c>
      <c r="K57" s="25" t="s">
        <v>207</v>
      </c>
      <c r="L57" s="25" t="s">
        <v>208</v>
      </c>
      <c r="M57" s="25" t="s">
        <v>296</v>
      </c>
      <c r="N57" s="25" t="s">
        <v>1202</v>
      </c>
      <c r="O57" s="25" t="s">
        <v>325</v>
      </c>
      <c r="P57" s="25" t="s">
        <v>1203</v>
      </c>
      <c r="Q57" s="25" t="s">
        <v>166</v>
      </c>
      <c r="R57" s="25" t="s">
        <v>177</v>
      </c>
      <c r="S57" s="25" t="s">
        <v>178</v>
      </c>
      <c r="T57" s="25" t="s">
        <v>179</v>
      </c>
      <c r="U57" s="25" t="s">
        <v>1204</v>
      </c>
      <c r="V57" s="25" t="s">
        <v>1205</v>
      </c>
      <c r="W57" s="32" t="s">
        <v>1206</v>
      </c>
      <c r="X57" s="25" t="s">
        <v>1207</v>
      </c>
      <c r="Y57" s="25" t="s">
        <v>1208</v>
      </c>
      <c r="Z57" s="25" t="s">
        <v>1209</v>
      </c>
      <c r="AA57" s="25" t="s">
        <v>242</v>
      </c>
      <c r="AB57" s="25" t="s">
        <v>243</v>
      </c>
      <c r="AC57" s="25" t="s">
        <v>244</v>
      </c>
      <c r="AD57" s="25" t="s">
        <v>243</v>
      </c>
      <c r="AE57" s="25" t="s">
        <v>243</v>
      </c>
      <c r="AF57" s="25" t="s">
        <v>166</v>
      </c>
      <c r="AG57" s="25" t="s">
        <v>246</v>
      </c>
      <c r="AH57" s="32">
        <v>1</v>
      </c>
      <c r="AI57" s="4">
        <f>HYPERLINK("https://my.pitchbook.com/?d=171842-68T","171842-68T")</f>
      </c>
      <c r="AJ57" s="30" t="s">
        <v>166</v>
      </c>
      <c r="AK57" s="30">
        <v>44317</v>
      </c>
      <c r="AL57" s="29">
        <v>17.9</v>
      </c>
      <c r="AM57" s="25" t="s">
        <v>247</v>
      </c>
      <c r="AN57" s="29">
        <v>62.1</v>
      </c>
      <c r="AO57" s="29">
        <v>80</v>
      </c>
      <c r="AP57" s="25" t="s">
        <v>185</v>
      </c>
      <c r="AQ57" s="32" t="s">
        <v>166</v>
      </c>
      <c r="AR57" s="32" t="s">
        <v>166</v>
      </c>
      <c r="AS57" s="28">
        <v>37.01</v>
      </c>
      <c r="AT57" s="29">
        <v>17.9</v>
      </c>
      <c r="AU57" s="32" t="s">
        <v>186</v>
      </c>
      <c r="AV57" s="32" t="s">
        <v>166</v>
      </c>
      <c r="AW57" s="29">
        <v>5.04</v>
      </c>
      <c r="AX57" s="32" t="s">
        <v>248</v>
      </c>
      <c r="AY57" s="25" t="s">
        <v>187</v>
      </c>
      <c r="AZ57" s="25" t="s">
        <v>248</v>
      </c>
      <c r="BA57" s="25" t="s">
        <v>166</v>
      </c>
      <c r="BB57" s="32" t="s">
        <v>166</v>
      </c>
      <c r="BC57" s="25" t="s">
        <v>179</v>
      </c>
      <c r="BD57" s="25" t="s">
        <v>1210</v>
      </c>
      <c r="BE57" s="25" t="s">
        <v>189</v>
      </c>
      <c r="BF57" s="29">
        <v>17.9</v>
      </c>
      <c r="BG57" s="25" t="s">
        <v>190</v>
      </c>
      <c r="BH57" s="25" t="s">
        <v>166</v>
      </c>
      <c r="BI57" s="25" t="s">
        <v>166</v>
      </c>
      <c r="BJ57" s="29" t="s">
        <v>166</v>
      </c>
      <c r="BK57" s="29" t="s">
        <v>166</v>
      </c>
      <c r="BL57" s="25" t="s">
        <v>191</v>
      </c>
      <c r="BM57" s="25" t="s">
        <v>178</v>
      </c>
      <c r="BN57" s="25" t="s">
        <v>177</v>
      </c>
      <c r="BO57" s="33" t="s">
        <v>166</v>
      </c>
      <c r="BP57" s="25" t="s">
        <v>1198</v>
      </c>
      <c r="BQ57" s="32">
        <v>3</v>
      </c>
      <c r="BR57" s="25" t="s">
        <v>166</v>
      </c>
      <c r="BS57" s="32" t="s">
        <v>166</v>
      </c>
      <c r="BT57" s="25" t="s">
        <v>166</v>
      </c>
      <c r="BU57" s="25" t="s">
        <v>166</v>
      </c>
      <c r="BV57" s="25" t="s">
        <v>1211</v>
      </c>
      <c r="BW57" s="25" t="s">
        <v>166</v>
      </c>
      <c r="BX57" s="25" t="s">
        <v>166</v>
      </c>
      <c r="BY57" s="25" t="s">
        <v>166</v>
      </c>
      <c r="BZ57" s="25" t="s">
        <v>166</v>
      </c>
      <c r="CA57" s="25" t="s">
        <v>166</v>
      </c>
      <c r="CB57" s="25" t="s">
        <v>166</v>
      </c>
      <c r="CC57" s="25" t="s">
        <v>166</v>
      </c>
      <c r="CD57" s="25" t="s">
        <v>166</v>
      </c>
      <c r="CE57" s="29" t="s">
        <v>166</v>
      </c>
      <c r="CF57" s="27" t="s">
        <v>166</v>
      </c>
      <c r="CG57" s="28" t="s">
        <v>166</v>
      </c>
      <c r="CH57" s="27" t="s">
        <v>166</v>
      </c>
      <c r="CI57" s="27" t="s">
        <v>166</v>
      </c>
      <c r="CJ57" s="27" t="s">
        <v>166</v>
      </c>
      <c r="CK57" s="27" t="s">
        <v>166</v>
      </c>
      <c r="CL57" s="27" t="s">
        <v>166</v>
      </c>
      <c r="CM57" s="31" t="s">
        <v>166</v>
      </c>
      <c r="CN57" s="27" t="s">
        <v>166</v>
      </c>
      <c r="CO57" s="27" t="s">
        <v>166</v>
      </c>
      <c r="CP57" s="27" t="s">
        <v>166</v>
      </c>
      <c r="CQ57" s="27" t="s">
        <v>166</v>
      </c>
      <c r="CR57" s="27" t="s">
        <v>166</v>
      </c>
      <c r="CS57" s="27" t="s">
        <v>166</v>
      </c>
      <c r="CT57" s="27" t="s">
        <v>166</v>
      </c>
      <c r="CU57" s="27" t="s">
        <v>166</v>
      </c>
      <c r="CV57" s="27" t="s">
        <v>166</v>
      </c>
      <c r="CW57" s="27" t="s">
        <v>166</v>
      </c>
      <c r="CX57" s="27" t="s">
        <v>166</v>
      </c>
      <c r="CY57" s="27" t="s">
        <v>166</v>
      </c>
      <c r="CZ57" s="27" t="s">
        <v>166</v>
      </c>
      <c r="DA57" s="27" t="s">
        <v>166</v>
      </c>
      <c r="DB57" s="27" t="s">
        <v>166</v>
      </c>
      <c r="DC57" s="27" t="s">
        <v>166</v>
      </c>
      <c r="DD57" s="27" t="s">
        <v>166</v>
      </c>
      <c r="DE57" s="28" t="s">
        <v>166</v>
      </c>
      <c r="DF57" s="33">
        <v>26</v>
      </c>
      <c r="DG57" s="25" t="s">
        <v>309</v>
      </c>
      <c r="DH57" s="25" t="s">
        <v>193</v>
      </c>
      <c r="DI57" s="25" t="s">
        <v>194</v>
      </c>
      <c r="DJ57" s="25" t="s">
        <v>310</v>
      </c>
      <c r="DK57" s="25" t="s">
        <v>310</v>
      </c>
      <c r="DL57" s="32" t="s">
        <v>166</v>
      </c>
      <c r="DM57" s="25" t="s">
        <v>198</v>
      </c>
      <c r="DN57" s="24" t="s">
        <v>1212</v>
      </c>
      <c r="DO57" s="31">
        <v>2020</v>
      </c>
      <c r="DP57" s="25" t="s">
        <v>166</v>
      </c>
      <c r="DQ57" s="25" t="s">
        <v>166</v>
      </c>
      <c r="DR57" s="29" t="s">
        <v>166</v>
      </c>
      <c r="DS57" s="27" t="s">
        <v>166</v>
      </c>
      <c r="DT57" s="30" t="s">
        <v>166</v>
      </c>
      <c r="DU57" s="25" t="s">
        <v>166</v>
      </c>
      <c r="DV57" s="29" t="s">
        <v>166</v>
      </c>
      <c r="DW57" s="29" t="s">
        <v>166</v>
      </c>
      <c r="DX57" s="27" t="s">
        <v>166</v>
      </c>
      <c r="DY57" s="27" t="s">
        <v>166</v>
      </c>
      <c r="DZ57" s="28" t="s">
        <v>166</v>
      </c>
      <c r="EA57" s="27" t="s">
        <v>166</v>
      </c>
      <c r="EB57" s="27" t="s">
        <v>166</v>
      </c>
      <c r="EC57" s="27" t="s">
        <v>166</v>
      </c>
      <c r="ED57" s="28" t="s">
        <v>166</v>
      </c>
      <c r="EE57" s="28" t="s">
        <v>166</v>
      </c>
      <c r="EF57" s="28" t="s">
        <v>166</v>
      </c>
      <c r="EG57" s="28" t="s">
        <v>166</v>
      </c>
      <c r="EH57" s="27" t="s">
        <v>166</v>
      </c>
      <c r="EI57" s="27" t="s">
        <v>166</v>
      </c>
      <c r="EJ57" s="27" t="s">
        <v>166</v>
      </c>
      <c r="EK57" s="27" t="s">
        <v>166</v>
      </c>
      <c r="EL57" s="27" t="s">
        <v>166</v>
      </c>
      <c r="EM57" s="27" t="s">
        <v>166</v>
      </c>
      <c r="EN57" s="27" t="s">
        <v>166</v>
      </c>
      <c r="EO57" s="27" t="s">
        <v>166</v>
      </c>
      <c r="EP57" s="27" t="s">
        <v>166</v>
      </c>
      <c r="EQ57" s="27" t="s">
        <v>166</v>
      </c>
      <c r="ER57" s="27" t="s">
        <v>166</v>
      </c>
      <c r="ES57" s="27" t="s">
        <v>166</v>
      </c>
      <c r="ET57" s="25" t="s">
        <v>166</v>
      </c>
      <c r="EU57" s="27" t="s">
        <v>166</v>
      </c>
      <c r="EV57" s="27" t="s">
        <v>166</v>
      </c>
      <c r="EW57" s="27" t="s">
        <v>166</v>
      </c>
      <c r="EX57" s="25" t="s">
        <v>190</v>
      </c>
      <c r="EY57" s="25" t="s">
        <v>166</v>
      </c>
      <c r="EZ57" s="27" t="s">
        <v>166</v>
      </c>
      <c r="FA57" s="26" t="s">
        <v>166</v>
      </c>
      <c r="FB57" s="26" t="s">
        <v>166</v>
      </c>
      <c r="FC57" s="26" t="s">
        <v>166</v>
      </c>
      <c r="FD57" s="26" t="s">
        <v>166</v>
      </c>
      <c r="FE57" s="26" t="s">
        <v>166</v>
      </c>
      <c r="FF57" s="26" t="s">
        <v>166</v>
      </c>
      <c r="FG57" s="25" t="s">
        <v>166</v>
      </c>
      <c r="FH57" s="4">
        <f>HYPERLINK("https://my.pitchbook.com?c=171842-68T","View Company Online")</f>
      </c>
    </row>
    <row r="58">
      <c r="A58" s="14" t="s">
        <v>1213</v>
      </c>
      <c r="B58" s="14" t="s">
        <v>1214</v>
      </c>
      <c r="C58" s="14" t="s">
        <v>1215</v>
      </c>
      <c r="D58" s="14" t="s">
        <v>166</v>
      </c>
      <c r="E58" s="23" t="s">
        <v>1216</v>
      </c>
      <c r="F58" s="21">
        <v>6</v>
      </c>
      <c r="G58" s="14" t="s">
        <v>1217</v>
      </c>
      <c r="H58" s="14" t="s">
        <v>166</v>
      </c>
      <c r="I58" s="14" t="s">
        <v>1218</v>
      </c>
      <c r="J58" s="14" t="s">
        <v>1219</v>
      </c>
      <c r="K58" s="14" t="s">
        <v>207</v>
      </c>
      <c r="L58" s="14" t="s">
        <v>208</v>
      </c>
      <c r="M58" s="14" t="s">
        <v>1220</v>
      </c>
      <c r="N58" s="14" t="s">
        <v>1221</v>
      </c>
      <c r="O58" s="14" t="s">
        <v>1222</v>
      </c>
      <c r="P58" s="14" t="s">
        <v>1223</v>
      </c>
      <c r="Q58" s="14" t="s">
        <v>166</v>
      </c>
      <c r="R58" s="14" t="s">
        <v>177</v>
      </c>
      <c r="S58" s="14" t="s">
        <v>178</v>
      </c>
      <c r="T58" s="14" t="s">
        <v>179</v>
      </c>
      <c r="U58" s="14" t="s">
        <v>1224</v>
      </c>
      <c r="V58" s="14" t="s">
        <v>1225</v>
      </c>
      <c r="W58" s="21" t="s">
        <v>1226</v>
      </c>
      <c r="X58" s="14" t="s">
        <v>1227</v>
      </c>
      <c r="Y58" s="14" t="s">
        <v>1228</v>
      </c>
      <c r="Z58" s="14" t="s">
        <v>166</v>
      </c>
      <c r="AA58" s="14" t="s">
        <v>166</v>
      </c>
      <c r="AB58" s="14" t="s">
        <v>166</v>
      </c>
      <c r="AC58" s="14" t="s">
        <v>166</v>
      </c>
      <c r="AD58" s="14" t="s">
        <v>166</v>
      </c>
      <c r="AE58" s="14" t="s">
        <v>166</v>
      </c>
      <c r="AF58" s="14" t="s">
        <v>166</v>
      </c>
      <c r="AG58" s="14" t="s">
        <v>166</v>
      </c>
      <c r="AH58" s="21">
        <v>2</v>
      </c>
      <c r="AI58" s="3">
        <f>HYPERLINK("https://my.pitchbook.com/?d=224019-82T","224019-82T")</f>
      </c>
      <c r="AJ58" s="19" t="s">
        <v>166</v>
      </c>
      <c r="AK58" s="19">
        <v>45063</v>
      </c>
      <c r="AL58" s="18">
        <v>2</v>
      </c>
      <c r="AM58" s="14" t="s">
        <v>185</v>
      </c>
      <c r="AN58" s="18" t="s">
        <v>166</v>
      </c>
      <c r="AO58" s="18" t="s">
        <v>166</v>
      </c>
      <c r="AP58" s="14" t="s">
        <v>166</v>
      </c>
      <c r="AQ58" s="21" t="s">
        <v>166</v>
      </c>
      <c r="AR58" s="21" t="s">
        <v>166</v>
      </c>
      <c r="AS58" s="17" t="s">
        <v>166</v>
      </c>
      <c r="AT58" s="18">
        <v>2</v>
      </c>
      <c r="AU58" s="21" t="s">
        <v>186</v>
      </c>
      <c r="AV58" s="21" t="s">
        <v>166</v>
      </c>
      <c r="AW58" s="18" t="s">
        <v>166</v>
      </c>
      <c r="AX58" s="21" t="s">
        <v>166</v>
      </c>
      <c r="AY58" s="14" t="s">
        <v>217</v>
      </c>
      <c r="AZ58" s="14" t="s">
        <v>217</v>
      </c>
      <c r="BA58" s="14" t="s">
        <v>166</v>
      </c>
      <c r="BB58" s="21" t="s">
        <v>166</v>
      </c>
      <c r="BC58" s="14" t="s">
        <v>179</v>
      </c>
      <c r="BD58" s="14" t="s">
        <v>1229</v>
      </c>
      <c r="BE58" s="14" t="s">
        <v>189</v>
      </c>
      <c r="BF58" s="18">
        <v>2</v>
      </c>
      <c r="BG58" s="14" t="s">
        <v>190</v>
      </c>
      <c r="BH58" s="14" t="s">
        <v>166</v>
      </c>
      <c r="BI58" s="14" t="s">
        <v>166</v>
      </c>
      <c r="BJ58" s="18" t="s">
        <v>166</v>
      </c>
      <c r="BK58" s="18" t="s">
        <v>166</v>
      </c>
      <c r="BL58" s="14" t="s">
        <v>191</v>
      </c>
      <c r="BM58" s="14" t="s">
        <v>178</v>
      </c>
      <c r="BN58" s="14" t="s">
        <v>177</v>
      </c>
      <c r="BO58" s="22" t="s">
        <v>166</v>
      </c>
      <c r="BP58" s="14" t="s">
        <v>1216</v>
      </c>
      <c r="BQ58" s="21">
        <v>6</v>
      </c>
      <c r="BR58" s="14" t="s">
        <v>166</v>
      </c>
      <c r="BS58" s="21" t="s">
        <v>166</v>
      </c>
      <c r="BT58" s="14" t="s">
        <v>1230</v>
      </c>
      <c r="BU58" s="14" t="s">
        <v>166</v>
      </c>
      <c r="BV58" s="14" t="s">
        <v>1231</v>
      </c>
      <c r="BW58" s="14" t="s">
        <v>166</v>
      </c>
      <c r="BX58" s="14" t="s">
        <v>166</v>
      </c>
      <c r="BY58" s="14" t="s">
        <v>166</v>
      </c>
      <c r="BZ58" s="14" t="s">
        <v>1232</v>
      </c>
      <c r="CA58" s="14" t="s">
        <v>1232</v>
      </c>
      <c r="CB58" s="14" t="s">
        <v>166</v>
      </c>
      <c r="CC58" s="14" t="s">
        <v>166</v>
      </c>
      <c r="CD58" s="14" t="s">
        <v>166</v>
      </c>
      <c r="CE58" s="18" t="s">
        <v>166</v>
      </c>
      <c r="CF58" s="16" t="s">
        <v>166</v>
      </c>
      <c r="CG58" s="17" t="s">
        <v>166</v>
      </c>
      <c r="CH58" s="16" t="s">
        <v>166</v>
      </c>
      <c r="CI58" s="16" t="s">
        <v>166</v>
      </c>
      <c r="CJ58" s="16" t="s">
        <v>166</v>
      </c>
      <c r="CK58" s="16" t="s">
        <v>166</v>
      </c>
      <c r="CL58" s="16" t="s">
        <v>166</v>
      </c>
      <c r="CM58" s="20" t="s">
        <v>166</v>
      </c>
      <c r="CN58" s="16" t="s">
        <v>166</v>
      </c>
      <c r="CO58" s="16" t="s">
        <v>166</v>
      </c>
      <c r="CP58" s="16" t="s">
        <v>166</v>
      </c>
      <c r="CQ58" s="16" t="s">
        <v>166</v>
      </c>
      <c r="CR58" s="16" t="s">
        <v>166</v>
      </c>
      <c r="CS58" s="16" t="s">
        <v>166</v>
      </c>
      <c r="CT58" s="16" t="s">
        <v>166</v>
      </c>
      <c r="CU58" s="16" t="s">
        <v>166</v>
      </c>
      <c r="CV58" s="16" t="s">
        <v>166</v>
      </c>
      <c r="CW58" s="16" t="s">
        <v>166</v>
      </c>
      <c r="CX58" s="16" t="s">
        <v>166</v>
      </c>
      <c r="CY58" s="16" t="s">
        <v>166</v>
      </c>
      <c r="CZ58" s="16" t="s">
        <v>166</v>
      </c>
      <c r="DA58" s="16" t="s">
        <v>166</v>
      </c>
      <c r="DB58" s="16" t="s">
        <v>166</v>
      </c>
      <c r="DC58" s="16" t="s">
        <v>166</v>
      </c>
      <c r="DD58" s="16" t="s">
        <v>166</v>
      </c>
      <c r="DE58" s="17" t="s">
        <v>166</v>
      </c>
      <c r="DF58" s="22">
        <v>45</v>
      </c>
      <c r="DG58" s="14" t="s">
        <v>1061</v>
      </c>
      <c r="DH58" s="14" t="s">
        <v>193</v>
      </c>
      <c r="DI58" s="14" t="s">
        <v>194</v>
      </c>
      <c r="DJ58" s="14" t="s">
        <v>1062</v>
      </c>
      <c r="DK58" s="14" t="s">
        <v>1063</v>
      </c>
      <c r="DL58" s="21" t="s">
        <v>1233</v>
      </c>
      <c r="DM58" s="14" t="s">
        <v>198</v>
      </c>
      <c r="DN58" s="13" t="s">
        <v>1234</v>
      </c>
      <c r="DO58" s="20">
        <v>2022</v>
      </c>
      <c r="DP58" s="14" t="s">
        <v>166</v>
      </c>
      <c r="DQ58" s="14" t="s">
        <v>166</v>
      </c>
      <c r="DR58" s="18" t="s">
        <v>166</v>
      </c>
      <c r="DS58" s="16" t="s">
        <v>166</v>
      </c>
      <c r="DT58" s="19" t="s">
        <v>166</v>
      </c>
      <c r="DU58" s="14" t="s">
        <v>166</v>
      </c>
      <c r="DV58" s="18" t="s">
        <v>166</v>
      </c>
      <c r="DW58" s="18" t="s">
        <v>166</v>
      </c>
      <c r="DX58" s="16" t="s">
        <v>166</v>
      </c>
      <c r="DY58" s="16" t="s">
        <v>166</v>
      </c>
      <c r="DZ58" s="17" t="s">
        <v>166</v>
      </c>
      <c r="EA58" s="16" t="s">
        <v>166</v>
      </c>
      <c r="EB58" s="16" t="s">
        <v>166</v>
      </c>
      <c r="EC58" s="16" t="s">
        <v>166</v>
      </c>
      <c r="ED58" s="17" t="s">
        <v>166</v>
      </c>
      <c r="EE58" s="17" t="s">
        <v>166</v>
      </c>
      <c r="EF58" s="17" t="s">
        <v>166</v>
      </c>
      <c r="EG58" s="17" t="s">
        <v>166</v>
      </c>
      <c r="EH58" s="16" t="s">
        <v>166</v>
      </c>
      <c r="EI58" s="16" t="s">
        <v>166</v>
      </c>
      <c r="EJ58" s="16" t="s">
        <v>166</v>
      </c>
      <c r="EK58" s="16" t="s">
        <v>166</v>
      </c>
      <c r="EL58" s="16" t="s">
        <v>166</v>
      </c>
      <c r="EM58" s="16" t="s">
        <v>166</v>
      </c>
      <c r="EN58" s="16" t="s">
        <v>166</v>
      </c>
      <c r="EO58" s="16" t="s">
        <v>166</v>
      </c>
      <c r="EP58" s="16" t="s">
        <v>166</v>
      </c>
      <c r="EQ58" s="16" t="s">
        <v>166</v>
      </c>
      <c r="ER58" s="16" t="s">
        <v>166</v>
      </c>
      <c r="ES58" s="16" t="s">
        <v>166</v>
      </c>
      <c r="ET58" s="14" t="s">
        <v>166</v>
      </c>
      <c r="EU58" s="16" t="s">
        <v>166</v>
      </c>
      <c r="EV58" s="16" t="s">
        <v>166</v>
      </c>
      <c r="EW58" s="16" t="s">
        <v>166</v>
      </c>
      <c r="EX58" s="14" t="s">
        <v>190</v>
      </c>
      <c r="EY58" s="14" t="s">
        <v>166</v>
      </c>
      <c r="EZ58" s="16" t="s">
        <v>166</v>
      </c>
      <c r="FA58" s="15" t="s">
        <v>166</v>
      </c>
      <c r="FB58" s="15" t="s">
        <v>166</v>
      </c>
      <c r="FC58" s="15" t="s">
        <v>166</v>
      </c>
      <c r="FD58" s="15" t="s">
        <v>166</v>
      </c>
      <c r="FE58" s="15" t="s">
        <v>166</v>
      </c>
      <c r="FF58" s="15" t="s">
        <v>166</v>
      </c>
      <c r="FG58" s="14" t="s">
        <v>166</v>
      </c>
      <c r="FH58" s="3">
        <f>HYPERLINK("https://my.pitchbook.com?c=224019-82T","View Company Online")</f>
      </c>
    </row>
    <row r="59">
      <c r="A59" s="25" t="s">
        <v>1235</v>
      </c>
      <c r="B59" s="25" t="s">
        <v>1236</v>
      </c>
      <c r="C59" s="25" t="s">
        <v>1237</v>
      </c>
      <c r="D59" s="25" t="s">
        <v>166</v>
      </c>
      <c r="E59" s="34" t="s">
        <v>1238</v>
      </c>
      <c r="F59" s="32">
        <v>1</v>
      </c>
      <c r="G59" s="25" t="s">
        <v>1239</v>
      </c>
      <c r="H59" s="25" t="s">
        <v>166</v>
      </c>
      <c r="I59" s="25" t="s">
        <v>1240</v>
      </c>
      <c r="J59" s="25" t="s">
        <v>1241</v>
      </c>
      <c r="K59" s="25" t="s">
        <v>207</v>
      </c>
      <c r="L59" s="25" t="s">
        <v>208</v>
      </c>
      <c r="M59" s="25" t="s">
        <v>209</v>
      </c>
      <c r="N59" s="25" t="s">
        <v>269</v>
      </c>
      <c r="O59" s="25" t="s">
        <v>1242</v>
      </c>
      <c r="P59" s="25" t="s">
        <v>1243</v>
      </c>
      <c r="Q59" s="25" t="s">
        <v>166</v>
      </c>
      <c r="R59" s="25" t="s">
        <v>177</v>
      </c>
      <c r="S59" s="25" t="s">
        <v>178</v>
      </c>
      <c r="T59" s="25" t="s">
        <v>179</v>
      </c>
      <c r="U59" s="25" t="s">
        <v>1244</v>
      </c>
      <c r="V59" s="25" t="s">
        <v>1245</v>
      </c>
      <c r="W59" s="32" t="s">
        <v>1246</v>
      </c>
      <c r="X59" s="25" t="s">
        <v>166</v>
      </c>
      <c r="Y59" s="25" t="s">
        <v>1247</v>
      </c>
      <c r="Z59" s="25" t="s">
        <v>166</v>
      </c>
      <c r="AA59" s="25" t="s">
        <v>166</v>
      </c>
      <c r="AB59" s="25" t="s">
        <v>166</v>
      </c>
      <c r="AC59" s="25" t="s">
        <v>166</v>
      </c>
      <c r="AD59" s="25" t="s">
        <v>166</v>
      </c>
      <c r="AE59" s="25" t="s">
        <v>166</v>
      </c>
      <c r="AF59" s="25" t="s">
        <v>166</v>
      </c>
      <c r="AG59" s="25" t="s">
        <v>166</v>
      </c>
      <c r="AH59" s="32">
        <v>5</v>
      </c>
      <c r="AI59" s="4">
        <f>HYPERLINK("https://my.pitchbook.com/?d=198765-01T","198765-01T")</f>
      </c>
      <c r="AJ59" s="30" t="s">
        <v>166</v>
      </c>
      <c r="AK59" s="30">
        <v>44777</v>
      </c>
      <c r="AL59" s="29">
        <v>0.1</v>
      </c>
      <c r="AM59" s="25" t="s">
        <v>185</v>
      </c>
      <c r="AN59" s="29" t="s">
        <v>166</v>
      </c>
      <c r="AO59" s="29" t="s">
        <v>166</v>
      </c>
      <c r="AP59" s="25" t="s">
        <v>166</v>
      </c>
      <c r="AQ59" s="32" t="s">
        <v>166</v>
      </c>
      <c r="AR59" s="32">
        <v>0.86</v>
      </c>
      <c r="AS59" s="28" t="s">
        <v>166</v>
      </c>
      <c r="AT59" s="29">
        <v>0.85</v>
      </c>
      <c r="AU59" s="32" t="s">
        <v>186</v>
      </c>
      <c r="AV59" s="32" t="s">
        <v>166</v>
      </c>
      <c r="AW59" s="29" t="s">
        <v>166</v>
      </c>
      <c r="AX59" s="32" t="s">
        <v>166</v>
      </c>
      <c r="AY59" s="25" t="s">
        <v>187</v>
      </c>
      <c r="AZ59" s="25" t="s">
        <v>166</v>
      </c>
      <c r="BA59" s="25" t="s">
        <v>166</v>
      </c>
      <c r="BB59" s="32" t="s">
        <v>166</v>
      </c>
      <c r="BC59" s="25" t="s">
        <v>179</v>
      </c>
      <c r="BD59" s="25" t="s">
        <v>1248</v>
      </c>
      <c r="BE59" s="25" t="s">
        <v>189</v>
      </c>
      <c r="BF59" s="29" t="s">
        <v>166</v>
      </c>
      <c r="BG59" s="25" t="s">
        <v>190</v>
      </c>
      <c r="BH59" s="25" t="s">
        <v>166</v>
      </c>
      <c r="BI59" s="25" t="s">
        <v>166</v>
      </c>
      <c r="BJ59" s="29">
        <v>0.1</v>
      </c>
      <c r="BK59" s="29" t="s">
        <v>166</v>
      </c>
      <c r="BL59" s="25" t="s">
        <v>191</v>
      </c>
      <c r="BM59" s="25" t="s">
        <v>178</v>
      </c>
      <c r="BN59" s="25" t="s">
        <v>177</v>
      </c>
      <c r="BO59" s="33">
        <v>3</v>
      </c>
      <c r="BP59" s="25" t="s">
        <v>1238</v>
      </c>
      <c r="BQ59" s="32">
        <v>1</v>
      </c>
      <c r="BR59" s="25" t="s">
        <v>166</v>
      </c>
      <c r="BS59" s="32" t="s">
        <v>166</v>
      </c>
      <c r="BT59" s="25" t="s">
        <v>166</v>
      </c>
      <c r="BU59" s="25" t="s">
        <v>166</v>
      </c>
      <c r="BV59" s="25" t="s">
        <v>166</v>
      </c>
      <c r="BW59" s="25" t="s">
        <v>166</v>
      </c>
      <c r="BX59" s="25" t="s">
        <v>166</v>
      </c>
      <c r="BY59" s="25" t="s">
        <v>166</v>
      </c>
      <c r="BZ59" s="25" t="s">
        <v>166</v>
      </c>
      <c r="CA59" s="25" t="s">
        <v>166</v>
      </c>
      <c r="CB59" s="25" t="s">
        <v>166</v>
      </c>
      <c r="CC59" s="25" t="s">
        <v>166</v>
      </c>
      <c r="CD59" s="25" t="s">
        <v>166</v>
      </c>
      <c r="CE59" s="29" t="s">
        <v>166</v>
      </c>
      <c r="CF59" s="27">
        <v>4</v>
      </c>
      <c r="CG59" s="28">
        <v>471.43</v>
      </c>
      <c r="CH59" s="27" t="s">
        <v>166</v>
      </c>
      <c r="CI59" s="27" t="s">
        <v>166</v>
      </c>
      <c r="CJ59" s="27" t="s">
        <v>166</v>
      </c>
      <c r="CK59" s="27" t="s">
        <v>166</v>
      </c>
      <c r="CL59" s="27" t="s">
        <v>166</v>
      </c>
      <c r="CM59" s="31">
        <v>2022</v>
      </c>
      <c r="CN59" s="27" t="s">
        <v>166</v>
      </c>
      <c r="CO59" s="27" t="s">
        <v>166</v>
      </c>
      <c r="CP59" s="27" t="s">
        <v>166</v>
      </c>
      <c r="CQ59" s="27" t="s">
        <v>166</v>
      </c>
      <c r="CR59" s="27" t="s">
        <v>166</v>
      </c>
      <c r="CS59" s="27" t="s">
        <v>166</v>
      </c>
      <c r="CT59" s="27" t="s">
        <v>166</v>
      </c>
      <c r="CU59" s="27" t="s">
        <v>166</v>
      </c>
      <c r="CV59" s="27">
        <v>0.03</v>
      </c>
      <c r="CW59" s="27" t="s">
        <v>166</v>
      </c>
      <c r="CX59" s="27" t="s">
        <v>166</v>
      </c>
      <c r="CY59" s="27" t="s">
        <v>166</v>
      </c>
      <c r="CZ59" s="27" t="s">
        <v>166</v>
      </c>
      <c r="DA59" s="27" t="s">
        <v>166</v>
      </c>
      <c r="DB59" s="27" t="s">
        <v>166</v>
      </c>
      <c r="DC59" s="27" t="s">
        <v>166</v>
      </c>
      <c r="DD59" s="27" t="s">
        <v>166</v>
      </c>
      <c r="DE59" s="28" t="s">
        <v>166</v>
      </c>
      <c r="DF59" s="33">
        <v>4</v>
      </c>
      <c r="DG59" s="25" t="s">
        <v>1249</v>
      </c>
      <c r="DH59" s="25" t="s">
        <v>193</v>
      </c>
      <c r="DI59" s="25" t="s">
        <v>194</v>
      </c>
      <c r="DJ59" s="25" t="s">
        <v>1250</v>
      </c>
      <c r="DK59" s="25" t="s">
        <v>1251</v>
      </c>
      <c r="DL59" s="32" t="s">
        <v>1252</v>
      </c>
      <c r="DM59" s="25" t="s">
        <v>198</v>
      </c>
      <c r="DN59" s="24" t="s">
        <v>1253</v>
      </c>
      <c r="DO59" s="31">
        <v>2018</v>
      </c>
      <c r="DP59" s="25" t="s">
        <v>166</v>
      </c>
      <c r="DQ59" s="25" t="s">
        <v>166</v>
      </c>
      <c r="DR59" s="29">
        <v>0.1</v>
      </c>
      <c r="DS59" s="27" t="s">
        <v>166</v>
      </c>
      <c r="DT59" s="30" t="s">
        <v>166</v>
      </c>
      <c r="DU59" s="25" t="s">
        <v>166</v>
      </c>
      <c r="DV59" s="29" t="s">
        <v>166</v>
      </c>
      <c r="DW59" s="29" t="s">
        <v>166</v>
      </c>
      <c r="DX59" s="27" t="s">
        <v>166</v>
      </c>
      <c r="DY59" s="27" t="s">
        <v>166</v>
      </c>
      <c r="DZ59" s="28" t="s">
        <v>166</v>
      </c>
      <c r="EA59" s="27" t="s">
        <v>166</v>
      </c>
      <c r="EB59" s="27" t="s">
        <v>166</v>
      </c>
      <c r="EC59" s="27" t="s">
        <v>166</v>
      </c>
      <c r="ED59" s="28" t="s">
        <v>166</v>
      </c>
      <c r="EE59" s="28" t="s">
        <v>166</v>
      </c>
      <c r="EF59" s="28" t="s">
        <v>166</v>
      </c>
      <c r="EG59" s="28" t="s">
        <v>166</v>
      </c>
      <c r="EH59" s="27" t="s">
        <v>166</v>
      </c>
      <c r="EI59" s="27" t="s">
        <v>166</v>
      </c>
      <c r="EJ59" s="27" t="s">
        <v>166</v>
      </c>
      <c r="EK59" s="27" t="s">
        <v>166</v>
      </c>
      <c r="EL59" s="27" t="s">
        <v>166</v>
      </c>
      <c r="EM59" s="27" t="s">
        <v>166</v>
      </c>
      <c r="EN59" s="27" t="s">
        <v>166</v>
      </c>
      <c r="EO59" s="27" t="s">
        <v>166</v>
      </c>
      <c r="EP59" s="27" t="s">
        <v>166</v>
      </c>
      <c r="EQ59" s="27" t="s">
        <v>166</v>
      </c>
      <c r="ER59" s="27" t="s">
        <v>166</v>
      </c>
      <c r="ES59" s="27" t="s">
        <v>166</v>
      </c>
      <c r="ET59" s="25" t="s">
        <v>166</v>
      </c>
      <c r="EU59" s="27" t="s">
        <v>166</v>
      </c>
      <c r="EV59" s="27" t="s">
        <v>166</v>
      </c>
      <c r="EW59" s="27" t="s">
        <v>166</v>
      </c>
      <c r="EX59" s="25" t="s">
        <v>190</v>
      </c>
      <c r="EY59" s="25" t="s">
        <v>166</v>
      </c>
      <c r="EZ59" s="27" t="s">
        <v>166</v>
      </c>
      <c r="FA59" s="26" t="s">
        <v>166</v>
      </c>
      <c r="FB59" s="26" t="s">
        <v>166</v>
      </c>
      <c r="FC59" s="26" t="s">
        <v>166</v>
      </c>
      <c r="FD59" s="26" t="s">
        <v>166</v>
      </c>
      <c r="FE59" s="26" t="s">
        <v>166</v>
      </c>
      <c r="FF59" s="26" t="s">
        <v>166</v>
      </c>
      <c r="FG59" s="25" t="s">
        <v>166</v>
      </c>
      <c r="FH59" s="4">
        <f>HYPERLINK("https://my.pitchbook.com?c=198765-01T","View Company Online")</f>
      </c>
    </row>
    <row r="60">
      <c r="A60" s="14" t="s">
        <v>1254</v>
      </c>
      <c r="B60" s="14" t="s">
        <v>1255</v>
      </c>
      <c r="C60" s="14" t="s">
        <v>1256</v>
      </c>
      <c r="D60" s="14" t="s">
        <v>166</v>
      </c>
      <c r="E60" s="23" t="s">
        <v>1257</v>
      </c>
      <c r="F60" s="21">
        <v>8</v>
      </c>
      <c r="G60" s="14" t="s">
        <v>1258</v>
      </c>
      <c r="H60" s="14" t="s">
        <v>166</v>
      </c>
      <c r="I60" s="14" t="s">
        <v>1259</v>
      </c>
      <c r="J60" s="14" t="s">
        <v>1260</v>
      </c>
      <c r="K60" s="14" t="s">
        <v>207</v>
      </c>
      <c r="L60" s="14" t="s">
        <v>208</v>
      </c>
      <c r="M60" s="14" t="s">
        <v>1261</v>
      </c>
      <c r="N60" s="14" t="s">
        <v>1262</v>
      </c>
      <c r="O60" s="14" t="s">
        <v>800</v>
      </c>
      <c r="P60" s="14" t="s">
        <v>1263</v>
      </c>
      <c r="Q60" s="14" t="s">
        <v>926</v>
      </c>
      <c r="R60" s="14" t="s">
        <v>177</v>
      </c>
      <c r="S60" s="14" t="s">
        <v>178</v>
      </c>
      <c r="T60" s="14" t="s">
        <v>179</v>
      </c>
      <c r="U60" s="14" t="s">
        <v>1264</v>
      </c>
      <c r="V60" s="14" t="s">
        <v>1265</v>
      </c>
      <c r="W60" s="21" t="s">
        <v>166</v>
      </c>
      <c r="X60" s="14" t="s">
        <v>1266</v>
      </c>
      <c r="Y60" s="14" t="s">
        <v>1267</v>
      </c>
      <c r="Z60" s="14" t="s">
        <v>166</v>
      </c>
      <c r="AA60" s="14" t="s">
        <v>166</v>
      </c>
      <c r="AB60" s="14" t="s">
        <v>166</v>
      </c>
      <c r="AC60" s="14" t="s">
        <v>166</v>
      </c>
      <c r="AD60" s="14" t="s">
        <v>166</v>
      </c>
      <c r="AE60" s="14" t="s">
        <v>166</v>
      </c>
      <c r="AF60" s="14" t="s">
        <v>166</v>
      </c>
      <c r="AG60" s="14" t="s">
        <v>166</v>
      </c>
      <c r="AH60" s="21">
        <v>2</v>
      </c>
      <c r="AI60" s="3">
        <f>HYPERLINK("https://my.pitchbook.com/?d=203622-58T","203622-58T")</f>
      </c>
      <c r="AJ60" s="19" t="s">
        <v>166</v>
      </c>
      <c r="AK60" s="19">
        <v>44671</v>
      </c>
      <c r="AL60" s="18">
        <v>2.5</v>
      </c>
      <c r="AM60" s="14" t="s">
        <v>185</v>
      </c>
      <c r="AN60" s="18" t="s">
        <v>166</v>
      </c>
      <c r="AO60" s="18" t="s">
        <v>166</v>
      </c>
      <c r="AP60" s="14" t="s">
        <v>166</v>
      </c>
      <c r="AQ60" s="21" t="s">
        <v>166</v>
      </c>
      <c r="AR60" s="21" t="s">
        <v>166</v>
      </c>
      <c r="AS60" s="17" t="s">
        <v>166</v>
      </c>
      <c r="AT60" s="18">
        <v>3</v>
      </c>
      <c r="AU60" s="21" t="s">
        <v>186</v>
      </c>
      <c r="AV60" s="21" t="s">
        <v>166</v>
      </c>
      <c r="AW60" s="18" t="s">
        <v>166</v>
      </c>
      <c r="AX60" s="21" t="s">
        <v>166</v>
      </c>
      <c r="AY60" s="14" t="s">
        <v>217</v>
      </c>
      <c r="AZ60" s="14" t="s">
        <v>217</v>
      </c>
      <c r="BA60" s="14" t="s">
        <v>166</v>
      </c>
      <c r="BB60" s="21" t="s">
        <v>166</v>
      </c>
      <c r="BC60" s="14" t="s">
        <v>179</v>
      </c>
      <c r="BD60" s="14" t="s">
        <v>1268</v>
      </c>
      <c r="BE60" s="14" t="s">
        <v>189</v>
      </c>
      <c r="BF60" s="18">
        <v>2.5</v>
      </c>
      <c r="BG60" s="14" t="s">
        <v>190</v>
      </c>
      <c r="BH60" s="14" t="s">
        <v>166</v>
      </c>
      <c r="BI60" s="14" t="s">
        <v>166</v>
      </c>
      <c r="BJ60" s="18" t="s">
        <v>166</v>
      </c>
      <c r="BK60" s="18" t="s">
        <v>166</v>
      </c>
      <c r="BL60" s="14" t="s">
        <v>191</v>
      </c>
      <c r="BM60" s="14" t="s">
        <v>178</v>
      </c>
      <c r="BN60" s="14" t="s">
        <v>177</v>
      </c>
      <c r="BO60" s="22" t="s">
        <v>166</v>
      </c>
      <c r="BP60" s="14" t="s">
        <v>1269</v>
      </c>
      <c r="BQ60" s="21">
        <v>7</v>
      </c>
      <c r="BR60" s="14" t="s">
        <v>914</v>
      </c>
      <c r="BS60" s="21">
        <v>1</v>
      </c>
      <c r="BT60" s="14" t="s">
        <v>166</v>
      </c>
      <c r="BU60" s="14" t="s">
        <v>166</v>
      </c>
      <c r="BV60" s="14" t="s">
        <v>166</v>
      </c>
      <c r="BW60" s="14" t="s">
        <v>166</v>
      </c>
      <c r="BX60" s="14" t="s">
        <v>166</v>
      </c>
      <c r="BY60" s="14" t="s">
        <v>166</v>
      </c>
      <c r="BZ60" s="14" t="s">
        <v>166</v>
      </c>
      <c r="CA60" s="14" t="s">
        <v>166</v>
      </c>
      <c r="CB60" s="14" t="s">
        <v>166</v>
      </c>
      <c r="CC60" s="14" t="s">
        <v>166</v>
      </c>
      <c r="CD60" s="14" t="s">
        <v>166</v>
      </c>
      <c r="CE60" s="18" t="s">
        <v>166</v>
      </c>
      <c r="CF60" s="16" t="s">
        <v>166</v>
      </c>
      <c r="CG60" s="17" t="s">
        <v>166</v>
      </c>
      <c r="CH60" s="16" t="s">
        <v>166</v>
      </c>
      <c r="CI60" s="16" t="s">
        <v>166</v>
      </c>
      <c r="CJ60" s="16" t="s">
        <v>166</v>
      </c>
      <c r="CK60" s="16" t="s">
        <v>166</v>
      </c>
      <c r="CL60" s="16" t="s">
        <v>166</v>
      </c>
      <c r="CM60" s="20" t="s">
        <v>166</v>
      </c>
      <c r="CN60" s="16" t="s">
        <v>166</v>
      </c>
      <c r="CO60" s="16" t="s">
        <v>166</v>
      </c>
      <c r="CP60" s="16" t="s">
        <v>166</v>
      </c>
      <c r="CQ60" s="16" t="s">
        <v>166</v>
      </c>
      <c r="CR60" s="16" t="s">
        <v>166</v>
      </c>
      <c r="CS60" s="16" t="s">
        <v>166</v>
      </c>
      <c r="CT60" s="16" t="s">
        <v>166</v>
      </c>
      <c r="CU60" s="16" t="s">
        <v>166</v>
      </c>
      <c r="CV60" s="16" t="s">
        <v>166</v>
      </c>
      <c r="CW60" s="16" t="s">
        <v>166</v>
      </c>
      <c r="CX60" s="16" t="s">
        <v>166</v>
      </c>
      <c r="CY60" s="16" t="s">
        <v>166</v>
      </c>
      <c r="CZ60" s="16" t="s">
        <v>166</v>
      </c>
      <c r="DA60" s="16" t="s">
        <v>166</v>
      </c>
      <c r="DB60" s="16" t="s">
        <v>166</v>
      </c>
      <c r="DC60" s="16" t="s">
        <v>166</v>
      </c>
      <c r="DD60" s="16" t="s">
        <v>166</v>
      </c>
      <c r="DE60" s="17" t="s">
        <v>166</v>
      </c>
      <c r="DF60" s="22">
        <v>8</v>
      </c>
      <c r="DG60" s="14" t="s">
        <v>673</v>
      </c>
      <c r="DH60" s="14" t="s">
        <v>193</v>
      </c>
      <c r="DI60" s="14" t="s">
        <v>194</v>
      </c>
      <c r="DJ60" s="14" t="s">
        <v>674</v>
      </c>
      <c r="DK60" s="14" t="s">
        <v>257</v>
      </c>
      <c r="DL60" s="21" t="s">
        <v>791</v>
      </c>
      <c r="DM60" s="14" t="s">
        <v>198</v>
      </c>
      <c r="DN60" s="13" t="s">
        <v>1270</v>
      </c>
      <c r="DO60" s="20">
        <v>2020</v>
      </c>
      <c r="DP60" s="14" t="s">
        <v>166</v>
      </c>
      <c r="DQ60" s="14" t="s">
        <v>166</v>
      </c>
      <c r="DR60" s="18" t="s">
        <v>166</v>
      </c>
      <c r="DS60" s="16" t="s">
        <v>166</v>
      </c>
      <c r="DT60" s="19" t="s">
        <v>166</v>
      </c>
      <c r="DU60" s="14" t="s">
        <v>166</v>
      </c>
      <c r="DV60" s="18" t="s">
        <v>166</v>
      </c>
      <c r="DW60" s="18" t="s">
        <v>166</v>
      </c>
      <c r="DX60" s="16" t="s">
        <v>166</v>
      </c>
      <c r="DY60" s="16" t="s">
        <v>166</v>
      </c>
      <c r="DZ60" s="17" t="s">
        <v>166</v>
      </c>
      <c r="EA60" s="16" t="s">
        <v>166</v>
      </c>
      <c r="EB60" s="16" t="s">
        <v>166</v>
      </c>
      <c r="EC60" s="16" t="s">
        <v>166</v>
      </c>
      <c r="ED60" s="17" t="s">
        <v>166</v>
      </c>
      <c r="EE60" s="17" t="s">
        <v>166</v>
      </c>
      <c r="EF60" s="17" t="s">
        <v>166</v>
      </c>
      <c r="EG60" s="17" t="s">
        <v>166</v>
      </c>
      <c r="EH60" s="16" t="s">
        <v>166</v>
      </c>
      <c r="EI60" s="16" t="s">
        <v>166</v>
      </c>
      <c r="EJ60" s="16" t="s">
        <v>166</v>
      </c>
      <c r="EK60" s="16" t="s">
        <v>166</v>
      </c>
      <c r="EL60" s="16" t="s">
        <v>166</v>
      </c>
      <c r="EM60" s="16" t="s">
        <v>166</v>
      </c>
      <c r="EN60" s="16" t="s">
        <v>166</v>
      </c>
      <c r="EO60" s="16" t="s">
        <v>166</v>
      </c>
      <c r="EP60" s="16" t="s">
        <v>166</v>
      </c>
      <c r="EQ60" s="16" t="s">
        <v>166</v>
      </c>
      <c r="ER60" s="16" t="s">
        <v>166</v>
      </c>
      <c r="ES60" s="16" t="s">
        <v>166</v>
      </c>
      <c r="ET60" s="14" t="s">
        <v>166</v>
      </c>
      <c r="EU60" s="16" t="s">
        <v>166</v>
      </c>
      <c r="EV60" s="16" t="s">
        <v>166</v>
      </c>
      <c r="EW60" s="16" t="s">
        <v>166</v>
      </c>
      <c r="EX60" s="14" t="s">
        <v>190</v>
      </c>
      <c r="EY60" s="14" t="s">
        <v>166</v>
      </c>
      <c r="EZ60" s="16" t="s">
        <v>166</v>
      </c>
      <c r="FA60" s="15" t="s">
        <v>166</v>
      </c>
      <c r="FB60" s="15" t="s">
        <v>166</v>
      </c>
      <c r="FC60" s="15" t="s">
        <v>166</v>
      </c>
      <c r="FD60" s="15" t="s">
        <v>166</v>
      </c>
      <c r="FE60" s="15" t="s">
        <v>166</v>
      </c>
      <c r="FF60" s="15" t="s">
        <v>166</v>
      </c>
      <c r="FG60" s="14" t="s">
        <v>166</v>
      </c>
      <c r="FH60" s="3">
        <f>HYPERLINK("https://my.pitchbook.com?c=203622-58T","View Company Online")</f>
      </c>
    </row>
    <row r="61">
      <c r="A61" s="25" t="s">
        <v>1271</v>
      </c>
      <c r="B61" s="25" t="s">
        <v>1272</v>
      </c>
      <c r="C61" s="25" t="s">
        <v>1273</v>
      </c>
      <c r="D61" s="25" t="s">
        <v>166</v>
      </c>
      <c r="E61" s="34" t="s">
        <v>1274</v>
      </c>
      <c r="F61" s="32">
        <v>4</v>
      </c>
      <c r="G61" s="25" t="s">
        <v>1275</v>
      </c>
      <c r="H61" s="25" t="s">
        <v>166</v>
      </c>
      <c r="I61" s="25" t="s">
        <v>1276</v>
      </c>
      <c r="J61" s="25" t="s">
        <v>1277</v>
      </c>
      <c r="K61" s="25" t="s">
        <v>207</v>
      </c>
      <c r="L61" s="25" t="s">
        <v>208</v>
      </c>
      <c r="M61" s="25" t="s">
        <v>296</v>
      </c>
      <c r="N61" s="25" t="s">
        <v>1052</v>
      </c>
      <c r="O61" s="25" t="s">
        <v>325</v>
      </c>
      <c r="P61" s="25" t="s">
        <v>1278</v>
      </c>
      <c r="Q61" s="25" t="s">
        <v>166</v>
      </c>
      <c r="R61" s="25" t="s">
        <v>177</v>
      </c>
      <c r="S61" s="25" t="s">
        <v>178</v>
      </c>
      <c r="T61" s="25" t="s">
        <v>179</v>
      </c>
      <c r="U61" s="25" t="s">
        <v>1279</v>
      </c>
      <c r="V61" s="25" t="s">
        <v>1280</v>
      </c>
      <c r="W61" s="32" t="s">
        <v>1281</v>
      </c>
      <c r="X61" s="25" t="s">
        <v>1282</v>
      </c>
      <c r="Y61" s="25" t="s">
        <v>1283</v>
      </c>
      <c r="Z61" s="25" t="s">
        <v>166</v>
      </c>
      <c r="AA61" s="25" t="s">
        <v>166</v>
      </c>
      <c r="AB61" s="25" t="s">
        <v>166</v>
      </c>
      <c r="AC61" s="25" t="s">
        <v>166</v>
      </c>
      <c r="AD61" s="25" t="s">
        <v>166</v>
      </c>
      <c r="AE61" s="25" t="s">
        <v>166</v>
      </c>
      <c r="AF61" s="25" t="s">
        <v>166</v>
      </c>
      <c r="AG61" s="25" t="s">
        <v>166</v>
      </c>
      <c r="AH61" s="32">
        <v>1</v>
      </c>
      <c r="AI61" s="4">
        <f>HYPERLINK("https://my.pitchbook.com/?d=200081-44T","200081-44T")</f>
      </c>
      <c r="AJ61" s="30" t="s">
        <v>166</v>
      </c>
      <c r="AK61" s="30">
        <v>44733</v>
      </c>
      <c r="AL61" s="29">
        <v>5.5</v>
      </c>
      <c r="AM61" s="25" t="s">
        <v>185</v>
      </c>
      <c r="AN61" s="29" t="s">
        <v>166</v>
      </c>
      <c r="AO61" s="29" t="s">
        <v>166</v>
      </c>
      <c r="AP61" s="25" t="s">
        <v>166</v>
      </c>
      <c r="AQ61" s="32" t="s">
        <v>166</v>
      </c>
      <c r="AR61" s="32" t="s">
        <v>166</v>
      </c>
      <c r="AS61" s="28" t="s">
        <v>166</v>
      </c>
      <c r="AT61" s="29">
        <v>5.5</v>
      </c>
      <c r="AU61" s="32" t="s">
        <v>186</v>
      </c>
      <c r="AV61" s="32" t="s">
        <v>166</v>
      </c>
      <c r="AW61" s="29" t="s">
        <v>166</v>
      </c>
      <c r="AX61" s="32" t="s">
        <v>166</v>
      </c>
      <c r="AY61" s="25" t="s">
        <v>217</v>
      </c>
      <c r="AZ61" s="25" t="s">
        <v>217</v>
      </c>
      <c r="BA61" s="25" t="s">
        <v>166</v>
      </c>
      <c r="BB61" s="32" t="s">
        <v>166</v>
      </c>
      <c r="BC61" s="25" t="s">
        <v>179</v>
      </c>
      <c r="BD61" s="25" t="s">
        <v>1277</v>
      </c>
      <c r="BE61" s="25" t="s">
        <v>189</v>
      </c>
      <c r="BF61" s="29">
        <v>5.5</v>
      </c>
      <c r="BG61" s="25" t="s">
        <v>190</v>
      </c>
      <c r="BH61" s="25" t="s">
        <v>166</v>
      </c>
      <c r="BI61" s="25" t="s">
        <v>166</v>
      </c>
      <c r="BJ61" s="29" t="s">
        <v>166</v>
      </c>
      <c r="BK61" s="29" t="s">
        <v>166</v>
      </c>
      <c r="BL61" s="25" t="s">
        <v>191</v>
      </c>
      <c r="BM61" s="25" t="s">
        <v>178</v>
      </c>
      <c r="BN61" s="25" t="s">
        <v>177</v>
      </c>
      <c r="BO61" s="33" t="s">
        <v>166</v>
      </c>
      <c r="BP61" s="25" t="s">
        <v>1284</v>
      </c>
      <c r="BQ61" s="32">
        <v>4</v>
      </c>
      <c r="BR61" s="25" t="s">
        <v>166</v>
      </c>
      <c r="BS61" s="32" t="s">
        <v>166</v>
      </c>
      <c r="BT61" s="25" t="s">
        <v>166</v>
      </c>
      <c r="BU61" s="25" t="s">
        <v>166</v>
      </c>
      <c r="BV61" s="25" t="s">
        <v>166</v>
      </c>
      <c r="BW61" s="25" t="s">
        <v>166</v>
      </c>
      <c r="BX61" s="25" t="s">
        <v>166</v>
      </c>
      <c r="BY61" s="25" t="s">
        <v>166</v>
      </c>
      <c r="BZ61" s="25" t="s">
        <v>166</v>
      </c>
      <c r="CA61" s="25" t="s">
        <v>166</v>
      </c>
      <c r="CB61" s="25" t="s">
        <v>166</v>
      </c>
      <c r="CC61" s="25" t="s">
        <v>166</v>
      </c>
      <c r="CD61" s="25" t="s">
        <v>166</v>
      </c>
      <c r="CE61" s="29" t="s">
        <v>166</v>
      </c>
      <c r="CF61" s="27" t="s">
        <v>166</v>
      </c>
      <c r="CG61" s="28" t="s">
        <v>166</v>
      </c>
      <c r="CH61" s="27" t="s">
        <v>166</v>
      </c>
      <c r="CI61" s="27" t="s">
        <v>166</v>
      </c>
      <c r="CJ61" s="27" t="s">
        <v>166</v>
      </c>
      <c r="CK61" s="27" t="s">
        <v>166</v>
      </c>
      <c r="CL61" s="27" t="s">
        <v>166</v>
      </c>
      <c r="CM61" s="31" t="s">
        <v>166</v>
      </c>
      <c r="CN61" s="27" t="s">
        <v>166</v>
      </c>
      <c r="CO61" s="27" t="s">
        <v>166</v>
      </c>
      <c r="CP61" s="27" t="s">
        <v>166</v>
      </c>
      <c r="CQ61" s="27" t="s">
        <v>166</v>
      </c>
      <c r="CR61" s="27" t="s">
        <v>166</v>
      </c>
      <c r="CS61" s="27" t="s">
        <v>166</v>
      </c>
      <c r="CT61" s="27" t="s">
        <v>166</v>
      </c>
      <c r="CU61" s="27" t="s">
        <v>166</v>
      </c>
      <c r="CV61" s="27" t="s">
        <v>166</v>
      </c>
      <c r="CW61" s="27" t="s">
        <v>166</v>
      </c>
      <c r="CX61" s="27" t="s">
        <v>166</v>
      </c>
      <c r="CY61" s="27" t="s">
        <v>166</v>
      </c>
      <c r="CZ61" s="27" t="s">
        <v>166</v>
      </c>
      <c r="DA61" s="27" t="s">
        <v>166</v>
      </c>
      <c r="DB61" s="27" t="s">
        <v>166</v>
      </c>
      <c r="DC61" s="27" t="s">
        <v>166</v>
      </c>
      <c r="DD61" s="27" t="s">
        <v>166</v>
      </c>
      <c r="DE61" s="28" t="s">
        <v>166</v>
      </c>
      <c r="DF61" s="33">
        <v>16</v>
      </c>
      <c r="DG61" s="25" t="s">
        <v>360</v>
      </c>
      <c r="DH61" s="25" t="s">
        <v>193</v>
      </c>
      <c r="DI61" s="25" t="s">
        <v>194</v>
      </c>
      <c r="DJ61" s="25" t="s">
        <v>361</v>
      </c>
      <c r="DK61" s="25" t="s">
        <v>196</v>
      </c>
      <c r="DL61" s="32" t="s">
        <v>1285</v>
      </c>
      <c r="DM61" s="25" t="s">
        <v>198</v>
      </c>
      <c r="DN61" s="24" t="s">
        <v>1286</v>
      </c>
      <c r="DO61" s="31">
        <v>2020</v>
      </c>
      <c r="DP61" s="25" t="s">
        <v>166</v>
      </c>
      <c r="DQ61" s="25" t="s">
        <v>166</v>
      </c>
      <c r="DR61" s="29" t="s">
        <v>166</v>
      </c>
      <c r="DS61" s="27" t="s">
        <v>166</v>
      </c>
      <c r="DT61" s="30" t="s">
        <v>166</v>
      </c>
      <c r="DU61" s="25" t="s">
        <v>166</v>
      </c>
      <c r="DV61" s="29" t="s">
        <v>166</v>
      </c>
      <c r="DW61" s="29" t="s">
        <v>166</v>
      </c>
      <c r="DX61" s="27" t="s">
        <v>166</v>
      </c>
      <c r="DY61" s="27" t="s">
        <v>166</v>
      </c>
      <c r="DZ61" s="28" t="s">
        <v>166</v>
      </c>
      <c r="EA61" s="27" t="s">
        <v>166</v>
      </c>
      <c r="EB61" s="27" t="s">
        <v>166</v>
      </c>
      <c r="EC61" s="27" t="s">
        <v>166</v>
      </c>
      <c r="ED61" s="28" t="s">
        <v>166</v>
      </c>
      <c r="EE61" s="28" t="s">
        <v>166</v>
      </c>
      <c r="EF61" s="28" t="s">
        <v>166</v>
      </c>
      <c r="EG61" s="28" t="s">
        <v>166</v>
      </c>
      <c r="EH61" s="27" t="s">
        <v>166</v>
      </c>
      <c r="EI61" s="27" t="s">
        <v>166</v>
      </c>
      <c r="EJ61" s="27" t="s">
        <v>166</v>
      </c>
      <c r="EK61" s="27" t="s">
        <v>166</v>
      </c>
      <c r="EL61" s="27" t="s">
        <v>166</v>
      </c>
      <c r="EM61" s="27" t="s">
        <v>166</v>
      </c>
      <c r="EN61" s="27" t="s">
        <v>166</v>
      </c>
      <c r="EO61" s="27" t="s">
        <v>166</v>
      </c>
      <c r="EP61" s="27" t="s">
        <v>166</v>
      </c>
      <c r="EQ61" s="27" t="s">
        <v>166</v>
      </c>
      <c r="ER61" s="27" t="s">
        <v>166</v>
      </c>
      <c r="ES61" s="27" t="s">
        <v>166</v>
      </c>
      <c r="ET61" s="25" t="s">
        <v>166</v>
      </c>
      <c r="EU61" s="27" t="s">
        <v>166</v>
      </c>
      <c r="EV61" s="27" t="s">
        <v>166</v>
      </c>
      <c r="EW61" s="27" t="s">
        <v>166</v>
      </c>
      <c r="EX61" s="25" t="s">
        <v>190</v>
      </c>
      <c r="EY61" s="25" t="s">
        <v>166</v>
      </c>
      <c r="EZ61" s="27" t="s">
        <v>166</v>
      </c>
      <c r="FA61" s="26">
        <v>2</v>
      </c>
      <c r="FB61" s="26">
        <v>1</v>
      </c>
      <c r="FC61" s="26" t="s">
        <v>166</v>
      </c>
      <c r="FD61" s="26" t="s">
        <v>166</v>
      </c>
      <c r="FE61" s="26" t="s">
        <v>166</v>
      </c>
      <c r="FF61" s="26">
        <v>2</v>
      </c>
      <c r="FG61" s="25" t="s">
        <v>166</v>
      </c>
      <c r="FH61" s="4">
        <f>HYPERLINK("https://my.pitchbook.com?c=200081-44T","View Company Online")</f>
      </c>
    </row>
    <row r="62">
      <c r="A62" s="14" t="s">
        <v>1287</v>
      </c>
      <c r="B62" s="14" t="s">
        <v>1288</v>
      </c>
      <c r="C62" s="14" t="s">
        <v>1289</v>
      </c>
      <c r="D62" s="14" t="s">
        <v>166</v>
      </c>
      <c r="E62" s="23" t="s">
        <v>1290</v>
      </c>
      <c r="F62" s="21">
        <v>9</v>
      </c>
      <c r="G62" s="14" t="s">
        <v>1291</v>
      </c>
      <c r="H62" s="14" t="s">
        <v>166</v>
      </c>
      <c r="I62" s="14" t="s">
        <v>1292</v>
      </c>
      <c r="J62" s="14" t="s">
        <v>1293</v>
      </c>
      <c r="K62" s="14" t="s">
        <v>207</v>
      </c>
      <c r="L62" s="14" t="s">
        <v>208</v>
      </c>
      <c r="M62" s="14" t="s">
        <v>839</v>
      </c>
      <c r="N62" s="14" t="s">
        <v>1294</v>
      </c>
      <c r="O62" s="14" t="s">
        <v>1295</v>
      </c>
      <c r="P62" s="14" t="s">
        <v>1296</v>
      </c>
      <c r="Q62" s="14" t="s">
        <v>166</v>
      </c>
      <c r="R62" s="14" t="s">
        <v>177</v>
      </c>
      <c r="S62" s="14" t="s">
        <v>178</v>
      </c>
      <c r="T62" s="14" t="s">
        <v>179</v>
      </c>
      <c r="U62" s="14" t="s">
        <v>1297</v>
      </c>
      <c r="V62" s="14" t="s">
        <v>1298</v>
      </c>
      <c r="W62" s="21" t="s">
        <v>1299</v>
      </c>
      <c r="X62" s="14" t="s">
        <v>1300</v>
      </c>
      <c r="Y62" s="14" t="s">
        <v>1301</v>
      </c>
      <c r="Z62" s="14" t="s">
        <v>1302</v>
      </c>
      <c r="AA62" s="14" t="s">
        <v>242</v>
      </c>
      <c r="AB62" s="14" t="s">
        <v>243</v>
      </c>
      <c r="AC62" s="14" t="s">
        <v>244</v>
      </c>
      <c r="AD62" s="14" t="s">
        <v>243</v>
      </c>
      <c r="AE62" s="14" t="s">
        <v>243</v>
      </c>
      <c r="AF62" s="14" t="s">
        <v>166</v>
      </c>
      <c r="AG62" s="14" t="s">
        <v>246</v>
      </c>
      <c r="AH62" s="21">
        <v>2</v>
      </c>
      <c r="AI62" s="3">
        <f>HYPERLINK("https://my.pitchbook.com/?d=186787-18T","186787-18T")</f>
      </c>
      <c r="AJ62" s="19" t="s">
        <v>166</v>
      </c>
      <c r="AK62" s="19">
        <v>44579</v>
      </c>
      <c r="AL62" s="18">
        <v>3.5</v>
      </c>
      <c r="AM62" s="14" t="s">
        <v>185</v>
      </c>
      <c r="AN62" s="18">
        <v>8.5</v>
      </c>
      <c r="AO62" s="18">
        <v>12</v>
      </c>
      <c r="AP62" s="14" t="s">
        <v>185</v>
      </c>
      <c r="AQ62" s="21" t="s">
        <v>166</v>
      </c>
      <c r="AR62" s="21" t="s">
        <v>166</v>
      </c>
      <c r="AS62" s="17" t="s">
        <v>166</v>
      </c>
      <c r="AT62" s="18">
        <v>3.5</v>
      </c>
      <c r="AU62" s="21" t="s">
        <v>186</v>
      </c>
      <c r="AV62" s="21" t="s">
        <v>166</v>
      </c>
      <c r="AW62" s="18">
        <v>1.15</v>
      </c>
      <c r="AX62" s="21" t="s">
        <v>166</v>
      </c>
      <c r="AY62" s="14" t="s">
        <v>217</v>
      </c>
      <c r="AZ62" s="14" t="s">
        <v>217</v>
      </c>
      <c r="BA62" s="14" t="s">
        <v>166</v>
      </c>
      <c r="BB62" s="21" t="s">
        <v>166</v>
      </c>
      <c r="BC62" s="14" t="s">
        <v>179</v>
      </c>
      <c r="BD62" s="14" t="s">
        <v>1303</v>
      </c>
      <c r="BE62" s="14" t="s">
        <v>189</v>
      </c>
      <c r="BF62" s="18">
        <v>3.5</v>
      </c>
      <c r="BG62" s="14" t="s">
        <v>190</v>
      </c>
      <c r="BH62" s="14" t="s">
        <v>166</v>
      </c>
      <c r="BI62" s="14" t="s">
        <v>166</v>
      </c>
      <c r="BJ62" s="18" t="s">
        <v>166</v>
      </c>
      <c r="BK62" s="18" t="s">
        <v>166</v>
      </c>
      <c r="BL62" s="14" t="s">
        <v>191</v>
      </c>
      <c r="BM62" s="14" t="s">
        <v>358</v>
      </c>
      <c r="BN62" s="14" t="s">
        <v>177</v>
      </c>
      <c r="BO62" s="22" t="s">
        <v>166</v>
      </c>
      <c r="BP62" s="14" t="s">
        <v>1304</v>
      </c>
      <c r="BQ62" s="21">
        <v>9</v>
      </c>
      <c r="BR62" s="14" t="s">
        <v>166</v>
      </c>
      <c r="BS62" s="21" t="s">
        <v>166</v>
      </c>
      <c r="BT62" s="14" t="s">
        <v>1305</v>
      </c>
      <c r="BU62" s="14" t="s">
        <v>166</v>
      </c>
      <c r="BV62" s="14" t="s">
        <v>1306</v>
      </c>
      <c r="BW62" s="14" t="s">
        <v>166</v>
      </c>
      <c r="BX62" s="14" t="s">
        <v>166</v>
      </c>
      <c r="BY62" s="14" t="s">
        <v>166</v>
      </c>
      <c r="BZ62" s="14" t="s">
        <v>1307</v>
      </c>
      <c r="CA62" s="14" t="s">
        <v>166</v>
      </c>
      <c r="CB62" s="14" t="s">
        <v>166</v>
      </c>
      <c r="CC62" s="14" t="s">
        <v>1307</v>
      </c>
      <c r="CD62" s="14" t="s">
        <v>166</v>
      </c>
      <c r="CE62" s="18" t="s">
        <v>166</v>
      </c>
      <c r="CF62" s="16" t="s">
        <v>166</v>
      </c>
      <c r="CG62" s="17" t="s">
        <v>166</v>
      </c>
      <c r="CH62" s="16" t="s">
        <v>166</v>
      </c>
      <c r="CI62" s="16" t="s">
        <v>166</v>
      </c>
      <c r="CJ62" s="16" t="s">
        <v>166</v>
      </c>
      <c r="CK62" s="16" t="s">
        <v>166</v>
      </c>
      <c r="CL62" s="16" t="s">
        <v>166</v>
      </c>
      <c r="CM62" s="20" t="s">
        <v>166</v>
      </c>
      <c r="CN62" s="16" t="s">
        <v>166</v>
      </c>
      <c r="CO62" s="16" t="s">
        <v>166</v>
      </c>
      <c r="CP62" s="16" t="s">
        <v>166</v>
      </c>
      <c r="CQ62" s="16" t="s">
        <v>166</v>
      </c>
      <c r="CR62" s="16" t="s">
        <v>166</v>
      </c>
      <c r="CS62" s="16" t="s">
        <v>166</v>
      </c>
      <c r="CT62" s="16" t="s">
        <v>166</v>
      </c>
      <c r="CU62" s="16" t="s">
        <v>166</v>
      </c>
      <c r="CV62" s="16" t="s">
        <v>166</v>
      </c>
      <c r="CW62" s="16" t="s">
        <v>166</v>
      </c>
      <c r="CX62" s="16" t="s">
        <v>166</v>
      </c>
      <c r="CY62" s="16" t="s">
        <v>166</v>
      </c>
      <c r="CZ62" s="16" t="s">
        <v>166</v>
      </c>
      <c r="DA62" s="16" t="s">
        <v>166</v>
      </c>
      <c r="DB62" s="16" t="s">
        <v>166</v>
      </c>
      <c r="DC62" s="16" t="s">
        <v>166</v>
      </c>
      <c r="DD62" s="16" t="s">
        <v>166</v>
      </c>
      <c r="DE62" s="17" t="s">
        <v>166</v>
      </c>
      <c r="DF62" s="22">
        <v>25</v>
      </c>
      <c r="DG62" s="14" t="s">
        <v>309</v>
      </c>
      <c r="DH62" s="14" t="s">
        <v>193</v>
      </c>
      <c r="DI62" s="14" t="s">
        <v>194</v>
      </c>
      <c r="DJ62" s="14" t="s">
        <v>310</v>
      </c>
      <c r="DK62" s="14" t="s">
        <v>310</v>
      </c>
      <c r="DL62" s="21" t="s">
        <v>1308</v>
      </c>
      <c r="DM62" s="14" t="s">
        <v>198</v>
      </c>
      <c r="DN62" s="13" t="s">
        <v>1309</v>
      </c>
      <c r="DO62" s="20">
        <v>2018</v>
      </c>
      <c r="DP62" s="14" t="s">
        <v>166</v>
      </c>
      <c r="DQ62" s="14" t="s">
        <v>166</v>
      </c>
      <c r="DR62" s="18" t="s">
        <v>166</v>
      </c>
      <c r="DS62" s="16" t="s">
        <v>166</v>
      </c>
      <c r="DT62" s="19" t="s">
        <v>166</v>
      </c>
      <c r="DU62" s="14" t="s">
        <v>166</v>
      </c>
      <c r="DV62" s="18" t="s">
        <v>166</v>
      </c>
      <c r="DW62" s="18" t="s">
        <v>166</v>
      </c>
      <c r="DX62" s="16" t="s">
        <v>166</v>
      </c>
      <c r="DY62" s="16" t="s">
        <v>166</v>
      </c>
      <c r="DZ62" s="17" t="s">
        <v>166</v>
      </c>
      <c r="EA62" s="16" t="s">
        <v>166</v>
      </c>
      <c r="EB62" s="16" t="s">
        <v>166</v>
      </c>
      <c r="EC62" s="16" t="s">
        <v>166</v>
      </c>
      <c r="ED62" s="17" t="s">
        <v>166</v>
      </c>
      <c r="EE62" s="17" t="s">
        <v>166</v>
      </c>
      <c r="EF62" s="17" t="s">
        <v>166</v>
      </c>
      <c r="EG62" s="17" t="s">
        <v>166</v>
      </c>
      <c r="EH62" s="16" t="s">
        <v>166</v>
      </c>
      <c r="EI62" s="16" t="s">
        <v>166</v>
      </c>
      <c r="EJ62" s="16" t="s">
        <v>166</v>
      </c>
      <c r="EK62" s="16" t="s">
        <v>166</v>
      </c>
      <c r="EL62" s="16" t="s">
        <v>166</v>
      </c>
      <c r="EM62" s="16" t="s">
        <v>166</v>
      </c>
      <c r="EN62" s="16" t="s">
        <v>166</v>
      </c>
      <c r="EO62" s="16" t="s">
        <v>166</v>
      </c>
      <c r="EP62" s="16" t="s">
        <v>166</v>
      </c>
      <c r="EQ62" s="16" t="s">
        <v>166</v>
      </c>
      <c r="ER62" s="16" t="s">
        <v>166</v>
      </c>
      <c r="ES62" s="16" t="s">
        <v>166</v>
      </c>
      <c r="ET62" s="14" t="s">
        <v>166</v>
      </c>
      <c r="EU62" s="16" t="s">
        <v>166</v>
      </c>
      <c r="EV62" s="16" t="s">
        <v>166</v>
      </c>
      <c r="EW62" s="16" t="s">
        <v>166</v>
      </c>
      <c r="EX62" s="14" t="s">
        <v>190</v>
      </c>
      <c r="EY62" s="14" t="s">
        <v>166</v>
      </c>
      <c r="EZ62" s="16" t="s">
        <v>166</v>
      </c>
      <c r="FA62" s="15">
        <v>1</v>
      </c>
      <c r="FB62" s="15">
        <v>1</v>
      </c>
      <c r="FC62" s="15" t="s">
        <v>166</v>
      </c>
      <c r="FD62" s="15">
        <v>1</v>
      </c>
      <c r="FE62" s="15" t="s">
        <v>166</v>
      </c>
      <c r="FF62" s="15" t="s">
        <v>166</v>
      </c>
      <c r="FG62" s="14" t="s">
        <v>457</v>
      </c>
      <c r="FH62" s="3">
        <f>HYPERLINK("https://my.pitchbook.com?c=186787-18T","View Company Online")</f>
      </c>
    </row>
    <row r="63">
      <c r="A63" s="25" t="s">
        <v>1310</v>
      </c>
      <c r="B63" s="25" t="s">
        <v>1311</v>
      </c>
      <c r="C63" s="25" t="s">
        <v>1312</v>
      </c>
      <c r="D63" s="25" t="s">
        <v>166</v>
      </c>
      <c r="E63" s="34" t="s">
        <v>1313</v>
      </c>
      <c r="F63" s="32">
        <v>2</v>
      </c>
      <c r="G63" s="25" t="s">
        <v>1314</v>
      </c>
      <c r="H63" s="25" t="s">
        <v>166</v>
      </c>
      <c r="I63" s="25" t="s">
        <v>1315</v>
      </c>
      <c r="J63" s="25" t="s">
        <v>1316</v>
      </c>
      <c r="K63" s="25" t="s">
        <v>207</v>
      </c>
      <c r="L63" s="25" t="s">
        <v>208</v>
      </c>
      <c r="M63" s="25" t="s">
        <v>296</v>
      </c>
      <c r="N63" s="25" t="s">
        <v>1317</v>
      </c>
      <c r="O63" s="25" t="s">
        <v>1318</v>
      </c>
      <c r="P63" s="25" t="s">
        <v>1319</v>
      </c>
      <c r="Q63" s="25" t="s">
        <v>166</v>
      </c>
      <c r="R63" s="25" t="s">
        <v>177</v>
      </c>
      <c r="S63" s="25" t="s">
        <v>178</v>
      </c>
      <c r="T63" s="25" t="s">
        <v>179</v>
      </c>
      <c r="U63" s="25" t="s">
        <v>1320</v>
      </c>
      <c r="V63" s="25" t="s">
        <v>1321</v>
      </c>
      <c r="W63" s="32" t="s">
        <v>1322</v>
      </c>
      <c r="X63" s="25" t="s">
        <v>1323</v>
      </c>
      <c r="Y63" s="25" t="s">
        <v>1324</v>
      </c>
      <c r="Z63" s="25" t="s">
        <v>166</v>
      </c>
      <c r="AA63" s="25" t="s">
        <v>166</v>
      </c>
      <c r="AB63" s="25" t="s">
        <v>166</v>
      </c>
      <c r="AC63" s="25" t="s">
        <v>244</v>
      </c>
      <c r="AD63" s="25" t="s">
        <v>243</v>
      </c>
      <c r="AE63" s="25" t="s">
        <v>243</v>
      </c>
      <c r="AF63" s="25" t="s">
        <v>166</v>
      </c>
      <c r="AG63" s="25" t="s">
        <v>166</v>
      </c>
      <c r="AH63" s="32">
        <v>1</v>
      </c>
      <c r="AI63" s="4">
        <f>HYPERLINK("https://my.pitchbook.com/?d=174310-75T","174310-75T")</f>
      </c>
      <c r="AJ63" s="30" t="s">
        <v>166</v>
      </c>
      <c r="AK63" s="30">
        <v>44361</v>
      </c>
      <c r="AL63" s="29">
        <v>4.33</v>
      </c>
      <c r="AM63" s="25" t="s">
        <v>185</v>
      </c>
      <c r="AN63" s="29">
        <v>30</v>
      </c>
      <c r="AO63" s="29">
        <v>34.33</v>
      </c>
      <c r="AP63" s="25" t="s">
        <v>185</v>
      </c>
      <c r="AQ63" s="32" t="s">
        <v>166</v>
      </c>
      <c r="AR63" s="32" t="s">
        <v>166</v>
      </c>
      <c r="AS63" s="28">
        <v>12.63</v>
      </c>
      <c r="AT63" s="29">
        <v>4.33</v>
      </c>
      <c r="AU63" s="32" t="s">
        <v>186</v>
      </c>
      <c r="AV63" s="32" t="s">
        <v>166</v>
      </c>
      <c r="AW63" s="29">
        <v>4.17</v>
      </c>
      <c r="AX63" s="32" t="s">
        <v>166</v>
      </c>
      <c r="AY63" s="25" t="s">
        <v>217</v>
      </c>
      <c r="AZ63" s="25" t="s">
        <v>217</v>
      </c>
      <c r="BA63" s="25" t="s">
        <v>166</v>
      </c>
      <c r="BB63" s="32" t="s">
        <v>166</v>
      </c>
      <c r="BC63" s="25" t="s">
        <v>179</v>
      </c>
      <c r="BD63" s="25" t="s">
        <v>1325</v>
      </c>
      <c r="BE63" s="25" t="s">
        <v>189</v>
      </c>
      <c r="BF63" s="29">
        <v>4.33</v>
      </c>
      <c r="BG63" s="25" t="s">
        <v>190</v>
      </c>
      <c r="BH63" s="25" t="s">
        <v>166</v>
      </c>
      <c r="BI63" s="25" t="s">
        <v>166</v>
      </c>
      <c r="BJ63" s="29" t="s">
        <v>166</v>
      </c>
      <c r="BK63" s="29" t="s">
        <v>166</v>
      </c>
      <c r="BL63" s="25" t="s">
        <v>191</v>
      </c>
      <c r="BM63" s="25" t="s">
        <v>178</v>
      </c>
      <c r="BN63" s="25" t="s">
        <v>177</v>
      </c>
      <c r="BO63" s="33" t="s">
        <v>166</v>
      </c>
      <c r="BP63" s="25" t="s">
        <v>1313</v>
      </c>
      <c r="BQ63" s="32">
        <v>2</v>
      </c>
      <c r="BR63" s="25" t="s">
        <v>166</v>
      </c>
      <c r="BS63" s="32" t="s">
        <v>166</v>
      </c>
      <c r="BT63" s="25" t="s">
        <v>1313</v>
      </c>
      <c r="BU63" s="25" t="s">
        <v>166</v>
      </c>
      <c r="BV63" s="25" t="s">
        <v>166</v>
      </c>
      <c r="BW63" s="25" t="s">
        <v>166</v>
      </c>
      <c r="BX63" s="25" t="s">
        <v>166</v>
      </c>
      <c r="BY63" s="25" t="s">
        <v>166</v>
      </c>
      <c r="BZ63" s="25" t="s">
        <v>1326</v>
      </c>
      <c r="CA63" s="25" t="s">
        <v>1327</v>
      </c>
      <c r="CB63" s="25" t="s">
        <v>166</v>
      </c>
      <c r="CC63" s="25" t="s">
        <v>1328</v>
      </c>
      <c r="CD63" s="25" t="s">
        <v>166</v>
      </c>
      <c r="CE63" s="29" t="s">
        <v>166</v>
      </c>
      <c r="CF63" s="27" t="s">
        <v>166</v>
      </c>
      <c r="CG63" s="28" t="s">
        <v>166</v>
      </c>
      <c r="CH63" s="27" t="s">
        <v>166</v>
      </c>
      <c r="CI63" s="27" t="s">
        <v>166</v>
      </c>
      <c r="CJ63" s="27" t="s">
        <v>166</v>
      </c>
      <c r="CK63" s="27" t="s">
        <v>166</v>
      </c>
      <c r="CL63" s="27" t="s">
        <v>166</v>
      </c>
      <c r="CM63" s="31" t="s">
        <v>166</v>
      </c>
      <c r="CN63" s="27" t="s">
        <v>166</v>
      </c>
      <c r="CO63" s="27" t="s">
        <v>166</v>
      </c>
      <c r="CP63" s="27" t="s">
        <v>166</v>
      </c>
      <c r="CQ63" s="27" t="s">
        <v>166</v>
      </c>
      <c r="CR63" s="27" t="s">
        <v>166</v>
      </c>
      <c r="CS63" s="27" t="s">
        <v>166</v>
      </c>
      <c r="CT63" s="27" t="s">
        <v>166</v>
      </c>
      <c r="CU63" s="27" t="s">
        <v>166</v>
      </c>
      <c r="CV63" s="27" t="s">
        <v>166</v>
      </c>
      <c r="CW63" s="27" t="s">
        <v>166</v>
      </c>
      <c r="CX63" s="27" t="s">
        <v>166</v>
      </c>
      <c r="CY63" s="27" t="s">
        <v>166</v>
      </c>
      <c r="CZ63" s="27" t="s">
        <v>166</v>
      </c>
      <c r="DA63" s="27" t="s">
        <v>166</v>
      </c>
      <c r="DB63" s="27" t="s">
        <v>166</v>
      </c>
      <c r="DC63" s="27" t="s">
        <v>166</v>
      </c>
      <c r="DD63" s="27" t="s">
        <v>166</v>
      </c>
      <c r="DE63" s="28" t="s">
        <v>166</v>
      </c>
      <c r="DF63" s="33">
        <v>71</v>
      </c>
      <c r="DG63" s="25" t="s">
        <v>673</v>
      </c>
      <c r="DH63" s="25" t="s">
        <v>193</v>
      </c>
      <c r="DI63" s="25" t="s">
        <v>194</v>
      </c>
      <c r="DJ63" s="25" t="s">
        <v>674</v>
      </c>
      <c r="DK63" s="25" t="s">
        <v>257</v>
      </c>
      <c r="DL63" s="32" t="s">
        <v>1329</v>
      </c>
      <c r="DM63" s="25" t="s">
        <v>198</v>
      </c>
      <c r="DN63" s="24" t="s">
        <v>1330</v>
      </c>
      <c r="DO63" s="31">
        <v>2020</v>
      </c>
      <c r="DP63" s="25" t="s">
        <v>166</v>
      </c>
      <c r="DQ63" s="25" t="s">
        <v>166</v>
      </c>
      <c r="DR63" s="29" t="s">
        <v>166</v>
      </c>
      <c r="DS63" s="27" t="s">
        <v>166</v>
      </c>
      <c r="DT63" s="30" t="s">
        <v>166</v>
      </c>
      <c r="DU63" s="25" t="s">
        <v>166</v>
      </c>
      <c r="DV63" s="29" t="s">
        <v>166</v>
      </c>
      <c r="DW63" s="29" t="s">
        <v>166</v>
      </c>
      <c r="DX63" s="27" t="s">
        <v>166</v>
      </c>
      <c r="DY63" s="27" t="s">
        <v>166</v>
      </c>
      <c r="DZ63" s="28" t="s">
        <v>166</v>
      </c>
      <c r="EA63" s="27" t="s">
        <v>166</v>
      </c>
      <c r="EB63" s="27" t="s">
        <v>166</v>
      </c>
      <c r="EC63" s="27" t="s">
        <v>166</v>
      </c>
      <c r="ED63" s="28" t="s">
        <v>166</v>
      </c>
      <c r="EE63" s="28" t="s">
        <v>166</v>
      </c>
      <c r="EF63" s="28" t="s">
        <v>166</v>
      </c>
      <c r="EG63" s="28" t="s">
        <v>166</v>
      </c>
      <c r="EH63" s="27" t="s">
        <v>166</v>
      </c>
      <c r="EI63" s="27" t="s">
        <v>166</v>
      </c>
      <c r="EJ63" s="27" t="s">
        <v>166</v>
      </c>
      <c r="EK63" s="27" t="s">
        <v>166</v>
      </c>
      <c r="EL63" s="27" t="s">
        <v>166</v>
      </c>
      <c r="EM63" s="27" t="s">
        <v>166</v>
      </c>
      <c r="EN63" s="27" t="s">
        <v>166</v>
      </c>
      <c r="EO63" s="27" t="s">
        <v>166</v>
      </c>
      <c r="EP63" s="27" t="s">
        <v>166</v>
      </c>
      <c r="EQ63" s="27" t="s">
        <v>166</v>
      </c>
      <c r="ER63" s="27" t="s">
        <v>166</v>
      </c>
      <c r="ES63" s="27" t="s">
        <v>166</v>
      </c>
      <c r="ET63" s="25" t="s">
        <v>166</v>
      </c>
      <c r="EU63" s="27" t="s">
        <v>166</v>
      </c>
      <c r="EV63" s="27" t="s">
        <v>166</v>
      </c>
      <c r="EW63" s="27" t="s">
        <v>166</v>
      </c>
      <c r="EX63" s="25" t="s">
        <v>190</v>
      </c>
      <c r="EY63" s="25" t="s">
        <v>166</v>
      </c>
      <c r="EZ63" s="27" t="s">
        <v>166</v>
      </c>
      <c r="FA63" s="26" t="s">
        <v>166</v>
      </c>
      <c r="FB63" s="26" t="s">
        <v>166</v>
      </c>
      <c r="FC63" s="26" t="s">
        <v>166</v>
      </c>
      <c r="FD63" s="26" t="s">
        <v>166</v>
      </c>
      <c r="FE63" s="26" t="s">
        <v>166</v>
      </c>
      <c r="FF63" s="26" t="s">
        <v>166</v>
      </c>
      <c r="FG63" s="25" t="s">
        <v>166</v>
      </c>
      <c r="FH63" s="4">
        <f>HYPERLINK("https://my.pitchbook.com?c=174310-75T","View Company Online")</f>
      </c>
    </row>
    <row r="64">
      <c r="A64" s="14" t="s">
        <v>1331</v>
      </c>
      <c r="B64" s="14" t="s">
        <v>1332</v>
      </c>
      <c r="C64" s="14" t="s">
        <v>1333</v>
      </c>
      <c r="D64" s="14" t="s">
        <v>166</v>
      </c>
      <c r="E64" s="23" t="s">
        <v>1334</v>
      </c>
      <c r="F64" s="21">
        <v>9</v>
      </c>
      <c r="G64" s="14" t="s">
        <v>1335</v>
      </c>
      <c r="H64" s="14" t="s">
        <v>166</v>
      </c>
      <c r="I64" s="14" t="s">
        <v>1336</v>
      </c>
      <c r="J64" s="14" t="s">
        <v>1337</v>
      </c>
      <c r="K64" s="14" t="s">
        <v>207</v>
      </c>
      <c r="L64" s="14" t="s">
        <v>208</v>
      </c>
      <c r="M64" s="14" t="s">
        <v>296</v>
      </c>
      <c r="N64" s="14" t="s">
        <v>1338</v>
      </c>
      <c r="O64" s="14" t="s">
        <v>1339</v>
      </c>
      <c r="P64" s="14" t="s">
        <v>1340</v>
      </c>
      <c r="Q64" s="14" t="s">
        <v>166</v>
      </c>
      <c r="R64" s="14" t="s">
        <v>177</v>
      </c>
      <c r="S64" s="14" t="s">
        <v>178</v>
      </c>
      <c r="T64" s="14" t="s">
        <v>179</v>
      </c>
      <c r="U64" s="14" t="s">
        <v>1341</v>
      </c>
      <c r="V64" s="14" t="s">
        <v>1342</v>
      </c>
      <c r="W64" s="21" t="s">
        <v>166</v>
      </c>
      <c r="X64" s="14" t="s">
        <v>1343</v>
      </c>
      <c r="Y64" s="14" t="s">
        <v>1344</v>
      </c>
      <c r="Z64" s="14" t="s">
        <v>1345</v>
      </c>
      <c r="AA64" s="14" t="s">
        <v>166</v>
      </c>
      <c r="AB64" s="14" t="s">
        <v>166</v>
      </c>
      <c r="AC64" s="14" t="s">
        <v>166</v>
      </c>
      <c r="AD64" s="14" t="s">
        <v>166</v>
      </c>
      <c r="AE64" s="14" t="s">
        <v>166</v>
      </c>
      <c r="AF64" s="14" t="s">
        <v>166</v>
      </c>
      <c r="AG64" s="14" t="s">
        <v>166</v>
      </c>
      <c r="AH64" s="21">
        <v>1</v>
      </c>
      <c r="AI64" s="3">
        <f>HYPERLINK("https://my.pitchbook.com/?d=190339-30T","190339-30T")</f>
      </c>
      <c r="AJ64" s="19" t="s">
        <v>166</v>
      </c>
      <c r="AK64" s="19">
        <v>45042</v>
      </c>
      <c r="AL64" s="18">
        <v>5.4</v>
      </c>
      <c r="AM64" s="14" t="s">
        <v>185</v>
      </c>
      <c r="AN64" s="18" t="s">
        <v>166</v>
      </c>
      <c r="AO64" s="18" t="s">
        <v>166</v>
      </c>
      <c r="AP64" s="14" t="s">
        <v>166</v>
      </c>
      <c r="AQ64" s="21" t="s">
        <v>166</v>
      </c>
      <c r="AR64" s="21" t="s">
        <v>166</v>
      </c>
      <c r="AS64" s="17" t="s">
        <v>166</v>
      </c>
      <c r="AT64" s="18">
        <v>5.4</v>
      </c>
      <c r="AU64" s="21" t="s">
        <v>186</v>
      </c>
      <c r="AV64" s="21" t="s">
        <v>166</v>
      </c>
      <c r="AW64" s="18" t="s">
        <v>166</v>
      </c>
      <c r="AX64" s="21" t="s">
        <v>166</v>
      </c>
      <c r="AY64" s="14" t="s">
        <v>217</v>
      </c>
      <c r="AZ64" s="14" t="s">
        <v>217</v>
      </c>
      <c r="BA64" s="14" t="s">
        <v>166</v>
      </c>
      <c r="BB64" s="21" t="s">
        <v>166</v>
      </c>
      <c r="BC64" s="14" t="s">
        <v>179</v>
      </c>
      <c r="BD64" s="14" t="s">
        <v>1346</v>
      </c>
      <c r="BE64" s="14" t="s">
        <v>189</v>
      </c>
      <c r="BF64" s="18">
        <v>5.4</v>
      </c>
      <c r="BG64" s="14" t="s">
        <v>190</v>
      </c>
      <c r="BH64" s="14" t="s">
        <v>166</v>
      </c>
      <c r="BI64" s="14" t="s">
        <v>166</v>
      </c>
      <c r="BJ64" s="18" t="s">
        <v>166</v>
      </c>
      <c r="BK64" s="18" t="s">
        <v>166</v>
      </c>
      <c r="BL64" s="14" t="s">
        <v>191</v>
      </c>
      <c r="BM64" s="14" t="s">
        <v>178</v>
      </c>
      <c r="BN64" s="14" t="s">
        <v>177</v>
      </c>
      <c r="BO64" s="22" t="s">
        <v>166</v>
      </c>
      <c r="BP64" s="14" t="s">
        <v>1347</v>
      </c>
      <c r="BQ64" s="21">
        <v>9</v>
      </c>
      <c r="BR64" s="14" t="s">
        <v>166</v>
      </c>
      <c r="BS64" s="21" t="s">
        <v>166</v>
      </c>
      <c r="BT64" s="14" t="s">
        <v>1348</v>
      </c>
      <c r="BU64" s="14" t="s">
        <v>166</v>
      </c>
      <c r="BV64" s="14" t="s">
        <v>1349</v>
      </c>
      <c r="BW64" s="14" t="s">
        <v>166</v>
      </c>
      <c r="BX64" s="14" t="s">
        <v>166</v>
      </c>
      <c r="BY64" s="14" t="s">
        <v>166</v>
      </c>
      <c r="BZ64" s="14" t="s">
        <v>996</v>
      </c>
      <c r="CA64" s="14" t="s">
        <v>996</v>
      </c>
      <c r="CB64" s="14" t="s">
        <v>166</v>
      </c>
      <c r="CC64" s="14" t="s">
        <v>166</v>
      </c>
      <c r="CD64" s="14" t="s">
        <v>166</v>
      </c>
      <c r="CE64" s="18" t="s">
        <v>166</v>
      </c>
      <c r="CF64" s="16" t="s">
        <v>166</v>
      </c>
      <c r="CG64" s="17" t="s">
        <v>166</v>
      </c>
      <c r="CH64" s="16" t="s">
        <v>166</v>
      </c>
      <c r="CI64" s="16" t="s">
        <v>166</v>
      </c>
      <c r="CJ64" s="16" t="s">
        <v>166</v>
      </c>
      <c r="CK64" s="16" t="s">
        <v>166</v>
      </c>
      <c r="CL64" s="16" t="s">
        <v>166</v>
      </c>
      <c r="CM64" s="20" t="s">
        <v>166</v>
      </c>
      <c r="CN64" s="16" t="s">
        <v>166</v>
      </c>
      <c r="CO64" s="16" t="s">
        <v>166</v>
      </c>
      <c r="CP64" s="16" t="s">
        <v>166</v>
      </c>
      <c r="CQ64" s="16" t="s">
        <v>166</v>
      </c>
      <c r="CR64" s="16" t="s">
        <v>166</v>
      </c>
      <c r="CS64" s="16" t="s">
        <v>166</v>
      </c>
      <c r="CT64" s="16" t="s">
        <v>166</v>
      </c>
      <c r="CU64" s="16" t="s">
        <v>166</v>
      </c>
      <c r="CV64" s="16" t="s">
        <v>166</v>
      </c>
      <c r="CW64" s="16" t="s">
        <v>166</v>
      </c>
      <c r="CX64" s="16" t="s">
        <v>166</v>
      </c>
      <c r="CY64" s="16" t="s">
        <v>166</v>
      </c>
      <c r="CZ64" s="16" t="s">
        <v>166</v>
      </c>
      <c r="DA64" s="16" t="s">
        <v>166</v>
      </c>
      <c r="DB64" s="16" t="s">
        <v>166</v>
      </c>
      <c r="DC64" s="16" t="s">
        <v>166</v>
      </c>
      <c r="DD64" s="16" t="s">
        <v>166</v>
      </c>
      <c r="DE64" s="17" t="s">
        <v>166</v>
      </c>
      <c r="DF64" s="22">
        <v>12</v>
      </c>
      <c r="DG64" s="14" t="s">
        <v>673</v>
      </c>
      <c r="DH64" s="14" t="s">
        <v>193</v>
      </c>
      <c r="DI64" s="14" t="s">
        <v>194</v>
      </c>
      <c r="DJ64" s="14" t="s">
        <v>674</v>
      </c>
      <c r="DK64" s="14" t="s">
        <v>257</v>
      </c>
      <c r="DL64" s="21" t="s">
        <v>1350</v>
      </c>
      <c r="DM64" s="14" t="s">
        <v>198</v>
      </c>
      <c r="DN64" s="13" t="s">
        <v>1351</v>
      </c>
      <c r="DO64" s="20">
        <v>2022</v>
      </c>
      <c r="DP64" s="14" t="s">
        <v>166</v>
      </c>
      <c r="DQ64" s="14" t="s">
        <v>166</v>
      </c>
      <c r="DR64" s="18" t="s">
        <v>166</v>
      </c>
      <c r="DS64" s="16" t="s">
        <v>166</v>
      </c>
      <c r="DT64" s="19" t="s">
        <v>166</v>
      </c>
      <c r="DU64" s="14" t="s">
        <v>166</v>
      </c>
      <c r="DV64" s="18" t="s">
        <v>166</v>
      </c>
      <c r="DW64" s="18" t="s">
        <v>166</v>
      </c>
      <c r="DX64" s="16" t="s">
        <v>166</v>
      </c>
      <c r="DY64" s="16" t="s">
        <v>166</v>
      </c>
      <c r="DZ64" s="17" t="s">
        <v>166</v>
      </c>
      <c r="EA64" s="16" t="s">
        <v>166</v>
      </c>
      <c r="EB64" s="16" t="s">
        <v>166</v>
      </c>
      <c r="EC64" s="16" t="s">
        <v>166</v>
      </c>
      <c r="ED64" s="17" t="s">
        <v>166</v>
      </c>
      <c r="EE64" s="17" t="s">
        <v>166</v>
      </c>
      <c r="EF64" s="17" t="s">
        <v>166</v>
      </c>
      <c r="EG64" s="17" t="s">
        <v>166</v>
      </c>
      <c r="EH64" s="16" t="s">
        <v>166</v>
      </c>
      <c r="EI64" s="16" t="s">
        <v>166</v>
      </c>
      <c r="EJ64" s="16" t="s">
        <v>166</v>
      </c>
      <c r="EK64" s="16" t="s">
        <v>166</v>
      </c>
      <c r="EL64" s="16" t="s">
        <v>166</v>
      </c>
      <c r="EM64" s="16" t="s">
        <v>166</v>
      </c>
      <c r="EN64" s="16" t="s">
        <v>166</v>
      </c>
      <c r="EO64" s="16" t="s">
        <v>166</v>
      </c>
      <c r="EP64" s="16" t="s">
        <v>166</v>
      </c>
      <c r="EQ64" s="16" t="s">
        <v>166</v>
      </c>
      <c r="ER64" s="16" t="s">
        <v>166</v>
      </c>
      <c r="ES64" s="16" t="s">
        <v>166</v>
      </c>
      <c r="ET64" s="14" t="s">
        <v>166</v>
      </c>
      <c r="EU64" s="16" t="s">
        <v>166</v>
      </c>
      <c r="EV64" s="16" t="s">
        <v>166</v>
      </c>
      <c r="EW64" s="16" t="s">
        <v>166</v>
      </c>
      <c r="EX64" s="14" t="s">
        <v>190</v>
      </c>
      <c r="EY64" s="14" t="s">
        <v>166</v>
      </c>
      <c r="EZ64" s="16" t="s">
        <v>166</v>
      </c>
      <c r="FA64" s="15" t="s">
        <v>166</v>
      </c>
      <c r="FB64" s="15" t="s">
        <v>166</v>
      </c>
      <c r="FC64" s="15" t="s">
        <v>166</v>
      </c>
      <c r="FD64" s="15" t="s">
        <v>166</v>
      </c>
      <c r="FE64" s="15" t="s">
        <v>166</v>
      </c>
      <c r="FF64" s="15" t="s">
        <v>166</v>
      </c>
      <c r="FG64" s="14" t="s">
        <v>166</v>
      </c>
      <c r="FH64" s="3">
        <f>HYPERLINK("https://my.pitchbook.com?c=190339-30T","View Company Online")</f>
      </c>
    </row>
    <row r="65">
      <c r="A65" s="25" t="s">
        <v>1352</v>
      </c>
      <c r="B65" s="25" t="s">
        <v>1353</v>
      </c>
      <c r="C65" s="25" t="s">
        <v>1354</v>
      </c>
      <c r="D65" s="25" t="s">
        <v>166</v>
      </c>
      <c r="E65" s="34" t="s">
        <v>1355</v>
      </c>
      <c r="F65" s="32">
        <v>3</v>
      </c>
      <c r="G65" s="25" t="s">
        <v>1356</v>
      </c>
      <c r="H65" s="25" t="s">
        <v>166</v>
      </c>
      <c r="I65" s="25" t="s">
        <v>1357</v>
      </c>
      <c r="J65" s="25" t="s">
        <v>1358</v>
      </c>
      <c r="K65" s="25" t="s">
        <v>207</v>
      </c>
      <c r="L65" s="25" t="s">
        <v>208</v>
      </c>
      <c r="M65" s="25" t="s">
        <v>209</v>
      </c>
      <c r="N65" s="25" t="s">
        <v>1359</v>
      </c>
      <c r="O65" s="25" t="s">
        <v>1360</v>
      </c>
      <c r="P65" s="25" t="s">
        <v>1361</v>
      </c>
      <c r="Q65" s="25" t="s">
        <v>166</v>
      </c>
      <c r="R65" s="25" t="s">
        <v>177</v>
      </c>
      <c r="S65" s="25" t="s">
        <v>178</v>
      </c>
      <c r="T65" s="25" t="s">
        <v>179</v>
      </c>
      <c r="U65" s="25" t="s">
        <v>1362</v>
      </c>
      <c r="V65" s="25" t="s">
        <v>1363</v>
      </c>
      <c r="W65" s="32" t="s">
        <v>166</v>
      </c>
      <c r="X65" s="25" t="s">
        <v>1364</v>
      </c>
      <c r="Y65" s="25" t="s">
        <v>1365</v>
      </c>
      <c r="Z65" s="25" t="s">
        <v>1366</v>
      </c>
      <c r="AA65" s="25" t="s">
        <v>242</v>
      </c>
      <c r="AB65" s="25" t="s">
        <v>243</v>
      </c>
      <c r="AC65" s="25" t="s">
        <v>244</v>
      </c>
      <c r="AD65" s="25" t="s">
        <v>243</v>
      </c>
      <c r="AE65" s="25" t="s">
        <v>243</v>
      </c>
      <c r="AF65" s="25" t="s">
        <v>166</v>
      </c>
      <c r="AG65" s="25" t="s">
        <v>246</v>
      </c>
      <c r="AH65" s="32">
        <v>3</v>
      </c>
      <c r="AI65" s="4">
        <f>HYPERLINK("https://my.pitchbook.com/?d=139172-68T","139172-68T")</f>
      </c>
      <c r="AJ65" s="30">
        <v>44018</v>
      </c>
      <c r="AK65" s="30">
        <v>44229</v>
      </c>
      <c r="AL65" s="29">
        <v>1.95</v>
      </c>
      <c r="AM65" s="25" t="s">
        <v>185</v>
      </c>
      <c r="AN65" s="29">
        <v>2</v>
      </c>
      <c r="AO65" s="29">
        <v>3.23</v>
      </c>
      <c r="AP65" s="25" t="s">
        <v>185</v>
      </c>
      <c r="AQ65" s="32" t="s">
        <v>166</v>
      </c>
      <c r="AR65" s="32" t="s">
        <v>166</v>
      </c>
      <c r="AS65" s="28">
        <v>50.56</v>
      </c>
      <c r="AT65" s="29">
        <v>1.97</v>
      </c>
      <c r="AU65" s="32" t="s">
        <v>186</v>
      </c>
      <c r="AV65" s="32" t="s">
        <v>166</v>
      </c>
      <c r="AW65" s="29">
        <v>2.32</v>
      </c>
      <c r="AX65" s="32" t="s">
        <v>166</v>
      </c>
      <c r="AY65" s="25" t="s">
        <v>217</v>
      </c>
      <c r="AZ65" s="25" t="s">
        <v>217</v>
      </c>
      <c r="BA65" s="25" t="s">
        <v>166</v>
      </c>
      <c r="BB65" s="32" t="s">
        <v>166</v>
      </c>
      <c r="BC65" s="25" t="s">
        <v>179</v>
      </c>
      <c r="BD65" s="25" t="s">
        <v>1367</v>
      </c>
      <c r="BE65" s="25" t="s">
        <v>189</v>
      </c>
      <c r="BF65" s="29">
        <v>1.23</v>
      </c>
      <c r="BG65" s="25" t="s">
        <v>190</v>
      </c>
      <c r="BH65" s="25" t="s">
        <v>166</v>
      </c>
      <c r="BI65" s="25" t="s">
        <v>166</v>
      </c>
      <c r="BJ65" s="29">
        <v>0.72</v>
      </c>
      <c r="BK65" s="29" t="s">
        <v>166</v>
      </c>
      <c r="BL65" s="25" t="s">
        <v>191</v>
      </c>
      <c r="BM65" s="25" t="s">
        <v>178</v>
      </c>
      <c r="BN65" s="25" t="s">
        <v>177</v>
      </c>
      <c r="BO65" s="33" t="s">
        <v>166</v>
      </c>
      <c r="BP65" s="25" t="s">
        <v>1355</v>
      </c>
      <c r="BQ65" s="32">
        <v>3</v>
      </c>
      <c r="BR65" s="25" t="s">
        <v>166</v>
      </c>
      <c r="BS65" s="32" t="s">
        <v>166</v>
      </c>
      <c r="BT65" s="25" t="s">
        <v>1368</v>
      </c>
      <c r="BU65" s="25" t="s">
        <v>166</v>
      </c>
      <c r="BV65" s="25" t="s">
        <v>166</v>
      </c>
      <c r="BW65" s="25" t="s">
        <v>166</v>
      </c>
      <c r="BX65" s="25" t="s">
        <v>166</v>
      </c>
      <c r="BY65" s="25" t="s">
        <v>166</v>
      </c>
      <c r="BZ65" s="25" t="s">
        <v>166</v>
      </c>
      <c r="CA65" s="25" t="s">
        <v>166</v>
      </c>
      <c r="CB65" s="25" t="s">
        <v>166</v>
      </c>
      <c r="CC65" s="25" t="s">
        <v>166</v>
      </c>
      <c r="CD65" s="25" t="s">
        <v>166</v>
      </c>
      <c r="CE65" s="29" t="s">
        <v>166</v>
      </c>
      <c r="CF65" s="27" t="s">
        <v>166</v>
      </c>
      <c r="CG65" s="28" t="s">
        <v>166</v>
      </c>
      <c r="CH65" s="27" t="s">
        <v>166</v>
      </c>
      <c r="CI65" s="27" t="s">
        <v>166</v>
      </c>
      <c r="CJ65" s="27" t="s">
        <v>166</v>
      </c>
      <c r="CK65" s="27" t="s">
        <v>166</v>
      </c>
      <c r="CL65" s="27" t="s">
        <v>166</v>
      </c>
      <c r="CM65" s="31" t="s">
        <v>166</v>
      </c>
      <c r="CN65" s="27" t="s">
        <v>166</v>
      </c>
      <c r="CO65" s="27" t="s">
        <v>166</v>
      </c>
      <c r="CP65" s="27" t="s">
        <v>166</v>
      </c>
      <c r="CQ65" s="27" t="s">
        <v>166</v>
      </c>
      <c r="CR65" s="27" t="s">
        <v>166</v>
      </c>
      <c r="CS65" s="27" t="s">
        <v>166</v>
      </c>
      <c r="CT65" s="27" t="s">
        <v>166</v>
      </c>
      <c r="CU65" s="27" t="s">
        <v>166</v>
      </c>
      <c r="CV65" s="27" t="s">
        <v>166</v>
      </c>
      <c r="CW65" s="27" t="s">
        <v>166</v>
      </c>
      <c r="CX65" s="27" t="s">
        <v>166</v>
      </c>
      <c r="CY65" s="27">
        <v>0.59</v>
      </c>
      <c r="CZ65" s="27" t="s">
        <v>166</v>
      </c>
      <c r="DA65" s="27" t="s">
        <v>166</v>
      </c>
      <c r="DB65" s="27" t="s">
        <v>166</v>
      </c>
      <c r="DC65" s="27" t="s">
        <v>166</v>
      </c>
      <c r="DD65" s="27" t="s">
        <v>166</v>
      </c>
      <c r="DE65" s="28" t="s">
        <v>166</v>
      </c>
      <c r="DF65" s="33">
        <v>28</v>
      </c>
      <c r="DG65" s="25" t="s">
        <v>429</v>
      </c>
      <c r="DH65" s="25" t="s">
        <v>193</v>
      </c>
      <c r="DI65" s="25" t="s">
        <v>194</v>
      </c>
      <c r="DJ65" s="25" t="s">
        <v>430</v>
      </c>
      <c r="DK65" s="25" t="s">
        <v>431</v>
      </c>
      <c r="DL65" s="32" t="s">
        <v>1369</v>
      </c>
      <c r="DM65" s="25" t="s">
        <v>198</v>
      </c>
      <c r="DN65" s="24" t="s">
        <v>1370</v>
      </c>
      <c r="DO65" s="31">
        <v>2020</v>
      </c>
      <c r="DP65" s="25" t="s">
        <v>166</v>
      </c>
      <c r="DQ65" s="25" t="s">
        <v>1371</v>
      </c>
      <c r="DR65" s="29">
        <v>0.72</v>
      </c>
      <c r="DS65" s="27" t="s">
        <v>166</v>
      </c>
      <c r="DT65" s="30" t="s">
        <v>166</v>
      </c>
      <c r="DU65" s="25" t="s">
        <v>166</v>
      </c>
      <c r="DV65" s="29" t="s">
        <v>166</v>
      </c>
      <c r="DW65" s="29" t="s">
        <v>166</v>
      </c>
      <c r="DX65" s="27" t="s">
        <v>166</v>
      </c>
      <c r="DY65" s="27" t="s">
        <v>166</v>
      </c>
      <c r="DZ65" s="28" t="s">
        <v>166</v>
      </c>
      <c r="EA65" s="27" t="s">
        <v>166</v>
      </c>
      <c r="EB65" s="27" t="s">
        <v>166</v>
      </c>
      <c r="EC65" s="27" t="s">
        <v>166</v>
      </c>
      <c r="ED65" s="28" t="s">
        <v>166</v>
      </c>
      <c r="EE65" s="28" t="s">
        <v>166</v>
      </c>
      <c r="EF65" s="28" t="s">
        <v>166</v>
      </c>
      <c r="EG65" s="28" t="s">
        <v>166</v>
      </c>
      <c r="EH65" s="27" t="s">
        <v>166</v>
      </c>
      <c r="EI65" s="27" t="s">
        <v>166</v>
      </c>
      <c r="EJ65" s="27" t="s">
        <v>166</v>
      </c>
      <c r="EK65" s="27" t="s">
        <v>166</v>
      </c>
      <c r="EL65" s="27" t="s">
        <v>166</v>
      </c>
      <c r="EM65" s="27" t="s">
        <v>166</v>
      </c>
      <c r="EN65" s="27" t="s">
        <v>166</v>
      </c>
      <c r="EO65" s="27" t="s">
        <v>166</v>
      </c>
      <c r="EP65" s="27" t="s">
        <v>166</v>
      </c>
      <c r="EQ65" s="27" t="s">
        <v>166</v>
      </c>
      <c r="ER65" s="27" t="s">
        <v>166</v>
      </c>
      <c r="ES65" s="27" t="s">
        <v>166</v>
      </c>
      <c r="ET65" s="25" t="s">
        <v>166</v>
      </c>
      <c r="EU65" s="27" t="s">
        <v>166</v>
      </c>
      <c r="EV65" s="27" t="s">
        <v>166</v>
      </c>
      <c r="EW65" s="27" t="s">
        <v>166</v>
      </c>
      <c r="EX65" s="25" t="s">
        <v>190</v>
      </c>
      <c r="EY65" s="25" t="s">
        <v>190</v>
      </c>
      <c r="EZ65" s="27" t="s">
        <v>166</v>
      </c>
      <c r="FA65" s="26" t="s">
        <v>166</v>
      </c>
      <c r="FB65" s="26" t="s">
        <v>166</v>
      </c>
      <c r="FC65" s="26" t="s">
        <v>166</v>
      </c>
      <c r="FD65" s="26" t="s">
        <v>166</v>
      </c>
      <c r="FE65" s="26" t="s">
        <v>166</v>
      </c>
      <c r="FF65" s="26" t="s">
        <v>166</v>
      </c>
      <c r="FG65" s="25" t="s">
        <v>166</v>
      </c>
      <c r="FH65" s="4">
        <f>HYPERLINK("https://my.pitchbook.com?c=139172-68T","View Company Online")</f>
      </c>
    </row>
    <row r="66">
      <c r="A66" s="14" t="s">
        <v>1372</v>
      </c>
      <c r="B66" s="14" t="s">
        <v>1373</v>
      </c>
      <c r="C66" s="14" t="s">
        <v>1374</v>
      </c>
      <c r="D66" s="14" t="s">
        <v>166</v>
      </c>
      <c r="E66" s="23" t="s">
        <v>1375</v>
      </c>
      <c r="F66" s="21">
        <v>26</v>
      </c>
      <c r="G66" s="14" t="s">
        <v>1376</v>
      </c>
      <c r="H66" s="14" t="s">
        <v>166</v>
      </c>
      <c r="I66" s="14" t="s">
        <v>1377</v>
      </c>
      <c r="J66" s="14" t="s">
        <v>1378</v>
      </c>
      <c r="K66" s="14" t="s">
        <v>207</v>
      </c>
      <c r="L66" s="14" t="s">
        <v>208</v>
      </c>
      <c r="M66" s="14" t="s">
        <v>1220</v>
      </c>
      <c r="N66" s="14" t="s">
        <v>1379</v>
      </c>
      <c r="O66" s="14" t="s">
        <v>665</v>
      </c>
      <c r="P66" s="14" t="s">
        <v>1380</v>
      </c>
      <c r="Q66" s="14" t="s">
        <v>166</v>
      </c>
      <c r="R66" s="14" t="s">
        <v>177</v>
      </c>
      <c r="S66" s="14" t="s">
        <v>178</v>
      </c>
      <c r="T66" s="14" t="s">
        <v>179</v>
      </c>
      <c r="U66" s="14" t="s">
        <v>1381</v>
      </c>
      <c r="V66" s="14" t="s">
        <v>1382</v>
      </c>
      <c r="W66" s="21" t="s">
        <v>166</v>
      </c>
      <c r="X66" s="14" t="s">
        <v>1383</v>
      </c>
      <c r="Y66" s="14" t="s">
        <v>1384</v>
      </c>
      <c r="Z66" s="14" t="s">
        <v>1385</v>
      </c>
      <c r="AA66" s="14" t="s">
        <v>242</v>
      </c>
      <c r="AB66" s="14" t="s">
        <v>243</v>
      </c>
      <c r="AC66" s="14" t="s">
        <v>244</v>
      </c>
      <c r="AD66" s="14" t="s">
        <v>166</v>
      </c>
      <c r="AE66" s="14" t="s">
        <v>243</v>
      </c>
      <c r="AF66" s="14" t="s">
        <v>166</v>
      </c>
      <c r="AG66" s="14" t="s">
        <v>246</v>
      </c>
      <c r="AH66" s="21">
        <v>3</v>
      </c>
      <c r="AI66" s="3">
        <f>HYPERLINK("https://my.pitchbook.com/?d=183376-27T","183376-27T")</f>
      </c>
      <c r="AJ66" s="19">
        <v>44409</v>
      </c>
      <c r="AK66" s="19">
        <v>44470</v>
      </c>
      <c r="AL66" s="18">
        <v>2.57</v>
      </c>
      <c r="AM66" s="14" t="s">
        <v>185</v>
      </c>
      <c r="AN66" s="18">
        <v>10</v>
      </c>
      <c r="AO66" s="18">
        <v>12.57</v>
      </c>
      <c r="AP66" s="14" t="s">
        <v>185</v>
      </c>
      <c r="AQ66" s="21" t="s">
        <v>166</v>
      </c>
      <c r="AR66" s="21" t="s">
        <v>166</v>
      </c>
      <c r="AS66" s="17">
        <v>28.34</v>
      </c>
      <c r="AT66" s="18">
        <v>2.59</v>
      </c>
      <c r="AU66" s="21" t="s">
        <v>186</v>
      </c>
      <c r="AV66" s="21" t="s">
        <v>166</v>
      </c>
      <c r="AW66" s="18">
        <v>1.05</v>
      </c>
      <c r="AX66" s="21" t="s">
        <v>166</v>
      </c>
      <c r="AY66" s="14" t="s">
        <v>187</v>
      </c>
      <c r="AZ66" s="14" t="s">
        <v>166</v>
      </c>
      <c r="BA66" s="14" t="s">
        <v>166</v>
      </c>
      <c r="BB66" s="21" t="s">
        <v>166</v>
      </c>
      <c r="BC66" s="14" t="s">
        <v>179</v>
      </c>
      <c r="BD66" s="14" t="s">
        <v>1386</v>
      </c>
      <c r="BE66" s="14" t="s">
        <v>189</v>
      </c>
      <c r="BF66" s="18">
        <v>2.57</v>
      </c>
      <c r="BG66" s="14" t="s">
        <v>190</v>
      </c>
      <c r="BH66" s="14" t="s">
        <v>166</v>
      </c>
      <c r="BI66" s="14" t="s">
        <v>166</v>
      </c>
      <c r="BJ66" s="18" t="s">
        <v>166</v>
      </c>
      <c r="BK66" s="18" t="s">
        <v>166</v>
      </c>
      <c r="BL66" s="14" t="s">
        <v>191</v>
      </c>
      <c r="BM66" s="14" t="s">
        <v>785</v>
      </c>
      <c r="BN66" s="14" t="s">
        <v>177</v>
      </c>
      <c r="BO66" s="22">
        <v>3</v>
      </c>
      <c r="BP66" s="14" t="s">
        <v>1387</v>
      </c>
      <c r="BQ66" s="21">
        <v>26</v>
      </c>
      <c r="BR66" s="14" t="s">
        <v>166</v>
      </c>
      <c r="BS66" s="21" t="s">
        <v>166</v>
      </c>
      <c r="BT66" s="14" t="s">
        <v>1388</v>
      </c>
      <c r="BU66" s="14" t="s">
        <v>166</v>
      </c>
      <c r="BV66" s="14" t="s">
        <v>1389</v>
      </c>
      <c r="BW66" s="14" t="s">
        <v>166</v>
      </c>
      <c r="BX66" s="14" t="s">
        <v>166</v>
      </c>
      <c r="BY66" s="14" t="s">
        <v>166</v>
      </c>
      <c r="BZ66" s="14" t="s">
        <v>166</v>
      </c>
      <c r="CA66" s="14" t="s">
        <v>166</v>
      </c>
      <c r="CB66" s="14" t="s">
        <v>166</v>
      </c>
      <c r="CC66" s="14" t="s">
        <v>166</v>
      </c>
      <c r="CD66" s="14" t="s">
        <v>166</v>
      </c>
      <c r="CE66" s="18" t="s">
        <v>166</v>
      </c>
      <c r="CF66" s="16" t="s">
        <v>166</v>
      </c>
      <c r="CG66" s="17" t="s">
        <v>166</v>
      </c>
      <c r="CH66" s="16" t="s">
        <v>166</v>
      </c>
      <c r="CI66" s="16" t="s">
        <v>166</v>
      </c>
      <c r="CJ66" s="16" t="s">
        <v>166</v>
      </c>
      <c r="CK66" s="16" t="s">
        <v>166</v>
      </c>
      <c r="CL66" s="16" t="s">
        <v>166</v>
      </c>
      <c r="CM66" s="20" t="s">
        <v>166</v>
      </c>
      <c r="CN66" s="16" t="s">
        <v>166</v>
      </c>
      <c r="CO66" s="16" t="s">
        <v>166</v>
      </c>
      <c r="CP66" s="16" t="s">
        <v>166</v>
      </c>
      <c r="CQ66" s="16" t="s">
        <v>166</v>
      </c>
      <c r="CR66" s="16" t="s">
        <v>166</v>
      </c>
      <c r="CS66" s="16" t="s">
        <v>166</v>
      </c>
      <c r="CT66" s="16" t="s">
        <v>166</v>
      </c>
      <c r="CU66" s="16" t="s">
        <v>166</v>
      </c>
      <c r="CV66" s="16" t="s">
        <v>166</v>
      </c>
      <c r="CW66" s="16" t="s">
        <v>166</v>
      </c>
      <c r="CX66" s="16" t="s">
        <v>166</v>
      </c>
      <c r="CY66" s="16" t="s">
        <v>166</v>
      </c>
      <c r="CZ66" s="16" t="s">
        <v>166</v>
      </c>
      <c r="DA66" s="16" t="s">
        <v>166</v>
      </c>
      <c r="DB66" s="16" t="s">
        <v>166</v>
      </c>
      <c r="DC66" s="16" t="s">
        <v>166</v>
      </c>
      <c r="DD66" s="16" t="s">
        <v>166</v>
      </c>
      <c r="DE66" s="17" t="s">
        <v>166</v>
      </c>
      <c r="DF66" s="22">
        <v>10</v>
      </c>
      <c r="DG66" s="14" t="s">
        <v>954</v>
      </c>
      <c r="DH66" s="14" t="s">
        <v>193</v>
      </c>
      <c r="DI66" s="14" t="s">
        <v>194</v>
      </c>
      <c r="DJ66" s="14" t="s">
        <v>955</v>
      </c>
      <c r="DK66" s="14" t="s">
        <v>257</v>
      </c>
      <c r="DL66" s="21" t="s">
        <v>1390</v>
      </c>
      <c r="DM66" s="14" t="s">
        <v>198</v>
      </c>
      <c r="DN66" s="13" t="s">
        <v>1391</v>
      </c>
      <c r="DO66" s="20">
        <v>2018</v>
      </c>
      <c r="DP66" s="14" t="s">
        <v>166</v>
      </c>
      <c r="DQ66" s="14" t="s">
        <v>166</v>
      </c>
      <c r="DR66" s="18" t="s">
        <v>166</v>
      </c>
      <c r="DS66" s="16" t="s">
        <v>166</v>
      </c>
      <c r="DT66" s="19" t="s">
        <v>166</v>
      </c>
      <c r="DU66" s="14" t="s">
        <v>166</v>
      </c>
      <c r="DV66" s="18" t="s">
        <v>166</v>
      </c>
      <c r="DW66" s="18" t="s">
        <v>166</v>
      </c>
      <c r="DX66" s="16" t="s">
        <v>166</v>
      </c>
      <c r="DY66" s="16" t="s">
        <v>166</v>
      </c>
      <c r="DZ66" s="17" t="s">
        <v>166</v>
      </c>
      <c r="EA66" s="16" t="s">
        <v>166</v>
      </c>
      <c r="EB66" s="16" t="s">
        <v>166</v>
      </c>
      <c r="EC66" s="16" t="s">
        <v>166</v>
      </c>
      <c r="ED66" s="17" t="s">
        <v>166</v>
      </c>
      <c r="EE66" s="17" t="s">
        <v>166</v>
      </c>
      <c r="EF66" s="17" t="s">
        <v>166</v>
      </c>
      <c r="EG66" s="17" t="s">
        <v>166</v>
      </c>
      <c r="EH66" s="16" t="s">
        <v>166</v>
      </c>
      <c r="EI66" s="16" t="s">
        <v>166</v>
      </c>
      <c r="EJ66" s="16" t="s">
        <v>166</v>
      </c>
      <c r="EK66" s="16" t="s">
        <v>166</v>
      </c>
      <c r="EL66" s="16" t="s">
        <v>166</v>
      </c>
      <c r="EM66" s="16" t="s">
        <v>166</v>
      </c>
      <c r="EN66" s="16" t="s">
        <v>166</v>
      </c>
      <c r="EO66" s="16" t="s">
        <v>166</v>
      </c>
      <c r="EP66" s="16" t="s">
        <v>166</v>
      </c>
      <c r="EQ66" s="16" t="s">
        <v>166</v>
      </c>
      <c r="ER66" s="16" t="s">
        <v>166</v>
      </c>
      <c r="ES66" s="16" t="s">
        <v>166</v>
      </c>
      <c r="ET66" s="14" t="s">
        <v>166</v>
      </c>
      <c r="EU66" s="16" t="s">
        <v>166</v>
      </c>
      <c r="EV66" s="16" t="s">
        <v>166</v>
      </c>
      <c r="EW66" s="16" t="s">
        <v>166</v>
      </c>
      <c r="EX66" s="14" t="s">
        <v>190</v>
      </c>
      <c r="EY66" s="14" t="s">
        <v>166</v>
      </c>
      <c r="EZ66" s="16" t="s">
        <v>166</v>
      </c>
      <c r="FA66" s="15" t="s">
        <v>166</v>
      </c>
      <c r="FB66" s="15" t="s">
        <v>166</v>
      </c>
      <c r="FC66" s="15" t="s">
        <v>166</v>
      </c>
      <c r="FD66" s="15" t="s">
        <v>166</v>
      </c>
      <c r="FE66" s="15" t="s">
        <v>166</v>
      </c>
      <c r="FF66" s="15" t="s">
        <v>166</v>
      </c>
      <c r="FG66" s="14" t="s">
        <v>166</v>
      </c>
      <c r="FH66" s="3">
        <f>HYPERLINK("https://my.pitchbook.com?c=183376-27T","View Company Online")</f>
      </c>
    </row>
    <row r="67">
      <c r="A67" s="25" t="s">
        <v>1392</v>
      </c>
      <c r="B67" s="25" t="s">
        <v>1393</v>
      </c>
      <c r="C67" s="25" t="s">
        <v>1394</v>
      </c>
      <c r="D67" s="25" t="s">
        <v>166</v>
      </c>
      <c r="E67" s="34" t="s">
        <v>1395</v>
      </c>
      <c r="F67" s="32">
        <v>1</v>
      </c>
      <c r="G67" s="25" t="s">
        <v>1396</v>
      </c>
      <c r="H67" s="25" t="s">
        <v>166</v>
      </c>
      <c r="I67" s="25" t="s">
        <v>1397</v>
      </c>
      <c r="J67" s="25" t="s">
        <v>1398</v>
      </c>
      <c r="K67" s="25" t="s">
        <v>207</v>
      </c>
      <c r="L67" s="25" t="s">
        <v>208</v>
      </c>
      <c r="M67" s="25" t="s">
        <v>882</v>
      </c>
      <c r="N67" s="25" t="s">
        <v>1399</v>
      </c>
      <c r="O67" s="25" t="s">
        <v>211</v>
      </c>
      <c r="P67" s="25" t="s">
        <v>1400</v>
      </c>
      <c r="Q67" s="25" t="s">
        <v>166</v>
      </c>
      <c r="R67" s="25" t="s">
        <v>177</v>
      </c>
      <c r="S67" s="25" t="s">
        <v>178</v>
      </c>
      <c r="T67" s="25" t="s">
        <v>1401</v>
      </c>
      <c r="U67" s="25" t="s">
        <v>166</v>
      </c>
      <c r="V67" s="25" t="s">
        <v>166</v>
      </c>
      <c r="W67" s="32" t="s">
        <v>166</v>
      </c>
      <c r="X67" s="25" t="s">
        <v>166</v>
      </c>
      <c r="Y67" s="25" t="s">
        <v>166</v>
      </c>
      <c r="Z67" s="25" t="s">
        <v>166</v>
      </c>
      <c r="AA67" s="25" t="s">
        <v>166</v>
      </c>
      <c r="AB67" s="25" t="s">
        <v>166</v>
      </c>
      <c r="AC67" s="25" t="s">
        <v>166</v>
      </c>
      <c r="AD67" s="25" t="s">
        <v>166</v>
      </c>
      <c r="AE67" s="25" t="s">
        <v>166</v>
      </c>
      <c r="AF67" s="25" t="s">
        <v>166</v>
      </c>
      <c r="AG67" s="25" t="s">
        <v>166</v>
      </c>
      <c r="AH67" s="32">
        <v>2</v>
      </c>
      <c r="AI67" s="4">
        <f>HYPERLINK("https://my.pitchbook.com/?d=204793-21T","204793-21T")</f>
      </c>
      <c r="AJ67" s="30" t="s">
        <v>166</v>
      </c>
      <c r="AK67" s="30">
        <v>44582</v>
      </c>
      <c r="AL67" s="29">
        <v>17</v>
      </c>
      <c r="AM67" s="25" t="s">
        <v>185</v>
      </c>
      <c r="AN67" s="29" t="s">
        <v>166</v>
      </c>
      <c r="AO67" s="29" t="s">
        <v>166</v>
      </c>
      <c r="AP67" s="25" t="s">
        <v>166</v>
      </c>
      <c r="AQ67" s="32" t="s">
        <v>166</v>
      </c>
      <c r="AR67" s="32" t="s">
        <v>166</v>
      </c>
      <c r="AS67" s="28" t="s">
        <v>166</v>
      </c>
      <c r="AT67" s="29">
        <v>25</v>
      </c>
      <c r="AU67" s="32" t="s">
        <v>186</v>
      </c>
      <c r="AV67" s="32" t="s">
        <v>166</v>
      </c>
      <c r="AW67" s="29" t="s">
        <v>166</v>
      </c>
      <c r="AX67" s="32" t="s">
        <v>166</v>
      </c>
      <c r="AY67" s="25" t="s">
        <v>217</v>
      </c>
      <c r="AZ67" s="25" t="s">
        <v>217</v>
      </c>
      <c r="BA67" s="25" t="s">
        <v>166</v>
      </c>
      <c r="BB67" s="32" t="s">
        <v>166</v>
      </c>
      <c r="BC67" s="25" t="s">
        <v>179</v>
      </c>
      <c r="BD67" s="25" t="s">
        <v>1402</v>
      </c>
      <c r="BE67" s="25" t="s">
        <v>189</v>
      </c>
      <c r="BF67" s="29">
        <v>8</v>
      </c>
      <c r="BG67" s="25" t="s">
        <v>190</v>
      </c>
      <c r="BH67" s="25" t="s">
        <v>166</v>
      </c>
      <c r="BI67" s="25" t="s">
        <v>166</v>
      </c>
      <c r="BJ67" s="29">
        <v>9</v>
      </c>
      <c r="BK67" s="29" t="s">
        <v>166</v>
      </c>
      <c r="BL67" s="25" t="s">
        <v>191</v>
      </c>
      <c r="BM67" s="25" t="s">
        <v>178</v>
      </c>
      <c r="BN67" s="25" t="s">
        <v>177</v>
      </c>
      <c r="BO67" s="33" t="s">
        <v>166</v>
      </c>
      <c r="BP67" s="25" t="s">
        <v>1395</v>
      </c>
      <c r="BQ67" s="32">
        <v>1</v>
      </c>
      <c r="BR67" s="25" t="s">
        <v>166</v>
      </c>
      <c r="BS67" s="32" t="s">
        <v>166</v>
      </c>
      <c r="BT67" s="25" t="s">
        <v>166</v>
      </c>
      <c r="BU67" s="25" t="s">
        <v>166</v>
      </c>
      <c r="BV67" s="25" t="s">
        <v>166</v>
      </c>
      <c r="BW67" s="25" t="s">
        <v>166</v>
      </c>
      <c r="BX67" s="25" t="s">
        <v>166</v>
      </c>
      <c r="BY67" s="25" t="s">
        <v>166</v>
      </c>
      <c r="BZ67" s="25" t="s">
        <v>1403</v>
      </c>
      <c r="CA67" s="25" t="s">
        <v>166</v>
      </c>
      <c r="CB67" s="25" t="s">
        <v>166</v>
      </c>
      <c r="CC67" s="25" t="s">
        <v>1403</v>
      </c>
      <c r="CD67" s="25" t="s">
        <v>1404</v>
      </c>
      <c r="CE67" s="29" t="s">
        <v>166</v>
      </c>
      <c r="CF67" s="27" t="s">
        <v>166</v>
      </c>
      <c r="CG67" s="28" t="s">
        <v>166</v>
      </c>
      <c r="CH67" s="27" t="s">
        <v>166</v>
      </c>
      <c r="CI67" s="27" t="s">
        <v>166</v>
      </c>
      <c r="CJ67" s="27" t="s">
        <v>166</v>
      </c>
      <c r="CK67" s="27" t="s">
        <v>166</v>
      </c>
      <c r="CL67" s="27" t="s">
        <v>166</v>
      </c>
      <c r="CM67" s="31" t="s">
        <v>166</v>
      </c>
      <c r="CN67" s="27" t="s">
        <v>166</v>
      </c>
      <c r="CO67" s="27" t="s">
        <v>166</v>
      </c>
      <c r="CP67" s="27" t="s">
        <v>166</v>
      </c>
      <c r="CQ67" s="27" t="s">
        <v>166</v>
      </c>
      <c r="CR67" s="27" t="s">
        <v>166</v>
      </c>
      <c r="CS67" s="27" t="s">
        <v>166</v>
      </c>
      <c r="CT67" s="27" t="s">
        <v>166</v>
      </c>
      <c r="CU67" s="27" t="s">
        <v>166</v>
      </c>
      <c r="CV67" s="27" t="s">
        <v>166</v>
      </c>
      <c r="CW67" s="27" t="s">
        <v>166</v>
      </c>
      <c r="CX67" s="27" t="s">
        <v>166</v>
      </c>
      <c r="CY67" s="27">
        <v>1.13</v>
      </c>
      <c r="CZ67" s="27" t="s">
        <v>166</v>
      </c>
      <c r="DA67" s="27" t="s">
        <v>166</v>
      </c>
      <c r="DB67" s="27" t="s">
        <v>166</v>
      </c>
      <c r="DC67" s="27" t="s">
        <v>166</v>
      </c>
      <c r="DD67" s="27" t="s">
        <v>166</v>
      </c>
      <c r="DE67" s="28" t="s">
        <v>166</v>
      </c>
      <c r="DF67" s="33">
        <v>49</v>
      </c>
      <c r="DG67" s="25" t="s">
        <v>1191</v>
      </c>
      <c r="DH67" s="25" t="s">
        <v>193</v>
      </c>
      <c r="DI67" s="25" t="s">
        <v>194</v>
      </c>
      <c r="DJ67" s="25" t="s">
        <v>1192</v>
      </c>
      <c r="DK67" s="25" t="s">
        <v>1023</v>
      </c>
      <c r="DL67" s="32" t="s">
        <v>1405</v>
      </c>
      <c r="DM67" s="25" t="s">
        <v>198</v>
      </c>
      <c r="DN67" s="24" t="s">
        <v>1406</v>
      </c>
      <c r="DO67" s="31">
        <v>2021</v>
      </c>
      <c r="DP67" s="25" t="s">
        <v>166</v>
      </c>
      <c r="DQ67" s="25" t="s">
        <v>1407</v>
      </c>
      <c r="DR67" s="29">
        <v>9</v>
      </c>
      <c r="DS67" s="27" t="s">
        <v>166</v>
      </c>
      <c r="DT67" s="30" t="s">
        <v>166</v>
      </c>
      <c r="DU67" s="25" t="s">
        <v>1408</v>
      </c>
      <c r="DV67" s="29" t="s">
        <v>166</v>
      </c>
      <c r="DW67" s="29" t="s">
        <v>166</v>
      </c>
      <c r="DX67" s="27" t="s">
        <v>166</v>
      </c>
      <c r="DY67" s="27" t="s">
        <v>166</v>
      </c>
      <c r="DZ67" s="28" t="s">
        <v>166</v>
      </c>
      <c r="EA67" s="27" t="s">
        <v>166</v>
      </c>
      <c r="EB67" s="27" t="s">
        <v>166</v>
      </c>
      <c r="EC67" s="27" t="s">
        <v>166</v>
      </c>
      <c r="ED67" s="28" t="s">
        <v>166</v>
      </c>
      <c r="EE67" s="28" t="s">
        <v>166</v>
      </c>
      <c r="EF67" s="28" t="s">
        <v>166</v>
      </c>
      <c r="EG67" s="28" t="s">
        <v>166</v>
      </c>
      <c r="EH67" s="27" t="s">
        <v>166</v>
      </c>
      <c r="EI67" s="27" t="s">
        <v>166</v>
      </c>
      <c r="EJ67" s="27" t="s">
        <v>166</v>
      </c>
      <c r="EK67" s="27" t="s">
        <v>166</v>
      </c>
      <c r="EL67" s="27" t="s">
        <v>166</v>
      </c>
      <c r="EM67" s="27" t="s">
        <v>166</v>
      </c>
      <c r="EN67" s="27" t="s">
        <v>166</v>
      </c>
      <c r="EO67" s="27" t="s">
        <v>166</v>
      </c>
      <c r="EP67" s="27" t="s">
        <v>166</v>
      </c>
      <c r="EQ67" s="27" t="s">
        <v>166</v>
      </c>
      <c r="ER67" s="27" t="s">
        <v>166</v>
      </c>
      <c r="ES67" s="27" t="s">
        <v>166</v>
      </c>
      <c r="ET67" s="25" t="s">
        <v>166</v>
      </c>
      <c r="EU67" s="27" t="s">
        <v>166</v>
      </c>
      <c r="EV67" s="27" t="s">
        <v>166</v>
      </c>
      <c r="EW67" s="27" t="s">
        <v>166</v>
      </c>
      <c r="EX67" s="25" t="s">
        <v>190</v>
      </c>
      <c r="EY67" s="25" t="s">
        <v>190</v>
      </c>
      <c r="EZ67" s="27" t="s">
        <v>166</v>
      </c>
      <c r="FA67" s="26" t="s">
        <v>166</v>
      </c>
      <c r="FB67" s="26" t="s">
        <v>166</v>
      </c>
      <c r="FC67" s="26" t="s">
        <v>166</v>
      </c>
      <c r="FD67" s="26" t="s">
        <v>166</v>
      </c>
      <c r="FE67" s="26" t="s">
        <v>166</v>
      </c>
      <c r="FF67" s="26" t="s">
        <v>166</v>
      </c>
      <c r="FG67" s="25" t="s">
        <v>166</v>
      </c>
      <c r="FH67" s="4">
        <f>HYPERLINK("https://my.pitchbook.com?c=204793-21T","View Company Online")</f>
      </c>
    </row>
    <row r="68">
      <c r="A68" s="14" t="s">
        <v>1409</v>
      </c>
      <c r="B68" s="14" t="s">
        <v>1410</v>
      </c>
      <c r="C68" s="14" t="s">
        <v>1411</v>
      </c>
      <c r="D68" s="14" t="s">
        <v>166</v>
      </c>
      <c r="E68" s="23" t="s">
        <v>1412</v>
      </c>
      <c r="F68" s="21">
        <v>8</v>
      </c>
      <c r="G68" s="14" t="s">
        <v>1413</v>
      </c>
      <c r="H68" s="14" t="s">
        <v>166</v>
      </c>
      <c r="I68" s="14" t="s">
        <v>1414</v>
      </c>
      <c r="J68" s="14" t="s">
        <v>1415</v>
      </c>
      <c r="K68" s="14" t="s">
        <v>207</v>
      </c>
      <c r="L68" s="14" t="s">
        <v>208</v>
      </c>
      <c r="M68" s="14" t="s">
        <v>882</v>
      </c>
      <c r="N68" s="14" t="s">
        <v>1416</v>
      </c>
      <c r="O68" s="14" t="s">
        <v>800</v>
      </c>
      <c r="P68" s="14" t="s">
        <v>1417</v>
      </c>
      <c r="Q68" s="14" t="s">
        <v>166</v>
      </c>
      <c r="R68" s="14" t="s">
        <v>177</v>
      </c>
      <c r="S68" s="14" t="s">
        <v>178</v>
      </c>
      <c r="T68" s="14" t="s">
        <v>179</v>
      </c>
      <c r="U68" s="14" t="s">
        <v>1418</v>
      </c>
      <c r="V68" s="14" t="s">
        <v>1419</v>
      </c>
      <c r="W68" s="21" t="s">
        <v>1420</v>
      </c>
      <c r="X68" s="14" t="s">
        <v>1421</v>
      </c>
      <c r="Y68" s="14" t="s">
        <v>1422</v>
      </c>
      <c r="Z68" s="14" t="s">
        <v>1423</v>
      </c>
      <c r="AA68" s="14" t="s">
        <v>166</v>
      </c>
      <c r="AB68" s="14" t="s">
        <v>166</v>
      </c>
      <c r="AC68" s="14" t="s">
        <v>166</v>
      </c>
      <c r="AD68" s="14" t="s">
        <v>166</v>
      </c>
      <c r="AE68" s="14" t="s">
        <v>166</v>
      </c>
      <c r="AF68" s="14" t="s">
        <v>166</v>
      </c>
      <c r="AG68" s="14" t="s">
        <v>166</v>
      </c>
      <c r="AH68" s="21">
        <v>1</v>
      </c>
      <c r="AI68" s="3">
        <f>HYPERLINK("https://my.pitchbook.com/?d=204810-49T","204810-49T")</f>
      </c>
      <c r="AJ68" s="19" t="s">
        <v>166</v>
      </c>
      <c r="AK68" s="19">
        <v>43927</v>
      </c>
      <c r="AL68" s="18">
        <v>3</v>
      </c>
      <c r="AM68" s="14" t="s">
        <v>247</v>
      </c>
      <c r="AN68" s="18">
        <v>6</v>
      </c>
      <c r="AO68" s="18">
        <v>9</v>
      </c>
      <c r="AP68" s="14" t="s">
        <v>185</v>
      </c>
      <c r="AQ68" s="21" t="s">
        <v>166</v>
      </c>
      <c r="AR68" s="21" t="s">
        <v>166</v>
      </c>
      <c r="AS68" s="17">
        <v>33.97</v>
      </c>
      <c r="AT68" s="18">
        <v>3</v>
      </c>
      <c r="AU68" s="21" t="s">
        <v>186</v>
      </c>
      <c r="AV68" s="21" t="s">
        <v>166</v>
      </c>
      <c r="AW68" s="18">
        <v>0.75</v>
      </c>
      <c r="AX68" s="21" t="s">
        <v>166</v>
      </c>
      <c r="AY68" s="14" t="s">
        <v>217</v>
      </c>
      <c r="AZ68" s="14" t="s">
        <v>217</v>
      </c>
      <c r="BA68" s="14" t="s">
        <v>166</v>
      </c>
      <c r="BB68" s="21" t="s">
        <v>166</v>
      </c>
      <c r="BC68" s="14" t="s">
        <v>179</v>
      </c>
      <c r="BD68" s="14" t="s">
        <v>1424</v>
      </c>
      <c r="BE68" s="14" t="s">
        <v>189</v>
      </c>
      <c r="BF68" s="18">
        <v>3</v>
      </c>
      <c r="BG68" s="14" t="s">
        <v>190</v>
      </c>
      <c r="BH68" s="14" t="s">
        <v>166</v>
      </c>
      <c r="BI68" s="14" t="s">
        <v>166</v>
      </c>
      <c r="BJ68" s="18" t="s">
        <v>166</v>
      </c>
      <c r="BK68" s="18" t="s">
        <v>166</v>
      </c>
      <c r="BL68" s="14" t="s">
        <v>191</v>
      </c>
      <c r="BM68" s="14" t="s">
        <v>358</v>
      </c>
      <c r="BN68" s="14" t="s">
        <v>177</v>
      </c>
      <c r="BO68" s="22" t="s">
        <v>166</v>
      </c>
      <c r="BP68" s="14" t="s">
        <v>1425</v>
      </c>
      <c r="BQ68" s="21">
        <v>8</v>
      </c>
      <c r="BR68" s="14" t="s">
        <v>166</v>
      </c>
      <c r="BS68" s="21" t="s">
        <v>166</v>
      </c>
      <c r="BT68" s="14" t="s">
        <v>166</v>
      </c>
      <c r="BU68" s="14" t="s">
        <v>166</v>
      </c>
      <c r="BV68" s="14" t="s">
        <v>1426</v>
      </c>
      <c r="BW68" s="14" t="s">
        <v>166</v>
      </c>
      <c r="BX68" s="14" t="s">
        <v>166</v>
      </c>
      <c r="BY68" s="14" t="s">
        <v>166</v>
      </c>
      <c r="BZ68" s="14" t="s">
        <v>996</v>
      </c>
      <c r="CA68" s="14" t="s">
        <v>996</v>
      </c>
      <c r="CB68" s="14" t="s">
        <v>166</v>
      </c>
      <c r="CC68" s="14" t="s">
        <v>166</v>
      </c>
      <c r="CD68" s="14" t="s">
        <v>166</v>
      </c>
      <c r="CE68" s="18" t="s">
        <v>166</v>
      </c>
      <c r="CF68" s="16" t="s">
        <v>166</v>
      </c>
      <c r="CG68" s="17" t="s">
        <v>166</v>
      </c>
      <c r="CH68" s="16" t="s">
        <v>166</v>
      </c>
      <c r="CI68" s="16" t="s">
        <v>166</v>
      </c>
      <c r="CJ68" s="16" t="s">
        <v>166</v>
      </c>
      <c r="CK68" s="16" t="s">
        <v>166</v>
      </c>
      <c r="CL68" s="16" t="s">
        <v>166</v>
      </c>
      <c r="CM68" s="20" t="s">
        <v>166</v>
      </c>
      <c r="CN68" s="16" t="s">
        <v>166</v>
      </c>
      <c r="CO68" s="16" t="s">
        <v>166</v>
      </c>
      <c r="CP68" s="16" t="s">
        <v>166</v>
      </c>
      <c r="CQ68" s="16" t="s">
        <v>166</v>
      </c>
      <c r="CR68" s="16" t="s">
        <v>166</v>
      </c>
      <c r="CS68" s="16" t="s">
        <v>166</v>
      </c>
      <c r="CT68" s="16" t="s">
        <v>166</v>
      </c>
      <c r="CU68" s="16" t="s">
        <v>166</v>
      </c>
      <c r="CV68" s="16" t="s">
        <v>166</v>
      </c>
      <c r="CW68" s="16" t="s">
        <v>166</v>
      </c>
      <c r="CX68" s="16" t="s">
        <v>166</v>
      </c>
      <c r="CY68" s="16" t="s">
        <v>166</v>
      </c>
      <c r="CZ68" s="16" t="s">
        <v>166</v>
      </c>
      <c r="DA68" s="16" t="s">
        <v>166</v>
      </c>
      <c r="DB68" s="16" t="s">
        <v>166</v>
      </c>
      <c r="DC68" s="16" t="s">
        <v>166</v>
      </c>
      <c r="DD68" s="16" t="s">
        <v>166</v>
      </c>
      <c r="DE68" s="17" t="s">
        <v>166</v>
      </c>
      <c r="DF68" s="22">
        <v>11</v>
      </c>
      <c r="DG68" s="14" t="s">
        <v>1191</v>
      </c>
      <c r="DH68" s="14" t="s">
        <v>193</v>
      </c>
      <c r="DI68" s="14" t="s">
        <v>194</v>
      </c>
      <c r="DJ68" s="14" t="s">
        <v>1192</v>
      </c>
      <c r="DK68" s="14" t="s">
        <v>1023</v>
      </c>
      <c r="DL68" s="21" t="s">
        <v>1427</v>
      </c>
      <c r="DM68" s="14" t="s">
        <v>198</v>
      </c>
      <c r="DN68" s="13" t="s">
        <v>1428</v>
      </c>
      <c r="DO68" s="20">
        <v>2017</v>
      </c>
      <c r="DP68" s="14" t="s">
        <v>166</v>
      </c>
      <c r="DQ68" s="14" t="s">
        <v>166</v>
      </c>
      <c r="DR68" s="18" t="s">
        <v>166</v>
      </c>
      <c r="DS68" s="16" t="s">
        <v>166</v>
      </c>
      <c r="DT68" s="19" t="s">
        <v>166</v>
      </c>
      <c r="DU68" s="14" t="s">
        <v>166</v>
      </c>
      <c r="DV68" s="18" t="s">
        <v>166</v>
      </c>
      <c r="DW68" s="18" t="s">
        <v>166</v>
      </c>
      <c r="DX68" s="16" t="s">
        <v>166</v>
      </c>
      <c r="DY68" s="16" t="s">
        <v>166</v>
      </c>
      <c r="DZ68" s="17" t="s">
        <v>166</v>
      </c>
      <c r="EA68" s="16" t="s">
        <v>166</v>
      </c>
      <c r="EB68" s="16" t="s">
        <v>166</v>
      </c>
      <c r="EC68" s="16" t="s">
        <v>166</v>
      </c>
      <c r="ED68" s="17" t="s">
        <v>166</v>
      </c>
      <c r="EE68" s="17" t="s">
        <v>166</v>
      </c>
      <c r="EF68" s="17" t="s">
        <v>166</v>
      </c>
      <c r="EG68" s="17" t="s">
        <v>166</v>
      </c>
      <c r="EH68" s="16" t="s">
        <v>166</v>
      </c>
      <c r="EI68" s="16" t="s">
        <v>166</v>
      </c>
      <c r="EJ68" s="16" t="s">
        <v>166</v>
      </c>
      <c r="EK68" s="16" t="s">
        <v>166</v>
      </c>
      <c r="EL68" s="16" t="s">
        <v>166</v>
      </c>
      <c r="EM68" s="16" t="s">
        <v>166</v>
      </c>
      <c r="EN68" s="16" t="s">
        <v>166</v>
      </c>
      <c r="EO68" s="16" t="s">
        <v>166</v>
      </c>
      <c r="EP68" s="16" t="s">
        <v>166</v>
      </c>
      <c r="EQ68" s="16" t="s">
        <v>166</v>
      </c>
      <c r="ER68" s="16" t="s">
        <v>166</v>
      </c>
      <c r="ES68" s="16" t="s">
        <v>166</v>
      </c>
      <c r="ET68" s="14" t="s">
        <v>166</v>
      </c>
      <c r="EU68" s="16" t="s">
        <v>166</v>
      </c>
      <c r="EV68" s="16" t="s">
        <v>166</v>
      </c>
      <c r="EW68" s="16" t="s">
        <v>166</v>
      </c>
      <c r="EX68" s="14" t="s">
        <v>190</v>
      </c>
      <c r="EY68" s="14" t="s">
        <v>166</v>
      </c>
      <c r="EZ68" s="16" t="s">
        <v>166</v>
      </c>
      <c r="FA68" s="15" t="s">
        <v>166</v>
      </c>
      <c r="FB68" s="15" t="s">
        <v>166</v>
      </c>
      <c r="FC68" s="15" t="s">
        <v>166</v>
      </c>
      <c r="FD68" s="15" t="s">
        <v>166</v>
      </c>
      <c r="FE68" s="15" t="s">
        <v>166</v>
      </c>
      <c r="FF68" s="15" t="s">
        <v>166</v>
      </c>
      <c r="FG68" s="14" t="s">
        <v>166</v>
      </c>
      <c r="FH68" s="3">
        <f>HYPERLINK("https://my.pitchbook.com?c=204810-49T","View Company Online")</f>
      </c>
    </row>
    <row r="69">
      <c r="A69" s="25" t="s">
        <v>1429</v>
      </c>
      <c r="B69" s="25" t="s">
        <v>1430</v>
      </c>
      <c r="C69" s="25" t="s">
        <v>1431</v>
      </c>
      <c r="D69" s="25" t="s">
        <v>166</v>
      </c>
      <c r="E69" s="34" t="s">
        <v>1432</v>
      </c>
      <c r="F69" s="32">
        <v>14</v>
      </c>
      <c r="G69" s="25" t="s">
        <v>1433</v>
      </c>
      <c r="H69" s="25" t="s">
        <v>166</v>
      </c>
      <c r="I69" s="25" t="s">
        <v>1434</v>
      </c>
      <c r="J69" s="25" t="s">
        <v>1435</v>
      </c>
      <c r="K69" s="25" t="s">
        <v>207</v>
      </c>
      <c r="L69" s="25" t="s">
        <v>208</v>
      </c>
      <c r="M69" s="25" t="s">
        <v>965</v>
      </c>
      <c r="N69" s="25" t="s">
        <v>1436</v>
      </c>
      <c r="O69" s="25" t="s">
        <v>580</v>
      </c>
      <c r="P69" s="25" t="s">
        <v>1437</v>
      </c>
      <c r="Q69" s="25" t="s">
        <v>166</v>
      </c>
      <c r="R69" s="25" t="s">
        <v>177</v>
      </c>
      <c r="S69" s="25" t="s">
        <v>178</v>
      </c>
      <c r="T69" s="25" t="s">
        <v>179</v>
      </c>
      <c r="U69" s="25" t="s">
        <v>1438</v>
      </c>
      <c r="V69" s="25" t="s">
        <v>1439</v>
      </c>
      <c r="W69" s="32" t="s">
        <v>1440</v>
      </c>
      <c r="X69" s="25" t="s">
        <v>1441</v>
      </c>
      <c r="Y69" s="25" t="s">
        <v>1442</v>
      </c>
      <c r="Z69" s="25" t="s">
        <v>1443</v>
      </c>
      <c r="AA69" s="25" t="s">
        <v>242</v>
      </c>
      <c r="AB69" s="25" t="s">
        <v>243</v>
      </c>
      <c r="AC69" s="25" t="s">
        <v>244</v>
      </c>
      <c r="AD69" s="25" t="s">
        <v>243</v>
      </c>
      <c r="AE69" s="25" t="s">
        <v>243</v>
      </c>
      <c r="AF69" s="25" t="s">
        <v>166</v>
      </c>
      <c r="AG69" s="25" t="s">
        <v>246</v>
      </c>
      <c r="AH69" s="32">
        <v>4</v>
      </c>
      <c r="AI69" s="4">
        <f>HYPERLINK("https://my.pitchbook.com/?d=178572-43T","178572-43T")</f>
      </c>
      <c r="AJ69" s="30">
        <v>44411</v>
      </c>
      <c r="AK69" s="30">
        <v>45310</v>
      </c>
      <c r="AL69" s="29">
        <v>3.89</v>
      </c>
      <c r="AM69" s="25" t="s">
        <v>185</v>
      </c>
      <c r="AN69" s="29">
        <v>7.11</v>
      </c>
      <c r="AO69" s="29">
        <v>11</v>
      </c>
      <c r="AP69" s="25" t="s">
        <v>185</v>
      </c>
      <c r="AQ69" s="32" t="s">
        <v>166</v>
      </c>
      <c r="AR69" s="32" t="s">
        <v>166</v>
      </c>
      <c r="AS69" s="28">
        <v>56.24</v>
      </c>
      <c r="AT69" s="29">
        <v>4.29</v>
      </c>
      <c r="AU69" s="32" t="s">
        <v>186</v>
      </c>
      <c r="AV69" s="32" t="s">
        <v>166</v>
      </c>
      <c r="AW69" s="29">
        <v>0.86</v>
      </c>
      <c r="AX69" s="32" t="s">
        <v>166</v>
      </c>
      <c r="AY69" s="25" t="s">
        <v>217</v>
      </c>
      <c r="AZ69" s="25" t="s">
        <v>217</v>
      </c>
      <c r="BA69" s="25" t="s">
        <v>166</v>
      </c>
      <c r="BB69" s="32" t="s">
        <v>166</v>
      </c>
      <c r="BC69" s="25" t="s">
        <v>179</v>
      </c>
      <c r="BD69" s="25" t="s">
        <v>1435</v>
      </c>
      <c r="BE69" s="25" t="s">
        <v>189</v>
      </c>
      <c r="BF69" s="29">
        <v>3.89</v>
      </c>
      <c r="BG69" s="25" t="s">
        <v>190</v>
      </c>
      <c r="BH69" s="25" t="s">
        <v>166</v>
      </c>
      <c r="BI69" s="25" t="s">
        <v>166</v>
      </c>
      <c r="BJ69" s="29" t="s">
        <v>166</v>
      </c>
      <c r="BK69" s="29" t="s">
        <v>166</v>
      </c>
      <c r="BL69" s="25" t="s">
        <v>191</v>
      </c>
      <c r="BM69" s="25" t="s">
        <v>178</v>
      </c>
      <c r="BN69" s="25" t="s">
        <v>177</v>
      </c>
      <c r="BO69" s="33" t="s">
        <v>166</v>
      </c>
      <c r="BP69" s="25" t="s">
        <v>1444</v>
      </c>
      <c r="BQ69" s="32">
        <v>13</v>
      </c>
      <c r="BR69" s="25" t="s">
        <v>252</v>
      </c>
      <c r="BS69" s="32">
        <v>1</v>
      </c>
      <c r="BT69" s="25" t="s">
        <v>1445</v>
      </c>
      <c r="BU69" s="25" t="s">
        <v>166</v>
      </c>
      <c r="BV69" s="25" t="s">
        <v>1446</v>
      </c>
      <c r="BW69" s="25" t="s">
        <v>166</v>
      </c>
      <c r="BX69" s="25" t="s">
        <v>166</v>
      </c>
      <c r="BY69" s="25" t="s">
        <v>166</v>
      </c>
      <c r="BZ69" s="25" t="s">
        <v>166</v>
      </c>
      <c r="CA69" s="25" t="s">
        <v>166</v>
      </c>
      <c r="CB69" s="25" t="s">
        <v>166</v>
      </c>
      <c r="CC69" s="25" t="s">
        <v>166</v>
      </c>
      <c r="CD69" s="25" t="s">
        <v>166</v>
      </c>
      <c r="CE69" s="29" t="s">
        <v>166</v>
      </c>
      <c r="CF69" s="27" t="s">
        <v>166</v>
      </c>
      <c r="CG69" s="28" t="s">
        <v>166</v>
      </c>
      <c r="CH69" s="27" t="s">
        <v>166</v>
      </c>
      <c r="CI69" s="27" t="s">
        <v>166</v>
      </c>
      <c r="CJ69" s="27" t="s">
        <v>166</v>
      </c>
      <c r="CK69" s="27" t="s">
        <v>166</v>
      </c>
      <c r="CL69" s="27" t="s">
        <v>166</v>
      </c>
      <c r="CM69" s="31" t="s">
        <v>166</v>
      </c>
      <c r="CN69" s="27" t="s">
        <v>166</v>
      </c>
      <c r="CO69" s="27" t="s">
        <v>166</v>
      </c>
      <c r="CP69" s="27" t="s">
        <v>166</v>
      </c>
      <c r="CQ69" s="27" t="s">
        <v>166</v>
      </c>
      <c r="CR69" s="27" t="s">
        <v>166</v>
      </c>
      <c r="CS69" s="27" t="s">
        <v>166</v>
      </c>
      <c r="CT69" s="27" t="s">
        <v>166</v>
      </c>
      <c r="CU69" s="27" t="s">
        <v>166</v>
      </c>
      <c r="CV69" s="27" t="s">
        <v>166</v>
      </c>
      <c r="CW69" s="27" t="s">
        <v>166</v>
      </c>
      <c r="CX69" s="27" t="s">
        <v>166</v>
      </c>
      <c r="CY69" s="27" t="s">
        <v>166</v>
      </c>
      <c r="CZ69" s="27" t="s">
        <v>166</v>
      </c>
      <c r="DA69" s="27" t="s">
        <v>166</v>
      </c>
      <c r="DB69" s="27" t="s">
        <v>166</v>
      </c>
      <c r="DC69" s="27" t="s">
        <v>166</v>
      </c>
      <c r="DD69" s="27" t="s">
        <v>166</v>
      </c>
      <c r="DE69" s="28" t="s">
        <v>166</v>
      </c>
      <c r="DF69" s="33">
        <v>18</v>
      </c>
      <c r="DG69" s="25" t="s">
        <v>384</v>
      </c>
      <c r="DH69" s="25" t="s">
        <v>193</v>
      </c>
      <c r="DI69" s="25" t="s">
        <v>194</v>
      </c>
      <c r="DJ69" s="25" t="s">
        <v>385</v>
      </c>
      <c r="DK69" s="25" t="s">
        <v>386</v>
      </c>
      <c r="DL69" s="32" t="s">
        <v>387</v>
      </c>
      <c r="DM69" s="25" t="s">
        <v>198</v>
      </c>
      <c r="DN69" s="24" t="s">
        <v>1447</v>
      </c>
      <c r="DO69" s="31">
        <v>2019</v>
      </c>
      <c r="DP69" s="25" t="s">
        <v>166</v>
      </c>
      <c r="DQ69" s="25" t="s">
        <v>166</v>
      </c>
      <c r="DR69" s="29" t="s">
        <v>166</v>
      </c>
      <c r="DS69" s="27" t="s">
        <v>166</v>
      </c>
      <c r="DT69" s="30" t="s">
        <v>166</v>
      </c>
      <c r="DU69" s="25" t="s">
        <v>166</v>
      </c>
      <c r="DV69" s="29" t="s">
        <v>166</v>
      </c>
      <c r="DW69" s="29" t="s">
        <v>166</v>
      </c>
      <c r="DX69" s="27" t="s">
        <v>166</v>
      </c>
      <c r="DY69" s="27" t="s">
        <v>166</v>
      </c>
      <c r="DZ69" s="28" t="s">
        <v>166</v>
      </c>
      <c r="EA69" s="27" t="s">
        <v>166</v>
      </c>
      <c r="EB69" s="27" t="s">
        <v>166</v>
      </c>
      <c r="EC69" s="27" t="s">
        <v>166</v>
      </c>
      <c r="ED69" s="28" t="s">
        <v>166</v>
      </c>
      <c r="EE69" s="28" t="s">
        <v>166</v>
      </c>
      <c r="EF69" s="28" t="s">
        <v>166</v>
      </c>
      <c r="EG69" s="28" t="s">
        <v>166</v>
      </c>
      <c r="EH69" s="27" t="s">
        <v>166</v>
      </c>
      <c r="EI69" s="27" t="s">
        <v>166</v>
      </c>
      <c r="EJ69" s="27" t="s">
        <v>166</v>
      </c>
      <c r="EK69" s="27" t="s">
        <v>166</v>
      </c>
      <c r="EL69" s="27" t="s">
        <v>166</v>
      </c>
      <c r="EM69" s="27" t="s">
        <v>166</v>
      </c>
      <c r="EN69" s="27" t="s">
        <v>166</v>
      </c>
      <c r="EO69" s="27" t="s">
        <v>166</v>
      </c>
      <c r="EP69" s="27" t="s">
        <v>166</v>
      </c>
      <c r="EQ69" s="27" t="s">
        <v>166</v>
      </c>
      <c r="ER69" s="27" t="s">
        <v>166</v>
      </c>
      <c r="ES69" s="27" t="s">
        <v>166</v>
      </c>
      <c r="ET69" s="25" t="s">
        <v>166</v>
      </c>
      <c r="EU69" s="27" t="s">
        <v>166</v>
      </c>
      <c r="EV69" s="27" t="s">
        <v>166</v>
      </c>
      <c r="EW69" s="27" t="s">
        <v>166</v>
      </c>
      <c r="EX69" s="25" t="s">
        <v>190</v>
      </c>
      <c r="EY69" s="25" t="s">
        <v>166</v>
      </c>
      <c r="EZ69" s="27" t="s">
        <v>166</v>
      </c>
      <c r="FA69" s="26" t="s">
        <v>166</v>
      </c>
      <c r="FB69" s="26" t="s">
        <v>166</v>
      </c>
      <c r="FC69" s="26" t="s">
        <v>166</v>
      </c>
      <c r="FD69" s="26" t="s">
        <v>166</v>
      </c>
      <c r="FE69" s="26" t="s">
        <v>166</v>
      </c>
      <c r="FF69" s="26" t="s">
        <v>166</v>
      </c>
      <c r="FG69" s="25" t="s">
        <v>166</v>
      </c>
      <c r="FH69" s="4">
        <f>HYPERLINK("https://my.pitchbook.com?c=178572-43T","View Company Online")</f>
      </c>
    </row>
    <row r="70">
      <c r="A70" s="14" t="s">
        <v>1448</v>
      </c>
      <c r="B70" s="14" t="s">
        <v>1449</v>
      </c>
      <c r="C70" s="14" t="s">
        <v>1450</v>
      </c>
      <c r="D70" s="14" t="s">
        <v>166</v>
      </c>
      <c r="E70" s="23" t="s">
        <v>1451</v>
      </c>
      <c r="F70" s="21">
        <v>2</v>
      </c>
      <c r="G70" s="14" t="s">
        <v>1452</v>
      </c>
      <c r="H70" s="14" t="s">
        <v>166</v>
      </c>
      <c r="I70" s="14" t="s">
        <v>1453</v>
      </c>
      <c r="J70" s="14" t="s">
        <v>1454</v>
      </c>
      <c r="K70" s="14" t="s">
        <v>1455</v>
      </c>
      <c r="L70" s="14" t="s">
        <v>1456</v>
      </c>
      <c r="M70" s="14" t="s">
        <v>1457</v>
      </c>
      <c r="N70" s="14" t="s">
        <v>1458</v>
      </c>
      <c r="O70" s="14" t="s">
        <v>166</v>
      </c>
      <c r="P70" s="14" t="s">
        <v>1459</v>
      </c>
      <c r="Q70" s="14" t="s">
        <v>166</v>
      </c>
      <c r="R70" s="14" t="s">
        <v>177</v>
      </c>
      <c r="S70" s="14" t="s">
        <v>178</v>
      </c>
      <c r="T70" s="14" t="s">
        <v>179</v>
      </c>
      <c r="U70" s="14" t="s">
        <v>1460</v>
      </c>
      <c r="V70" s="14" t="s">
        <v>1461</v>
      </c>
      <c r="W70" s="21" t="s">
        <v>166</v>
      </c>
      <c r="X70" s="14" t="s">
        <v>166</v>
      </c>
      <c r="Y70" s="14" t="s">
        <v>1462</v>
      </c>
      <c r="Z70" s="14" t="s">
        <v>1463</v>
      </c>
      <c r="AA70" s="14" t="s">
        <v>166</v>
      </c>
      <c r="AB70" s="14" t="s">
        <v>166</v>
      </c>
      <c r="AC70" s="14" t="s">
        <v>166</v>
      </c>
      <c r="AD70" s="14" t="s">
        <v>166</v>
      </c>
      <c r="AE70" s="14" t="s">
        <v>166</v>
      </c>
      <c r="AF70" s="14" t="s">
        <v>166</v>
      </c>
      <c r="AG70" s="14" t="s">
        <v>166</v>
      </c>
      <c r="AH70" s="21">
        <v>2</v>
      </c>
      <c r="AI70" s="3">
        <f>HYPERLINK("https://my.pitchbook.com/?d=245068-03T","245068-03T")</f>
      </c>
      <c r="AJ70" s="19" t="s">
        <v>166</v>
      </c>
      <c r="AK70" s="19">
        <v>45181</v>
      </c>
      <c r="AL70" s="18">
        <v>1.5</v>
      </c>
      <c r="AM70" s="14" t="s">
        <v>185</v>
      </c>
      <c r="AN70" s="18">
        <v>6.5</v>
      </c>
      <c r="AO70" s="18">
        <v>8</v>
      </c>
      <c r="AP70" s="14" t="s">
        <v>185</v>
      </c>
      <c r="AQ70" s="21" t="s">
        <v>166</v>
      </c>
      <c r="AR70" s="21" t="s">
        <v>166</v>
      </c>
      <c r="AS70" s="17" t="s">
        <v>166</v>
      </c>
      <c r="AT70" s="18">
        <v>1.57</v>
      </c>
      <c r="AU70" s="21" t="s">
        <v>186</v>
      </c>
      <c r="AV70" s="21" t="s">
        <v>166</v>
      </c>
      <c r="AW70" s="18" t="s">
        <v>166</v>
      </c>
      <c r="AX70" s="21" t="s">
        <v>166</v>
      </c>
      <c r="AY70" s="14" t="s">
        <v>187</v>
      </c>
      <c r="AZ70" s="14" t="s">
        <v>166</v>
      </c>
      <c r="BA70" s="14" t="s">
        <v>166</v>
      </c>
      <c r="BB70" s="21" t="s">
        <v>166</v>
      </c>
      <c r="BC70" s="14" t="s">
        <v>179</v>
      </c>
      <c r="BD70" s="14" t="s">
        <v>1464</v>
      </c>
      <c r="BE70" s="14" t="s">
        <v>189</v>
      </c>
      <c r="BF70" s="18" t="s">
        <v>166</v>
      </c>
      <c r="BG70" s="14" t="s">
        <v>190</v>
      </c>
      <c r="BH70" s="14" t="s">
        <v>166</v>
      </c>
      <c r="BI70" s="14" t="s">
        <v>166</v>
      </c>
      <c r="BJ70" s="18" t="s">
        <v>166</v>
      </c>
      <c r="BK70" s="18" t="s">
        <v>166</v>
      </c>
      <c r="BL70" s="14" t="s">
        <v>191</v>
      </c>
      <c r="BM70" s="14" t="s">
        <v>178</v>
      </c>
      <c r="BN70" s="14" t="s">
        <v>177</v>
      </c>
      <c r="BO70" s="22" t="s">
        <v>166</v>
      </c>
      <c r="BP70" s="14" t="s">
        <v>1451</v>
      </c>
      <c r="BQ70" s="21">
        <v>2</v>
      </c>
      <c r="BR70" s="14" t="s">
        <v>166</v>
      </c>
      <c r="BS70" s="21" t="s">
        <v>166</v>
      </c>
      <c r="BT70" s="14" t="s">
        <v>166</v>
      </c>
      <c r="BU70" s="14" t="s">
        <v>166</v>
      </c>
      <c r="BV70" s="14" t="s">
        <v>166</v>
      </c>
      <c r="BW70" s="14" t="s">
        <v>166</v>
      </c>
      <c r="BX70" s="14" t="s">
        <v>166</v>
      </c>
      <c r="BY70" s="14" t="s">
        <v>166</v>
      </c>
      <c r="BZ70" s="14" t="s">
        <v>166</v>
      </c>
      <c r="CA70" s="14" t="s">
        <v>166</v>
      </c>
      <c r="CB70" s="14" t="s">
        <v>166</v>
      </c>
      <c r="CC70" s="14" t="s">
        <v>166</v>
      </c>
      <c r="CD70" s="14" t="s">
        <v>166</v>
      </c>
      <c r="CE70" s="18" t="s">
        <v>166</v>
      </c>
      <c r="CF70" s="16" t="s">
        <v>166</v>
      </c>
      <c r="CG70" s="17" t="s">
        <v>166</v>
      </c>
      <c r="CH70" s="16" t="s">
        <v>166</v>
      </c>
      <c r="CI70" s="16" t="s">
        <v>166</v>
      </c>
      <c r="CJ70" s="16" t="s">
        <v>166</v>
      </c>
      <c r="CK70" s="16" t="s">
        <v>166</v>
      </c>
      <c r="CL70" s="16" t="s">
        <v>166</v>
      </c>
      <c r="CM70" s="20" t="s">
        <v>166</v>
      </c>
      <c r="CN70" s="16" t="s">
        <v>166</v>
      </c>
      <c r="CO70" s="16" t="s">
        <v>166</v>
      </c>
      <c r="CP70" s="16" t="s">
        <v>166</v>
      </c>
      <c r="CQ70" s="16" t="s">
        <v>166</v>
      </c>
      <c r="CR70" s="16" t="s">
        <v>166</v>
      </c>
      <c r="CS70" s="16" t="s">
        <v>166</v>
      </c>
      <c r="CT70" s="16" t="s">
        <v>166</v>
      </c>
      <c r="CU70" s="16" t="s">
        <v>166</v>
      </c>
      <c r="CV70" s="16" t="s">
        <v>166</v>
      </c>
      <c r="CW70" s="16" t="s">
        <v>166</v>
      </c>
      <c r="CX70" s="16" t="s">
        <v>166</v>
      </c>
      <c r="CY70" s="16" t="s">
        <v>166</v>
      </c>
      <c r="CZ70" s="16" t="s">
        <v>166</v>
      </c>
      <c r="DA70" s="16" t="s">
        <v>166</v>
      </c>
      <c r="DB70" s="16" t="s">
        <v>166</v>
      </c>
      <c r="DC70" s="16" t="s">
        <v>166</v>
      </c>
      <c r="DD70" s="16" t="s">
        <v>166</v>
      </c>
      <c r="DE70" s="17" t="s">
        <v>166</v>
      </c>
      <c r="DF70" s="22">
        <v>6</v>
      </c>
      <c r="DG70" s="14" t="s">
        <v>1465</v>
      </c>
      <c r="DH70" s="14" t="s">
        <v>193</v>
      </c>
      <c r="DI70" s="14" t="s">
        <v>194</v>
      </c>
      <c r="DJ70" s="14" t="s">
        <v>1466</v>
      </c>
      <c r="DK70" s="14" t="s">
        <v>1467</v>
      </c>
      <c r="DL70" s="21" t="s">
        <v>1468</v>
      </c>
      <c r="DM70" s="14" t="s">
        <v>198</v>
      </c>
      <c r="DN70" s="13" t="s">
        <v>1469</v>
      </c>
      <c r="DO70" s="20">
        <v>2022</v>
      </c>
      <c r="DP70" s="14" t="s">
        <v>166</v>
      </c>
      <c r="DQ70" s="14" t="s">
        <v>1470</v>
      </c>
      <c r="DR70" s="18" t="s">
        <v>166</v>
      </c>
      <c r="DS70" s="16" t="s">
        <v>166</v>
      </c>
      <c r="DT70" s="19" t="s">
        <v>166</v>
      </c>
      <c r="DU70" s="14" t="s">
        <v>166</v>
      </c>
      <c r="DV70" s="18" t="s">
        <v>166</v>
      </c>
      <c r="DW70" s="18" t="s">
        <v>166</v>
      </c>
      <c r="DX70" s="16" t="s">
        <v>166</v>
      </c>
      <c r="DY70" s="16" t="s">
        <v>166</v>
      </c>
      <c r="DZ70" s="17" t="s">
        <v>166</v>
      </c>
      <c r="EA70" s="16" t="s">
        <v>166</v>
      </c>
      <c r="EB70" s="16" t="s">
        <v>166</v>
      </c>
      <c r="EC70" s="16" t="s">
        <v>166</v>
      </c>
      <c r="ED70" s="17" t="s">
        <v>166</v>
      </c>
      <c r="EE70" s="17" t="s">
        <v>166</v>
      </c>
      <c r="EF70" s="17" t="s">
        <v>166</v>
      </c>
      <c r="EG70" s="17" t="s">
        <v>166</v>
      </c>
      <c r="EH70" s="16" t="s">
        <v>166</v>
      </c>
      <c r="EI70" s="16" t="s">
        <v>166</v>
      </c>
      <c r="EJ70" s="16" t="s">
        <v>166</v>
      </c>
      <c r="EK70" s="16" t="s">
        <v>166</v>
      </c>
      <c r="EL70" s="16" t="s">
        <v>166</v>
      </c>
      <c r="EM70" s="16" t="s">
        <v>166</v>
      </c>
      <c r="EN70" s="16" t="s">
        <v>166</v>
      </c>
      <c r="EO70" s="16" t="s">
        <v>166</v>
      </c>
      <c r="EP70" s="16" t="s">
        <v>166</v>
      </c>
      <c r="EQ70" s="16" t="s">
        <v>166</v>
      </c>
      <c r="ER70" s="16" t="s">
        <v>166</v>
      </c>
      <c r="ES70" s="16" t="s">
        <v>166</v>
      </c>
      <c r="ET70" s="14" t="s">
        <v>166</v>
      </c>
      <c r="EU70" s="16" t="s">
        <v>166</v>
      </c>
      <c r="EV70" s="16" t="s">
        <v>166</v>
      </c>
      <c r="EW70" s="16" t="s">
        <v>166</v>
      </c>
      <c r="EX70" s="14" t="s">
        <v>190</v>
      </c>
      <c r="EY70" s="14" t="s">
        <v>190</v>
      </c>
      <c r="EZ70" s="16" t="s">
        <v>166</v>
      </c>
      <c r="FA70" s="15" t="s">
        <v>166</v>
      </c>
      <c r="FB70" s="15" t="s">
        <v>166</v>
      </c>
      <c r="FC70" s="15" t="s">
        <v>166</v>
      </c>
      <c r="FD70" s="15" t="s">
        <v>166</v>
      </c>
      <c r="FE70" s="15" t="s">
        <v>166</v>
      </c>
      <c r="FF70" s="15" t="s">
        <v>166</v>
      </c>
      <c r="FG70" s="14" t="s">
        <v>166</v>
      </c>
      <c r="FH70" s="3">
        <f>HYPERLINK("https://my.pitchbook.com?c=245068-03T","View Company Online")</f>
      </c>
    </row>
    <row r="71">
      <c r="A71" s="25" t="s">
        <v>1471</v>
      </c>
      <c r="B71" s="25" t="s">
        <v>1472</v>
      </c>
      <c r="C71" s="25" t="s">
        <v>1473</v>
      </c>
      <c r="D71" s="25" t="s">
        <v>166</v>
      </c>
      <c r="E71" s="34" t="s">
        <v>1474</v>
      </c>
      <c r="F71" s="32">
        <v>1</v>
      </c>
      <c r="G71" s="25" t="s">
        <v>1475</v>
      </c>
      <c r="H71" s="25" t="s">
        <v>166</v>
      </c>
      <c r="I71" s="25" t="s">
        <v>1476</v>
      </c>
      <c r="J71" s="25" t="s">
        <v>1477</v>
      </c>
      <c r="K71" s="25" t="s">
        <v>207</v>
      </c>
      <c r="L71" s="25" t="s">
        <v>208</v>
      </c>
      <c r="M71" s="25" t="s">
        <v>965</v>
      </c>
      <c r="N71" s="25" t="s">
        <v>1478</v>
      </c>
      <c r="O71" s="25" t="s">
        <v>1479</v>
      </c>
      <c r="P71" s="25" t="s">
        <v>1480</v>
      </c>
      <c r="Q71" s="25" t="s">
        <v>166</v>
      </c>
      <c r="R71" s="25" t="s">
        <v>177</v>
      </c>
      <c r="S71" s="25" t="s">
        <v>178</v>
      </c>
      <c r="T71" s="25" t="s">
        <v>179</v>
      </c>
      <c r="U71" s="25" t="s">
        <v>1481</v>
      </c>
      <c r="V71" s="25" t="s">
        <v>1482</v>
      </c>
      <c r="W71" s="32" t="s">
        <v>1483</v>
      </c>
      <c r="X71" s="25" t="s">
        <v>1484</v>
      </c>
      <c r="Y71" s="25" t="s">
        <v>1485</v>
      </c>
      <c r="Z71" s="25" t="s">
        <v>1486</v>
      </c>
      <c r="AA71" s="25" t="s">
        <v>242</v>
      </c>
      <c r="AB71" s="25" t="s">
        <v>243</v>
      </c>
      <c r="AC71" s="25" t="s">
        <v>244</v>
      </c>
      <c r="AD71" s="25" t="s">
        <v>243</v>
      </c>
      <c r="AE71" s="25" t="s">
        <v>243</v>
      </c>
      <c r="AF71" s="25" t="s">
        <v>166</v>
      </c>
      <c r="AG71" s="25" t="s">
        <v>246</v>
      </c>
      <c r="AH71" s="32">
        <v>1</v>
      </c>
      <c r="AI71" s="4">
        <f>HYPERLINK("https://my.pitchbook.com/?d=177147-82T","177147-82T")</f>
      </c>
      <c r="AJ71" s="30">
        <v>44302</v>
      </c>
      <c r="AK71" s="30">
        <v>44316</v>
      </c>
      <c r="AL71" s="29">
        <v>2.5</v>
      </c>
      <c r="AM71" s="25" t="s">
        <v>185</v>
      </c>
      <c r="AN71" s="29">
        <v>6</v>
      </c>
      <c r="AO71" s="29">
        <v>8.5</v>
      </c>
      <c r="AP71" s="25" t="s">
        <v>185</v>
      </c>
      <c r="AQ71" s="32" t="s">
        <v>166</v>
      </c>
      <c r="AR71" s="32" t="s">
        <v>166</v>
      </c>
      <c r="AS71" s="28">
        <v>29.41</v>
      </c>
      <c r="AT71" s="29">
        <v>2.5</v>
      </c>
      <c r="AU71" s="32" t="s">
        <v>186</v>
      </c>
      <c r="AV71" s="32" t="s">
        <v>166</v>
      </c>
      <c r="AW71" s="29">
        <v>0.72</v>
      </c>
      <c r="AX71" s="32" t="s">
        <v>166</v>
      </c>
      <c r="AY71" s="25" t="s">
        <v>217</v>
      </c>
      <c r="AZ71" s="25" t="s">
        <v>217</v>
      </c>
      <c r="BA71" s="25" t="s">
        <v>166</v>
      </c>
      <c r="BB71" s="32" t="s">
        <v>166</v>
      </c>
      <c r="BC71" s="25" t="s">
        <v>179</v>
      </c>
      <c r="BD71" s="25" t="s">
        <v>1487</v>
      </c>
      <c r="BE71" s="25" t="s">
        <v>189</v>
      </c>
      <c r="BF71" s="29">
        <v>2.5</v>
      </c>
      <c r="BG71" s="25" t="s">
        <v>190</v>
      </c>
      <c r="BH71" s="25" t="s">
        <v>166</v>
      </c>
      <c r="BI71" s="25" t="s">
        <v>166</v>
      </c>
      <c r="BJ71" s="29" t="s">
        <v>166</v>
      </c>
      <c r="BK71" s="29" t="s">
        <v>166</v>
      </c>
      <c r="BL71" s="25" t="s">
        <v>191</v>
      </c>
      <c r="BM71" s="25" t="s">
        <v>1488</v>
      </c>
      <c r="BN71" s="25" t="s">
        <v>177</v>
      </c>
      <c r="BO71" s="33" t="s">
        <v>166</v>
      </c>
      <c r="BP71" s="25" t="s">
        <v>1489</v>
      </c>
      <c r="BQ71" s="32">
        <v>1</v>
      </c>
      <c r="BR71" s="25" t="s">
        <v>166</v>
      </c>
      <c r="BS71" s="32" t="s">
        <v>166</v>
      </c>
      <c r="BT71" s="25" t="s">
        <v>166</v>
      </c>
      <c r="BU71" s="25" t="s">
        <v>166</v>
      </c>
      <c r="BV71" s="25" t="s">
        <v>1490</v>
      </c>
      <c r="BW71" s="25" t="s">
        <v>166</v>
      </c>
      <c r="BX71" s="25" t="s">
        <v>166</v>
      </c>
      <c r="BY71" s="25" t="s">
        <v>166</v>
      </c>
      <c r="BZ71" s="25" t="s">
        <v>1232</v>
      </c>
      <c r="CA71" s="25" t="s">
        <v>1232</v>
      </c>
      <c r="CB71" s="25" t="s">
        <v>166</v>
      </c>
      <c r="CC71" s="25" t="s">
        <v>166</v>
      </c>
      <c r="CD71" s="25" t="s">
        <v>166</v>
      </c>
      <c r="CE71" s="29" t="s">
        <v>166</v>
      </c>
      <c r="CF71" s="27" t="s">
        <v>166</v>
      </c>
      <c r="CG71" s="28" t="s">
        <v>166</v>
      </c>
      <c r="CH71" s="27" t="s">
        <v>166</v>
      </c>
      <c r="CI71" s="27" t="s">
        <v>166</v>
      </c>
      <c r="CJ71" s="27" t="s">
        <v>166</v>
      </c>
      <c r="CK71" s="27" t="s">
        <v>166</v>
      </c>
      <c r="CL71" s="27" t="s">
        <v>166</v>
      </c>
      <c r="CM71" s="31" t="s">
        <v>166</v>
      </c>
      <c r="CN71" s="27" t="s">
        <v>166</v>
      </c>
      <c r="CO71" s="27" t="s">
        <v>166</v>
      </c>
      <c r="CP71" s="27" t="s">
        <v>166</v>
      </c>
      <c r="CQ71" s="27" t="s">
        <v>166</v>
      </c>
      <c r="CR71" s="27" t="s">
        <v>166</v>
      </c>
      <c r="CS71" s="27" t="s">
        <v>166</v>
      </c>
      <c r="CT71" s="27" t="s">
        <v>166</v>
      </c>
      <c r="CU71" s="27" t="s">
        <v>166</v>
      </c>
      <c r="CV71" s="27" t="s">
        <v>166</v>
      </c>
      <c r="CW71" s="27" t="s">
        <v>166</v>
      </c>
      <c r="CX71" s="27" t="s">
        <v>166</v>
      </c>
      <c r="CY71" s="27" t="s">
        <v>166</v>
      </c>
      <c r="CZ71" s="27" t="s">
        <v>166</v>
      </c>
      <c r="DA71" s="27" t="s">
        <v>166</v>
      </c>
      <c r="DB71" s="27" t="s">
        <v>166</v>
      </c>
      <c r="DC71" s="27" t="s">
        <v>166</v>
      </c>
      <c r="DD71" s="27" t="s">
        <v>166</v>
      </c>
      <c r="DE71" s="28" t="s">
        <v>166</v>
      </c>
      <c r="DF71" s="33">
        <v>43</v>
      </c>
      <c r="DG71" s="25" t="s">
        <v>673</v>
      </c>
      <c r="DH71" s="25" t="s">
        <v>193</v>
      </c>
      <c r="DI71" s="25" t="s">
        <v>194</v>
      </c>
      <c r="DJ71" s="25" t="s">
        <v>674</v>
      </c>
      <c r="DK71" s="25" t="s">
        <v>257</v>
      </c>
      <c r="DL71" s="32" t="s">
        <v>1491</v>
      </c>
      <c r="DM71" s="25" t="s">
        <v>198</v>
      </c>
      <c r="DN71" s="24" t="s">
        <v>1492</v>
      </c>
      <c r="DO71" s="31">
        <v>2021</v>
      </c>
      <c r="DP71" s="25" t="s">
        <v>166</v>
      </c>
      <c r="DQ71" s="25" t="s">
        <v>166</v>
      </c>
      <c r="DR71" s="29" t="s">
        <v>166</v>
      </c>
      <c r="DS71" s="27" t="s">
        <v>166</v>
      </c>
      <c r="DT71" s="30" t="s">
        <v>166</v>
      </c>
      <c r="DU71" s="25" t="s">
        <v>166</v>
      </c>
      <c r="DV71" s="29" t="s">
        <v>166</v>
      </c>
      <c r="DW71" s="29" t="s">
        <v>166</v>
      </c>
      <c r="DX71" s="27" t="s">
        <v>166</v>
      </c>
      <c r="DY71" s="27" t="s">
        <v>166</v>
      </c>
      <c r="DZ71" s="28" t="s">
        <v>166</v>
      </c>
      <c r="EA71" s="27" t="s">
        <v>166</v>
      </c>
      <c r="EB71" s="27" t="s">
        <v>166</v>
      </c>
      <c r="EC71" s="27" t="s">
        <v>166</v>
      </c>
      <c r="ED71" s="28" t="s">
        <v>166</v>
      </c>
      <c r="EE71" s="28" t="s">
        <v>166</v>
      </c>
      <c r="EF71" s="28" t="s">
        <v>166</v>
      </c>
      <c r="EG71" s="28" t="s">
        <v>166</v>
      </c>
      <c r="EH71" s="27" t="s">
        <v>166</v>
      </c>
      <c r="EI71" s="27" t="s">
        <v>166</v>
      </c>
      <c r="EJ71" s="27" t="s">
        <v>166</v>
      </c>
      <c r="EK71" s="27" t="s">
        <v>166</v>
      </c>
      <c r="EL71" s="27" t="s">
        <v>166</v>
      </c>
      <c r="EM71" s="27" t="s">
        <v>166</v>
      </c>
      <c r="EN71" s="27" t="s">
        <v>166</v>
      </c>
      <c r="EO71" s="27" t="s">
        <v>166</v>
      </c>
      <c r="EP71" s="27" t="s">
        <v>166</v>
      </c>
      <c r="EQ71" s="27" t="s">
        <v>166</v>
      </c>
      <c r="ER71" s="27" t="s">
        <v>166</v>
      </c>
      <c r="ES71" s="27" t="s">
        <v>166</v>
      </c>
      <c r="ET71" s="25" t="s">
        <v>166</v>
      </c>
      <c r="EU71" s="27" t="s">
        <v>166</v>
      </c>
      <c r="EV71" s="27" t="s">
        <v>166</v>
      </c>
      <c r="EW71" s="27" t="s">
        <v>166</v>
      </c>
      <c r="EX71" s="25" t="s">
        <v>190</v>
      </c>
      <c r="EY71" s="25" t="s">
        <v>166</v>
      </c>
      <c r="EZ71" s="27" t="s">
        <v>166</v>
      </c>
      <c r="FA71" s="26" t="s">
        <v>166</v>
      </c>
      <c r="FB71" s="26" t="s">
        <v>166</v>
      </c>
      <c r="FC71" s="26" t="s">
        <v>166</v>
      </c>
      <c r="FD71" s="26" t="s">
        <v>166</v>
      </c>
      <c r="FE71" s="26" t="s">
        <v>166</v>
      </c>
      <c r="FF71" s="26" t="s">
        <v>166</v>
      </c>
      <c r="FG71" s="25" t="s">
        <v>166</v>
      </c>
      <c r="FH71" s="4">
        <f>HYPERLINK("https://my.pitchbook.com?c=177147-82T","View Company Online")</f>
      </c>
    </row>
    <row r="72">
      <c r="A72" s="14" t="s">
        <v>1493</v>
      </c>
      <c r="B72" s="14" t="s">
        <v>1494</v>
      </c>
      <c r="C72" s="14" t="s">
        <v>1495</v>
      </c>
      <c r="D72" s="14" t="s">
        <v>166</v>
      </c>
      <c r="E72" s="23" t="s">
        <v>1496</v>
      </c>
      <c r="F72" s="21">
        <v>9</v>
      </c>
      <c r="G72" s="14" t="s">
        <v>1497</v>
      </c>
      <c r="H72" s="14" t="s">
        <v>166</v>
      </c>
      <c r="I72" s="14" t="s">
        <v>1498</v>
      </c>
      <c r="J72" s="14" t="s">
        <v>1499</v>
      </c>
      <c r="K72" s="14" t="s">
        <v>1500</v>
      </c>
      <c r="L72" s="14" t="s">
        <v>1501</v>
      </c>
      <c r="M72" s="14" t="s">
        <v>1502</v>
      </c>
      <c r="N72" s="14" t="s">
        <v>1503</v>
      </c>
      <c r="O72" s="14" t="s">
        <v>1504</v>
      </c>
      <c r="P72" s="14" t="s">
        <v>1505</v>
      </c>
      <c r="Q72" s="14" t="s">
        <v>166</v>
      </c>
      <c r="R72" s="14" t="s">
        <v>177</v>
      </c>
      <c r="S72" s="14" t="s">
        <v>178</v>
      </c>
      <c r="T72" s="14" t="s">
        <v>179</v>
      </c>
      <c r="U72" s="14" t="s">
        <v>1506</v>
      </c>
      <c r="V72" s="14" t="s">
        <v>1507</v>
      </c>
      <c r="W72" s="21" t="s">
        <v>1508</v>
      </c>
      <c r="X72" s="14" t="s">
        <v>1509</v>
      </c>
      <c r="Y72" s="14" t="s">
        <v>1510</v>
      </c>
      <c r="Z72" s="14" t="s">
        <v>1511</v>
      </c>
      <c r="AA72" s="14" t="s">
        <v>166</v>
      </c>
      <c r="AB72" s="14" t="s">
        <v>166</v>
      </c>
      <c r="AC72" s="14" t="s">
        <v>166</v>
      </c>
      <c r="AD72" s="14" t="s">
        <v>166</v>
      </c>
      <c r="AE72" s="14" t="s">
        <v>166</v>
      </c>
      <c r="AF72" s="14" t="s">
        <v>166</v>
      </c>
      <c r="AG72" s="14" t="s">
        <v>166</v>
      </c>
      <c r="AH72" s="21">
        <v>6</v>
      </c>
      <c r="AI72" s="3">
        <f>HYPERLINK("https://my.pitchbook.com/?d=195399-19T","195399-19T")</f>
      </c>
      <c r="AJ72" s="19">
        <v>44715</v>
      </c>
      <c r="AK72" s="19">
        <v>44831</v>
      </c>
      <c r="AL72" s="18">
        <v>2.85</v>
      </c>
      <c r="AM72" s="14" t="s">
        <v>185</v>
      </c>
      <c r="AN72" s="18">
        <v>7.05</v>
      </c>
      <c r="AO72" s="18">
        <v>9.9</v>
      </c>
      <c r="AP72" s="14" t="s">
        <v>185</v>
      </c>
      <c r="AQ72" s="21" t="s">
        <v>166</v>
      </c>
      <c r="AR72" s="21" t="s">
        <v>166</v>
      </c>
      <c r="AS72" s="17">
        <v>28.79</v>
      </c>
      <c r="AT72" s="18">
        <v>2.85</v>
      </c>
      <c r="AU72" s="21" t="s">
        <v>186</v>
      </c>
      <c r="AV72" s="21" t="s">
        <v>166</v>
      </c>
      <c r="AW72" s="18" t="s">
        <v>166</v>
      </c>
      <c r="AX72" s="21" t="s">
        <v>166</v>
      </c>
      <c r="AY72" s="14" t="s">
        <v>217</v>
      </c>
      <c r="AZ72" s="14" t="s">
        <v>217</v>
      </c>
      <c r="BA72" s="14" t="s">
        <v>166</v>
      </c>
      <c r="BB72" s="21" t="s">
        <v>166</v>
      </c>
      <c r="BC72" s="14" t="s">
        <v>179</v>
      </c>
      <c r="BD72" s="14" t="s">
        <v>1512</v>
      </c>
      <c r="BE72" s="14" t="s">
        <v>189</v>
      </c>
      <c r="BF72" s="18">
        <v>2.85</v>
      </c>
      <c r="BG72" s="14" t="s">
        <v>190</v>
      </c>
      <c r="BH72" s="14" t="s">
        <v>166</v>
      </c>
      <c r="BI72" s="14" t="s">
        <v>166</v>
      </c>
      <c r="BJ72" s="18" t="s">
        <v>166</v>
      </c>
      <c r="BK72" s="18" t="s">
        <v>166</v>
      </c>
      <c r="BL72" s="14" t="s">
        <v>191</v>
      </c>
      <c r="BM72" s="14" t="s">
        <v>178</v>
      </c>
      <c r="BN72" s="14" t="s">
        <v>177</v>
      </c>
      <c r="BO72" s="22" t="s">
        <v>166</v>
      </c>
      <c r="BP72" s="14" t="s">
        <v>1513</v>
      </c>
      <c r="BQ72" s="21">
        <v>9</v>
      </c>
      <c r="BR72" s="14" t="s">
        <v>166</v>
      </c>
      <c r="BS72" s="21" t="s">
        <v>166</v>
      </c>
      <c r="BT72" s="14" t="s">
        <v>1514</v>
      </c>
      <c r="BU72" s="14" t="s">
        <v>166</v>
      </c>
      <c r="BV72" s="14" t="s">
        <v>1515</v>
      </c>
      <c r="BW72" s="14" t="s">
        <v>166</v>
      </c>
      <c r="BX72" s="14" t="s">
        <v>166</v>
      </c>
      <c r="BY72" s="14" t="s">
        <v>166</v>
      </c>
      <c r="BZ72" s="14" t="s">
        <v>1516</v>
      </c>
      <c r="CA72" s="14" t="s">
        <v>166</v>
      </c>
      <c r="CB72" s="14" t="s">
        <v>166</v>
      </c>
      <c r="CC72" s="14" t="s">
        <v>1516</v>
      </c>
      <c r="CD72" s="14" t="s">
        <v>166</v>
      </c>
      <c r="CE72" s="18" t="s">
        <v>166</v>
      </c>
      <c r="CF72" s="16" t="s">
        <v>166</v>
      </c>
      <c r="CG72" s="17" t="s">
        <v>166</v>
      </c>
      <c r="CH72" s="16" t="s">
        <v>166</v>
      </c>
      <c r="CI72" s="16" t="s">
        <v>166</v>
      </c>
      <c r="CJ72" s="16" t="s">
        <v>166</v>
      </c>
      <c r="CK72" s="16" t="s">
        <v>166</v>
      </c>
      <c r="CL72" s="16" t="s">
        <v>166</v>
      </c>
      <c r="CM72" s="20" t="s">
        <v>166</v>
      </c>
      <c r="CN72" s="16" t="s">
        <v>166</v>
      </c>
      <c r="CO72" s="16" t="s">
        <v>166</v>
      </c>
      <c r="CP72" s="16" t="s">
        <v>166</v>
      </c>
      <c r="CQ72" s="16" t="s">
        <v>166</v>
      </c>
      <c r="CR72" s="16" t="s">
        <v>166</v>
      </c>
      <c r="CS72" s="16" t="s">
        <v>166</v>
      </c>
      <c r="CT72" s="16" t="s">
        <v>166</v>
      </c>
      <c r="CU72" s="16" t="s">
        <v>166</v>
      </c>
      <c r="CV72" s="16" t="s">
        <v>166</v>
      </c>
      <c r="CW72" s="16" t="s">
        <v>166</v>
      </c>
      <c r="CX72" s="16" t="s">
        <v>166</v>
      </c>
      <c r="CY72" s="16" t="s">
        <v>166</v>
      </c>
      <c r="CZ72" s="16" t="s">
        <v>166</v>
      </c>
      <c r="DA72" s="16" t="s">
        <v>166</v>
      </c>
      <c r="DB72" s="16" t="s">
        <v>166</v>
      </c>
      <c r="DC72" s="16" t="s">
        <v>166</v>
      </c>
      <c r="DD72" s="16" t="s">
        <v>166</v>
      </c>
      <c r="DE72" s="17" t="s">
        <v>166</v>
      </c>
      <c r="DF72" s="22">
        <v>5</v>
      </c>
      <c r="DG72" s="14" t="s">
        <v>1517</v>
      </c>
      <c r="DH72" s="14" t="s">
        <v>193</v>
      </c>
      <c r="DI72" s="14" t="s">
        <v>194</v>
      </c>
      <c r="DJ72" s="14" t="s">
        <v>1518</v>
      </c>
      <c r="DK72" s="14" t="s">
        <v>1251</v>
      </c>
      <c r="DL72" s="21" t="s">
        <v>1519</v>
      </c>
      <c r="DM72" s="14" t="s">
        <v>198</v>
      </c>
      <c r="DN72" s="13" t="s">
        <v>1520</v>
      </c>
      <c r="DO72" s="20">
        <v>2016</v>
      </c>
      <c r="DP72" s="14" t="s">
        <v>166</v>
      </c>
      <c r="DQ72" s="14" t="s">
        <v>166</v>
      </c>
      <c r="DR72" s="18" t="s">
        <v>166</v>
      </c>
      <c r="DS72" s="16" t="s">
        <v>166</v>
      </c>
      <c r="DT72" s="19" t="s">
        <v>166</v>
      </c>
      <c r="DU72" s="14" t="s">
        <v>166</v>
      </c>
      <c r="DV72" s="18" t="s">
        <v>166</v>
      </c>
      <c r="DW72" s="18" t="s">
        <v>166</v>
      </c>
      <c r="DX72" s="16" t="s">
        <v>166</v>
      </c>
      <c r="DY72" s="16" t="s">
        <v>166</v>
      </c>
      <c r="DZ72" s="17" t="s">
        <v>166</v>
      </c>
      <c r="EA72" s="16" t="s">
        <v>166</v>
      </c>
      <c r="EB72" s="16" t="s">
        <v>166</v>
      </c>
      <c r="EC72" s="16" t="s">
        <v>166</v>
      </c>
      <c r="ED72" s="17" t="s">
        <v>166</v>
      </c>
      <c r="EE72" s="17" t="s">
        <v>166</v>
      </c>
      <c r="EF72" s="17" t="s">
        <v>166</v>
      </c>
      <c r="EG72" s="17" t="s">
        <v>166</v>
      </c>
      <c r="EH72" s="16" t="s">
        <v>166</v>
      </c>
      <c r="EI72" s="16" t="s">
        <v>166</v>
      </c>
      <c r="EJ72" s="16" t="s">
        <v>166</v>
      </c>
      <c r="EK72" s="16" t="s">
        <v>166</v>
      </c>
      <c r="EL72" s="16" t="s">
        <v>166</v>
      </c>
      <c r="EM72" s="16" t="s">
        <v>166</v>
      </c>
      <c r="EN72" s="16" t="s">
        <v>166</v>
      </c>
      <c r="EO72" s="16" t="s">
        <v>166</v>
      </c>
      <c r="EP72" s="16" t="s">
        <v>166</v>
      </c>
      <c r="EQ72" s="16" t="s">
        <v>166</v>
      </c>
      <c r="ER72" s="16" t="s">
        <v>166</v>
      </c>
      <c r="ES72" s="16" t="s">
        <v>166</v>
      </c>
      <c r="ET72" s="14" t="s">
        <v>166</v>
      </c>
      <c r="EU72" s="16" t="s">
        <v>166</v>
      </c>
      <c r="EV72" s="16" t="s">
        <v>166</v>
      </c>
      <c r="EW72" s="16" t="s">
        <v>166</v>
      </c>
      <c r="EX72" s="14" t="s">
        <v>190</v>
      </c>
      <c r="EY72" s="14" t="s">
        <v>166</v>
      </c>
      <c r="EZ72" s="16" t="s">
        <v>166</v>
      </c>
      <c r="FA72" s="15">
        <v>3</v>
      </c>
      <c r="FB72" s="15">
        <v>2</v>
      </c>
      <c r="FC72" s="15" t="s">
        <v>166</v>
      </c>
      <c r="FD72" s="15">
        <v>3</v>
      </c>
      <c r="FE72" s="15" t="s">
        <v>166</v>
      </c>
      <c r="FF72" s="15" t="s">
        <v>166</v>
      </c>
      <c r="FG72" s="14" t="s">
        <v>1521</v>
      </c>
      <c r="FH72" s="3">
        <f>HYPERLINK("https://my.pitchbook.com?c=195399-19T","View Company Online")</f>
      </c>
    </row>
    <row r="73">
      <c r="A73" s="25" t="s">
        <v>1522</v>
      </c>
      <c r="B73" s="25" t="s">
        <v>1523</v>
      </c>
      <c r="C73" s="25" t="s">
        <v>1524</v>
      </c>
      <c r="D73" s="25" t="s">
        <v>166</v>
      </c>
      <c r="E73" s="34" t="s">
        <v>1525</v>
      </c>
      <c r="F73" s="32">
        <v>5</v>
      </c>
      <c r="G73" s="25" t="s">
        <v>1526</v>
      </c>
      <c r="H73" s="25" t="s">
        <v>166</v>
      </c>
      <c r="I73" s="25" t="s">
        <v>1527</v>
      </c>
      <c r="J73" s="25" t="s">
        <v>1528</v>
      </c>
      <c r="K73" s="25" t="s">
        <v>207</v>
      </c>
      <c r="L73" s="25" t="s">
        <v>208</v>
      </c>
      <c r="M73" s="25" t="s">
        <v>209</v>
      </c>
      <c r="N73" s="25" t="s">
        <v>1529</v>
      </c>
      <c r="O73" s="25" t="s">
        <v>1530</v>
      </c>
      <c r="P73" s="25" t="s">
        <v>1531</v>
      </c>
      <c r="Q73" s="25" t="s">
        <v>166</v>
      </c>
      <c r="R73" s="25" t="s">
        <v>177</v>
      </c>
      <c r="S73" s="25" t="s">
        <v>178</v>
      </c>
      <c r="T73" s="25" t="s">
        <v>179</v>
      </c>
      <c r="U73" s="25" t="s">
        <v>1532</v>
      </c>
      <c r="V73" s="25" t="s">
        <v>1533</v>
      </c>
      <c r="W73" s="32" t="s">
        <v>1534</v>
      </c>
      <c r="X73" s="25" t="s">
        <v>1535</v>
      </c>
      <c r="Y73" s="25" t="s">
        <v>1536</v>
      </c>
      <c r="Z73" s="25" t="s">
        <v>166</v>
      </c>
      <c r="AA73" s="25" t="s">
        <v>242</v>
      </c>
      <c r="AB73" s="25" t="s">
        <v>243</v>
      </c>
      <c r="AC73" s="25" t="s">
        <v>244</v>
      </c>
      <c r="AD73" s="25" t="s">
        <v>243</v>
      </c>
      <c r="AE73" s="25" t="s">
        <v>243</v>
      </c>
      <c r="AF73" s="25" t="s">
        <v>166</v>
      </c>
      <c r="AG73" s="25" t="s">
        <v>246</v>
      </c>
      <c r="AH73" s="32">
        <v>2</v>
      </c>
      <c r="AI73" s="4">
        <f>HYPERLINK("https://my.pitchbook.com/?d=210484-72T","210484-72T")</f>
      </c>
      <c r="AJ73" s="30" t="s">
        <v>166</v>
      </c>
      <c r="AK73" s="30">
        <v>44908</v>
      </c>
      <c r="AL73" s="29">
        <v>7.6</v>
      </c>
      <c r="AM73" s="25" t="s">
        <v>185</v>
      </c>
      <c r="AN73" s="29">
        <v>14.8</v>
      </c>
      <c r="AO73" s="29">
        <v>19.96</v>
      </c>
      <c r="AP73" s="25" t="s">
        <v>185</v>
      </c>
      <c r="AQ73" s="32" t="s">
        <v>166</v>
      </c>
      <c r="AR73" s="32" t="s">
        <v>166</v>
      </c>
      <c r="AS73" s="28">
        <v>38.99</v>
      </c>
      <c r="AT73" s="29">
        <v>7.75</v>
      </c>
      <c r="AU73" s="32" t="s">
        <v>186</v>
      </c>
      <c r="AV73" s="32" t="s">
        <v>166</v>
      </c>
      <c r="AW73" s="29">
        <v>1.54</v>
      </c>
      <c r="AX73" s="32" t="s">
        <v>746</v>
      </c>
      <c r="AY73" s="25" t="s">
        <v>217</v>
      </c>
      <c r="AZ73" s="25" t="s">
        <v>746</v>
      </c>
      <c r="BA73" s="25" t="s">
        <v>166</v>
      </c>
      <c r="BB73" s="32" t="s">
        <v>166</v>
      </c>
      <c r="BC73" s="25" t="s">
        <v>179</v>
      </c>
      <c r="BD73" s="25" t="s">
        <v>1537</v>
      </c>
      <c r="BE73" s="25" t="s">
        <v>189</v>
      </c>
      <c r="BF73" s="29">
        <v>5.16</v>
      </c>
      <c r="BG73" s="25" t="s">
        <v>190</v>
      </c>
      <c r="BH73" s="25" t="s">
        <v>166</v>
      </c>
      <c r="BI73" s="25" t="s">
        <v>166</v>
      </c>
      <c r="BJ73" s="29">
        <v>2.44</v>
      </c>
      <c r="BK73" s="29" t="s">
        <v>166</v>
      </c>
      <c r="BL73" s="25" t="s">
        <v>191</v>
      </c>
      <c r="BM73" s="25" t="s">
        <v>178</v>
      </c>
      <c r="BN73" s="25" t="s">
        <v>177</v>
      </c>
      <c r="BO73" s="33" t="s">
        <v>166</v>
      </c>
      <c r="BP73" s="25" t="s">
        <v>1538</v>
      </c>
      <c r="BQ73" s="32">
        <v>4</v>
      </c>
      <c r="BR73" s="25" t="s">
        <v>914</v>
      </c>
      <c r="BS73" s="32">
        <v>1</v>
      </c>
      <c r="BT73" s="25" t="s">
        <v>166</v>
      </c>
      <c r="BU73" s="25" t="s">
        <v>166</v>
      </c>
      <c r="BV73" s="25" t="s">
        <v>1539</v>
      </c>
      <c r="BW73" s="25" t="s">
        <v>166</v>
      </c>
      <c r="BX73" s="25" t="s">
        <v>166</v>
      </c>
      <c r="BY73" s="25" t="s">
        <v>166</v>
      </c>
      <c r="BZ73" s="25" t="s">
        <v>1327</v>
      </c>
      <c r="CA73" s="25" t="s">
        <v>1327</v>
      </c>
      <c r="CB73" s="25" t="s">
        <v>166</v>
      </c>
      <c r="CC73" s="25" t="s">
        <v>166</v>
      </c>
      <c r="CD73" s="25" t="s">
        <v>166</v>
      </c>
      <c r="CE73" s="29" t="s">
        <v>166</v>
      </c>
      <c r="CF73" s="27" t="s">
        <v>166</v>
      </c>
      <c r="CG73" s="28" t="s">
        <v>166</v>
      </c>
      <c r="CH73" s="27" t="s">
        <v>166</v>
      </c>
      <c r="CI73" s="27" t="s">
        <v>166</v>
      </c>
      <c r="CJ73" s="27" t="s">
        <v>166</v>
      </c>
      <c r="CK73" s="27" t="s">
        <v>166</v>
      </c>
      <c r="CL73" s="27" t="s">
        <v>166</v>
      </c>
      <c r="CM73" s="31" t="s">
        <v>166</v>
      </c>
      <c r="CN73" s="27" t="s">
        <v>166</v>
      </c>
      <c r="CO73" s="27" t="s">
        <v>166</v>
      </c>
      <c r="CP73" s="27" t="s">
        <v>166</v>
      </c>
      <c r="CQ73" s="27" t="s">
        <v>166</v>
      </c>
      <c r="CR73" s="27" t="s">
        <v>166</v>
      </c>
      <c r="CS73" s="27" t="s">
        <v>166</v>
      </c>
      <c r="CT73" s="27" t="s">
        <v>166</v>
      </c>
      <c r="CU73" s="27" t="s">
        <v>166</v>
      </c>
      <c r="CV73" s="27" t="s">
        <v>166</v>
      </c>
      <c r="CW73" s="27" t="s">
        <v>166</v>
      </c>
      <c r="CX73" s="27" t="s">
        <v>166</v>
      </c>
      <c r="CY73" s="27">
        <v>0.47</v>
      </c>
      <c r="CZ73" s="27" t="s">
        <v>166</v>
      </c>
      <c r="DA73" s="27" t="s">
        <v>166</v>
      </c>
      <c r="DB73" s="27" t="s">
        <v>166</v>
      </c>
      <c r="DC73" s="27" t="s">
        <v>166</v>
      </c>
      <c r="DD73" s="27" t="s">
        <v>166</v>
      </c>
      <c r="DE73" s="28" t="s">
        <v>166</v>
      </c>
      <c r="DF73" s="33">
        <v>45</v>
      </c>
      <c r="DG73" s="25" t="s">
        <v>1540</v>
      </c>
      <c r="DH73" s="25" t="s">
        <v>193</v>
      </c>
      <c r="DI73" s="25" t="s">
        <v>194</v>
      </c>
      <c r="DJ73" s="25" t="s">
        <v>1541</v>
      </c>
      <c r="DK73" s="25" t="s">
        <v>257</v>
      </c>
      <c r="DL73" s="32" t="s">
        <v>1542</v>
      </c>
      <c r="DM73" s="25" t="s">
        <v>198</v>
      </c>
      <c r="DN73" s="24" t="s">
        <v>1543</v>
      </c>
      <c r="DO73" s="31">
        <v>2020</v>
      </c>
      <c r="DP73" s="25" t="s">
        <v>166</v>
      </c>
      <c r="DQ73" s="25" t="s">
        <v>1544</v>
      </c>
      <c r="DR73" s="29">
        <v>2.44</v>
      </c>
      <c r="DS73" s="27" t="s">
        <v>166</v>
      </c>
      <c r="DT73" s="30" t="s">
        <v>166</v>
      </c>
      <c r="DU73" s="25" t="s">
        <v>166</v>
      </c>
      <c r="DV73" s="29" t="s">
        <v>166</v>
      </c>
      <c r="DW73" s="29" t="s">
        <v>166</v>
      </c>
      <c r="DX73" s="27" t="s">
        <v>166</v>
      </c>
      <c r="DY73" s="27" t="s">
        <v>166</v>
      </c>
      <c r="DZ73" s="28" t="s">
        <v>166</v>
      </c>
      <c r="EA73" s="27" t="s">
        <v>166</v>
      </c>
      <c r="EB73" s="27" t="s">
        <v>166</v>
      </c>
      <c r="EC73" s="27" t="s">
        <v>166</v>
      </c>
      <c r="ED73" s="28" t="s">
        <v>166</v>
      </c>
      <c r="EE73" s="28" t="s">
        <v>166</v>
      </c>
      <c r="EF73" s="28" t="s">
        <v>166</v>
      </c>
      <c r="EG73" s="28" t="s">
        <v>166</v>
      </c>
      <c r="EH73" s="27" t="s">
        <v>166</v>
      </c>
      <c r="EI73" s="27" t="s">
        <v>166</v>
      </c>
      <c r="EJ73" s="27" t="s">
        <v>166</v>
      </c>
      <c r="EK73" s="27" t="s">
        <v>166</v>
      </c>
      <c r="EL73" s="27" t="s">
        <v>166</v>
      </c>
      <c r="EM73" s="27" t="s">
        <v>166</v>
      </c>
      <c r="EN73" s="27" t="s">
        <v>166</v>
      </c>
      <c r="EO73" s="27" t="s">
        <v>166</v>
      </c>
      <c r="EP73" s="27" t="s">
        <v>166</v>
      </c>
      <c r="EQ73" s="27" t="s">
        <v>166</v>
      </c>
      <c r="ER73" s="27" t="s">
        <v>166</v>
      </c>
      <c r="ES73" s="27" t="s">
        <v>166</v>
      </c>
      <c r="ET73" s="25" t="s">
        <v>166</v>
      </c>
      <c r="EU73" s="27" t="s">
        <v>166</v>
      </c>
      <c r="EV73" s="27" t="s">
        <v>166</v>
      </c>
      <c r="EW73" s="27" t="s">
        <v>166</v>
      </c>
      <c r="EX73" s="25" t="s">
        <v>190</v>
      </c>
      <c r="EY73" s="25" t="s">
        <v>190</v>
      </c>
      <c r="EZ73" s="27" t="s">
        <v>166</v>
      </c>
      <c r="FA73" s="26" t="s">
        <v>166</v>
      </c>
      <c r="FB73" s="26" t="s">
        <v>166</v>
      </c>
      <c r="FC73" s="26" t="s">
        <v>166</v>
      </c>
      <c r="FD73" s="26" t="s">
        <v>166</v>
      </c>
      <c r="FE73" s="26" t="s">
        <v>166</v>
      </c>
      <c r="FF73" s="26" t="s">
        <v>166</v>
      </c>
      <c r="FG73" s="25" t="s">
        <v>166</v>
      </c>
      <c r="FH73" s="4">
        <f>HYPERLINK("https://my.pitchbook.com?c=210484-72T","View Company Online")</f>
      </c>
    </row>
    <row r="74">
      <c r="A74" s="14" t="s">
        <v>1545</v>
      </c>
      <c r="B74" s="14" t="s">
        <v>1546</v>
      </c>
      <c r="C74" s="14" t="s">
        <v>1547</v>
      </c>
      <c r="D74" s="14" t="s">
        <v>166</v>
      </c>
      <c r="E74" s="23" t="s">
        <v>1548</v>
      </c>
      <c r="F74" s="21">
        <v>3</v>
      </c>
      <c r="G74" s="14" t="s">
        <v>1549</v>
      </c>
      <c r="H74" s="14" t="s">
        <v>166</v>
      </c>
      <c r="I74" s="14" t="s">
        <v>1550</v>
      </c>
      <c r="J74" s="14" t="s">
        <v>1551</v>
      </c>
      <c r="K74" s="14" t="s">
        <v>207</v>
      </c>
      <c r="L74" s="14" t="s">
        <v>208</v>
      </c>
      <c r="M74" s="14" t="s">
        <v>621</v>
      </c>
      <c r="N74" s="14" t="s">
        <v>1552</v>
      </c>
      <c r="O74" s="14" t="s">
        <v>1553</v>
      </c>
      <c r="P74" s="14" t="s">
        <v>1554</v>
      </c>
      <c r="Q74" s="14" t="s">
        <v>166</v>
      </c>
      <c r="R74" s="14" t="s">
        <v>177</v>
      </c>
      <c r="S74" s="14" t="s">
        <v>178</v>
      </c>
      <c r="T74" s="14" t="s">
        <v>179</v>
      </c>
      <c r="U74" s="14" t="s">
        <v>1555</v>
      </c>
      <c r="V74" s="14" t="s">
        <v>1556</v>
      </c>
      <c r="W74" s="21" t="s">
        <v>166</v>
      </c>
      <c r="X74" s="14" t="s">
        <v>1557</v>
      </c>
      <c r="Y74" s="14" t="s">
        <v>1558</v>
      </c>
      <c r="Z74" s="14" t="s">
        <v>1559</v>
      </c>
      <c r="AA74" s="14" t="s">
        <v>166</v>
      </c>
      <c r="AB74" s="14" t="s">
        <v>166</v>
      </c>
      <c r="AC74" s="14" t="s">
        <v>166</v>
      </c>
      <c r="AD74" s="14" t="s">
        <v>166</v>
      </c>
      <c r="AE74" s="14" t="s">
        <v>166</v>
      </c>
      <c r="AF74" s="14" t="s">
        <v>166</v>
      </c>
      <c r="AG74" s="14" t="s">
        <v>166</v>
      </c>
      <c r="AH74" s="21">
        <v>1</v>
      </c>
      <c r="AI74" s="3">
        <f>HYPERLINK("https://my.pitchbook.com/?d=178837-21T","178837-21T")</f>
      </c>
      <c r="AJ74" s="19" t="s">
        <v>166</v>
      </c>
      <c r="AK74" s="19">
        <v>44417</v>
      </c>
      <c r="AL74" s="18">
        <v>0.9</v>
      </c>
      <c r="AM74" s="14" t="s">
        <v>185</v>
      </c>
      <c r="AN74" s="18" t="s">
        <v>166</v>
      </c>
      <c r="AO74" s="18" t="s">
        <v>166</v>
      </c>
      <c r="AP74" s="14" t="s">
        <v>166</v>
      </c>
      <c r="AQ74" s="21" t="s">
        <v>166</v>
      </c>
      <c r="AR74" s="21" t="s">
        <v>166</v>
      </c>
      <c r="AS74" s="17" t="s">
        <v>166</v>
      </c>
      <c r="AT74" s="18">
        <v>0.9</v>
      </c>
      <c r="AU74" s="21" t="s">
        <v>186</v>
      </c>
      <c r="AV74" s="21" t="s">
        <v>166</v>
      </c>
      <c r="AW74" s="18" t="s">
        <v>166</v>
      </c>
      <c r="AX74" s="21" t="s">
        <v>166</v>
      </c>
      <c r="AY74" s="14" t="s">
        <v>217</v>
      </c>
      <c r="AZ74" s="14" t="s">
        <v>217</v>
      </c>
      <c r="BA74" s="14" t="s">
        <v>166</v>
      </c>
      <c r="BB74" s="21" t="s">
        <v>166</v>
      </c>
      <c r="BC74" s="14" t="s">
        <v>179</v>
      </c>
      <c r="BD74" s="14" t="s">
        <v>1551</v>
      </c>
      <c r="BE74" s="14" t="s">
        <v>189</v>
      </c>
      <c r="BF74" s="18">
        <v>0.9</v>
      </c>
      <c r="BG74" s="14" t="s">
        <v>190</v>
      </c>
      <c r="BH74" s="14" t="s">
        <v>166</v>
      </c>
      <c r="BI74" s="14" t="s">
        <v>166</v>
      </c>
      <c r="BJ74" s="18" t="s">
        <v>166</v>
      </c>
      <c r="BK74" s="18" t="s">
        <v>166</v>
      </c>
      <c r="BL74" s="14" t="s">
        <v>191</v>
      </c>
      <c r="BM74" s="14" t="s">
        <v>178</v>
      </c>
      <c r="BN74" s="14" t="s">
        <v>177</v>
      </c>
      <c r="BO74" s="22">
        <v>1</v>
      </c>
      <c r="BP74" s="14" t="s">
        <v>1548</v>
      </c>
      <c r="BQ74" s="21">
        <v>3</v>
      </c>
      <c r="BR74" s="14" t="s">
        <v>166</v>
      </c>
      <c r="BS74" s="21" t="s">
        <v>166</v>
      </c>
      <c r="BT74" s="14" t="s">
        <v>166</v>
      </c>
      <c r="BU74" s="14" t="s">
        <v>166</v>
      </c>
      <c r="BV74" s="14" t="s">
        <v>1560</v>
      </c>
      <c r="BW74" s="14" t="s">
        <v>166</v>
      </c>
      <c r="BX74" s="14" t="s">
        <v>166</v>
      </c>
      <c r="BY74" s="14" t="s">
        <v>166</v>
      </c>
      <c r="BZ74" s="14" t="s">
        <v>166</v>
      </c>
      <c r="CA74" s="14" t="s">
        <v>166</v>
      </c>
      <c r="CB74" s="14" t="s">
        <v>166</v>
      </c>
      <c r="CC74" s="14" t="s">
        <v>166</v>
      </c>
      <c r="CD74" s="14" t="s">
        <v>166</v>
      </c>
      <c r="CE74" s="18" t="s">
        <v>166</v>
      </c>
      <c r="CF74" s="16" t="s">
        <v>166</v>
      </c>
      <c r="CG74" s="17" t="s">
        <v>166</v>
      </c>
      <c r="CH74" s="16" t="s">
        <v>166</v>
      </c>
      <c r="CI74" s="16" t="s">
        <v>166</v>
      </c>
      <c r="CJ74" s="16" t="s">
        <v>166</v>
      </c>
      <c r="CK74" s="16" t="s">
        <v>166</v>
      </c>
      <c r="CL74" s="16" t="s">
        <v>166</v>
      </c>
      <c r="CM74" s="20" t="s">
        <v>166</v>
      </c>
      <c r="CN74" s="16" t="s">
        <v>166</v>
      </c>
      <c r="CO74" s="16" t="s">
        <v>166</v>
      </c>
      <c r="CP74" s="16" t="s">
        <v>166</v>
      </c>
      <c r="CQ74" s="16" t="s">
        <v>166</v>
      </c>
      <c r="CR74" s="16" t="s">
        <v>166</v>
      </c>
      <c r="CS74" s="16" t="s">
        <v>166</v>
      </c>
      <c r="CT74" s="16" t="s">
        <v>166</v>
      </c>
      <c r="CU74" s="16" t="s">
        <v>166</v>
      </c>
      <c r="CV74" s="16" t="s">
        <v>166</v>
      </c>
      <c r="CW74" s="16" t="s">
        <v>166</v>
      </c>
      <c r="CX74" s="16" t="s">
        <v>166</v>
      </c>
      <c r="CY74" s="16" t="s">
        <v>166</v>
      </c>
      <c r="CZ74" s="16" t="s">
        <v>166</v>
      </c>
      <c r="DA74" s="16" t="s">
        <v>166</v>
      </c>
      <c r="DB74" s="16" t="s">
        <v>166</v>
      </c>
      <c r="DC74" s="16" t="s">
        <v>166</v>
      </c>
      <c r="DD74" s="16" t="s">
        <v>166</v>
      </c>
      <c r="DE74" s="17" t="s">
        <v>166</v>
      </c>
      <c r="DF74" s="22">
        <v>4</v>
      </c>
      <c r="DG74" s="14" t="s">
        <v>1561</v>
      </c>
      <c r="DH74" s="14" t="s">
        <v>193</v>
      </c>
      <c r="DI74" s="14" t="s">
        <v>194</v>
      </c>
      <c r="DJ74" s="14" t="s">
        <v>1562</v>
      </c>
      <c r="DK74" s="14" t="s">
        <v>257</v>
      </c>
      <c r="DL74" s="21" t="s">
        <v>1563</v>
      </c>
      <c r="DM74" s="14" t="s">
        <v>198</v>
      </c>
      <c r="DN74" s="13" t="s">
        <v>1564</v>
      </c>
      <c r="DO74" s="20">
        <v>2021</v>
      </c>
      <c r="DP74" s="14" t="s">
        <v>166</v>
      </c>
      <c r="DQ74" s="14" t="s">
        <v>166</v>
      </c>
      <c r="DR74" s="18" t="s">
        <v>166</v>
      </c>
      <c r="DS74" s="16" t="s">
        <v>166</v>
      </c>
      <c r="DT74" s="19" t="s">
        <v>166</v>
      </c>
      <c r="DU74" s="14" t="s">
        <v>166</v>
      </c>
      <c r="DV74" s="18" t="s">
        <v>166</v>
      </c>
      <c r="DW74" s="18" t="s">
        <v>166</v>
      </c>
      <c r="DX74" s="16" t="s">
        <v>166</v>
      </c>
      <c r="DY74" s="16" t="s">
        <v>166</v>
      </c>
      <c r="DZ74" s="17" t="s">
        <v>166</v>
      </c>
      <c r="EA74" s="16" t="s">
        <v>166</v>
      </c>
      <c r="EB74" s="16" t="s">
        <v>166</v>
      </c>
      <c r="EC74" s="16" t="s">
        <v>166</v>
      </c>
      <c r="ED74" s="17" t="s">
        <v>166</v>
      </c>
      <c r="EE74" s="17" t="s">
        <v>166</v>
      </c>
      <c r="EF74" s="17" t="s">
        <v>166</v>
      </c>
      <c r="EG74" s="17" t="s">
        <v>166</v>
      </c>
      <c r="EH74" s="16" t="s">
        <v>166</v>
      </c>
      <c r="EI74" s="16" t="s">
        <v>166</v>
      </c>
      <c r="EJ74" s="16" t="s">
        <v>166</v>
      </c>
      <c r="EK74" s="16" t="s">
        <v>166</v>
      </c>
      <c r="EL74" s="16" t="s">
        <v>166</v>
      </c>
      <c r="EM74" s="16" t="s">
        <v>166</v>
      </c>
      <c r="EN74" s="16" t="s">
        <v>166</v>
      </c>
      <c r="EO74" s="16" t="s">
        <v>166</v>
      </c>
      <c r="EP74" s="16" t="s">
        <v>166</v>
      </c>
      <c r="EQ74" s="16" t="s">
        <v>166</v>
      </c>
      <c r="ER74" s="16" t="s">
        <v>166</v>
      </c>
      <c r="ES74" s="16" t="s">
        <v>166</v>
      </c>
      <c r="ET74" s="14" t="s">
        <v>166</v>
      </c>
      <c r="EU74" s="16" t="s">
        <v>166</v>
      </c>
      <c r="EV74" s="16" t="s">
        <v>166</v>
      </c>
      <c r="EW74" s="16" t="s">
        <v>166</v>
      </c>
      <c r="EX74" s="14" t="s">
        <v>190</v>
      </c>
      <c r="EY74" s="14" t="s">
        <v>166</v>
      </c>
      <c r="EZ74" s="16" t="s">
        <v>166</v>
      </c>
      <c r="FA74" s="15" t="s">
        <v>166</v>
      </c>
      <c r="FB74" s="15" t="s">
        <v>166</v>
      </c>
      <c r="FC74" s="15" t="s">
        <v>166</v>
      </c>
      <c r="FD74" s="15" t="s">
        <v>166</v>
      </c>
      <c r="FE74" s="15" t="s">
        <v>166</v>
      </c>
      <c r="FF74" s="15" t="s">
        <v>166</v>
      </c>
      <c r="FG74" s="14" t="s">
        <v>166</v>
      </c>
      <c r="FH74" s="3">
        <f>HYPERLINK("https://my.pitchbook.com?c=178837-21T","View Company Online")</f>
      </c>
    </row>
    <row r="75">
      <c r="A75" s="25" t="s">
        <v>1565</v>
      </c>
      <c r="B75" s="25" t="s">
        <v>1566</v>
      </c>
      <c r="C75" s="25" t="s">
        <v>1567</v>
      </c>
      <c r="D75" s="25" t="s">
        <v>166</v>
      </c>
      <c r="E75" s="34" t="s">
        <v>1568</v>
      </c>
      <c r="F75" s="32">
        <v>9</v>
      </c>
      <c r="G75" s="25" t="s">
        <v>1569</v>
      </c>
      <c r="H75" s="25" t="s">
        <v>166</v>
      </c>
      <c r="I75" s="25" t="s">
        <v>1570</v>
      </c>
      <c r="J75" s="25" t="s">
        <v>1571</v>
      </c>
      <c r="K75" s="25" t="s">
        <v>207</v>
      </c>
      <c r="L75" s="25" t="s">
        <v>208</v>
      </c>
      <c r="M75" s="25" t="s">
        <v>209</v>
      </c>
      <c r="N75" s="25" t="s">
        <v>684</v>
      </c>
      <c r="O75" s="25" t="s">
        <v>211</v>
      </c>
      <c r="P75" s="25" t="s">
        <v>1572</v>
      </c>
      <c r="Q75" s="25" t="s">
        <v>166</v>
      </c>
      <c r="R75" s="25" t="s">
        <v>177</v>
      </c>
      <c r="S75" s="25" t="s">
        <v>178</v>
      </c>
      <c r="T75" s="25" t="s">
        <v>179</v>
      </c>
      <c r="U75" s="25" t="s">
        <v>1573</v>
      </c>
      <c r="V75" s="25" t="s">
        <v>1574</v>
      </c>
      <c r="W75" s="32" t="s">
        <v>1575</v>
      </c>
      <c r="X75" s="25" t="s">
        <v>1576</v>
      </c>
      <c r="Y75" s="25" t="s">
        <v>1577</v>
      </c>
      <c r="Z75" s="25" t="s">
        <v>1578</v>
      </c>
      <c r="AA75" s="25" t="s">
        <v>242</v>
      </c>
      <c r="AB75" s="25" t="s">
        <v>243</v>
      </c>
      <c r="AC75" s="25" t="s">
        <v>244</v>
      </c>
      <c r="AD75" s="25" t="s">
        <v>243</v>
      </c>
      <c r="AE75" s="25" t="s">
        <v>243</v>
      </c>
      <c r="AF75" s="25" t="s">
        <v>166</v>
      </c>
      <c r="AG75" s="25" t="s">
        <v>246</v>
      </c>
      <c r="AH75" s="32">
        <v>1</v>
      </c>
      <c r="AI75" s="4">
        <f>HYPERLINK("https://my.pitchbook.com/?d=139952-17T","139952-17T")</f>
      </c>
      <c r="AJ75" s="30" t="s">
        <v>166</v>
      </c>
      <c r="AK75" s="30">
        <v>44035</v>
      </c>
      <c r="AL75" s="29">
        <v>4.75</v>
      </c>
      <c r="AM75" s="25" t="s">
        <v>185</v>
      </c>
      <c r="AN75" s="29">
        <v>6</v>
      </c>
      <c r="AO75" s="29">
        <v>10.75</v>
      </c>
      <c r="AP75" s="25" t="s">
        <v>185</v>
      </c>
      <c r="AQ75" s="32" t="s">
        <v>166</v>
      </c>
      <c r="AR75" s="32" t="s">
        <v>166</v>
      </c>
      <c r="AS75" s="28">
        <v>49.49</v>
      </c>
      <c r="AT75" s="29">
        <v>4.75</v>
      </c>
      <c r="AU75" s="32" t="s">
        <v>186</v>
      </c>
      <c r="AV75" s="32" t="s">
        <v>166</v>
      </c>
      <c r="AW75" s="29">
        <v>0.66</v>
      </c>
      <c r="AX75" s="32" t="s">
        <v>166</v>
      </c>
      <c r="AY75" s="25" t="s">
        <v>217</v>
      </c>
      <c r="AZ75" s="25" t="s">
        <v>217</v>
      </c>
      <c r="BA75" s="25" t="s">
        <v>166</v>
      </c>
      <c r="BB75" s="32" t="s">
        <v>166</v>
      </c>
      <c r="BC75" s="25" t="s">
        <v>179</v>
      </c>
      <c r="BD75" s="25" t="s">
        <v>1579</v>
      </c>
      <c r="BE75" s="25" t="s">
        <v>189</v>
      </c>
      <c r="BF75" s="29">
        <v>4.75</v>
      </c>
      <c r="BG75" s="25" t="s">
        <v>190</v>
      </c>
      <c r="BH75" s="25" t="s">
        <v>166</v>
      </c>
      <c r="BI75" s="25" t="s">
        <v>166</v>
      </c>
      <c r="BJ75" s="29" t="s">
        <v>166</v>
      </c>
      <c r="BK75" s="29" t="s">
        <v>166</v>
      </c>
      <c r="BL75" s="25" t="s">
        <v>191</v>
      </c>
      <c r="BM75" s="25" t="s">
        <v>178</v>
      </c>
      <c r="BN75" s="25" t="s">
        <v>177</v>
      </c>
      <c r="BO75" s="33">
        <v>12</v>
      </c>
      <c r="BP75" s="25" t="s">
        <v>1580</v>
      </c>
      <c r="BQ75" s="32">
        <v>9</v>
      </c>
      <c r="BR75" s="25" t="s">
        <v>166</v>
      </c>
      <c r="BS75" s="32" t="s">
        <v>166</v>
      </c>
      <c r="BT75" s="25" t="s">
        <v>1581</v>
      </c>
      <c r="BU75" s="25" t="s">
        <v>166</v>
      </c>
      <c r="BV75" s="25" t="s">
        <v>1582</v>
      </c>
      <c r="BW75" s="25" t="s">
        <v>166</v>
      </c>
      <c r="BX75" s="25" t="s">
        <v>166</v>
      </c>
      <c r="BY75" s="25" t="s">
        <v>166</v>
      </c>
      <c r="BZ75" s="25" t="s">
        <v>166</v>
      </c>
      <c r="CA75" s="25" t="s">
        <v>166</v>
      </c>
      <c r="CB75" s="25" t="s">
        <v>166</v>
      </c>
      <c r="CC75" s="25" t="s">
        <v>166</v>
      </c>
      <c r="CD75" s="25" t="s">
        <v>166</v>
      </c>
      <c r="CE75" s="29" t="s">
        <v>166</v>
      </c>
      <c r="CF75" s="27" t="s">
        <v>166</v>
      </c>
      <c r="CG75" s="28" t="s">
        <v>166</v>
      </c>
      <c r="CH75" s="27" t="s">
        <v>166</v>
      </c>
      <c r="CI75" s="27" t="s">
        <v>166</v>
      </c>
      <c r="CJ75" s="27" t="s">
        <v>166</v>
      </c>
      <c r="CK75" s="27" t="s">
        <v>166</v>
      </c>
      <c r="CL75" s="27" t="s">
        <v>166</v>
      </c>
      <c r="CM75" s="31" t="s">
        <v>166</v>
      </c>
      <c r="CN75" s="27" t="s">
        <v>166</v>
      </c>
      <c r="CO75" s="27" t="s">
        <v>166</v>
      </c>
      <c r="CP75" s="27" t="s">
        <v>166</v>
      </c>
      <c r="CQ75" s="27" t="s">
        <v>166</v>
      </c>
      <c r="CR75" s="27" t="s">
        <v>166</v>
      </c>
      <c r="CS75" s="27" t="s">
        <v>166</v>
      </c>
      <c r="CT75" s="27" t="s">
        <v>166</v>
      </c>
      <c r="CU75" s="27" t="s">
        <v>166</v>
      </c>
      <c r="CV75" s="27" t="s">
        <v>166</v>
      </c>
      <c r="CW75" s="27" t="s">
        <v>166</v>
      </c>
      <c r="CX75" s="27" t="s">
        <v>166</v>
      </c>
      <c r="CY75" s="27" t="s">
        <v>166</v>
      </c>
      <c r="CZ75" s="27" t="s">
        <v>166</v>
      </c>
      <c r="DA75" s="27" t="s">
        <v>166</v>
      </c>
      <c r="DB75" s="27" t="s">
        <v>166</v>
      </c>
      <c r="DC75" s="27" t="s">
        <v>166</v>
      </c>
      <c r="DD75" s="27" t="s">
        <v>166</v>
      </c>
      <c r="DE75" s="28" t="s">
        <v>166</v>
      </c>
      <c r="DF75" s="33">
        <v>36</v>
      </c>
      <c r="DG75" s="25" t="s">
        <v>518</v>
      </c>
      <c r="DH75" s="25" t="s">
        <v>193</v>
      </c>
      <c r="DI75" s="25" t="s">
        <v>194</v>
      </c>
      <c r="DJ75" s="25" t="s">
        <v>519</v>
      </c>
      <c r="DK75" s="25" t="s">
        <v>257</v>
      </c>
      <c r="DL75" s="32" t="s">
        <v>1583</v>
      </c>
      <c r="DM75" s="25" t="s">
        <v>198</v>
      </c>
      <c r="DN75" s="24" t="s">
        <v>1584</v>
      </c>
      <c r="DO75" s="31">
        <v>2017</v>
      </c>
      <c r="DP75" s="25" t="s">
        <v>166</v>
      </c>
      <c r="DQ75" s="25" t="s">
        <v>166</v>
      </c>
      <c r="DR75" s="29" t="s">
        <v>166</v>
      </c>
      <c r="DS75" s="27" t="s">
        <v>166</v>
      </c>
      <c r="DT75" s="30" t="s">
        <v>166</v>
      </c>
      <c r="DU75" s="25" t="s">
        <v>166</v>
      </c>
      <c r="DV75" s="29" t="s">
        <v>166</v>
      </c>
      <c r="DW75" s="29" t="s">
        <v>166</v>
      </c>
      <c r="DX75" s="27" t="s">
        <v>166</v>
      </c>
      <c r="DY75" s="27" t="s">
        <v>166</v>
      </c>
      <c r="DZ75" s="28" t="s">
        <v>166</v>
      </c>
      <c r="EA75" s="27" t="s">
        <v>166</v>
      </c>
      <c r="EB75" s="27" t="s">
        <v>166</v>
      </c>
      <c r="EC75" s="27" t="s">
        <v>166</v>
      </c>
      <c r="ED75" s="28" t="s">
        <v>166</v>
      </c>
      <c r="EE75" s="28" t="s">
        <v>166</v>
      </c>
      <c r="EF75" s="28" t="s">
        <v>166</v>
      </c>
      <c r="EG75" s="28" t="s">
        <v>166</v>
      </c>
      <c r="EH75" s="27" t="s">
        <v>166</v>
      </c>
      <c r="EI75" s="27" t="s">
        <v>166</v>
      </c>
      <c r="EJ75" s="27" t="s">
        <v>166</v>
      </c>
      <c r="EK75" s="27" t="s">
        <v>166</v>
      </c>
      <c r="EL75" s="27" t="s">
        <v>166</v>
      </c>
      <c r="EM75" s="27" t="s">
        <v>166</v>
      </c>
      <c r="EN75" s="27" t="s">
        <v>166</v>
      </c>
      <c r="EO75" s="27" t="s">
        <v>166</v>
      </c>
      <c r="EP75" s="27" t="s">
        <v>166</v>
      </c>
      <c r="EQ75" s="27" t="s">
        <v>166</v>
      </c>
      <c r="ER75" s="27" t="s">
        <v>166</v>
      </c>
      <c r="ES75" s="27" t="s">
        <v>166</v>
      </c>
      <c r="ET75" s="25" t="s">
        <v>166</v>
      </c>
      <c r="EU75" s="27" t="s">
        <v>166</v>
      </c>
      <c r="EV75" s="27" t="s">
        <v>166</v>
      </c>
      <c r="EW75" s="27" t="s">
        <v>166</v>
      </c>
      <c r="EX75" s="25" t="s">
        <v>190</v>
      </c>
      <c r="EY75" s="25" t="s">
        <v>166</v>
      </c>
      <c r="EZ75" s="27" t="s">
        <v>166</v>
      </c>
      <c r="FA75" s="26" t="s">
        <v>166</v>
      </c>
      <c r="FB75" s="26" t="s">
        <v>166</v>
      </c>
      <c r="FC75" s="26" t="s">
        <v>166</v>
      </c>
      <c r="FD75" s="26" t="s">
        <v>166</v>
      </c>
      <c r="FE75" s="26" t="s">
        <v>166</v>
      </c>
      <c r="FF75" s="26" t="s">
        <v>166</v>
      </c>
      <c r="FG75" s="25" t="s">
        <v>166</v>
      </c>
      <c r="FH75" s="4">
        <f>HYPERLINK("https://my.pitchbook.com?c=139952-17T","View Company Online")</f>
      </c>
    </row>
    <row r="76">
      <c r="A76" s="14" t="s">
        <v>1585</v>
      </c>
      <c r="B76" s="14" t="s">
        <v>1586</v>
      </c>
      <c r="C76" s="14" t="s">
        <v>1587</v>
      </c>
      <c r="D76" s="14" t="s">
        <v>166</v>
      </c>
      <c r="E76" s="23" t="s">
        <v>1588</v>
      </c>
      <c r="F76" s="21">
        <v>8</v>
      </c>
      <c r="G76" s="14" t="s">
        <v>1589</v>
      </c>
      <c r="H76" s="14" t="s">
        <v>166</v>
      </c>
      <c r="I76" s="14" t="s">
        <v>1590</v>
      </c>
      <c r="J76" s="14" t="s">
        <v>1591</v>
      </c>
      <c r="K76" s="14" t="s">
        <v>207</v>
      </c>
      <c r="L76" s="14" t="s">
        <v>208</v>
      </c>
      <c r="M76" s="14" t="s">
        <v>1220</v>
      </c>
      <c r="N76" s="14" t="s">
        <v>1592</v>
      </c>
      <c r="O76" s="14" t="s">
        <v>800</v>
      </c>
      <c r="P76" s="14" t="s">
        <v>1593</v>
      </c>
      <c r="Q76" s="14" t="s">
        <v>166</v>
      </c>
      <c r="R76" s="14" t="s">
        <v>177</v>
      </c>
      <c r="S76" s="14" t="s">
        <v>178</v>
      </c>
      <c r="T76" s="14" t="s">
        <v>179</v>
      </c>
      <c r="U76" s="14" t="s">
        <v>1594</v>
      </c>
      <c r="V76" s="14" t="s">
        <v>1595</v>
      </c>
      <c r="W76" s="21" t="s">
        <v>166</v>
      </c>
      <c r="X76" s="14" t="s">
        <v>166</v>
      </c>
      <c r="Y76" s="14" t="s">
        <v>1596</v>
      </c>
      <c r="Z76" s="14" t="s">
        <v>166</v>
      </c>
      <c r="AA76" s="14" t="s">
        <v>166</v>
      </c>
      <c r="AB76" s="14" t="s">
        <v>166</v>
      </c>
      <c r="AC76" s="14" t="s">
        <v>166</v>
      </c>
      <c r="AD76" s="14" t="s">
        <v>166</v>
      </c>
      <c r="AE76" s="14" t="s">
        <v>166</v>
      </c>
      <c r="AF76" s="14" t="s">
        <v>166</v>
      </c>
      <c r="AG76" s="14" t="s">
        <v>166</v>
      </c>
      <c r="AH76" s="21">
        <v>2</v>
      </c>
      <c r="AI76" s="3">
        <f>HYPERLINK("https://my.pitchbook.com/?d=241865-20T","241865-20T")</f>
      </c>
      <c r="AJ76" s="19" t="s">
        <v>166</v>
      </c>
      <c r="AK76" s="19">
        <v>45336</v>
      </c>
      <c r="AL76" s="18">
        <v>3.3</v>
      </c>
      <c r="AM76" s="14" t="s">
        <v>185</v>
      </c>
      <c r="AN76" s="18" t="s">
        <v>166</v>
      </c>
      <c r="AO76" s="18" t="s">
        <v>166</v>
      </c>
      <c r="AP76" s="14" t="s">
        <v>166</v>
      </c>
      <c r="AQ76" s="21" t="s">
        <v>166</v>
      </c>
      <c r="AR76" s="21" t="s">
        <v>166</v>
      </c>
      <c r="AS76" s="17" t="s">
        <v>166</v>
      </c>
      <c r="AT76" s="18">
        <v>3.8</v>
      </c>
      <c r="AU76" s="21" t="s">
        <v>186</v>
      </c>
      <c r="AV76" s="21" t="s">
        <v>166</v>
      </c>
      <c r="AW76" s="18" t="s">
        <v>166</v>
      </c>
      <c r="AX76" s="21" t="s">
        <v>166</v>
      </c>
      <c r="AY76" s="14" t="s">
        <v>217</v>
      </c>
      <c r="AZ76" s="14" t="s">
        <v>217</v>
      </c>
      <c r="BA76" s="14" t="s">
        <v>166</v>
      </c>
      <c r="BB76" s="21" t="s">
        <v>166</v>
      </c>
      <c r="BC76" s="14" t="s">
        <v>179</v>
      </c>
      <c r="BD76" s="14" t="s">
        <v>1591</v>
      </c>
      <c r="BE76" s="14" t="s">
        <v>189</v>
      </c>
      <c r="BF76" s="18">
        <v>3.3</v>
      </c>
      <c r="BG76" s="14" t="s">
        <v>190</v>
      </c>
      <c r="BH76" s="14" t="s">
        <v>166</v>
      </c>
      <c r="BI76" s="14" t="s">
        <v>166</v>
      </c>
      <c r="BJ76" s="18" t="s">
        <v>166</v>
      </c>
      <c r="BK76" s="18" t="s">
        <v>166</v>
      </c>
      <c r="BL76" s="14" t="s">
        <v>191</v>
      </c>
      <c r="BM76" s="14" t="s">
        <v>178</v>
      </c>
      <c r="BN76" s="14" t="s">
        <v>177</v>
      </c>
      <c r="BO76" s="22">
        <v>4</v>
      </c>
      <c r="BP76" s="14" t="s">
        <v>1597</v>
      </c>
      <c r="BQ76" s="21">
        <v>7</v>
      </c>
      <c r="BR76" s="14" t="s">
        <v>914</v>
      </c>
      <c r="BS76" s="21">
        <v>1</v>
      </c>
      <c r="BT76" s="14" t="s">
        <v>1598</v>
      </c>
      <c r="BU76" s="14" t="s">
        <v>166</v>
      </c>
      <c r="BV76" s="14" t="s">
        <v>166</v>
      </c>
      <c r="BW76" s="14" t="s">
        <v>166</v>
      </c>
      <c r="BX76" s="14" t="s">
        <v>166</v>
      </c>
      <c r="BY76" s="14" t="s">
        <v>166</v>
      </c>
      <c r="BZ76" s="14" t="s">
        <v>1327</v>
      </c>
      <c r="CA76" s="14" t="s">
        <v>1327</v>
      </c>
      <c r="CB76" s="14" t="s">
        <v>166</v>
      </c>
      <c r="CC76" s="14" t="s">
        <v>166</v>
      </c>
      <c r="CD76" s="14" t="s">
        <v>166</v>
      </c>
      <c r="CE76" s="18" t="s">
        <v>166</v>
      </c>
      <c r="CF76" s="16" t="s">
        <v>166</v>
      </c>
      <c r="CG76" s="17" t="s">
        <v>166</v>
      </c>
      <c r="CH76" s="16" t="s">
        <v>166</v>
      </c>
      <c r="CI76" s="16" t="s">
        <v>166</v>
      </c>
      <c r="CJ76" s="16" t="s">
        <v>166</v>
      </c>
      <c r="CK76" s="16" t="s">
        <v>166</v>
      </c>
      <c r="CL76" s="16" t="s">
        <v>166</v>
      </c>
      <c r="CM76" s="20" t="s">
        <v>166</v>
      </c>
      <c r="CN76" s="16" t="s">
        <v>166</v>
      </c>
      <c r="CO76" s="16" t="s">
        <v>166</v>
      </c>
      <c r="CP76" s="16" t="s">
        <v>166</v>
      </c>
      <c r="CQ76" s="16" t="s">
        <v>166</v>
      </c>
      <c r="CR76" s="16" t="s">
        <v>166</v>
      </c>
      <c r="CS76" s="16" t="s">
        <v>166</v>
      </c>
      <c r="CT76" s="16" t="s">
        <v>166</v>
      </c>
      <c r="CU76" s="16" t="s">
        <v>166</v>
      </c>
      <c r="CV76" s="16" t="s">
        <v>166</v>
      </c>
      <c r="CW76" s="16" t="s">
        <v>166</v>
      </c>
      <c r="CX76" s="16" t="s">
        <v>166</v>
      </c>
      <c r="CY76" s="16" t="s">
        <v>166</v>
      </c>
      <c r="CZ76" s="16" t="s">
        <v>166</v>
      </c>
      <c r="DA76" s="16" t="s">
        <v>166</v>
      </c>
      <c r="DB76" s="16" t="s">
        <v>166</v>
      </c>
      <c r="DC76" s="16" t="s">
        <v>166</v>
      </c>
      <c r="DD76" s="16" t="s">
        <v>166</v>
      </c>
      <c r="DE76" s="17" t="s">
        <v>166</v>
      </c>
      <c r="DF76" s="22">
        <v>7</v>
      </c>
      <c r="DG76" s="14" t="s">
        <v>673</v>
      </c>
      <c r="DH76" s="14" t="s">
        <v>193</v>
      </c>
      <c r="DI76" s="14" t="s">
        <v>194</v>
      </c>
      <c r="DJ76" s="14" t="s">
        <v>674</v>
      </c>
      <c r="DK76" s="14" t="s">
        <v>257</v>
      </c>
      <c r="DL76" s="21" t="s">
        <v>1599</v>
      </c>
      <c r="DM76" s="14" t="s">
        <v>198</v>
      </c>
      <c r="DN76" s="13" t="s">
        <v>1600</v>
      </c>
      <c r="DO76" s="20">
        <v>2023</v>
      </c>
      <c r="DP76" s="14" t="s">
        <v>166</v>
      </c>
      <c r="DQ76" s="14" t="s">
        <v>166</v>
      </c>
      <c r="DR76" s="18" t="s">
        <v>166</v>
      </c>
      <c r="DS76" s="16" t="s">
        <v>166</v>
      </c>
      <c r="DT76" s="19" t="s">
        <v>166</v>
      </c>
      <c r="DU76" s="14" t="s">
        <v>166</v>
      </c>
      <c r="DV76" s="18" t="s">
        <v>166</v>
      </c>
      <c r="DW76" s="18" t="s">
        <v>166</v>
      </c>
      <c r="DX76" s="16" t="s">
        <v>166</v>
      </c>
      <c r="DY76" s="16" t="s">
        <v>166</v>
      </c>
      <c r="DZ76" s="17" t="s">
        <v>166</v>
      </c>
      <c r="EA76" s="16" t="s">
        <v>166</v>
      </c>
      <c r="EB76" s="16" t="s">
        <v>166</v>
      </c>
      <c r="EC76" s="16" t="s">
        <v>166</v>
      </c>
      <c r="ED76" s="17" t="s">
        <v>166</v>
      </c>
      <c r="EE76" s="17" t="s">
        <v>166</v>
      </c>
      <c r="EF76" s="17" t="s">
        <v>166</v>
      </c>
      <c r="EG76" s="17" t="s">
        <v>166</v>
      </c>
      <c r="EH76" s="16" t="s">
        <v>166</v>
      </c>
      <c r="EI76" s="16" t="s">
        <v>166</v>
      </c>
      <c r="EJ76" s="16" t="s">
        <v>166</v>
      </c>
      <c r="EK76" s="16" t="s">
        <v>166</v>
      </c>
      <c r="EL76" s="16" t="s">
        <v>166</v>
      </c>
      <c r="EM76" s="16" t="s">
        <v>166</v>
      </c>
      <c r="EN76" s="16" t="s">
        <v>166</v>
      </c>
      <c r="EO76" s="16" t="s">
        <v>166</v>
      </c>
      <c r="EP76" s="16" t="s">
        <v>166</v>
      </c>
      <c r="EQ76" s="16" t="s">
        <v>166</v>
      </c>
      <c r="ER76" s="16" t="s">
        <v>166</v>
      </c>
      <c r="ES76" s="16" t="s">
        <v>166</v>
      </c>
      <c r="ET76" s="14" t="s">
        <v>166</v>
      </c>
      <c r="EU76" s="16" t="s">
        <v>166</v>
      </c>
      <c r="EV76" s="16" t="s">
        <v>166</v>
      </c>
      <c r="EW76" s="16" t="s">
        <v>166</v>
      </c>
      <c r="EX76" s="14" t="s">
        <v>190</v>
      </c>
      <c r="EY76" s="14" t="s">
        <v>166</v>
      </c>
      <c r="EZ76" s="16" t="s">
        <v>166</v>
      </c>
      <c r="FA76" s="15" t="s">
        <v>166</v>
      </c>
      <c r="FB76" s="15" t="s">
        <v>166</v>
      </c>
      <c r="FC76" s="15" t="s">
        <v>166</v>
      </c>
      <c r="FD76" s="15" t="s">
        <v>166</v>
      </c>
      <c r="FE76" s="15" t="s">
        <v>166</v>
      </c>
      <c r="FF76" s="15" t="s">
        <v>166</v>
      </c>
      <c r="FG76" s="14" t="s">
        <v>166</v>
      </c>
      <c r="FH76" s="3">
        <f>HYPERLINK("https://my.pitchbook.com?c=241865-20T","View Company Online")</f>
      </c>
    </row>
    <row r="77">
      <c r="A77" s="25" t="s">
        <v>1601</v>
      </c>
      <c r="B77" s="25" t="s">
        <v>1602</v>
      </c>
      <c r="C77" s="25" t="s">
        <v>1603</v>
      </c>
      <c r="D77" s="25" t="s">
        <v>166</v>
      </c>
      <c r="E77" s="34" t="s">
        <v>1604</v>
      </c>
      <c r="F77" s="32">
        <v>8</v>
      </c>
      <c r="G77" s="25" t="s">
        <v>1605</v>
      </c>
      <c r="H77" s="25" t="s">
        <v>166</v>
      </c>
      <c r="I77" s="25" t="s">
        <v>1606</v>
      </c>
      <c r="J77" s="25" t="s">
        <v>1607</v>
      </c>
      <c r="K77" s="25" t="s">
        <v>207</v>
      </c>
      <c r="L77" s="25" t="s">
        <v>208</v>
      </c>
      <c r="M77" s="25" t="s">
        <v>209</v>
      </c>
      <c r="N77" s="25" t="s">
        <v>269</v>
      </c>
      <c r="O77" s="25" t="s">
        <v>665</v>
      </c>
      <c r="P77" s="25" t="s">
        <v>1608</v>
      </c>
      <c r="Q77" s="25" t="s">
        <v>166</v>
      </c>
      <c r="R77" s="25" t="s">
        <v>177</v>
      </c>
      <c r="S77" s="25" t="s">
        <v>178</v>
      </c>
      <c r="T77" s="25" t="s">
        <v>179</v>
      </c>
      <c r="U77" s="25" t="s">
        <v>1609</v>
      </c>
      <c r="V77" s="25" t="s">
        <v>1610</v>
      </c>
      <c r="W77" s="32" t="s">
        <v>166</v>
      </c>
      <c r="X77" s="25" t="s">
        <v>166</v>
      </c>
      <c r="Y77" s="25" t="s">
        <v>1611</v>
      </c>
      <c r="Z77" s="25" t="s">
        <v>166</v>
      </c>
      <c r="AA77" s="25" t="s">
        <v>242</v>
      </c>
      <c r="AB77" s="25" t="s">
        <v>243</v>
      </c>
      <c r="AC77" s="25" t="s">
        <v>244</v>
      </c>
      <c r="AD77" s="25" t="s">
        <v>166</v>
      </c>
      <c r="AE77" s="25" t="s">
        <v>243</v>
      </c>
      <c r="AF77" s="25" t="s">
        <v>166</v>
      </c>
      <c r="AG77" s="25" t="s">
        <v>166</v>
      </c>
      <c r="AH77" s="32">
        <v>1</v>
      </c>
      <c r="AI77" s="4">
        <f>HYPERLINK("https://my.pitchbook.com/?d=246979-72T","246979-72T")</f>
      </c>
      <c r="AJ77" s="30" t="s">
        <v>166</v>
      </c>
      <c r="AK77" s="30">
        <v>45265</v>
      </c>
      <c r="AL77" s="29">
        <v>7.18</v>
      </c>
      <c r="AM77" s="25" t="s">
        <v>185</v>
      </c>
      <c r="AN77" s="29">
        <v>25</v>
      </c>
      <c r="AO77" s="29">
        <v>32.18</v>
      </c>
      <c r="AP77" s="25" t="s">
        <v>185</v>
      </c>
      <c r="AQ77" s="32" t="s">
        <v>166</v>
      </c>
      <c r="AR77" s="32" t="s">
        <v>166</v>
      </c>
      <c r="AS77" s="28">
        <v>22.32</v>
      </c>
      <c r="AT77" s="29">
        <v>7.18</v>
      </c>
      <c r="AU77" s="32" t="s">
        <v>186</v>
      </c>
      <c r="AV77" s="32" t="s">
        <v>166</v>
      </c>
      <c r="AW77" s="29">
        <v>2.56</v>
      </c>
      <c r="AX77" s="32" t="s">
        <v>166</v>
      </c>
      <c r="AY77" s="25" t="s">
        <v>217</v>
      </c>
      <c r="AZ77" s="25" t="s">
        <v>217</v>
      </c>
      <c r="BA77" s="25" t="s">
        <v>166</v>
      </c>
      <c r="BB77" s="32" t="s">
        <v>166</v>
      </c>
      <c r="BC77" s="25" t="s">
        <v>179</v>
      </c>
      <c r="BD77" s="25" t="s">
        <v>1612</v>
      </c>
      <c r="BE77" s="25" t="s">
        <v>189</v>
      </c>
      <c r="BF77" s="29">
        <v>7.18</v>
      </c>
      <c r="BG77" s="25" t="s">
        <v>190</v>
      </c>
      <c r="BH77" s="25" t="s">
        <v>166</v>
      </c>
      <c r="BI77" s="25" t="s">
        <v>166</v>
      </c>
      <c r="BJ77" s="29" t="s">
        <v>166</v>
      </c>
      <c r="BK77" s="29" t="s">
        <v>166</v>
      </c>
      <c r="BL77" s="25" t="s">
        <v>191</v>
      </c>
      <c r="BM77" s="25" t="s">
        <v>178</v>
      </c>
      <c r="BN77" s="25" t="s">
        <v>177</v>
      </c>
      <c r="BO77" s="33" t="s">
        <v>166</v>
      </c>
      <c r="BP77" s="25" t="s">
        <v>1613</v>
      </c>
      <c r="BQ77" s="32">
        <v>8</v>
      </c>
      <c r="BR77" s="25" t="s">
        <v>166</v>
      </c>
      <c r="BS77" s="32" t="s">
        <v>166</v>
      </c>
      <c r="BT77" s="25" t="s">
        <v>1614</v>
      </c>
      <c r="BU77" s="25" t="s">
        <v>166</v>
      </c>
      <c r="BV77" s="25" t="s">
        <v>166</v>
      </c>
      <c r="BW77" s="25" t="s">
        <v>166</v>
      </c>
      <c r="BX77" s="25" t="s">
        <v>166</v>
      </c>
      <c r="BY77" s="25" t="s">
        <v>166</v>
      </c>
      <c r="BZ77" s="25" t="s">
        <v>1615</v>
      </c>
      <c r="CA77" s="25" t="s">
        <v>1615</v>
      </c>
      <c r="CB77" s="25" t="s">
        <v>166</v>
      </c>
      <c r="CC77" s="25" t="s">
        <v>166</v>
      </c>
      <c r="CD77" s="25" t="s">
        <v>166</v>
      </c>
      <c r="CE77" s="29" t="s">
        <v>166</v>
      </c>
      <c r="CF77" s="27" t="s">
        <v>166</v>
      </c>
      <c r="CG77" s="28" t="s">
        <v>166</v>
      </c>
      <c r="CH77" s="27" t="s">
        <v>166</v>
      </c>
      <c r="CI77" s="27" t="s">
        <v>166</v>
      </c>
      <c r="CJ77" s="27" t="s">
        <v>166</v>
      </c>
      <c r="CK77" s="27" t="s">
        <v>166</v>
      </c>
      <c r="CL77" s="27" t="s">
        <v>166</v>
      </c>
      <c r="CM77" s="31" t="s">
        <v>166</v>
      </c>
      <c r="CN77" s="27" t="s">
        <v>166</v>
      </c>
      <c r="CO77" s="27" t="s">
        <v>166</v>
      </c>
      <c r="CP77" s="27" t="s">
        <v>166</v>
      </c>
      <c r="CQ77" s="27" t="s">
        <v>166</v>
      </c>
      <c r="CR77" s="27" t="s">
        <v>166</v>
      </c>
      <c r="CS77" s="27" t="s">
        <v>166</v>
      </c>
      <c r="CT77" s="27" t="s">
        <v>166</v>
      </c>
      <c r="CU77" s="27" t="s">
        <v>166</v>
      </c>
      <c r="CV77" s="27" t="s">
        <v>166</v>
      </c>
      <c r="CW77" s="27" t="s">
        <v>166</v>
      </c>
      <c r="CX77" s="27" t="s">
        <v>166</v>
      </c>
      <c r="CY77" s="27" t="s">
        <v>166</v>
      </c>
      <c r="CZ77" s="27" t="s">
        <v>166</v>
      </c>
      <c r="DA77" s="27" t="s">
        <v>166</v>
      </c>
      <c r="DB77" s="27" t="s">
        <v>166</v>
      </c>
      <c r="DC77" s="27" t="s">
        <v>166</v>
      </c>
      <c r="DD77" s="27" t="s">
        <v>166</v>
      </c>
      <c r="DE77" s="28" t="s">
        <v>166</v>
      </c>
      <c r="DF77" s="33">
        <v>25</v>
      </c>
      <c r="DG77" s="25" t="s">
        <v>1616</v>
      </c>
      <c r="DH77" s="25" t="s">
        <v>193</v>
      </c>
      <c r="DI77" s="25" t="s">
        <v>194</v>
      </c>
      <c r="DJ77" s="25" t="s">
        <v>1617</v>
      </c>
      <c r="DK77" s="25" t="s">
        <v>257</v>
      </c>
      <c r="DL77" s="32" t="s">
        <v>1618</v>
      </c>
      <c r="DM77" s="25" t="s">
        <v>198</v>
      </c>
      <c r="DN77" s="24" t="s">
        <v>1619</v>
      </c>
      <c r="DO77" s="31">
        <v>2023</v>
      </c>
      <c r="DP77" s="25" t="s">
        <v>166</v>
      </c>
      <c r="DQ77" s="25" t="s">
        <v>166</v>
      </c>
      <c r="DR77" s="29" t="s">
        <v>166</v>
      </c>
      <c r="DS77" s="27" t="s">
        <v>166</v>
      </c>
      <c r="DT77" s="30" t="s">
        <v>166</v>
      </c>
      <c r="DU77" s="25" t="s">
        <v>166</v>
      </c>
      <c r="DV77" s="29" t="s">
        <v>166</v>
      </c>
      <c r="DW77" s="29" t="s">
        <v>166</v>
      </c>
      <c r="DX77" s="27" t="s">
        <v>166</v>
      </c>
      <c r="DY77" s="27" t="s">
        <v>166</v>
      </c>
      <c r="DZ77" s="28" t="s">
        <v>166</v>
      </c>
      <c r="EA77" s="27" t="s">
        <v>166</v>
      </c>
      <c r="EB77" s="27" t="s">
        <v>166</v>
      </c>
      <c r="EC77" s="27" t="s">
        <v>166</v>
      </c>
      <c r="ED77" s="28" t="s">
        <v>166</v>
      </c>
      <c r="EE77" s="28" t="s">
        <v>166</v>
      </c>
      <c r="EF77" s="28" t="s">
        <v>166</v>
      </c>
      <c r="EG77" s="28" t="s">
        <v>166</v>
      </c>
      <c r="EH77" s="27" t="s">
        <v>166</v>
      </c>
      <c r="EI77" s="27" t="s">
        <v>166</v>
      </c>
      <c r="EJ77" s="27" t="s">
        <v>166</v>
      </c>
      <c r="EK77" s="27" t="s">
        <v>166</v>
      </c>
      <c r="EL77" s="27" t="s">
        <v>166</v>
      </c>
      <c r="EM77" s="27" t="s">
        <v>166</v>
      </c>
      <c r="EN77" s="27" t="s">
        <v>166</v>
      </c>
      <c r="EO77" s="27" t="s">
        <v>166</v>
      </c>
      <c r="EP77" s="27" t="s">
        <v>166</v>
      </c>
      <c r="EQ77" s="27" t="s">
        <v>166</v>
      </c>
      <c r="ER77" s="27" t="s">
        <v>166</v>
      </c>
      <c r="ES77" s="27" t="s">
        <v>166</v>
      </c>
      <c r="ET77" s="25" t="s">
        <v>166</v>
      </c>
      <c r="EU77" s="27" t="s">
        <v>166</v>
      </c>
      <c r="EV77" s="27" t="s">
        <v>166</v>
      </c>
      <c r="EW77" s="27" t="s">
        <v>166</v>
      </c>
      <c r="EX77" s="25" t="s">
        <v>190</v>
      </c>
      <c r="EY77" s="25" t="s">
        <v>166</v>
      </c>
      <c r="EZ77" s="27" t="s">
        <v>166</v>
      </c>
      <c r="FA77" s="26" t="s">
        <v>166</v>
      </c>
      <c r="FB77" s="26" t="s">
        <v>166</v>
      </c>
      <c r="FC77" s="26" t="s">
        <v>166</v>
      </c>
      <c r="FD77" s="26" t="s">
        <v>166</v>
      </c>
      <c r="FE77" s="26" t="s">
        <v>166</v>
      </c>
      <c r="FF77" s="26" t="s">
        <v>166</v>
      </c>
      <c r="FG77" s="25" t="s">
        <v>166</v>
      </c>
      <c r="FH77" s="4">
        <f>HYPERLINK("https://my.pitchbook.com?c=246979-72T","View Company Online")</f>
      </c>
    </row>
    <row r="78">
      <c r="A78" s="14" t="s">
        <v>1620</v>
      </c>
      <c r="B78" s="14" t="s">
        <v>1621</v>
      </c>
      <c r="C78" s="14" t="s">
        <v>1622</v>
      </c>
      <c r="D78" s="14" t="s">
        <v>166</v>
      </c>
      <c r="E78" s="23" t="s">
        <v>1623</v>
      </c>
      <c r="F78" s="21">
        <v>1</v>
      </c>
      <c r="G78" s="14" t="s">
        <v>1624</v>
      </c>
      <c r="H78" s="14" t="s">
        <v>166</v>
      </c>
      <c r="I78" s="14" t="s">
        <v>1625</v>
      </c>
      <c r="J78" s="14" t="s">
        <v>1626</v>
      </c>
      <c r="K78" s="14" t="s">
        <v>207</v>
      </c>
      <c r="L78" s="14" t="s">
        <v>208</v>
      </c>
      <c r="M78" s="14" t="s">
        <v>209</v>
      </c>
      <c r="N78" s="14" t="s">
        <v>1627</v>
      </c>
      <c r="O78" s="14" t="s">
        <v>1628</v>
      </c>
      <c r="P78" s="14" t="s">
        <v>1629</v>
      </c>
      <c r="Q78" s="14" t="s">
        <v>166</v>
      </c>
      <c r="R78" s="14" t="s">
        <v>177</v>
      </c>
      <c r="S78" s="14" t="s">
        <v>178</v>
      </c>
      <c r="T78" s="14" t="s">
        <v>179</v>
      </c>
      <c r="U78" s="14" t="s">
        <v>1630</v>
      </c>
      <c r="V78" s="14" t="s">
        <v>1631</v>
      </c>
      <c r="W78" s="21" t="s">
        <v>166</v>
      </c>
      <c r="X78" s="14" t="s">
        <v>166</v>
      </c>
      <c r="Y78" s="14" t="s">
        <v>1632</v>
      </c>
      <c r="Z78" s="14" t="s">
        <v>1633</v>
      </c>
      <c r="AA78" s="14" t="s">
        <v>242</v>
      </c>
      <c r="AB78" s="14" t="s">
        <v>243</v>
      </c>
      <c r="AC78" s="14" t="s">
        <v>244</v>
      </c>
      <c r="AD78" s="14" t="s">
        <v>166</v>
      </c>
      <c r="AE78" s="14" t="s">
        <v>166</v>
      </c>
      <c r="AF78" s="14" t="s">
        <v>245</v>
      </c>
      <c r="AG78" s="14" t="s">
        <v>166</v>
      </c>
      <c r="AH78" s="21">
        <v>1</v>
      </c>
      <c r="AI78" s="3">
        <f>HYPERLINK("https://my.pitchbook.com/?d=173410-75T","173410-75T")</f>
      </c>
      <c r="AJ78" s="19" t="s">
        <v>166</v>
      </c>
      <c r="AK78" s="19">
        <v>43894</v>
      </c>
      <c r="AL78" s="18">
        <v>0.15</v>
      </c>
      <c r="AM78" s="14" t="s">
        <v>247</v>
      </c>
      <c r="AN78" s="18">
        <v>0.75</v>
      </c>
      <c r="AO78" s="18">
        <v>0.9</v>
      </c>
      <c r="AP78" s="14" t="s">
        <v>185</v>
      </c>
      <c r="AQ78" s="21" t="s">
        <v>166</v>
      </c>
      <c r="AR78" s="21" t="s">
        <v>166</v>
      </c>
      <c r="AS78" s="17">
        <v>16.67</v>
      </c>
      <c r="AT78" s="18">
        <v>0.15</v>
      </c>
      <c r="AU78" s="21" t="s">
        <v>186</v>
      </c>
      <c r="AV78" s="21" t="s">
        <v>166</v>
      </c>
      <c r="AW78" s="18">
        <v>0.08</v>
      </c>
      <c r="AX78" s="21" t="s">
        <v>166</v>
      </c>
      <c r="AY78" s="14" t="s">
        <v>217</v>
      </c>
      <c r="AZ78" s="14" t="s">
        <v>217</v>
      </c>
      <c r="BA78" s="14" t="s">
        <v>166</v>
      </c>
      <c r="BB78" s="21" t="s">
        <v>166</v>
      </c>
      <c r="BC78" s="14" t="s">
        <v>179</v>
      </c>
      <c r="BD78" s="14" t="s">
        <v>1626</v>
      </c>
      <c r="BE78" s="14" t="s">
        <v>189</v>
      </c>
      <c r="BF78" s="18">
        <v>0.15</v>
      </c>
      <c r="BG78" s="14" t="s">
        <v>190</v>
      </c>
      <c r="BH78" s="14" t="s">
        <v>166</v>
      </c>
      <c r="BI78" s="14" t="s">
        <v>166</v>
      </c>
      <c r="BJ78" s="18" t="s">
        <v>166</v>
      </c>
      <c r="BK78" s="18" t="s">
        <v>166</v>
      </c>
      <c r="BL78" s="14" t="s">
        <v>191</v>
      </c>
      <c r="BM78" s="14" t="s">
        <v>178</v>
      </c>
      <c r="BN78" s="14" t="s">
        <v>177</v>
      </c>
      <c r="BO78" s="22" t="s">
        <v>166</v>
      </c>
      <c r="BP78" s="14" t="s">
        <v>1623</v>
      </c>
      <c r="BQ78" s="21">
        <v>1</v>
      </c>
      <c r="BR78" s="14" t="s">
        <v>166</v>
      </c>
      <c r="BS78" s="21" t="s">
        <v>166</v>
      </c>
      <c r="BT78" s="14" t="s">
        <v>166</v>
      </c>
      <c r="BU78" s="14" t="s">
        <v>166</v>
      </c>
      <c r="BV78" s="14" t="s">
        <v>166</v>
      </c>
      <c r="BW78" s="14" t="s">
        <v>166</v>
      </c>
      <c r="BX78" s="14" t="s">
        <v>166</v>
      </c>
      <c r="BY78" s="14" t="s">
        <v>166</v>
      </c>
      <c r="BZ78" s="14" t="s">
        <v>166</v>
      </c>
      <c r="CA78" s="14" t="s">
        <v>166</v>
      </c>
      <c r="CB78" s="14" t="s">
        <v>166</v>
      </c>
      <c r="CC78" s="14" t="s">
        <v>166</v>
      </c>
      <c r="CD78" s="14" t="s">
        <v>166</v>
      </c>
      <c r="CE78" s="18" t="s">
        <v>166</v>
      </c>
      <c r="CF78" s="16" t="s">
        <v>166</v>
      </c>
      <c r="CG78" s="17" t="s">
        <v>166</v>
      </c>
      <c r="CH78" s="16" t="s">
        <v>166</v>
      </c>
      <c r="CI78" s="16" t="s">
        <v>166</v>
      </c>
      <c r="CJ78" s="16" t="s">
        <v>166</v>
      </c>
      <c r="CK78" s="16" t="s">
        <v>166</v>
      </c>
      <c r="CL78" s="16" t="s">
        <v>166</v>
      </c>
      <c r="CM78" s="20" t="s">
        <v>166</v>
      </c>
      <c r="CN78" s="16" t="s">
        <v>166</v>
      </c>
      <c r="CO78" s="16" t="s">
        <v>166</v>
      </c>
      <c r="CP78" s="16" t="s">
        <v>166</v>
      </c>
      <c r="CQ78" s="16" t="s">
        <v>166</v>
      </c>
      <c r="CR78" s="16" t="s">
        <v>166</v>
      </c>
      <c r="CS78" s="16" t="s">
        <v>166</v>
      </c>
      <c r="CT78" s="16" t="s">
        <v>166</v>
      </c>
      <c r="CU78" s="16" t="s">
        <v>166</v>
      </c>
      <c r="CV78" s="16" t="s">
        <v>166</v>
      </c>
      <c r="CW78" s="16" t="s">
        <v>166</v>
      </c>
      <c r="CX78" s="16" t="s">
        <v>166</v>
      </c>
      <c r="CY78" s="16" t="s">
        <v>166</v>
      </c>
      <c r="CZ78" s="16" t="s">
        <v>166</v>
      </c>
      <c r="DA78" s="16" t="s">
        <v>166</v>
      </c>
      <c r="DB78" s="16" t="s">
        <v>166</v>
      </c>
      <c r="DC78" s="16" t="s">
        <v>166</v>
      </c>
      <c r="DD78" s="16" t="s">
        <v>166</v>
      </c>
      <c r="DE78" s="17" t="s">
        <v>166</v>
      </c>
      <c r="DF78" s="22">
        <v>2</v>
      </c>
      <c r="DG78" s="14" t="s">
        <v>1634</v>
      </c>
      <c r="DH78" s="14" t="s">
        <v>193</v>
      </c>
      <c r="DI78" s="14" t="s">
        <v>194</v>
      </c>
      <c r="DJ78" s="14" t="s">
        <v>1635</v>
      </c>
      <c r="DK78" s="14" t="s">
        <v>408</v>
      </c>
      <c r="DL78" s="21" t="s">
        <v>1636</v>
      </c>
      <c r="DM78" s="14" t="s">
        <v>198</v>
      </c>
      <c r="DN78" s="13" t="s">
        <v>1637</v>
      </c>
      <c r="DO78" s="20">
        <v>2017</v>
      </c>
      <c r="DP78" s="14" t="s">
        <v>166</v>
      </c>
      <c r="DQ78" s="14" t="s">
        <v>166</v>
      </c>
      <c r="DR78" s="18" t="s">
        <v>166</v>
      </c>
      <c r="DS78" s="16" t="s">
        <v>166</v>
      </c>
      <c r="DT78" s="19" t="s">
        <v>166</v>
      </c>
      <c r="DU78" s="14" t="s">
        <v>166</v>
      </c>
      <c r="DV78" s="18" t="s">
        <v>166</v>
      </c>
      <c r="DW78" s="18" t="s">
        <v>166</v>
      </c>
      <c r="DX78" s="16" t="s">
        <v>166</v>
      </c>
      <c r="DY78" s="16" t="s">
        <v>166</v>
      </c>
      <c r="DZ78" s="17" t="s">
        <v>166</v>
      </c>
      <c r="EA78" s="16" t="s">
        <v>166</v>
      </c>
      <c r="EB78" s="16" t="s">
        <v>166</v>
      </c>
      <c r="EC78" s="16" t="s">
        <v>166</v>
      </c>
      <c r="ED78" s="17" t="s">
        <v>166</v>
      </c>
      <c r="EE78" s="17" t="s">
        <v>166</v>
      </c>
      <c r="EF78" s="17" t="s">
        <v>166</v>
      </c>
      <c r="EG78" s="17" t="s">
        <v>166</v>
      </c>
      <c r="EH78" s="16" t="s">
        <v>166</v>
      </c>
      <c r="EI78" s="16" t="s">
        <v>166</v>
      </c>
      <c r="EJ78" s="16" t="s">
        <v>166</v>
      </c>
      <c r="EK78" s="16" t="s">
        <v>166</v>
      </c>
      <c r="EL78" s="16" t="s">
        <v>166</v>
      </c>
      <c r="EM78" s="16" t="s">
        <v>166</v>
      </c>
      <c r="EN78" s="16" t="s">
        <v>166</v>
      </c>
      <c r="EO78" s="16" t="s">
        <v>166</v>
      </c>
      <c r="EP78" s="16" t="s">
        <v>166</v>
      </c>
      <c r="EQ78" s="16" t="s">
        <v>166</v>
      </c>
      <c r="ER78" s="16" t="s">
        <v>166</v>
      </c>
      <c r="ES78" s="16" t="s">
        <v>166</v>
      </c>
      <c r="ET78" s="14" t="s">
        <v>166</v>
      </c>
      <c r="EU78" s="16" t="s">
        <v>166</v>
      </c>
      <c r="EV78" s="16" t="s">
        <v>166</v>
      </c>
      <c r="EW78" s="16" t="s">
        <v>166</v>
      </c>
      <c r="EX78" s="14" t="s">
        <v>190</v>
      </c>
      <c r="EY78" s="14" t="s">
        <v>166</v>
      </c>
      <c r="EZ78" s="16" t="s">
        <v>166</v>
      </c>
      <c r="FA78" s="15" t="s">
        <v>166</v>
      </c>
      <c r="FB78" s="15" t="s">
        <v>166</v>
      </c>
      <c r="FC78" s="15" t="s">
        <v>166</v>
      </c>
      <c r="FD78" s="15" t="s">
        <v>166</v>
      </c>
      <c r="FE78" s="15" t="s">
        <v>166</v>
      </c>
      <c r="FF78" s="15" t="s">
        <v>166</v>
      </c>
      <c r="FG78" s="14" t="s">
        <v>166</v>
      </c>
      <c r="FH78" s="3">
        <f>HYPERLINK("https://my.pitchbook.com?c=173410-75T","View Company Online")</f>
      </c>
    </row>
    <row r="79">
      <c r="A79" s="25" t="s">
        <v>1638</v>
      </c>
      <c r="B79" s="25" t="s">
        <v>1639</v>
      </c>
      <c r="C79" s="25" t="s">
        <v>1640</v>
      </c>
      <c r="D79" s="25" t="s">
        <v>166</v>
      </c>
      <c r="E79" s="34" t="s">
        <v>1641</v>
      </c>
      <c r="F79" s="32">
        <v>8</v>
      </c>
      <c r="G79" s="25" t="s">
        <v>1642</v>
      </c>
      <c r="H79" s="25" t="s">
        <v>166</v>
      </c>
      <c r="I79" s="25" t="s">
        <v>1643</v>
      </c>
      <c r="J79" s="25" t="s">
        <v>1644</v>
      </c>
      <c r="K79" s="25" t="s">
        <v>321</v>
      </c>
      <c r="L79" s="25" t="s">
        <v>1645</v>
      </c>
      <c r="M79" s="25" t="s">
        <v>1646</v>
      </c>
      <c r="N79" s="25" t="s">
        <v>1647</v>
      </c>
      <c r="O79" s="25" t="s">
        <v>1648</v>
      </c>
      <c r="P79" s="25" t="s">
        <v>1649</v>
      </c>
      <c r="Q79" s="25" t="s">
        <v>166</v>
      </c>
      <c r="R79" s="25" t="s">
        <v>177</v>
      </c>
      <c r="S79" s="25" t="s">
        <v>178</v>
      </c>
      <c r="T79" s="25" t="s">
        <v>179</v>
      </c>
      <c r="U79" s="25" t="s">
        <v>1650</v>
      </c>
      <c r="V79" s="25" t="s">
        <v>1651</v>
      </c>
      <c r="W79" s="32" t="s">
        <v>1652</v>
      </c>
      <c r="X79" s="25" t="s">
        <v>1653</v>
      </c>
      <c r="Y79" s="25" t="s">
        <v>1654</v>
      </c>
      <c r="Z79" s="25" t="s">
        <v>166</v>
      </c>
      <c r="AA79" s="25" t="s">
        <v>166</v>
      </c>
      <c r="AB79" s="25" t="s">
        <v>166</v>
      </c>
      <c r="AC79" s="25" t="s">
        <v>166</v>
      </c>
      <c r="AD79" s="25" t="s">
        <v>166</v>
      </c>
      <c r="AE79" s="25" t="s">
        <v>166</v>
      </c>
      <c r="AF79" s="25" t="s">
        <v>166</v>
      </c>
      <c r="AG79" s="25" t="s">
        <v>166</v>
      </c>
      <c r="AH79" s="32">
        <v>1</v>
      </c>
      <c r="AI79" s="4">
        <f>HYPERLINK("https://my.pitchbook.com/?d=168750-01T","168750-01T")</f>
      </c>
      <c r="AJ79" s="30" t="s">
        <v>166</v>
      </c>
      <c r="AK79" s="30">
        <v>44273</v>
      </c>
      <c r="AL79" s="29">
        <v>10</v>
      </c>
      <c r="AM79" s="25" t="s">
        <v>185</v>
      </c>
      <c r="AN79" s="29" t="s">
        <v>166</v>
      </c>
      <c r="AO79" s="29" t="s">
        <v>166</v>
      </c>
      <c r="AP79" s="25" t="s">
        <v>166</v>
      </c>
      <c r="AQ79" s="32" t="s">
        <v>166</v>
      </c>
      <c r="AR79" s="32" t="s">
        <v>166</v>
      </c>
      <c r="AS79" s="28" t="s">
        <v>166</v>
      </c>
      <c r="AT79" s="29">
        <v>10</v>
      </c>
      <c r="AU79" s="32" t="s">
        <v>186</v>
      </c>
      <c r="AV79" s="32" t="s">
        <v>166</v>
      </c>
      <c r="AW79" s="29" t="s">
        <v>166</v>
      </c>
      <c r="AX79" s="32" t="s">
        <v>248</v>
      </c>
      <c r="AY79" s="25" t="s">
        <v>187</v>
      </c>
      <c r="AZ79" s="25" t="s">
        <v>248</v>
      </c>
      <c r="BA79" s="25" t="s">
        <v>166</v>
      </c>
      <c r="BB79" s="32" t="s">
        <v>166</v>
      </c>
      <c r="BC79" s="25" t="s">
        <v>179</v>
      </c>
      <c r="BD79" s="25" t="s">
        <v>1655</v>
      </c>
      <c r="BE79" s="25" t="s">
        <v>189</v>
      </c>
      <c r="BF79" s="29">
        <v>10</v>
      </c>
      <c r="BG79" s="25" t="s">
        <v>190</v>
      </c>
      <c r="BH79" s="25" t="s">
        <v>166</v>
      </c>
      <c r="BI79" s="25" t="s">
        <v>166</v>
      </c>
      <c r="BJ79" s="29" t="s">
        <v>166</v>
      </c>
      <c r="BK79" s="29" t="s">
        <v>166</v>
      </c>
      <c r="BL79" s="25" t="s">
        <v>191</v>
      </c>
      <c r="BM79" s="25" t="s">
        <v>178</v>
      </c>
      <c r="BN79" s="25" t="s">
        <v>177</v>
      </c>
      <c r="BO79" s="33" t="s">
        <v>166</v>
      </c>
      <c r="BP79" s="25" t="s">
        <v>1656</v>
      </c>
      <c r="BQ79" s="32">
        <v>8</v>
      </c>
      <c r="BR79" s="25" t="s">
        <v>166</v>
      </c>
      <c r="BS79" s="32" t="s">
        <v>166</v>
      </c>
      <c r="BT79" s="25" t="s">
        <v>166</v>
      </c>
      <c r="BU79" s="25" t="s">
        <v>166</v>
      </c>
      <c r="BV79" s="25" t="s">
        <v>1657</v>
      </c>
      <c r="BW79" s="25" t="s">
        <v>166</v>
      </c>
      <c r="BX79" s="25" t="s">
        <v>166</v>
      </c>
      <c r="BY79" s="25" t="s">
        <v>166</v>
      </c>
      <c r="BZ79" s="25" t="s">
        <v>166</v>
      </c>
      <c r="CA79" s="25" t="s">
        <v>166</v>
      </c>
      <c r="CB79" s="25" t="s">
        <v>166</v>
      </c>
      <c r="CC79" s="25" t="s">
        <v>166</v>
      </c>
      <c r="CD79" s="25" t="s">
        <v>166</v>
      </c>
      <c r="CE79" s="29" t="s">
        <v>166</v>
      </c>
      <c r="CF79" s="27" t="s">
        <v>166</v>
      </c>
      <c r="CG79" s="28" t="s">
        <v>166</v>
      </c>
      <c r="CH79" s="27" t="s">
        <v>166</v>
      </c>
      <c r="CI79" s="27" t="s">
        <v>166</v>
      </c>
      <c r="CJ79" s="27" t="s">
        <v>166</v>
      </c>
      <c r="CK79" s="27" t="s">
        <v>166</v>
      </c>
      <c r="CL79" s="27" t="s">
        <v>166</v>
      </c>
      <c r="CM79" s="31" t="s">
        <v>166</v>
      </c>
      <c r="CN79" s="27" t="s">
        <v>166</v>
      </c>
      <c r="CO79" s="27" t="s">
        <v>166</v>
      </c>
      <c r="CP79" s="27" t="s">
        <v>166</v>
      </c>
      <c r="CQ79" s="27" t="s">
        <v>166</v>
      </c>
      <c r="CR79" s="27" t="s">
        <v>166</v>
      </c>
      <c r="CS79" s="27" t="s">
        <v>166</v>
      </c>
      <c r="CT79" s="27" t="s">
        <v>166</v>
      </c>
      <c r="CU79" s="27" t="s">
        <v>166</v>
      </c>
      <c r="CV79" s="27" t="s">
        <v>166</v>
      </c>
      <c r="CW79" s="27" t="s">
        <v>166</v>
      </c>
      <c r="CX79" s="27" t="s">
        <v>166</v>
      </c>
      <c r="CY79" s="27" t="s">
        <v>166</v>
      </c>
      <c r="CZ79" s="27" t="s">
        <v>166</v>
      </c>
      <c r="DA79" s="27" t="s">
        <v>166</v>
      </c>
      <c r="DB79" s="27" t="s">
        <v>166</v>
      </c>
      <c r="DC79" s="27" t="s">
        <v>166</v>
      </c>
      <c r="DD79" s="27" t="s">
        <v>166</v>
      </c>
      <c r="DE79" s="28" t="s">
        <v>166</v>
      </c>
      <c r="DF79" s="33">
        <v>51</v>
      </c>
      <c r="DG79" s="25" t="s">
        <v>360</v>
      </c>
      <c r="DH79" s="25" t="s">
        <v>193</v>
      </c>
      <c r="DI79" s="25" t="s">
        <v>194</v>
      </c>
      <c r="DJ79" s="25" t="s">
        <v>361</v>
      </c>
      <c r="DK79" s="25" t="s">
        <v>196</v>
      </c>
      <c r="DL79" s="32" t="s">
        <v>809</v>
      </c>
      <c r="DM79" s="25" t="s">
        <v>198</v>
      </c>
      <c r="DN79" s="24" t="s">
        <v>1658</v>
      </c>
      <c r="DO79" s="31">
        <v>2020</v>
      </c>
      <c r="DP79" s="25" t="s">
        <v>166</v>
      </c>
      <c r="DQ79" s="25" t="s">
        <v>166</v>
      </c>
      <c r="DR79" s="29" t="s">
        <v>166</v>
      </c>
      <c r="DS79" s="27" t="s">
        <v>166</v>
      </c>
      <c r="DT79" s="30" t="s">
        <v>166</v>
      </c>
      <c r="DU79" s="25" t="s">
        <v>166</v>
      </c>
      <c r="DV79" s="29" t="s">
        <v>166</v>
      </c>
      <c r="DW79" s="29" t="s">
        <v>166</v>
      </c>
      <c r="DX79" s="27" t="s">
        <v>166</v>
      </c>
      <c r="DY79" s="27" t="s">
        <v>166</v>
      </c>
      <c r="DZ79" s="28" t="s">
        <v>166</v>
      </c>
      <c r="EA79" s="27" t="s">
        <v>166</v>
      </c>
      <c r="EB79" s="27" t="s">
        <v>166</v>
      </c>
      <c r="EC79" s="27" t="s">
        <v>166</v>
      </c>
      <c r="ED79" s="28" t="s">
        <v>166</v>
      </c>
      <c r="EE79" s="28" t="s">
        <v>166</v>
      </c>
      <c r="EF79" s="28" t="s">
        <v>166</v>
      </c>
      <c r="EG79" s="28" t="s">
        <v>166</v>
      </c>
      <c r="EH79" s="27" t="s">
        <v>166</v>
      </c>
      <c r="EI79" s="27" t="s">
        <v>166</v>
      </c>
      <c r="EJ79" s="27" t="s">
        <v>166</v>
      </c>
      <c r="EK79" s="27" t="s">
        <v>166</v>
      </c>
      <c r="EL79" s="27" t="s">
        <v>166</v>
      </c>
      <c r="EM79" s="27" t="s">
        <v>166</v>
      </c>
      <c r="EN79" s="27" t="s">
        <v>166</v>
      </c>
      <c r="EO79" s="27" t="s">
        <v>166</v>
      </c>
      <c r="EP79" s="27" t="s">
        <v>166</v>
      </c>
      <c r="EQ79" s="27" t="s">
        <v>166</v>
      </c>
      <c r="ER79" s="27" t="s">
        <v>166</v>
      </c>
      <c r="ES79" s="27" t="s">
        <v>166</v>
      </c>
      <c r="ET79" s="25" t="s">
        <v>166</v>
      </c>
      <c r="EU79" s="27" t="s">
        <v>166</v>
      </c>
      <c r="EV79" s="27" t="s">
        <v>166</v>
      </c>
      <c r="EW79" s="27" t="s">
        <v>166</v>
      </c>
      <c r="EX79" s="25" t="s">
        <v>190</v>
      </c>
      <c r="EY79" s="25" t="s">
        <v>166</v>
      </c>
      <c r="EZ79" s="27" t="s">
        <v>166</v>
      </c>
      <c r="FA79" s="26" t="s">
        <v>166</v>
      </c>
      <c r="FB79" s="26" t="s">
        <v>166</v>
      </c>
      <c r="FC79" s="26" t="s">
        <v>166</v>
      </c>
      <c r="FD79" s="26" t="s">
        <v>166</v>
      </c>
      <c r="FE79" s="26" t="s">
        <v>166</v>
      </c>
      <c r="FF79" s="26" t="s">
        <v>166</v>
      </c>
      <c r="FG79" s="25" t="s">
        <v>166</v>
      </c>
      <c r="FH79" s="4">
        <f>HYPERLINK("https://my.pitchbook.com?c=168750-01T","View Company Online")</f>
      </c>
    </row>
    <row r="80">
      <c r="A80" s="14" t="s">
        <v>1659</v>
      </c>
      <c r="B80" s="14" t="s">
        <v>1660</v>
      </c>
      <c r="C80" s="14" t="s">
        <v>1661</v>
      </c>
      <c r="D80" s="14" t="s">
        <v>166</v>
      </c>
      <c r="E80" s="23" t="s">
        <v>1662</v>
      </c>
      <c r="F80" s="21">
        <v>5</v>
      </c>
      <c r="G80" s="14" t="s">
        <v>1663</v>
      </c>
      <c r="H80" s="14" t="s">
        <v>166</v>
      </c>
      <c r="I80" s="14" t="s">
        <v>1664</v>
      </c>
      <c r="J80" s="14" t="s">
        <v>1665</v>
      </c>
      <c r="K80" s="14" t="s">
        <v>207</v>
      </c>
      <c r="L80" s="14" t="s">
        <v>208</v>
      </c>
      <c r="M80" s="14" t="s">
        <v>296</v>
      </c>
      <c r="N80" s="14" t="s">
        <v>1666</v>
      </c>
      <c r="O80" s="14" t="s">
        <v>1318</v>
      </c>
      <c r="P80" s="14" t="s">
        <v>1667</v>
      </c>
      <c r="Q80" s="14" t="s">
        <v>166</v>
      </c>
      <c r="R80" s="14" t="s">
        <v>177</v>
      </c>
      <c r="S80" s="14" t="s">
        <v>785</v>
      </c>
      <c r="T80" s="14" t="s">
        <v>179</v>
      </c>
      <c r="U80" s="14" t="s">
        <v>1668</v>
      </c>
      <c r="V80" s="14" t="s">
        <v>1669</v>
      </c>
      <c r="W80" s="21" t="s">
        <v>1670</v>
      </c>
      <c r="X80" s="14" t="s">
        <v>1671</v>
      </c>
      <c r="Y80" s="14" t="s">
        <v>1672</v>
      </c>
      <c r="Z80" s="14" t="s">
        <v>1673</v>
      </c>
      <c r="AA80" s="14" t="s">
        <v>166</v>
      </c>
      <c r="AB80" s="14" t="s">
        <v>166</v>
      </c>
      <c r="AC80" s="14" t="s">
        <v>166</v>
      </c>
      <c r="AD80" s="14" t="s">
        <v>166</v>
      </c>
      <c r="AE80" s="14" t="s">
        <v>166</v>
      </c>
      <c r="AF80" s="14" t="s">
        <v>166</v>
      </c>
      <c r="AG80" s="14" t="s">
        <v>166</v>
      </c>
      <c r="AH80" s="21">
        <v>1</v>
      </c>
      <c r="AI80" s="3">
        <f>HYPERLINK("https://my.pitchbook.com/?d=200466-82T","200466-82T")</f>
      </c>
      <c r="AJ80" s="19">
        <v>45361</v>
      </c>
      <c r="AK80" s="19">
        <v>45489</v>
      </c>
      <c r="AL80" s="18">
        <v>1.4</v>
      </c>
      <c r="AM80" s="14" t="s">
        <v>185</v>
      </c>
      <c r="AN80" s="18" t="s">
        <v>166</v>
      </c>
      <c r="AO80" s="18" t="s">
        <v>166</v>
      </c>
      <c r="AP80" s="14" t="s">
        <v>166</v>
      </c>
      <c r="AQ80" s="21" t="s">
        <v>166</v>
      </c>
      <c r="AR80" s="21" t="s">
        <v>166</v>
      </c>
      <c r="AS80" s="17" t="s">
        <v>166</v>
      </c>
      <c r="AT80" s="18">
        <v>1.4</v>
      </c>
      <c r="AU80" s="21" t="s">
        <v>186</v>
      </c>
      <c r="AV80" s="21" t="s">
        <v>166</v>
      </c>
      <c r="AW80" s="18" t="s">
        <v>166</v>
      </c>
      <c r="AX80" s="21" t="s">
        <v>166</v>
      </c>
      <c r="AY80" s="14" t="s">
        <v>217</v>
      </c>
      <c r="AZ80" s="14" t="s">
        <v>217</v>
      </c>
      <c r="BA80" s="14" t="s">
        <v>166</v>
      </c>
      <c r="BB80" s="21" t="s">
        <v>166</v>
      </c>
      <c r="BC80" s="14" t="s">
        <v>179</v>
      </c>
      <c r="BD80" s="14" t="s">
        <v>1665</v>
      </c>
      <c r="BE80" s="14" t="s">
        <v>189</v>
      </c>
      <c r="BF80" s="18">
        <v>1.4</v>
      </c>
      <c r="BG80" s="14" t="s">
        <v>190</v>
      </c>
      <c r="BH80" s="14" t="s">
        <v>166</v>
      </c>
      <c r="BI80" s="14" t="s">
        <v>166</v>
      </c>
      <c r="BJ80" s="18" t="s">
        <v>166</v>
      </c>
      <c r="BK80" s="18" t="s">
        <v>166</v>
      </c>
      <c r="BL80" s="14" t="s">
        <v>191</v>
      </c>
      <c r="BM80" s="14" t="s">
        <v>785</v>
      </c>
      <c r="BN80" s="14" t="s">
        <v>177</v>
      </c>
      <c r="BO80" s="22">
        <v>5</v>
      </c>
      <c r="BP80" s="14" t="s">
        <v>1662</v>
      </c>
      <c r="BQ80" s="21">
        <v>5</v>
      </c>
      <c r="BR80" s="14" t="s">
        <v>166</v>
      </c>
      <c r="BS80" s="21" t="s">
        <v>166</v>
      </c>
      <c r="BT80" s="14" t="s">
        <v>1674</v>
      </c>
      <c r="BU80" s="14" t="s">
        <v>166</v>
      </c>
      <c r="BV80" s="14" t="s">
        <v>1675</v>
      </c>
      <c r="BW80" s="14" t="s">
        <v>166</v>
      </c>
      <c r="BX80" s="14" t="s">
        <v>166</v>
      </c>
      <c r="BY80" s="14" t="s">
        <v>166</v>
      </c>
      <c r="BZ80" s="14" t="s">
        <v>1676</v>
      </c>
      <c r="CA80" s="14" t="s">
        <v>996</v>
      </c>
      <c r="CB80" s="14" t="s">
        <v>166</v>
      </c>
      <c r="CC80" s="14" t="s">
        <v>1677</v>
      </c>
      <c r="CD80" s="14" t="s">
        <v>166</v>
      </c>
      <c r="CE80" s="18" t="s">
        <v>166</v>
      </c>
      <c r="CF80" s="16" t="s">
        <v>166</v>
      </c>
      <c r="CG80" s="17" t="s">
        <v>166</v>
      </c>
      <c r="CH80" s="16" t="s">
        <v>166</v>
      </c>
      <c r="CI80" s="16" t="s">
        <v>166</v>
      </c>
      <c r="CJ80" s="16" t="s">
        <v>166</v>
      </c>
      <c r="CK80" s="16" t="s">
        <v>166</v>
      </c>
      <c r="CL80" s="16" t="s">
        <v>166</v>
      </c>
      <c r="CM80" s="20" t="s">
        <v>166</v>
      </c>
      <c r="CN80" s="16" t="s">
        <v>166</v>
      </c>
      <c r="CO80" s="16" t="s">
        <v>166</v>
      </c>
      <c r="CP80" s="16" t="s">
        <v>166</v>
      </c>
      <c r="CQ80" s="16" t="s">
        <v>166</v>
      </c>
      <c r="CR80" s="16" t="s">
        <v>166</v>
      </c>
      <c r="CS80" s="16" t="s">
        <v>166</v>
      </c>
      <c r="CT80" s="16" t="s">
        <v>166</v>
      </c>
      <c r="CU80" s="16" t="s">
        <v>166</v>
      </c>
      <c r="CV80" s="16" t="s">
        <v>166</v>
      </c>
      <c r="CW80" s="16" t="s">
        <v>166</v>
      </c>
      <c r="CX80" s="16" t="s">
        <v>166</v>
      </c>
      <c r="CY80" s="16" t="s">
        <v>166</v>
      </c>
      <c r="CZ80" s="16" t="s">
        <v>166</v>
      </c>
      <c r="DA80" s="16" t="s">
        <v>166</v>
      </c>
      <c r="DB80" s="16" t="s">
        <v>166</v>
      </c>
      <c r="DC80" s="16" t="s">
        <v>166</v>
      </c>
      <c r="DD80" s="16" t="s">
        <v>166</v>
      </c>
      <c r="DE80" s="17" t="s">
        <v>166</v>
      </c>
      <c r="DF80" s="22">
        <v>5</v>
      </c>
      <c r="DG80" s="14" t="s">
        <v>1678</v>
      </c>
      <c r="DH80" s="14" t="s">
        <v>193</v>
      </c>
      <c r="DI80" s="14" t="s">
        <v>194</v>
      </c>
      <c r="DJ80" s="14" t="s">
        <v>1679</v>
      </c>
      <c r="DK80" s="14" t="s">
        <v>310</v>
      </c>
      <c r="DL80" s="21" t="s">
        <v>1680</v>
      </c>
      <c r="DM80" s="14" t="s">
        <v>198</v>
      </c>
      <c r="DN80" s="13" t="s">
        <v>1681</v>
      </c>
      <c r="DO80" s="20">
        <v>2022</v>
      </c>
      <c r="DP80" s="14" t="s">
        <v>166</v>
      </c>
      <c r="DQ80" s="14" t="s">
        <v>166</v>
      </c>
      <c r="DR80" s="18" t="s">
        <v>166</v>
      </c>
      <c r="DS80" s="16" t="s">
        <v>166</v>
      </c>
      <c r="DT80" s="19" t="s">
        <v>166</v>
      </c>
      <c r="DU80" s="14" t="s">
        <v>166</v>
      </c>
      <c r="DV80" s="18" t="s">
        <v>166</v>
      </c>
      <c r="DW80" s="18" t="s">
        <v>166</v>
      </c>
      <c r="DX80" s="16" t="s">
        <v>166</v>
      </c>
      <c r="DY80" s="16" t="s">
        <v>166</v>
      </c>
      <c r="DZ80" s="17" t="s">
        <v>166</v>
      </c>
      <c r="EA80" s="16" t="s">
        <v>166</v>
      </c>
      <c r="EB80" s="16" t="s">
        <v>166</v>
      </c>
      <c r="EC80" s="16" t="s">
        <v>166</v>
      </c>
      <c r="ED80" s="17" t="s">
        <v>166</v>
      </c>
      <c r="EE80" s="17" t="s">
        <v>166</v>
      </c>
      <c r="EF80" s="17" t="s">
        <v>166</v>
      </c>
      <c r="EG80" s="17" t="s">
        <v>166</v>
      </c>
      <c r="EH80" s="16" t="s">
        <v>166</v>
      </c>
      <c r="EI80" s="16" t="s">
        <v>166</v>
      </c>
      <c r="EJ80" s="16" t="s">
        <v>166</v>
      </c>
      <c r="EK80" s="16" t="s">
        <v>166</v>
      </c>
      <c r="EL80" s="16" t="s">
        <v>166</v>
      </c>
      <c r="EM80" s="16" t="s">
        <v>166</v>
      </c>
      <c r="EN80" s="16" t="s">
        <v>166</v>
      </c>
      <c r="EO80" s="16" t="s">
        <v>166</v>
      </c>
      <c r="EP80" s="16" t="s">
        <v>166</v>
      </c>
      <c r="EQ80" s="16" t="s">
        <v>166</v>
      </c>
      <c r="ER80" s="16" t="s">
        <v>166</v>
      </c>
      <c r="ES80" s="16" t="s">
        <v>166</v>
      </c>
      <c r="ET80" s="14" t="s">
        <v>166</v>
      </c>
      <c r="EU80" s="16" t="s">
        <v>166</v>
      </c>
      <c r="EV80" s="16" t="s">
        <v>166</v>
      </c>
      <c r="EW80" s="16" t="s">
        <v>166</v>
      </c>
      <c r="EX80" s="14" t="s">
        <v>190</v>
      </c>
      <c r="EY80" s="14" t="s">
        <v>166</v>
      </c>
      <c r="EZ80" s="16" t="s">
        <v>166</v>
      </c>
      <c r="FA80" s="15" t="s">
        <v>166</v>
      </c>
      <c r="FB80" s="15" t="s">
        <v>166</v>
      </c>
      <c r="FC80" s="15" t="s">
        <v>166</v>
      </c>
      <c r="FD80" s="15" t="s">
        <v>166</v>
      </c>
      <c r="FE80" s="15" t="s">
        <v>166</v>
      </c>
      <c r="FF80" s="15" t="s">
        <v>166</v>
      </c>
      <c r="FG80" s="14" t="s">
        <v>166</v>
      </c>
      <c r="FH80" s="3">
        <f>HYPERLINK("https://my.pitchbook.com?c=200466-82T","View Company Online")</f>
      </c>
    </row>
    <row r="81">
      <c r="A81" s="25" t="s">
        <v>1682</v>
      </c>
      <c r="B81" s="25" t="s">
        <v>1683</v>
      </c>
      <c r="C81" s="25" t="s">
        <v>1684</v>
      </c>
      <c r="D81" s="25" t="s">
        <v>166</v>
      </c>
      <c r="E81" s="34" t="s">
        <v>1685</v>
      </c>
      <c r="F81" s="32">
        <v>2</v>
      </c>
      <c r="G81" s="25" t="s">
        <v>1686</v>
      </c>
      <c r="H81" s="25" t="s">
        <v>166</v>
      </c>
      <c r="I81" s="25" t="s">
        <v>1687</v>
      </c>
      <c r="J81" s="25" t="s">
        <v>1688</v>
      </c>
      <c r="K81" s="25" t="s">
        <v>171</v>
      </c>
      <c r="L81" s="25" t="s">
        <v>172</v>
      </c>
      <c r="M81" s="25" t="s">
        <v>1689</v>
      </c>
      <c r="N81" s="25" t="s">
        <v>1690</v>
      </c>
      <c r="O81" s="25" t="s">
        <v>1691</v>
      </c>
      <c r="P81" s="25" t="s">
        <v>1692</v>
      </c>
      <c r="Q81" s="25" t="s">
        <v>166</v>
      </c>
      <c r="R81" s="25" t="s">
        <v>177</v>
      </c>
      <c r="S81" s="25" t="s">
        <v>178</v>
      </c>
      <c r="T81" s="25" t="s">
        <v>179</v>
      </c>
      <c r="U81" s="25" t="s">
        <v>1693</v>
      </c>
      <c r="V81" s="25" t="s">
        <v>1694</v>
      </c>
      <c r="W81" s="32" t="s">
        <v>1695</v>
      </c>
      <c r="X81" s="25" t="s">
        <v>1696</v>
      </c>
      <c r="Y81" s="25" t="s">
        <v>1697</v>
      </c>
      <c r="Z81" s="25" t="s">
        <v>166</v>
      </c>
      <c r="AA81" s="25" t="s">
        <v>166</v>
      </c>
      <c r="AB81" s="25" t="s">
        <v>166</v>
      </c>
      <c r="AC81" s="25" t="s">
        <v>166</v>
      </c>
      <c r="AD81" s="25" t="s">
        <v>166</v>
      </c>
      <c r="AE81" s="25" t="s">
        <v>166</v>
      </c>
      <c r="AF81" s="25" t="s">
        <v>166</v>
      </c>
      <c r="AG81" s="25" t="s">
        <v>166</v>
      </c>
      <c r="AH81" s="32">
        <v>1</v>
      </c>
      <c r="AI81" s="4">
        <f>HYPERLINK("https://my.pitchbook.com/?d=164418-58T","164418-58T")</f>
      </c>
      <c r="AJ81" s="30">
        <v>44068</v>
      </c>
      <c r="AK81" s="30">
        <v>44165</v>
      </c>
      <c r="AL81" s="29">
        <v>0.1</v>
      </c>
      <c r="AM81" s="25" t="s">
        <v>185</v>
      </c>
      <c r="AN81" s="29">
        <v>1.57</v>
      </c>
      <c r="AO81" s="29">
        <v>1.67</v>
      </c>
      <c r="AP81" s="25" t="s">
        <v>185</v>
      </c>
      <c r="AQ81" s="32" t="s">
        <v>166</v>
      </c>
      <c r="AR81" s="32" t="s">
        <v>166</v>
      </c>
      <c r="AS81" s="28">
        <v>6</v>
      </c>
      <c r="AT81" s="29">
        <v>0.1</v>
      </c>
      <c r="AU81" s="32" t="s">
        <v>186</v>
      </c>
      <c r="AV81" s="32" t="s">
        <v>166</v>
      </c>
      <c r="AW81" s="29" t="s">
        <v>166</v>
      </c>
      <c r="AX81" s="32" t="s">
        <v>166</v>
      </c>
      <c r="AY81" s="25" t="s">
        <v>187</v>
      </c>
      <c r="AZ81" s="25" t="s">
        <v>166</v>
      </c>
      <c r="BA81" s="25" t="s">
        <v>166</v>
      </c>
      <c r="BB81" s="32" t="s">
        <v>166</v>
      </c>
      <c r="BC81" s="25" t="s">
        <v>179</v>
      </c>
      <c r="BD81" s="25" t="s">
        <v>1698</v>
      </c>
      <c r="BE81" s="25" t="s">
        <v>189</v>
      </c>
      <c r="BF81" s="29">
        <v>0.1</v>
      </c>
      <c r="BG81" s="25" t="s">
        <v>190</v>
      </c>
      <c r="BH81" s="25" t="s">
        <v>166</v>
      </c>
      <c r="BI81" s="25" t="s">
        <v>166</v>
      </c>
      <c r="BJ81" s="29" t="s">
        <v>166</v>
      </c>
      <c r="BK81" s="29" t="s">
        <v>166</v>
      </c>
      <c r="BL81" s="25" t="s">
        <v>191</v>
      </c>
      <c r="BM81" s="25" t="s">
        <v>358</v>
      </c>
      <c r="BN81" s="25" t="s">
        <v>177</v>
      </c>
      <c r="BO81" s="33" t="s">
        <v>166</v>
      </c>
      <c r="BP81" s="25" t="s">
        <v>1699</v>
      </c>
      <c r="BQ81" s="32">
        <v>2</v>
      </c>
      <c r="BR81" s="25" t="s">
        <v>166</v>
      </c>
      <c r="BS81" s="32" t="s">
        <v>166</v>
      </c>
      <c r="BT81" s="25" t="s">
        <v>166</v>
      </c>
      <c r="BU81" s="25" t="s">
        <v>166</v>
      </c>
      <c r="BV81" s="25" t="s">
        <v>166</v>
      </c>
      <c r="BW81" s="25" t="s">
        <v>166</v>
      </c>
      <c r="BX81" s="25" t="s">
        <v>166</v>
      </c>
      <c r="BY81" s="25" t="s">
        <v>166</v>
      </c>
      <c r="BZ81" s="25" t="s">
        <v>166</v>
      </c>
      <c r="CA81" s="25" t="s">
        <v>166</v>
      </c>
      <c r="CB81" s="25" t="s">
        <v>166</v>
      </c>
      <c r="CC81" s="25" t="s">
        <v>166</v>
      </c>
      <c r="CD81" s="25" t="s">
        <v>166</v>
      </c>
      <c r="CE81" s="29" t="s">
        <v>166</v>
      </c>
      <c r="CF81" s="27" t="s">
        <v>166</v>
      </c>
      <c r="CG81" s="28" t="s">
        <v>166</v>
      </c>
      <c r="CH81" s="27" t="s">
        <v>166</v>
      </c>
      <c r="CI81" s="27" t="s">
        <v>166</v>
      </c>
      <c r="CJ81" s="27" t="s">
        <v>166</v>
      </c>
      <c r="CK81" s="27" t="s">
        <v>166</v>
      </c>
      <c r="CL81" s="27" t="s">
        <v>166</v>
      </c>
      <c r="CM81" s="31" t="s">
        <v>166</v>
      </c>
      <c r="CN81" s="27" t="s">
        <v>166</v>
      </c>
      <c r="CO81" s="27" t="s">
        <v>166</v>
      </c>
      <c r="CP81" s="27" t="s">
        <v>166</v>
      </c>
      <c r="CQ81" s="27" t="s">
        <v>166</v>
      </c>
      <c r="CR81" s="27" t="s">
        <v>166</v>
      </c>
      <c r="CS81" s="27" t="s">
        <v>166</v>
      </c>
      <c r="CT81" s="27" t="s">
        <v>166</v>
      </c>
      <c r="CU81" s="27" t="s">
        <v>166</v>
      </c>
      <c r="CV81" s="27" t="s">
        <v>166</v>
      </c>
      <c r="CW81" s="27" t="s">
        <v>166</v>
      </c>
      <c r="CX81" s="27" t="s">
        <v>166</v>
      </c>
      <c r="CY81" s="27" t="s">
        <v>166</v>
      </c>
      <c r="CZ81" s="27" t="s">
        <v>166</v>
      </c>
      <c r="DA81" s="27" t="s">
        <v>166</v>
      </c>
      <c r="DB81" s="27" t="s">
        <v>166</v>
      </c>
      <c r="DC81" s="27" t="s">
        <v>166</v>
      </c>
      <c r="DD81" s="27" t="s">
        <v>166</v>
      </c>
      <c r="DE81" s="28" t="s">
        <v>166</v>
      </c>
      <c r="DF81" s="33">
        <v>46</v>
      </c>
      <c r="DG81" s="25" t="s">
        <v>673</v>
      </c>
      <c r="DH81" s="25" t="s">
        <v>193</v>
      </c>
      <c r="DI81" s="25" t="s">
        <v>194</v>
      </c>
      <c r="DJ81" s="25" t="s">
        <v>674</v>
      </c>
      <c r="DK81" s="25" t="s">
        <v>257</v>
      </c>
      <c r="DL81" s="32" t="s">
        <v>1700</v>
      </c>
      <c r="DM81" s="25" t="s">
        <v>198</v>
      </c>
      <c r="DN81" s="24" t="s">
        <v>1701</v>
      </c>
      <c r="DO81" s="31">
        <v>2020</v>
      </c>
      <c r="DP81" s="25" t="s">
        <v>166</v>
      </c>
      <c r="DQ81" s="25" t="s">
        <v>166</v>
      </c>
      <c r="DR81" s="29" t="s">
        <v>166</v>
      </c>
      <c r="DS81" s="27" t="s">
        <v>166</v>
      </c>
      <c r="DT81" s="30" t="s">
        <v>166</v>
      </c>
      <c r="DU81" s="25" t="s">
        <v>166</v>
      </c>
      <c r="DV81" s="29" t="s">
        <v>166</v>
      </c>
      <c r="DW81" s="29" t="s">
        <v>166</v>
      </c>
      <c r="DX81" s="27" t="s">
        <v>166</v>
      </c>
      <c r="DY81" s="27" t="s">
        <v>166</v>
      </c>
      <c r="DZ81" s="28" t="s">
        <v>166</v>
      </c>
      <c r="EA81" s="27" t="s">
        <v>166</v>
      </c>
      <c r="EB81" s="27" t="s">
        <v>166</v>
      </c>
      <c r="EC81" s="27" t="s">
        <v>166</v>
      </c>
      <c r="ED81" s="28" t="s">
        <v>166</v>
      </c>
      <c r="EE81" s="28" t="s">
        <v>166</v>
      </c>
      <c r="EF81" s="28" t="s">
        <v>166</v>
      </c>
      <c r="EG81" s="28" t="s">
        <v>166</v>
      </c>
      <c r="EH81" s="27" t="s">
        <v>166</v>
      </c>
      <c r="EI81" s="27" t="s">
        <v>166</v>
      </c>
      <c r="EJ81" s="27" t="s">
        <v>166</v>
      </c>
      <c r="EK81" s="27" t="s">
        <v>166</v>
      </c>
      <c r="EL81" s="27" t="s">
        <v>166</v>
      </c>
      <c r="EM81" s="27" t="s">
        <v>166</v>
      </c>
      <c r="EN81" s="27" t="s">
        <v>166</v>
      </c>
      <c r="EO81" s="27" t="s">
        <v>166</v>
      </c>
      <c r="EP81" s="27" t="s">
        <v>166</v>
      </c>
      <c r="EQ81" s="27" t="s">
        <v>166</v>
      </c>
      <c r="ER81" s="27" t="s">
        <v>166</v>
      </c>
      <c r="ES81" s="27" t="s">
        <v>166</v>
      </c>
      <c r="ET81" s="25" t="s">
        <v>166</v>
      </c>
      <c r="EU81" s="27" t="s">
        <v>166</v>
      </c>
      <c r="EV81" s="27" t="s">
        <v>166</v>
      </c>
      <c r="EW81" s="27" t="s">
        <v>166</v>
      </c>
      <c r="EX81" s="25" t="s">
        <v>190</v>
      </c>
      <c r="EY81" s="25" t="s">
        <v>166</v>
      </c>
      <c r="EZ81" s="27" t="s">
        <v>166</v>
      </c>
      <c r="FA81" s="26" t="s">
        <v>166</v>
      </c>
      <c r="FB81" s="26" t="s">
        <v>166</v>
      </c>
      <c r="FC81" s="26" t="s">
        <v>166</v>
      </c>
      <c r="FD81" s="26" t="s">
        <v>166</v>
      </c>
      <c r="FE81" s="26" t="s">
        <v>166</v>
      </c>
      <c r="FF81" s="26" t="s">
        <v>166</v>
      </c>
      <c r="FG81" s="25" t="s">
        <v>166</v>
      </c>
      <c r="FH81" s="4">
        <f>HYPERLINK("https://my.pitchbook.com?c=164418-58T","View Company Online")</f>
      </c>
    </row>
    <row r="82">
      <c r="A82" s="14" t="s">
        <v>1702</v>
      </c>
      <c r="B82" s="14" t="s">
        <v>1703</v>
      </c>
      <c r="C82" s="14" t="s">
        <v>1704</v>
      </c>
      <c r="D82" s="14" t="s">
        <v>166</v>
      </c>
      <c r="E82" s="23" t="s">
        <v>1705</v>
      </c>
      <c r="F82" s="21">
        <v>3</v>
      </c>
      <c r="G82" s="14" t="s">
        <v>1706</v>
      </c>
      <c r="H82" s="14" t="s">
        <v>166</v>
      </c>
      <c r="I82" s="14" t="s">
        <v>1707</v>
      </c>
      <c r="J82" s="14" t="s">
        <v>1708</v>
      </c>
      <c r="K82" s="14" t="s">
        <v>207</v>
      </c>
      <c r="L82" s="14" t="s">
        <v>208</v>
      </c>
      <c r="M82" s="14" t="s">
        <v>209</v>
      </c>
      <c r="N82" s="14" t="s">
        <v>684</v>
      </c>
      <c r="O82" s="14" t="s">
        <v>1709</v>
      </c>
      <c r="P82" s="14" t="s">
        <v>1710</v>
      </c>
      <c r="Q82" s="14" t="s">
        <v>166</v>
      </c>
      <c r="R82" s="14" t="s">
        <v>177</v>
      </c>
      <c r="S82" s="14" t="s">
        <v>178</v>
      </c>
      <c r="T82" s="14" t="s">
        <v>179</v>
      </c>
      <c r="U82" s="14" t="s">
        <v>1711</v>
      </c>
      <c r="V82" s="14" t="s">
        <v>1712</v>
      </c>
      <c r="W82" s="21" t="s">
        <v>166</v>
      </c>
      <c r="X82" s="14" t="s">
        <v>1713</v>
      </c>
      <c r="Y82" s="14" t="s">
        <v>1714</v>
      </c>
      <c r="Z82" s="14" t="s">
        <v>1715</v>
      </c>
      <c r="AA82" s="14" t="s">
        <v>242</v>
      </c>
      <c r="AB82" s="14" t="s">
        <v>243</v>
      </c>
      <c r="AC82" s="14" t="s">
        <v>244</v>
      </c>
      <c r="AD82" s="14" t="s">
        <v>243</v>
      </c>
      <c r="AE82" s="14" t="s">
        <v>243</v>
      </c>
      <c r="AF82" s="14" t="s">
        <v>245</v>
      </c>
      <c r="AG82" s="14" t="s">
        <v>807</v>
      </c>
      <c r="AH82" s="21">
        <v>2</v>
      </c>
      <c r="AI82" s="3">
        <f>HYPERLINK("https://my.pitchbook.com/?d=133222-15T","133222-15T")</f>
      </c>
      <c r="AJ82" s="19" t="s">
        <v>166</v>
      </c>
      <c r="AK82" s="19">
        <v>43894</v>
      </c>
      <c r="AL82" s="18">
        <v>9</v>
      </c>
      <c r="AM82" s="14" t="s">
        <v>185</v>
      </c>
      <c r="AN82" s="18">
        <v>18</v>
      </c>
      <c r="AO82" s="18">
        <v>27</v>
      </c>
      <c r="AP82" s="14" t="s">
        <v>185</v>
      </c>
      <c r="AQ82" s="21" t="s">
        <v>166</v>
      </c>
      <c r="AR82" s="21" t="s">
        <v>166</v>
      </c>
      <c r="AS82" s="17">
        <v>38.89</v>
      </c>
      <c r="AT82" s="18">
        <v>9</v>
      </c>
      <c r="AU82" s="21" t="s">
        <v>186</v>
      </c>
      <c r="AV82" s="21" t="s">
        <v>166</v>
      </c>
      <c r="AW82" s="18">
        <v>0.87</v>
      </c>
      <c r="AX82" s="21" t="s">
        <v>248</v>
      </c>
      <c r="AY82" s="14" t="s">
        <v>187</v>
      </c>
      <c r="AZ82" s="14" t="s">
        <v>248</v>
      </c>
      <c r="BA82" s="14" t="s">
        <v>166</v>
      </c>
      <c r="BB82" s="21" t="s">
        <v>166</v>
      </c>
      <c r="BC82" s="14" t="s">
        <v>179</v>
      </c>
      <c r="BD82" s="14" t="s">
        <v>1716</v>
      </c>
      <c r="BE82" s="14" t="s">
        <v>189</v>
      </c>
      <c r="BF82" s="18">
        <v>9</v>
      </c>
      <c r="BG82" s="14" t="s">
        <v>190</v>
      </c>
      <c r="BH82" s="14" t="s">
        <v>166</v>
      </c>
      <c r="BI82" s="14" t="s">
        <v>166</v>
      </c>
      <c r="BJ82" s="18" t="s">
        <v>166</v>
      </c>
      <c r="BK82" s="18" t="s">
        <v>166</v>
      </c>
      <c r="BL82" s="14" t="s">
        <v>191</v>
      </c>
      <c r="BM82" s="14" t="s">
        <v>178</v>
      </c>
      <c r="BN82" s="14" t="s">
        <v>177</v>
      </c>
      <c r="BO82" s="22" t="s">
        <v>166</v>
      </c>
      <c r="BP82" s="14" t="s">
        <v>1717</v>
      </c>
      <c r="BQ82" s="21">
        <v>3</v>
      </c>
      <c r="BR82" s="14" t="s">
        <v>166</v>
      </c>
      <c r="BS82" s="21" t="s">
        <v>166</v>
      </c>
      <c r="BT82" s="14" t="s">
        <v>1718</v>
      </c>
      <c r="BU82" s="14" t="s">
        <v>166</v>
      </c>
      <c r="BV82" s="14" t="s">
        <v>1719</v>
      </c>
      <c r="BW82" s="14" t="s">
        <v>166</v>
      </c>
      <c r="BX82" s="14" t="s">
        <v>166</v>
      </c>
      <c r="BY82" s="14" t="s">
        <v>166</v>
      </c>
      <c r="BZ82" s="14" t="s">
        <v>1720</v>
      </c>
      <c r="CA82" s="14" t="s">
        <v>996</v>
      </c>
      <c r="CB82" s="14" t="s">
        <v>166</v>
      </c>
      <c r="CC82" s="14" t="s">
        <v>1721</v>
      </c>
      <c r="CD82" s="14" t="s">
        <v>166</v>
      </c>
      <c r="CE82" s="18" t="s">
        <v>166</v>
      </c>
      <c r="CF82" s="16" t="s">
        <v>166</v>
      </c>
      <c r="CG82" s="17" t="s">
        <v>166</v>
      </c>
      <c r="CH82" s="16" t="s">
        <v>166</v>
      </c>
      <c r="CI82" s="16" t="s">
        <v>166</v>
      </c>
      <c r="CJ82" s="16" t="s">
        <v>166</v>
      </c>
      <c r="CK82" s="16" t="s">
        <v>166</v>
      </c>
      <c r="CL82" s="16" t="s">
        <v>166</v>
      </c>
      <c r="CM82" s="20" t="s">
        <v>166</v>
      </c>
      <c r="CN82" s="16" t="s">
        <v>166</v>
      </c>
      <c r="CO82" s="16" t="s">
        <v>166</v>
      </c>
      <c r="CP82" s="16" t="s">
        <v>166</v>
      </c>
      <c r="CQ82" s="16" t="s">
        <v>166</v>
      </c>
      <c r="CR82" s="16" t="s">
        <v>166</v>
      </c>
      <c r="CS82" s="16" t="s">
        <v>166</v>
      </c>
      <c r="CT82" s="16" t="s">
        <v>166</v>
      </c>
      <c r="CU82" s="16" t="s">
        <v>166</v>
      </c>
      <c r="CV82" s="16" t="s">
        <v>166</v>
      </c>
      <c r="CW82" s="16" t="s">
        <v>166</v>
      </c>
      <c r="CX82" s="16" t="s">
        <v>166</v>
      </c>
      <c r="CY82" s="16" t="s">
        <v>166</v>
      </c>
      <c r="CZ82" s="16" t="s">
        <v>166</v>
      </c>
      <c r="DA82" s="16" t="s">
        <v>166</v>
      </c>
      <c r="DB82" s="16" t="s">
        <v>166</v>
      </c>
      <c r="DC82" s="16" t="s">
        <v>166</v>
      </c>
      <c r="DD82" s="16" t="s">
        <v>166</v>
      </c>
      <c r="DE82" s="17" t="s">
        <v>166</v>
      </c>
      <c r="DF82" s="22">
        <v>30</v>
      </c>
      <c r="DG82" s="14" t="s">
        <v>1077</v>
      </c>
      <c r="DH82" s="14" t="s">
        <v>193</v>
      </c>
      <c r="DI82" s="14" t="s">
        <v>194</v>
      </c>
      <c r="DJ82" s="14" t="s">
        <v>1078</v>
      </c>
      <c r="DK82" s="14" t="s">
        <v>257</v>
      </c>
      <c r="DL82" s="21" t="s">
        <v>1079</v>
      </c>
      <c r="DM82" s="14" t="s">
        <v>198</v>
      </c>
      <c r="DN82" s="13" t="s">
        <v>1722</v>
      </c>
      <c r="DO82" s="20">
        <v>2018</v>
      </c>
      <c r="DP82" s="14" t="s">
        <v>166</v>
      </c>
      <c r="DQ82" s="14" t="s">
        <v>166</v>
      </c>
      <c r="DR82" s="18" t="s">
        <v>166</v>
      </c>
      <c r="DS82" s="16" t="s">
        <v>166</v>
      </c>
      <c r="DT82" s="19" t="s">
        <v>166</v>
      </c>
      <c r="DU82" s="14" t="s">
        <v>166</v>
      </c>
      <c r="DV82" s="18" t="s">
        <v>166</v>
      </c>
      <c r="DW82" s="18" t="s">
        <v>166</v>
      </c>
      <c r="DX82" s="16" t="s">
        <v>166</v>
      </c>
      <c r="DY82" s="16" t="s">
        <v>166</v>
      </c>
      <c r="DZ82" s="17" t="s">
        <v>166</v>
      </c>
      <c r="EA82" s="16" t="s">
        <v>166</v>
      </c>
      <c r="EB82" s="16" t="s">
        <v>166</v>
      </c>
      <c r="EC82" s="16" t="s">
        <v>166</v>
      </c>
      <c r="ED82" s="17" t="s">
        <v>166</v>
      </c>
      <c r="EE82" s="17" t="s">
        <v>166</v>
      </c>
      <c r="EF82" s="17" t="s">
        <v>166</v>
      </c>
      <c r="EG82" s="17" t="s">
        <v>166</v>
      </c>
      <c r="EH82" s="16" t="s">
        <v>166</v>
      </c>
      <c r="EI82" s="16" t="s">
        <v>166</v>
      </c>
      <c r="EJ82" s="16" t="s">
        <v>166</v>
      </c>
      <c r="EK82" s="16" t="s">
        <v>166</v>
      </c>
      <c r="EL82" s="16" t="s">
        <v>166</v>
      </c>
      <c r="EM82" s="16" t="s">
        <v>166</v>
      </c>
      <c r="EN82" s="16" t="s">
        <v>166</v>
      </c>
      <c r="EO82" s="16" t="s">
        <v>166</v>
      </c>
      <c r="EP82" s="16" t="s">
        <v>166</v>
      </c>
      <c r="EQ82" s="16" t="s">
        <v>166</v>
      </c>
      <c r="ER82" s="16" t="s">
        <v>166</v>
      </c>
      <c r="ES82" s="16" t="s">
        <v>166</v>
      </c>
      <c r="ET82" s="14" t="s">
        <v>166</v>
      </c>
      <c r="EU82" s="16" t="s">
        <v>166</v>
      </c>
      <c r="EV82" s="16" t="s">
        <v>166</v>
      </c>
      <c r="EW82" s="16" t="s">
        <v>166</v>
      </c>
      <c r="EX82" s="14" t="s">
        <v>190</v>
      </c>
      <c r="EY82" s="14" t="s">
        <v>166</v>
      </c>
      <c r="EZ82" s="16" t="s">
        <v>166</v>
      </c>
      <c r="FA82" s="15">
        <v>3</v>
      </c>
      <c r="FB82" s="15">
        <v>2</v>
      </c>
      <c r="FC82" s="15" t="s">
        <v>166</v>
      </c>
      <c r="FD82" s="15">
        <v>2</v>
      </c>
      <c r="FE82" s="15" t="s">
        <v>166</v>
      </c>
      <c r="FF82" s="15">
        <v>1</v>
      </c>
      <c r="FG82" s="14" t="s">
        <v>775</v>
      </c>
      <c r="FH82" s="3">
        <f>HYPERLINK("https://my.pitchbook.com?c=133222-15T","View Company Online")</f>
      </c>
    </row>
    <row r="83">
      <c r="A83" s="25" t="s">
        <v>1723</v>
      </c>
      <c r="B83" s="25" t="s">
        <v>1724</v>
      </c>
      <c r="C83" s="25" t="s">
        <v>1725</v>
      </c>
      <c r="D83" s="25" t="s">
        <v>166</v>
      </c>
      <c r="E83" s="34" t="s">
        <v>1726</v>
      </c>
      <c r="F83" s="32">
        <v>8</v>
      </c>
      <c r="G83" s="25" t="s">
        <v>1727</v>
      </c>
      <c r="H83" s="25" t="s">
        <v>166</v>
      </c>
      <c r="I83" s="25" t="s">
        <v>1728</v>
      </c>
      <c r="J83" s="25" t="s">
        <v>1729</v>
      </c>
      <c r="K83" s="25" t="s">
        <v>207</v>
      </c>
      <c r="L83" s="25" t="s">
        <v>208</v>
      </c>
      <c r="M83" s="25" t="s">
        <v>209</v>
      </c>
      <c r="N83" s="25" t="s">
        <v>1730</v>
      </c>
      <c r="O83" s="25" t="s">
        <v>1731</v>
      </c>
      <c r="P83" s="25" t="s">
        <v>1732</v>
      </c>
      <c r="Q83" s="25" t="s">
        <v>166</v>
      </c>
      <c r="R83" s="25" t="s">
        <v>177</v>
      </c>
      <c r="S83" s="25" t="s">
        <v>785</v>
      </c>
      <c r="T83" s="25" t="s">
        <v>179</v>
      </c>
      <c r="U83" s="25" t="s">
        <v>1733</v>
      </c>
      <c r="V83" s="25" t="s">
        <v>1734</v>
      </c>
      <c r="W83" s="32" t="s">
        <v>1735</v>
      </c>
      <c r="X83" s="25" t="s">
        <v>1736</v>
      </c>
      <c r="Y83" s="25" t="s">
        <v>1737</v>
      </c>
      <c r="Z83" s="25" t="s">
        <v>166</v>
      </c>
      <c r="AA83" s="25" t="s">
        <v>166</v>
      </c>
      <c r="AB83" s="25" t="s">
        <v>166</v>
      </c>
      <c r="AC83" s="25" t="s">
        <v>166</v>
      </c>
      <c r="AD83" s="25" t="s">
        <v>166</v>
      </c>
      <c r="AE83" s="25" t="s">
        <v>166</v>
      </c>
      <c r="AF83" s="25" t="s">
        <v>166</v>
      </c>
      <c r="AG83" s="25" t="s">
        <v>166</v>
      </c>
      <c r="AH83" s="32">
        <v>4</v>
      </c>
      <c r="AI83" s="4">
        <f>HYPERLINK("https://my.pitchbook.com/?d=252664-39T","252664-39T")</f>
      </c>
      <c r="AJ83" s="30">
        <v>45337</v>
      </c>
      <c r="AK83" s="30">
        <v>45337</v>
      </c>
      <c r="AL83" s="29">
        <v>3.3</v>
      </c>
      <c r="AM83" s="25" t="s">
        <v>185</v>
      </c>
      <c r="AN83" s="29">
        <v>16.7</v>
      </c>
      <c r="AO83" s="29">
        <v>20</v>
      </c>
      <c r="AP83" s="25" t="s">
        <v>185</v>
      </c>
      <c r="AQ83" s="32" t="s">
        <v>166</v>
      </c>
      <c r="AR83" s="32" t="s">
        <v>166</v>
      </c>
      <c r="AS83" s="28">
        <v>16.5</v>
      </c>
      <c r="AT83" s="29">
        <v>3.3</v>
      </c>
      <c r="AU83" s="32" t="s">
        <v>186</v>
      </c>
      <c r="AV83" s="32" t="s">
        <v>166</v>
      </c>
      <c r="AW83" s="29" t="s">
        <v>166</v>
      </c>
      <c r="AX83" s="32" t="s">
        <v>166</v>
      </c>
      <c r="AY83" s="25" t="s">
        <v>217</v>
      </c>
      <c r="AZ83" s="25" t="s">
        <v>217</v>
      </c>
      <c r="BA83" s="25" t="s">
        <v>166</v>
      </c>
      <c r="BB83" s="32" t="s">
        <v>166</v>
      </c>
      <c r="BC83" s="25" t="s">
        <v>179</v>
      </c>
      <c r="BD83" s="25" t="s">
        <v>1738</v>
      </c>
      <c r="BE83" s="25" t="s">
        <v>189</v>
      </c>
      <c r="BF83" s="29">
        <v>3.3</v>
      </c>
      <c r="BG83" s="25" t="s">
        <v>190</v>
      </c>
      <c r="BH83" s="25" t="s">
        <v>166</v>
      </c>
      <c r="BI83" s="25" t="s">
        <v>166</v>
      </c>
      <c r="BJ83" s="29" t="s">
        <v>166</v>
      </c>
      <c r="BK83" s="29" t="s">
        <v>166</v>
      </c>
      <c r="BL83" s="25" t="s">
        <v>191</v>
      </c>
      <c r="BM83" s="25" t="s">
        <v>358</v>
      </c>
      <c r="BN83" s="25" t="s">
        <v>177</v>
      </c>
      <c r="BO83" s="33">
        <v>3</v>
      </c>
      <c r="BP83" s="25" t="s">
        <v>1739</v>
      </c>
      <c r="BQ83" s="32">
        <v>6</v>
      </c>
      <c r="BR83" s="25" t="s">
        <v>1740</v>
      </c>
      <c r="BS83" s="32">
        <v>2</v>
      </c>
      <c r="BT83" s="25" t="s">
        <v>166</v>
      </c>
      <c r="BU83" s="25" t="s">
        <v>166</v>
      </c>
      <c r="BV83" s="25" t="s">
        <v>166</v>
      </c>
      <c r="BW83" s="25" t="s">
        <v>166</v>
      </c>
      <c r="BX83" s="25" t="s">
        <v>166</v>
      </c>
      <c r="BY83" s="25" t="s">
        <v>166</v>
      </c>
      <c r="BZ83" s="25" t="s">
        <v>1741</v>
      </c>
      <c r="CA83" s="25" t="s">
        <v>1741</v>
      </c>
      <c r="CB83" s="25" t="s">
        <v>166</v>
      </c>
      <c r="CC83" s="25" t="s">
        <v>166</v>
      </c>
      <c r="CD83" s="25" t="s">
        <v>166</v>
      </c>
      <c r="CE83" s="29" t="s">
        <v>166</v>
      </c>
      <c r="CF83" s="27" t="s">
        <v>166</v>
      </c>
      <c r="CG83" s="28" t="s">
        <v>166</v>
      </c>
      <c r="CH83" s="27" t="s">
        <v>166</v>
      </c>
      <c r="CI83" s="27" t="s">
        <v>166</v>
      </c>
      <c r="CJ83" s="27" t="s">
        <v>166</v>
      </c>
      <c r="CK83" s="27" t="s">
        <v>166</v>
      </c>
      <c r="CL83" s="27" t="s">
        <v>166</v>
      </c>
      <c r="CM83" s="31" t="s">
        <v>166</v>
      </c>
      <c r="CN83" s="27" t="s">
        <v>166</v>
      </c>
      <c r="CO83" s="27" t="s">
        <v>166</v>
      </c>
      <c r="CP83" s="27" t="s">
        <v>166</v>
      </c>
      <c r="CQ83" s="27" t="s">
        <v>166</v>
      </c>
      <c r="CR83" s="27" t="s">
        <v>166</v>
      </c>
      <c r="CS83" s="27" t="s">
        <v>166</v>
      </c>
      <c r="CT83" s="27" t="s">
        <v>166</v>
      </c>
      <c r="CU83" s="27" t="s">
        <v>166</v>
      </c>
      <c r="CV83" s="27" t="s">
        <v>166</v>
      </c>
      <c r="CW83" s="27" t="s">
        <v>166</v>
      </c>
      <c r="CX83" s="27" t="s">
        <v>166</v>
      </c>
      <c r="CY83" s="27" t="s">
        <v>166</v>
      </c>
      <c r="CZ83" s="27" t="s">
        <v>166</v>
      </c>
      <c r="DA83" s="27" t="s">
        <v>166</v>
      </c>
      <c r="DB83" s="27" t="s">
        <v>166</v>
      </c>
      <c r="DC83" s="27" t="s">
        <v>166</v>
      </c>
      <c r="DD83" s="27" t="s">
        <v>166</v>
      </c>
      <c r="DE83" s="28" t="s">
        <v>166</v>
      </c>
      <c r="DF83" s="33">
        <v>6</v>
      </c>
      <c r="DG83" s="25" t="s">
        <v>673</v>
      </c>
      <c r="DH83" s="25" t="s">
        <v>193</v>
      </c>
      <c r="DI83" s="25" t="s">
        <v>194</v>
      </c>
      <c r="DJ83" s="25" t="s">
        <v>674</v>
      </c>
      <c r="DK83" s="25" t="s">
        <v>257</v>
      </c>
      <c r="DL83" s="32" t="s">
        <v>166</v>
      </c>
      <c r="DM83" s="25" t="s">
        <v>198</v>
      </c>
      <c r="DN83" s="24" t="s">
        <v>1742</v>
      </c>
      <c r="DO83" s="31">
        <v>2023</v>
      </c>
      <c r="DP83" s="25" t="s">
        <v>166</v>
      </c>
      <c r="DQ83" s="25" t="s">
        <v>166</v>
      </c>
      <c r="DR83" s="29" t="s">
        <v>166</v>
      </c>
      <c r="DS83" s="27" t="s">
        <v>166</v>
      </c>
      <c r="DT83" s="30" t="s">
        <v>166</v>
      </c>
      <c r="DU83" s="25" t="s">
        <v>166</v>
      </c>
      <c r="DV83" s="29" t="s">
        <v>166</v>
      </c>
      <c r="DW83" s="29" t="s">
        <v>166</v>
      </c>
      <c r="DX83" s="27" t="s">
        <v>166</v>
      </c>
      <c r="DY83" s="27" t="s">
        <v>166</v>
      </c>
      <c r="DZ83" s="28" t="s">
        <v>166</v>
      </c>
      <c r="EA83" s="27" t="s">
        <v>166</v>
      </c>
      <c r="EB83" s="27" t="s">
        <v>166</v>
      </c>
      <c r="EC83" s="27" t="s">
        <v>166</v>
      </c>
      <c r="ED83" s="28" t="s">
        <v>166</v>
      </c>
      <c r="EE83" s="28" t="s">
        <v>166</v>
      </c>
      <c r="EF83" s="28" t="s">
        <v>166</v>
      </c>
      <c r="EG83" s="28" t="s">
        <v>166</v>
      </c>
      <c r="EH83" s="27" t="s">
        <v>166</v>
      </c>
      <c r="EI83" s="27" t="s">
        <v>166</v>
      </c>
      <c r="EJ83" s="27" t="s">
        <v>166</v>
      </c>
      <c r="EK83" s="27" t="s">
        <v>166</v>
      </c>
      <c r="EL83" s="27" t="s">
        <v>166</v>
      </c>
      <c r="EM83" s="27" t="s">
        <v>166</v>
      </c>
      <c r="EN83" s="27" t="s">
        <v>166</v>
      </c>
      <c r="EO83" s="27" t="s">
        <v>166</v>
      </c>
      <c r="EP83" s="27" t="s">
        <v>166</v>
      </c>
      <c r="EQ83" s="27" t="s">
        <v>166</v>
      </c>
      <c r="ER83" s="27" t="s">
        <v>166</v>
      </c>
      <c r="ES83" s="27" t="s">
        <v>166</v>
      </c>
      <c r="ET83" s="25" t="s">
        <v>166</v>
      </c>
      <c r="EU83" s="27" t="s">
        <v>166</v>
      </c>
      <c r="EV83" s="27" t="s">
        <v>166</v>
      </c>
      <c r="EW83" s="27" t="s">
        <v>166</v>
      </c>
      <c r="EX83" s="25" t="s">
        <v>190</v>
      </c>
      <c r="EY83" s="25" t="s">
        <v>166</v>
      </c>
      <c r="EZ83" s="27" t="s">
        <v>166</v>
      </c>
      <c r="FA83" s="26" t="s">
        <v>166</v>
      </c>
      <c r="FB83" s="26" t="s">
        <v>166</v>
      </c>
      <c r="FC83" s="26" t="s">
        <v>166</v>
      </c>
      <c r="FD83" s="26" t="s">
        <v>166</v>
      </c>
      <c r="FE83" s="26" t="s">
        <v>166</v>
      </c>
      <c r="FF83" s="26" t="s">
        <v>166</v>
      </c>
      <c r="FG83" s="25" t="s">
        <v>166</v>
      </c>
      <c r="FH83" s="4">
        <f>HYPERLINK("https://my.pitchbook.com?c=252664-39T","View Company Online")</f>
      </c>
    </row>
    <row r="84">
      <c r="A84" s="14" t="s">
        <v>1743</v>
      </c>
      <c r="B84" s="14" t="s">
        <v>1744</v>
      </c>
      <c r="C84" s="14" t="s">
        <v>1745</v>
      </c>
      <c r="D84" s="14" t="s">
        <v>166</v>
      </c>
      <c r="E84" s="23" t="s">
        <v>1746</v>
      </c>
      <c r="F84" s="21">
        <v>3</v>
      </c>
      <c r="G84" s="14" t="s">
        <v>1747</v>
      </c>
      <c r="H84" s="14" t="s">
        <v>166</v>
      </c>
      <c r="I84" s="14" t="s">
        <v>1748</v>
      </c>
      <c r="J84" s="14" t="s">
        <v>1749</v>
      </c>
      <c r="K84" s="14" t="s">
        <v>207</v>
      </c>
      <c r="L84" s="14" t="s">
        <v>208</v>
      </c>
      <c r="M84" s="14" t="s">
        <v>296</v>
      </c>
      <c r="N84" s="14" t="s">
        <v>1750</v>
      </c>
      <c r="O84" s="14" t="s">
        <v>325</v>
      </c>
      <c r="P84" s="14" t="s">
        <v>1751</v>
      </c>
      <c r="Q84" s="14" t="s">
        <v>166</v>
      </c>
      <c r="R84" s="14" t="s">
        <v>177</v>
      </c>
      <c r="S84" s="14" t="s">
        <v>178</v>
      </c>
      <c r="T84" s="14" t="s">
        <v>179</v>
      </c>
      <c r="U84" s="14" t="s">
        <v>1752</v>
      </c>
      <c r="V84" s="14" t="s">
        <v>1753</v>
      </c>
      <c r="W84" s="21" t="s">
        <v>1754</v>
      </c>
      <c r="X84" s="14" t="s">
        <v>1755</v>
      </c>
      <c r="Y84" s="14" t="s">
        <v>1756</v>
      </c>
      <c r="Z84" s="14" t="s">
        <v>166</v>
      </c>
      <c r="AA84" s="14" t="s">
        <v>166</v>
      </c>
      <c r="AB84" s="14" t="s">
        <v>166</v>
      </c>
      <c r="AC84" s="14" t="s">
        <v>166</v>
      </c>
      <c r="AD84" s="14" t="s">
        <v>166</v>
      </c>
      <c r="AE84" s="14" t="s">
        <v>166</v>
      </c>
      <c r="AF84" s="14" t="s">
        <v>166</v>
      </c>
      <c r="AG84" s="14" t="s">
        <v>166</v>
      </c>
      <c r="AH84" s="21">
        <v>1</v>
      </c>
      <c r="AI84" s="3">
        <f>HYPERLINK("https://my.pitchbook.com/?d=258478-48T","258478-48T")</f>
      </c>
      <c r="AJ84" s="19" t="s">
        <v>166</v>
      </c>
      <c r="AK84" s="19">
        <v>44378</v>
      </c>
      <c r="AL84" s="18">
        <v>2.2</v>
      </c>
      <c r="AM84" s="14" t="s">
        <v>185</v>
      </c>
      <c r="AN84" s="18" t="s">
        <v>166</v>
      </c>
      <c r="AO84" s="18" t="s">
        <v>166</v>
      </c>
      <c r="AP84" s="14" t="s">
        <v>166</v>
      </c>
      <c r="AQ84" s="21" t="s">
        <v>166</v>
      </c>
      <c r="AR84" s="21" t="s">
        <v>166</v>
      </c>
      <c r="AS84" s="17" t="s">
        <v>166</v>
      </c>
      <c r="AT84" s="18">
        <v>2.2</v>
      </c>
      <c r="AU84" s="21" t="s">
        <v>186</v>
      </c>
      <c r="AV84" s="21" t="s">
        <v>166</v>
      </c>
      <c r="AW84" s="18" t="s">
        <v>166</v>
      </c>
      <c r="AX84" s="21" t="s">
        <v>166</v>
      </c>
      <c r="AY84" s="14" t="s">
        <v>217</v>
      </c>
      <c r="AZ84" s="14" t="s">
        <v>217</v>
      </c>
      <c r="BA84" s="14" t="s">
        <v>166</v>
      </c>
      <c r="BB84" s="21" t="s">
        <v>166</v>
      </c>
      <c r="BC84" s="14" t="s">
        <v>179</v>
      </c>
      <c r="BD84" s="14" t="s">
        <v>1757</v>
      </c>
      <c r="BE84" s="14" t="s">
        <v>189</v>
      </c>
      <c r="BF84" s="18">
        <v>2.2</v>
      </c>
      <c r="BG84" s="14" t="s">
        <v>190</v>
      </c>
      <c r="BH84" s="14" t="s">
        <v>166</v>
      </c>
      <c r="BI84" s="14" t="s">
        <v>166</v>
      </c>
      <c r="BJ84" s="18" t="s">
        <v>166</v>
      </c>
      <c r="BK84" s="18" t="s">
        <v>166</v>
      </c>
      <c r="BL84" s="14" t="s">
        <v>191</v>
      </c>
      <c r="BM84" s="14" t="s">
        <v>178</v>
      </c>
      <c r="BN84" s="14" t="s">
        <v>177</v>
      </c>
      <c r="BO84" s="22" t="s">
        <v>166</v>
      </c>
      <c r="BP84" s="14" t="s">
        <v>1746</v>
      </c>
      <c r="BQ84" s="21">
        <v>3</v>
      </c>
      <c r="BR84" s="14" t="s">
        <v>166</v>
      </c>
      <c r="BS84" s="21" t="s">
        <v>166</v>
      </c>
      <c r="BT84" s="14" t="s">
        <v>166</v>
      </c>
      <c r="BU84" s="14" t="s">
        <v>166</v>
      </c>
      <c r="BV84" s="14" t="s">
        <v>166</v>
      </c>
      <c r="BW84" s="14" t="s">
        <v>166</v>
      </c>
      <c r="BX84" s="14" t="s">
        <v>166</v>
      </c>
      <c r="BY84" s="14" t="s">
        <v>166</v>
      </c>
      <c r="BZ84" s="14" t="s">
        <v>166</v>
      </c>
      <c r="CA84" s="14" t="s">
        <v>166</v>
      </c>
      <c r="CB84" s="14" t="s">
        <v>166</v>
      </c>
      <c r="CC84" s="14" t="s">
        <v>166</v>
      </c>
      <c r="CD84" s="14" t="s">
        <v>166</v>
      </c>
      <c r="CE84" s="18" t="s">
        <v>166</v>
      </c>
      <c r="CF84" s="16" t="s">
        <v>166</v>
      </c>
      <c r="CG84" s="17" t="s">
        <v>166</v>
      </c>
      <c r="CH84" s="16" t="s">
        <v>166</v>
      </c>
      <c r="CI84" s="16" t="s">
        <v>166</v>
      </c>
      <c r="CJ84" s="16" t="s">
        <v>166</v>
      </c>
      <c r="CK84" s="16" t="s">
        <v>166</v>
      </c>
      <c r="CL84" s="16" t="s">
        <v>166</v>
      </c>
      <c r="CM84" s="20" t="s">
        <v>166</v>
      </c>
      <c r="CN84" s="16" t="s">
        <v>166</v>
      </c>
      <c r="CO84" s="16" t="s">
        <v>166</v>
      </c>
      <c r="CP84" s="16" t="s">
        <v>166</v>
      </c>
      <c r="CQ84" s="16" t="s">
        <v>166</v>
      </c>
      <c r="CR84" s="16" t="s">
        <v>166</v>
      </c>
      <c r="CS84" s="16" t="s">
        <v>166</v>
      </c>
      <c r="CT84" s="16" t="s">
        <v>166</v>
      </c>
      <c r="CU84" s="16" t="s">
        <v>166</v>
      </c>
      <c r="CV84" s="16" t="s">
        <v>166</v>
      </c>
      <c r="CW84" s="16" t="s">
        <v>166</v>
      </c>
      <c r="CX84" s="16" t="s">
        <v>166</v>
      </c>
      <c r="CY84" s="16" t="s">
        <v>166</v>
      </c>
      <c r="CZ84" s="16" t="s">
        <v>166</v>
      </c>
      <c r="DA84" s="16" t="s">
        <v>166</v>
      </c>
      <c r="DB84" s="16" t="s">
        <v>166</v>
      </c>
      <c r="DC84" s="16" t="s">
        <v>166</v>
      </c>
      <c r="DD84" s="16" t="s">
        <v>166</v>
      </c>
      <c r="DE84" s="17" t="s">
        <v>166</v>
      </c>
      <c r="DF84" s="22" t="s">
        <v>166</v>
      </c>
      <c r="DG84" s="14" t="s">
        <v>673</v>
      </c>
      <c r="DH84" s="14" t="s">
        <v>193</v>
      </c>
      <c r="DI84" s="14" t="s">
        <v>194</v>
      </c>
      <c r="DJ84" s="14" t="s">
        <v>674</v>
      </c>
      <c r="DK84" s="14" t="s">
        <v>257</v>
      </c>
      <c r="DL84" s="21" t="s">
        <v>166</v>
      </c>
      <c r="DM84" s="14" t="s">
        <v>198</v>
      </c>
      <c r="DN84" s="13" t="s">
        <v>1758</v>
      </c>
      <c r="DO84" s="20">
        <v>2021</v>
      </c>
      <c r="DP84" s="14" t="s">
        <v>166</v>
      </c>
      <c r="DQ84" s="14" t="s">
        <v>166</v>
      </c>
      <c r="DR84" s="18" t="s">
        <v>166</v>
      </c>
      <c r="DS84" s="16" t="s">
        <v>166</v>
      </c>
      <c r="DT84" s="19" t="s">
        <v>166</v>
      </c>
      <c r="DU84" s="14" t="s">
        <v>166</v>
      </c>
      <c r="DV84" s="18" t="s">
        <v>166</v>
      </c>
      <c r="DW84" s="18" t="s">
        <v>166</v>
      </c>
      <c r="DX84" s="16" t="s">
        <v>166</v>
      </c>
      <c r="DY84" s="16" t="s">
        <v>166</v>
      </c>
      <c r="DZ84" s="17" t="s">
        <v>166</v>
      </c>
      <c r="EA84" s="16" t="s">
        <v>166</v>
      </c>
      <c r="EB84" s="16" t="s">
        <v>166</v>
      </c>
      <c r="EC84" s="16" t="s">
        <v>166</v>
      </c>
      <c r="ED84" s="17" t="s">
        <v>166</v>
      </c>
      <c r="EE84" s="17" t="s">
        <v>166</v>
      </c>
      <c r="EF84" s="17" t="s">
        <v>166</v>
      </c>
      <c r="EG84" s="17" t="s">
        <v>166</v>
      </c>
      <c r="EH84" s="16" t="s">
        <v>166</v>
      </c>
      <c r="EI84" s="16" t="s">
        <v>166</v>
      </c>
      <c r="EJ84" s="16" t="s">
        <v>166</v>
      </c>
      <c r="EK84" s="16" t="s">
        <v>166</v>
      </c>
      <c r="EL84" s="16" t="s">
        <v>166</v>
      </c>
      <c r="EM84" s="16" t="s">
        <v>166</v>
      </c>
      <c r="EN84" s="16" t="s">
        <v>166</v>
      </c>
      <c r="EO84" s="16" t="s">
        <v>166</v>
      </c>
      <c r="EP84" s="16" t="s">
        <v>166</v>
      </c>
      <c r="EQ84" s="16" t="s">
        <v>166</v>
      </c>
      <c r="ER84" s="16" t="s">
        <v>166</v>
      </c>
      <c r="ES84" s="16" t="s">
        <v>166</v>
      </c>
      <c r="ET84" s="14" t="s">
        <v>166</v>
      </c>
      <c r="EU84" s="16" t="s">
        <v>166</v>
      </c>
      <c r="EV84" s="16" t="s">
        <v>166</v>
      </c>
      <c r="EW84" s="16" t="s">
        <v>166</v>
      </c>
      <c r="EX84" s="14" t="s">
        <v>190</v>
      </c>
      <c r="EY84" s="14" t="s">
        <v>166</v>
      </c>
      <c r="EZ84" s="16" t="s">
        <v>166</v>
      </c>
      <c r="FA84" s="15" t="s">
        <v>166</v>
      </c>
      <c r="FB84" s="15" t="s">
        <v>166</v>
      </c>
      <c r="FC84" s="15" t="s">
        <v>166</v>
      </c>
      <c r="FD84" s="15" t="s">
        <v>166</v>
      </c>
      <c r="FE84" s="15" t="s">
        <v>166</v>
      </c>
      <c r="FF84" s="15" t="s">
        <v>166</v>
      </c>
      <c r="FG84" s="14" t="s">
        <v>166</v>
      </c>
      <c r="FH84" s="3">
        <f>HYPERLINK("https://my.pitchbook.com?c=258478-48T","View Company Online")</f>
      </c>
    </row>
    <row r="85">
      <c r="A85" s="25" t="s">
        <v>1759</v>
      </c>
      <c r="B85" s="25" t="s">
        <v>1760</v>
      </c>
      <c r="C85" s="25" t="s">
        <v>1761</v>
      </c>
      <c r="D85" s="25" t="s">
        <v>166</v>
      </c>
      <c r="E85" s="34" t="s">
        <v>1762</v>
      </c>
      <c r="F85" s="32">
        <v>13</v>
      </c>
      <c r="G85" s="25" t="s">
        <v>1763</v>
      </c>
      <c r="H85" s="25" t="s">
        <v>166</v>
      </c>
      <c r="I85" s="25" t="s">
        <v>1764</v>
      </c>
      <c r="J85" s="25" t="s">
        <v>1765</v>
      </c>
      <c r="K85" s="25" t="s">
        <v>207</v>
      </c>
      <c r="L85" s="25" t="s">
        <v>208</v>
      </c>
      <c r="M85" s="25" t="s">
        <v>1766</v>
      </c>
      <c r="N85" s="25" t="s">
        <v>1767</v>
      </c>
      <c r="O85" s="25" t="s">
        <v>1768</v>
      </c>
      <c r="P85" s="25" t="s">
        <v>1769</v>
      </c>
      <c r="Q85" s="25" t="s">
        <v>926</v>
      </c>
      <c r="R85" s="25" t="s">
        <v>177</v>
      </c>
      <c r="S85" s="25" t="s">
        <v>358</v>
      </c>
      <c r="T85" s="25" t="s">
        <v>179</v>
      </c>
      <c r="U85" s="25" t="s">
        <v>1770</v>
      </c>
      <c r="V85" s="25" t="s">
        <v>1771</v>
      </c>
      <c r="W85" s="32" t="s">
        <v>166</v>
      </c>
      <c r="X85" s="25" t="s">
        <v>166</v>
      </c>
      <c r="Y85" s="25" t="s">
        <v>1772</v>
      </c>
      <c r="Z85" s="25" t="s">
        <v>166</v>
      </c>
      <c r="AA85" s="25" t="s">
        <v>166</v>
      </c>
      <c r="AB85" s="25" t="s">
        <v>166</v>
      </c>
      <c r="AC85" s="25" t="s">
        <v>166</v>
      </c>
      <c r="AD85" s="25" t="s">
        <v>166</v>
      </c>
      <c r="AE85" s="25" t="s">
        <v>166</v>
      </c>
      <c r="AF85" s="25" t="s">
        <v>166</v>
      </c>
      <c r="AG85" s="25" t="s">
        <v>166</v>
      </c>
      <c r="AH85" s="32">
        <v>1</v>
      </c>
      <c r="AI85" s="4">
        <f>HYPERLINK("https://my.pitchbook.com/?d=234287-02T","234287-02T")</f>
      </c>
      <c r="AJ85" s="30" t="s">
        <v>166</v>
      </c>
      <c r="AK85" s="30">
        <v>45160</v>
      </c>
      <c r="AL85" s="29">
        <v>4</v>
      </c>
      <c r="AM85" s="25" t="s">
        <v>185</v>
      </c>
      <c r="AN85" s="29" t="s">
        <v>166</v>
      </c>
      <c r="AO85" s="29" t="s">
        <v>166</v>
      </c>
      <c r="AP85" s="25" t="s">
        <v>166</v>
      </c>
      <c r="AQ85" s="32" t="s">
        <v>166</v>
      </c>
      <c r="AR85" s="32" t="s">
        <v>166</v>
      </c>
      <c r="AS85" s="28" t="s">
        <v>166</v>
      </c>
      <c r="AT85" s="29">
        <v>4</v>
      </c>
      <c r="AU85" s="32" t="s">
        <v>186</v>
      </c>
      <c r="AV85" s="32" t="s">
        <v>166</v>
      </c>
      <c r="AW85" s="29" t="s">
        <v>166</v>
      </c>
      <c r="AX85" s="32" t="s">
        <v>166</v>
      </c>
      <c r="AY85" s="25" t="s">
        <v>217</v>
      </c>
      <c r="AZ85" s="25" t="s">
        <v>217</v>
      </c>
      <c r="BA85" s="25" t="s">
        <v>166</v>
      </c>
      <c r="BB85" s="32" t="s">
        <v>166</v>
      </c>
      <c r="BC85" s="25" t="s">
        <v>179</v>
      </c>
      <c r="BD85" s="25" t="s">
        <v>1773</v>
      </c>
      <c r="BE85" s="25" t="s">
        <v>189</v>
      </c>
      <c r="BF85" s="29">
        <v>4</v>
      </c>
      <c r="BG85" s="25" t="s">
        <v>190</v>
      </c>
      <c r="BH85" s="25" t="s">
        <v>166</v>
      </c>
      <c r="BI85" s="25" t="s">
        <v>166</v>
      </c>
      <c r="BJ85" s="29" t="s">
        <v>166</v>
      </c>
      <c r="BK85" s="29" t="s">
        <v>166</v>
      </c>
      <c r="BL85" s="25" t="s">
        <v>191</v>
      </c>
      <c r="BM85" s="25" t="s">
        <v>358</v>
      </c>
      <c r="BN85" s="25" t="s">
        <v>177</v>
      </c>
      <c r="BO85" s="33" t="s">
        <v>166</v>
      </c>
      <c r="BP85" s="25" t="s">
        <v>1774</v>
      </c>
      <c r="BQ85" s="32">
        <v>13</v>
      </c>
      <c r="BR85" s="25" t="s">
        <v>166</v>
      </c>
      <c r="BS85" s="32" t="s">
        <v>166</v>
      </c>
      <c r="BT85" s="25" t="s">
        <v>166</v>
      </c>
      <c r="BU85" s="25" t="s">
        <v>166</v>
      </c>
      <c r="BV85" s="25" t="s">
        <v>1775</v>
      </c>
      <c r="BW85" s="25" t="s">
        <v>166</v>
      </c>
      <c r="BX85" s="25" t="s">
        <v>166</v>
      </c>
      <c r="BY85" s="25" t="s">
        <v>166</v>
      </c>
      <c r="BZ85" s="25" t="s">
        <v>166</v>
      </c>
      <c r="CA85" s="25" t="s">
        <v>166</v>
      </c>
      <c r="CB85" s="25" t="s">
        <v>166</v>
      </c>
      <c r="CC85" s="25" t="s">
        <v>166</v>
      </c>
      <c r="CD85" s="25" t="s">
        <v>166</v>
      </c>
      <c r="CE85" s="29" t="s">
        <v>166</v>
      </c>
      <c r="CF85" s="27" t="s">
        <v>166</v>
      </c>
      <c r="CG85" s="28" t="s">
        <v>166</v>
      </c>
      <c r="CH85" s="27" t="s">
        <v>166</v>
      </c>
      <c r="CI85" s="27" t="s">
        <v>166</v>
      </c>
      <c r="CJ85" s="27" t="s">
        <v>166</v>
      </c>
      <c r="CK85" s="27" t="s">
        <v>166</v>
      </c>
      <c r="CL85" s="27" t="s">
        <v>166</v>
      </c>
      <c r="CM85" s="31" t="s">
        <v>166</v>
      </c>
      <c r="CN85" s="27" t="s">
        <v>166</v>
      </c>
      <c r="CO85" s="27" t="s">
        <v>166</v>
      </c>
      <c r="CP85" s="27" t="s">
        <v>166</v>
      </c>
      <c r="CQ85" s="27" t="s">
        <v>166</v>
      </c>
      <c r="CR85" s="27" t="s">
        <v>166</v>
      </c>
      <c r="CS85" s="27" t="s">
        <v>166</v>
      </c>
      <c r="CT85" s="27" t="s">
        <v>166</v>
      </c>
      <c r="CU85" s="27" t="s">
        <v>166</v>
      </c>
      <c r="CV85" s="27" t="s">
        <v>166</v>
      </c>
      <c r="CW85" s="27" t="s">
        <v>166</v>
      </c>
      <c r="CX85" s="27" t="s">
        <v>166</v>
      </c>
      <c r="CY85" s="27" t="s">
        <v>166</v>
      </c>
      <c r="CZ85" s="27" t="s">
        <v>166</v>
      </c>
      <c r="DA85" s="27" t="s">
        <v>166</v>
      </c>
      <c r="DB85" s="27" t="s">
        <v>166</v>
      </c>
      <c r="DC85" s="27" t="s">
        <v>166</v>
      </c>
      <c r="DD85" s="27" t="s">
        <v>166</v>
      </c>
      <c r="DE85" s="28" t="s">
        <v>166</v>
      </c>
      <c r="DF85" s="33">
        <v>9</v>
      </c>
      <c r="DG85" s="25" t="s">
        <v>1061</v>
      </c>
      <c r="DH85" s="25" t="s">
        <v>193</v>
      </c>
      <c r="DI85" s="25" t="s">
        <v>194</v>
      </c>
      <c r="DJ85" s="25" t="s">
        <v>1062</v>
      </c>
      <c r="DK85" s="25" t="s">
        <v>1063</v>
      </c>
      <c r="DL85" s="32" t="s">
        <v>166</v>
      </c>
      <c r="DM85" s="25" t="s">
        <v>198</v>
      </c>
      <c r="DN85" s="24" t="s">
        <v>1776</v>
      </c>
      <c r="DO85" s="31">
        <v>2023</v>
      </c>
      <c r="DP85" s="25" t="s">
        <v>166</v>
      </c>
      <c r="DQ85" s="25" t="s">
        <v>166</v>
      </c>
      <c r="DR85" s="29" t="s">
        <v>166</v>
      </c>
      <c r="DS85" s="27" t="s">
        <v>166</v>
      </c>
      <c r="DT85" s="30" t="s">
        <v>166</v>
      </c>
      <c r="DU85" s="25" t="s">
        <v>166</v>
      </c>
      <c r="DV85" s="29" t="s">
        <v>166</v>
      </c>
      <c r="DW85" s="29" t="s">
        <v>166</v>
      </c>
      <c r="DX85" s="27" t="s">
        <v>166</v>
      </c>
      <c r="DY85" s="27" t="s">
        <v>166</v>
      </c>
      <c r="DZ85" s="28" t="s">
        <v>166</v>
      </c>
      <c r="EA85" s="27" t="s">
        <v>166</v>
      </c>
      <c r="EB85" s="27" t="s">
        <v>166</v>
      </c>
      <c r="EC85" s="27" t="s">
        <v>166</v>
      </c>
      <c r="ED85" s="28" t="s">
        <v>166</v>
      </c>
      <c r="EE85" s="28" t="s">
        <v>166</v>
      </c>
      <c r="EF85" s="28" t="s">
        <v>166</v>
      </c>
      <c r="EG85" s="28" t="s">
        <v>166</v>
      </c>
      <c r="EH85" s="27" t="s">
        <v>166</v>
      </c>
      <c r="EI85" s="27" t="s">
        <v>166</v>
      </c>
      <c r="EJ85" s="27" t="s">
        <v>166</v>
      </c>
      <c r="EK85" s="27" t="s">
        <v>166</v>
      </c>
      <c r="EL85" s="27" t="s">
        <v>166</v>
      </c>
      <c r="EM85" s="27" t="s">
        <v>166</v>
      </c>
      <c r="EN85" s="27" t="s">
        <v>166</v>
      </c>
      <c r="EO85" s="27" t="s">
        <v>166</v>
      </c>
      <c r="EP85" s="27" t="s">
        <v>166</v>
      </c>
      <c r="EQ85" s="27" t="s">
        <v>166</v>
      </c>
      <c r="ER85" s="27" t="s">
        <v>166</v>
      </c>
      <c r="ES85" s="27" t="s">
        <v>166</v>
      </c>
      <c r="ET85" s="25" t="s">
        <v>166</v>
      </c>
      <c r="EU85" s="27" t="s">
        <v>166</v>
      </c>
      <c r="EV85" s="27" t="s">
        <v>166</v>
      </c>
      <c r="EW85" s="27" t="s">
        <v>166</v>
      </c>
      <c r="EX85" s="25" t="s">
        <v>190</v>
      </c>
      <c r="EY85" s="25" t="s">
        <v>166</v>
      </c>
      <c r="EZ85" s="27" t="s">
        <v>166</v>
      </c>
      <c r="FA85" s="26" t="s">
        <v>166</v>
      </c>
      <c r="FB85" s="26" t="s">
        <v>166</v>
      </c>
      <c r="FC85" s="26" t="s">
        <v>166</v>
      </c>
      <c r="FD85" s="26" t="s">
        <v>166</v>
      </c>
      <c r="FE85" s="26" t="s">
        <v>166</v>
      </c>
      <c r="FF85" s="26" t="s">
        <v>166</v>
      </c>
      <c r="FG85" s="25" t="s">
        <v>166</v>
      </c>
      <c r="FH85" s="4">
        <f>HYPERLINK("https://my.pitchbook.com?c=234287-02T","View Company Online")</f>
      </c>
    </row>
    <row r="86">
      <c r="A86" s="14" t="s">
        <v>1777</v>
      </c>
      <c r="B86" s="14" t="s">
        <v>1778</v>
      </c>
      <c r="C86" s="14" t="s">
        <v>1779</v>
      </c>
      <c r="D86" s="14" t="s">
        <v>166</v>
      </c>
      <c r="E86" s="23" t="s">
        <v>1780</v>
      </c>
      <c r="F86" s="21">
        <v>8</v>
      </c>
      <c r="G86" s="14" t="s">
        <v>1781</v>
      </c>
      <c r="H86" s="14" t="s">
        <v>166</v>
      </c>
      <c r="I86" s="14" t="s">
        <v>1782</v>
      </c>
      <c r="J86" s="14" t="s">
        <v>1783</v>
      </c>
      <c r="K86" s="14" t="s">
        <v>207</v>
      </c>
      <c r="L86" s="14" t="s">
        <v>208</v>
      </c>
      <c r="M86" s="14" t="s">
        <v>209</v>
      </c>
      <c r="N86" s="14" t="s">
        <v>1784</v>
      </c>
      <c r="O86" s="14" t="s">
        <v>665</v>
      </c>
      <c r="P86" s="14" t="s">
        <v>1785</v>
      </c>
      <c r="Q86" s="14" t="s">
        <v>166</v>
      </c>
      <c r="R86" s="14" t="s">
        <v>177</v>
      </c>
      <c r="S86" s="14" t="s">
        <v>178</v>
      </c>
      <c r="T86" s="14" t="s">
        <v>179</v>
      </c>
      <c r="U86" s="14" t="s">
        <v>1786</v>
      </c>
      <c r="V86" s="14" t="s">
        <v>1787</v>
      </c>
      <c r="W86" s="21" t="s">
        <v>1788</v>
      </c>
      <c r="X86" s="14" t="s">
        <v>166</v>
      </c>
      <c r="Y86" s="14" t="s">
        <v>1789</v>
      </c>
      <c r="Z86" s="14" t="s">
        <v>166</v>
      </c>
      <c r="AA86" s="14" t="s">
        <v>242</v>
      </c>
      <c r="AB86" s="14" t="s">
        <v>243</v>
      </c>
      <c r="AC86" s="14" t="s">
        <v>244</v>
      </c>
      <c r="AD86" s="14" t="s">
        <v>166</v>
      </c>
      <c r="AE86" s="14" t="s">
        <v>243</v>
      </c>
      <c r="AF86" s="14" t="s">
        <v>166</v>
      </c>
      <c r="AG86" s="14" t="s">
        <v>166</v>
      </c>
      <c r="AH86" s="21">
        <v>1</v>
      </c>
      <c r="AI86" s="3">
        <f>HYPERLINK("https://my.pitchbook.com/?d=235236-52T","235236-52T")</f>
      </c>
      <c r="AJ86" s="19" t="s">
        <v>166</v>
      </c>
      <c r="AK86" s="19">
        <v>45138</v>
      </c>
      <c r="AL86" s="18">
        <v>3.46</v>
      </c>
      <c r="AM86" s="14" t="s">
        <v>185</v>
      </c>
      <c r="AN86" s="18">
        <v>10</v>
      </c>
      <c r="AO86" s="18">
        <v>13.46</v>
      </c>
      <c r="AP86" s="14" t="s">
        <v>247</v>
      </c>
      <c r="AQ86" s="21" t="s">
        <v>166</v>
      </c>
      <c r="AR86" s="21" t="s">
        <v>166</v>
      </c>
      <c r="AS86" s="17">
        <v>34.32</v>
      </c>
      <c r="AT86" s="18">
        <v>3.46</v>
      </c>
      <c r="AU86" s="21" t="s">
        <v>186</v>
      </c>
      <c r="AV86" s="21" t="s">
        <v>166</v>
      </c>
      <c r="AW86" s="18">
        <v>0.98</v>
      </c>
      <c r="AX86" s="21" t="s">
        <v>166</v>
      </c>
      <c r="AY86" s="14" t="s">
        <v>217</v>
      </c>
      <c r="AZ86" s="14" t="s">
        <v>217</v>
      </c>
      <c r="BA86" s="14" t="s">
        <v>166</v>
      </c>
      <c r="BB86" s="21" t="s">
        <v>166</v>
      </c>
      <c r="BC86" s="14" t="s">
        <v>179</v>
      </c>
      <c r="BD86" s="14" t="s">
        <v>1790</v>
      </c>
      <c r="BE86" s="14" t="s">
        <v>189</v>
      </c>
      <c r="BF86" s="18">
        <v>3.46</v>
      </c>
      <c r="BG86" s="14" t="s">
        <v>190</v>
      </c>
      <c r="BH86" s="14" t="s">
        <v>166</v>
      </c>
      <c r="BI86" s="14" t="s">
        <v>166</v>
      </c>
      <c r="BJ86" s="18" t="s">
        <v>166</v>
      </c>
      <c r="BK86" s="18" t="s">
        <v>166</v>
      </c>
      <c r="BL86" s="14" t="s">
        <v>191</v>
      </c>
      <c r="BM86" s="14" t="s">
        <v>178</v>
      </c>
      <c r="BN86" s="14" t="s">
        <v>177</v>
      </c>
      <c r="BO86" s="22">
        <v>3</v>
      </c>
      <c r="BP86" s="14" t="s">
        <v>1780</v>
      </c>
      <c r="BQ86" s="21">
        <v>8</v>
      </c>
      <c r="BR86" s="14" t="s">
        <v>166</v>
      </c>
      <c r="BS86" s="21" t="s">
        <v>166</v>
      </c>
      <c r="BT86" s="14" t="s">
        <v>1791</v>
      </c>
      <c r="BU86" s="14" t="s">
        <v>166</v>
      </c>
      <c r="BV86" s="14" t="s">
        <v>1792</v>
      </c>
      <c r="BW86" s="14" t="s">
        <v>166</v>
      </c>
      <c r="BX86" s="14" t="s">
        <v>166</v>
      </c>
      <c r="BY86" s="14" t="s">
        <v>166</v>
      </c>
      <c r="BZ86" s="14" t="s">
        <v>1793</v>
      </c>
      <c r="CA86" s="14" t="s">
        <v>1793</v>
      </c>
      <c r="CB86" s="14" t="s">
        <v>166</v>
      </c>
      <c r="CC86" s="14" t="s">
        <v>166</v>
      </c>
      <c r="CD86" s="14" t="s">
        <v>166</v>
      </c>
      <c r="CE86" s="18" t="s">
        <v>166</v>
      </c>
      <c r="CF86" s="16" t="s">
        <v>166</v>
      </c>
      <c r="CG86" s="17" t="s">
        <v>166</v>
      </c>
      <c r="CH86" s="16" t="s">
        <v>166</v>
      </c>
      <c r="CI86" s="16" t="s">
        <v>166</v>
      </c>
      <c r="CJ86" s="16" t="s">
        <v>166</v>
      </c>
      <c r="CK86" s="16" t="s">
        <v>166</v>
      </c>
      <c r="CL86" s="16" t="s">
        <v>166</v>
      </c>
      <c r="CM86" s="20" t="s">
        <v>166</v>
      </c>
      <c r="CN86" s="16" t="s">
        <v>166</v>
      </c>
      <c r="CO86" s="16" t="s">
        <v>166</v>
      </c>
      <c r="CP86" s="16" t="s">
        <v>166</v>
      </c>
      <c r="CQ86" s="16" t="s">
        <v>166</v>
      </c>
      <c r="CR86" s="16" t="s">
        <v>166</v>
      </c>
      <c r="CS86" s="16" t="s">
        <v>166</v>
      </c>
      <c r="CT86" s="16" t="s">
        <v>166</v>
      </c>
      <c r="CU86" s="16" t="s">
        <v>166</v>
      </c>
      <c r="CV86" s="16" t="s">
        <v>166</v>
      </c>
      <c r="CW86" s="16" t="s">
        <v>166</v>
      </c>
      <c r="CX86" s="16" t="s">
        <v>166</v>
      </c>
      <c r="CY86" s="16" t="s">
        <v>166</v>
      </c>
      <c r="CZ86" s="16" t="s">
        <v>166</v>
      </c>
      <c r="DA86" s="16" t="s">
        <v>166</v>
      </c>
      <c r="DB86" s="16" t="s">
        <v>166</v>
      </c>
      <c r="DC86" s="16" t="s">
        <v>166</v>
      </c>
      <c r="DD86" s="16" t="s">
        <v>166</v>
      </c>
      <c r="DE86" s="17" t="s">
        <v>166</v>
      </c>
      <c r="DF86" s="22">
        <v>21</v>
      </c>
      <c r="DG86" s="14" t="s">
        <v>673</v>
      </c>
      <c r="DH86" s="14" t="s">
        <v>193</v>
      </c>
      <c r="DI86" s="14" t="s">
        <v>194</v>
      </c>
      <c r="DJ86" s="14" t="s">
        <v>674</v>
      </c>
      <c r="DK86" s="14" t="s">
        <v>257</v>
      </c>
      <c r="DL86" s="21" t="s">
        <v>1794</v>
      </c>
      <c r="DM86" s="14" t="s">
        <v>198</v>
      </c>
      <c r="DN86" s="13" t="s">
        <v>1795</v>
      </c>
      <c r="DO86" s="20">
        <v>2023</v>
      </c>
      <c r="DP86" s="14" t="s">
        <v>166</v>
      </c>
      <c r="DQ86" s="14" t="s">
        <v>166</v>
      </c>
      <c r="DR86" s="18" t="s">
        <v>166</v>
      </c>
      <c r="DS86" s="16" t="s">
        <v>166</v>
      </c>
      <c r="DT86" s="19" t="s">
        <v>166</v>
      </c>
      <c r="DU86" s="14" t="s">
        <v>166</v>
      </c>
      <c r="DV86" s="18" t="s">
        <v>166</v>
      </c>
      <c r="DW86" s="18" t="s">
        <v>166</v>
      </c>
      <c r="DX86" s="16" t="s">
        <v>166</v>
      </c>
      <c r="DY86" s="16" t="s">
        <v>166</v>
      </c>
      <c r="DZ86" s="17" t="s">
        <v>166</v>
      </c>
      <c r="EA86" s="16" t="s">
        <v>166</v>
      </c>
      <c r="EB86" s="16" t="s">
        <v>166</v>
      </c>
      <c r="EC86" s="16" t="s">
        <v>166</v>
      </c>
      <c r="ED86" s="17" t="s">
        <v>166</v>
      </c>
      <c r="EE86" s="17" t="s">
        <v>166</v>
      </c>
      <c r="EF86" s="17" t="s">
        <v>166</v>
      </c>
      <c r="EG86" s="17" t="s">
        <v>166</v>
      </c>
      <c r="EH86" s="16" t="s">
        <v>166</v>
      </c>
      <c r="EI86" s="16" t="s">
        <v>166</v>
      </c>
      <c r="EJ86" s="16" t="s">
        <v>166</v>
      </c>
      <c r="EK86" s="16" t="s">
        <v>166</v>
      </c>
      <c r="EL86" s="16" t="s">
        <v>166</v>
      </c>
      <c r="EM86" s="16" t="s">
        <v>166</v>
      </c>
      <c r="EN86" s="16" t="s">
        <v>166</v>
      </c>
      <c r="EO86" s="16" t="s">
        <v>166</v>
      </c>
      <c r="EP86" s="16" t="s">
        <v>166</v>
      </c>
      <c r="EQ86" s="16" t="s">
        <v>166</v>
      </c>
      <c r="ER86" s="16" t="s">
        <v>166</v>
      </c>
      <c r="ES86" s="16" t="s">
        <v>166</v>
      </c>
      <c r="ET86" s="14" t="s">
        <v>166</v>
      </c>
      <c r="EU86" s="16" t="s">
        <v>166</v>
      </c>
      <c r="EV86" s="16" t="s">
        <v>166</v>
      </c>
      <c r="EW86" s="16" t="s">
        <v>166</v>
      </c>
      <c r="EX86" s="14" t="s">
        <v>190</v>
      </c>
      <c r="EY86" s="14" t="s">
        <v>166</v>
      </c>
      <c r="EZ86" s="16" t="s">
        <v>166</v>
      </c>
      <c r="FA86" s="15" t="s">
        <v>166</v>
      </c>
      <c r="FB86" s="15" t="s">
        <v>166</v>
      </c>
      <c r="FC86" s="15" t="s">
        <v>166</v>
      </c>
      <c r="FD86" s="15" t="s">
        <v>166</v>
      </c>
      <c r="FE86" s="15" t="s">
        <v>166</v>
      </c>
      <c r="FF86" s="15" t="s">
        <v>166</v>
      </c>
      <c r="FG86" s="14" t="s">
        <v>166</v>
      </c>
      <c r="FH86" s="3">
        <f>HYPERLINK("https://my.pitchbook.com?c=235236-52T","View Company Online")</f>
      </c>
    </row>
    <row r="87">
      <c r="A87" s="25" t="s">
        <v>1796</v>
      </c>
      <c r="B87" s="25" t="s">
        <v>1797</v>
      </c>
      <c r="C87" s="25" t="s">
        <v>1798</v>
      </c>
      <c r="D87" s="25" t="s">
        <v>166</v>
      </c>
      <c r="E87" s="34" t="s">
        <v>1799</v>
      </c>
      <c r="F87" s="32">
        <v>16</v>
      </c>
      <c r="G87" s="25" t="s">
        <v>1800</v>
      </c>
      <c r="H87" s="25" t="s">
        <v>166</v>
      </c>
      <c r="I87" s="25" t="s">
        <v>1801</v>
      </c>
      <c r="J87" s="25" t="s">
        <v>1802</v>
      </c>
      <c r="K87" s="25" t="s">
        <v>207</v>
      </c>
      <c r="L87" s="25" t="s">
        <v>208</v>
      </c>
      <c r="M87" s="25" t="s">
        <v>965</v>
      </c>
      <c r="N87" s="25" t="s">
        <v>1436</v>
      </c>
      <c r="O87" s="25" t="s">
        <v>1803</v>
      </c>
      <c r="P87" s="25" t="s">
        <v>1804</v>
      </c>
      <c r="Q87" s="25" t="s">
        <v>926</v>
      </c>
      <c r="R87" s="25" t="s">
        <v>177</v>
      </c>
      <c r="S87" s="25" t="s">
        <v>178</v>
      </c>
      <c r="T87" s="25" t="s">
        <v>179</v>
      </c>
      <c r="U87" s="25" t="s">
        <v>1805</v>
      </c>
      <c r="V87" s="25" t="s">
        <v>1806</v>
      </c>
      <c r="W87" s="32" t="s">
        <v>1807</v>
      </c>
      <c r="X87" s="25" t="s">
        <v>1808</v>
      </c>
      <c r="Y87" s="25" t="s">
        <v>1809</v>
      </c>
      <c r="Z87" s="25" t="s">
        <v>166</v>
      </c>
      <c r="AA87" s="25" t="s">
        <v>166</v>
      </c>
      <c r="AB87" s="25" t="s">
        <v>166</v>
      </c>
      <c r="AC87" s="25" t="s">
        <v>166</v>
      </c>
      <c r="AD87" s="25" t="s">
        <v>166</v>
      </c>
      <c r="AE87" s="25" t="s">
        <v>166</v>
      </c>
      <c r="AF87" s="25" t="s">
        <v>166</v>
      </c>
      <c r="AG87" s="25" t="s">
        <v>166</v>
      </c>
      <c r="AH87" s="32">
        <v>1</v>
      </c>
      <c r="AI87" s="4">
        <f>HYPERLINK("https://my.pitchbook.com/?d=178907-77T","178907-77T")</f>
      </c>
      <c r="AJ87" s="30" t="s">
        <v>166</v>
      </c>
      <c r="AK87" s="30">
        <v>44439</v>
      </c>
      <c r="AL87" s="29">
        <v>2</v>
      </c>
      <c r="AM87" s="25" t="s">
        <v>185</v>
      </c>
      <c r="AN87" s="29" t="s">
        <v>166</v>
      </c>
      <c r="AO87" s="29" t="s">
        <v>166</v>
      </c>
      <c r="AP87" s="25" t="s">
        <v>166</v>
      </c>
      <c r="AQ87" s="32" t="s">
        <v>166</v>
      </c>
      <c r="AR87" s="32" t="s">
        <v>166</v>
      </c>
      <c r="AS87" s="28" t="s">
        <v>166</v>
      </c>
      <c r="AT87" s="29">
        <v>2</v>
      </c>
      <c r="AU87" s="32" t="s">
        <v>186</v>
      </c>
      <c r="AV87" s="32" t="s">
        <v>166</v>
      </c>
      <c r="AW87" s="29" t="s">
        <v>166</v>
      </c>
      <c r="AX87" s="32" t="s">
        <v>166</v>
      </c>
      <c r="AY87" s="25" t="s">
        <v>217</v>
      </c>
      <c r="AZ87" s="25" t="s">
        <v>217</v>
      </c>
      <c r="BA87" s="25" t="s">
        <v>166</v>
      </c>
      <c r="BB87" s="32" t="s">
        <v>166</v>
      </c>
      <c r="BC87" s="25" t="s">
        <v>179</v>
      </c>
      <c r="BD87" s="25" t="s">
        <v>1810</v>
      </c>
      <c r="BE87" s="25" t="s">
        <v>189</v>
      </c>
      <c r="BF87" s="29">
        <v>2</v>
      </c>
      <c r="BG87" s="25" t="s">
        <v>190</v>
      </c>
      <c r="BH87" s="25" t="s">
        <v>166</v>
      </c>
      <c r="BI87" s="25" t="s">
        <v>166</v>
      </c>
      <c r="BJ87" s="29" t="s">
        <v>166</v>
      </c>
      <c r="BK87" s="29" t="s">
        <v>166</v>
      </c>
      <c r="BL87" s="25" t="s">
        <v>191</v>
      </c>
      <c r="BM87" s="25" t="s">
        <v>178</v>
      </c>
      <c r="BN87" s="25" t="s">
        <v>177</v>
      </c>
      <c r="BO87" s="33" t="s">
        <v>166</v>
      </c>
      <c r="BP87" s="25" t="s">
        <v>1811</v>
      </c>
      <c r="BQ87" s="32">
        <v>16</v>
      </c>
      <c r="BR87" s="25" t="s">
        <v>166</v>
      </c>
      <c r="BS87" s="32" t="s">
        <v>166</v>
      </c>
      <c r="BT87" s="25" t="s">
        <v>1812</v>
      </c>
      <c r="BU87" s="25" t="s">
        <v>166</v>
      </c>
      <c r="BV87" s="25" t="s">
        <v>1813</v>
      </c>
      <c r="BW87" s="25" t="s">
        <v>166</v>
      </c>
      <c r="BX87" s="25" t="s">
        <v>166</v>
      </c>
      <c r="BY87" s="25" t="s">
        <v>166</v>
      </c>
      <c r="BZ87" s="25" t="s">
        <v>1814</v>
      </c>
      <c r="CA87" s="25" t="s">
        <v>166</v>
      </c>
      <c r="CB87" s="25" t="s">
        <v>166</v>
      </c>
      <c r="CC87" s="25" t="s">
        <v>1814</v>
      </c>
      <c r="CD87" s="25" t="s">
        <v>166</v>
      </c>
      <c r="CE87" s="29" t="s">
        <v>166</v>
      </c>
      <c r="CF87" s="27" t="s">
        <v>166</v>
      </c>
      <c r="CG87" s="28" t="s">
        <v>166</v>
      </c>
      <c r="CH87" s="27" t="s">
        <v>166</v>
      </c>
      <c r="CI87" s="27" t="s">
        <v>166</v>
      </c>
      <c r="CJ87" s="27" t="s">
        <v>166</v>
      </c>
      <c r="CK87" s="27" t="s">
        <v>166</v>
      </c>
      <c r="CL87" s="27" t="s">
        <v>166</v>
      </c>
      <c r="CM87" s="31" t="s">
        <v>166</v>
      </c>
      <c r="CN87" s="27" t="s">
        <v>166</v>
      </c>
      <c r="CO87" s="27" t="s">
        <v>166</v>
      </c>
      <c r="CP87" s="27" t="s">
        <v>166</v>
      </c>
      <c r="CQ87" s="27" t="s">
        <v>166</v>
      </c>
      <c r="CR87" s="27" t="s">
        <v>166</v>
      </c>
      <c r="CS87" s="27" t="s">
        <v>166</v>
      </c>
      <c r="CT87" s="27" t="s">
        <v>166</v>
      </c>
      <c r="CU87" s="27" t="s">
        <v>166</v>
      </c>
      <c r="CV87" s="27" t="s">
        <v>166</v>
      </c>
      <c r="CW87" s="27" t="s">
        <v>166</v>
      </c>
      <c r="CX87" s="27" t="s">
        <v>166</v>
      </c>
      <c r="CY87" s="27" t="s">
        <v>166</v>
      </c>
      <c r="CZ87" s="27" t="s">
        <v>166</v>
      </c>
      <c r="DA87" s="27" t="s">
        <v>166</v>
      </c>
      <c r="DB87" s="27" t="s">
        <v>166</v>
      </c>
      <c r="DC87" s="27" t="s">
        <v>166</v>
      </c>
      <c r="DD87" s="27" t="s">
        <v>166</v>
      </c>
      <c r="DE87" s="28" t="s">
        <v>166</v>
      </c>
      <c r="DF87" s="33">
        <v>14</v>
      </c>
      <c r="DG87" s="25" t="s">
        <v>673</v>
      </c>
      <c r="DH87" s="25" t="s">
        <v>193</v>
      </c>
      <c r="DI87" s="25" t="s">
        <v>194</v>
      </c>
      <c r="DJ87" s="25" t="s">
        <v>674</v>
      </c>
      <c r="DK87" s="25" t="s">
        <v>257</v>
      </c>
      <c r="DL87" s="32" t="s">
        <v>675</v>
      </c>
      <c r="DM87" s="25" t="s">
        <v>198</v>
      </c>
      <c r="DN87" s="24" t="s">
        <v>1815</v>
      </c>
      <c r="DO87" s="31">
        <v>2020</v>
      </c>
      <c r="DP87" s="25" t="s">
        <v>166</v>
      </c>
      <c r="DQ87" s="25" t="s">
        <v>166</v>
      </c>
      <c r="DR87" s="29" t="s">
        <v>166</v>
      </c>
      <c r="DS87" s="27" t="s">
        <v>166</v>
      </c>
      <c r="DT87" s="30" t="s">
        <v>166</v>
      </c>
      <c r="DU87" s="25" t="s">
        <v>166</v>
      </c>
      <c r="DV87" s="29" t="s">
        <v>166</v>
      </c>
      <c r="DW87" s="29" t="s">
        <v>166</v>
      </c>
      <c r="DX87" s="27" t="s">
        <v>166</v>
      </c>
      <c r="DY87" s="27" t="s">
        <v>166</v>
      </c>
      <c r="DZ87" s="28" t="s">
        <v>166</v>
      </c>
      <c r="EA87" s="27" t="s">
        <v>166</v>
      </c>
      <c r="EB87" s="27" t="s">
        <v>166</v>
      </c>
      <c r="EC87" s="27" t="s">
        <v>166</v>
      </c>
      <c r="ED87" s="28" t="s">
        <v>166</v>
      </c>
      <c r="EE87" s="28" t="s">
        <v>166</v>
      </c>
      <c r="EF87" s="28" t="s">
        <v>166</v>
      </c>
      <c r="EG87" s="28" t="s">
        <v>166</v>
      </c>
      <c r="EH87" s="27" t="s">
        <v>166</v>
      </c>
      <c r="EI87" s="27" t="s">
        <v>166</v>
      </c>
      <c r="EJ87" s="27" t="s">
        <v>166</v>
      </c>
      <c r="EK87" s="27" t="s">
        <v>166</v>
      </c>
      <c r="EL87" s="27" t="s">
        <v>166</v>
      </c>
      <c r="EM87" s="27" t="s">
        <v>166</v>
      </c>
      <c r="EN87" s="27" t="s">
        <v>166</v>
      </c>
      <c r="EO87" s="27" t="s">
        <v>166</v>
      </c>
      <c r="EP87" s="27" t="s">
        <v>166</v>
      </c>
      <c r="EQ87" s="27" t="s">
        <v>166</v>
      </c>
      <c r="ER87" s="27" t="s">
        <v>166</v>
      </c>
      <c r="ES87" s="27" t="s">
        <v>166</v>
      </c>
      <c r="ET87" s="25" t="s">
        <v>166</v>
      </c>
      <c r="EU87" s="27" t="s">
        <v>166</v>
      </c>
      <c r="EV87" s="27" t="s">
        <v>166</v>
      </c>
      <c r="EW87" s="27" t="s">
        <v>166</v>
      </c>
      <c r="EX87" s="25" t="s">
        <v>190</v>
      </c>
      <c r="EY87" s="25" t="s">
        <v>166</v>
      </c>
      <c r="EZ87" s="27" t="s">
        <v>166</v>
      </c>
      <c r="FA87" s="26">
        <v>8</v>
      </c>
      <c r="FB87" s="26">
        <v>2</v>
      </c>
      <c r="FC87" s="26">
        <v>8</v>
      </c>
      <c r="FD87" s="26" t="s">
        <v>166</v>
      </c>
      <c r="FE87" s="26" t="s">
        <v>166</v>
      </c>
      <c r="FF87" s="26" t="s">
        <v>166</v>
      </c>
      <c r="FG87" s="25" t="s">
        <v>1816</v>
      </c>
      <c r="FH87" s="4">
        <f>HYPERLINK("https://my.pitchbook.com?c=178907-77T","View Company Online")</f>
      </c>
    </row>
    <row r="88">
      <c r="A88" s="14" t="s">
        <v>1817</v>
      </c>
      <c r="B88" s="14" t="s">
        <v>1818</v>
      </c>
      <c r="C88" s="14" t="s">
        <v>1819</v>
      </c>
      <c r="D88" s="14" t="s">
        <v>166</v>
      </c>
      <c r="E88" s="23" t="s">
        <v>1820</v>
      </c>
      <c r="F88" s="21">
        <v>3</v>
      </c>
      <c r="G88" s="14" t="s">
        <v>1821</v>
      </c>
      <c r="H88" s="14" t="s">
        <v>166</v>
      </c>
      <c r="I88" s="14" t="s">
        <v>1822</v>
      </c>
      <c r="J88" s="14" t="s">
        <v>1823</v>
      </c>
      <c r="K88" s="14" t="s">
        <v>207</v>
      </c>
      <c r="L88" s="14" t="s">
        <v>208</v>
      </c>
      <c r="M88" s="14" t="s">
        <v>209</v>
      </c>
      <c r="N88" s="14" t="s">
        <v>1824</v>
      </c>
      <c r="O88" s="14" t="s">
        <v>211</v>
      </c>
      <c r="P88" s="14" t="s">
        <v>1825</v>
      </c>
      <c r="Q88" s="14" t="s">
        <v>166</v>
      </c>
      <c r="R88" s="14" t="s">
        <v>177</v>
      </c>
      <c r="S88" s="14" t="s">
        <v>178</v>
      </c>
      <c r="T88" s="14" t="s">
        <v>179</v>
      </c>
      <c r="U88" s="14" t="s">
        <v>1826</v>
      </c>
      <c r="V88" s="14" t="s">
        <v>1827</v>
      </c>
      <c r="W88" s="21" t="s">
        <v>1828</v>
      </c>
      <c r="X88" s="14" t="s">
        <v>1829</v>
      </c>
      <c r="Y88" s="14" t="s">
        <v>1830</v>
      </c>
      <c r="Z88" s="14" t="s">
        <v>166</v>
      </c>
      <c r="AA88" s="14" t="s">
        <v>242</v>
      </c>
      <c r="AB88" s="14" t="s">
        <v>243</v>
      </c>
      <c r="AC88" s="14" t="s">
        <v>244</v>
      </c>
      <c r="AD88" s="14" t="s">
        <v>243</v>
      </c>
      <c r="AE88" s="14" t="s">
        <v>243</v>
      </c>
      <c r="AF88" s="14" t="s">
        <v>166</v>
      </c>
      <c r="AG88" s="14" t="s">
        <v>246</v>
      </c>
      <c r="AH88" s="21">
        <v>2</v>
      </c>
      <c r="AI88" s="3">
        <f>HYPERLINK("https://my.pitchbook.com/?d=184405-42T","184405-42T")</f>
      </c>
      <c r="AJ88" s="19" t="s">
        <v>166</v>
      </c>
      <c r="AK88" s="19">
        <v>44348</v>
      </c>
      <c r="AL88" s="18">
        <v>2.5</v>
      </c>
      <c r="AM88" s="14" t="s">
        <v>185</v>
      </c>
      <c r="AN88" s="18">
        <v>5</v>
      </c>
      <c r="AO88" s="18">
        <v>7.5</v>
      </c>
      <c r="AP88" s="14" t="s">
        <v>185</v>
      </c>
      <c r="AQ88" s="21" t="s">
        <v>166</v>
      </c>
      <c r="AR88" s="21" t="s">
        <v>166</v>
      </c>
      <c r="AS88" s="17">
        <v>33.55</v>
      </c>
      <c r="AT88" s="18">
        <v>2.5</v>
      </c>
      <c r="AU88" s="21" t="s">
        <v>186</v>
      </c>
      <c r="AV88" s="21" t="s">
        <v>166</v>
      </c>
      <c r="AW88" s="18">
        <v>0.47</v>
      </c>
      <c r="AX88" s="21" t="s">
        <v>166</v>
      </c>
      <c r="AY88" s="14" t="s">
        <v>217</v>
      </c>
      <c r="AZ88" s="14" t="s">
        <v>217</v>
      </c>
      <c r="BA88" s="14" t="s">
        <v>166</v>
      </c>
      <c r="BB88" s="21" t="s">
        <v>166</v>
      </c>
      <c r="BC88" s="14" t="s">
        <v>179</v>
      </c>
      <c r="BD88" s="14" t="s">
        <v>1831</v>
      </c>
      <c r="BE88" s="14" t="s">
        <v>189</v>
      </c>
      <c r="BF88" s="18">
        <v>2.5</v>
      </c>
      <c r="BG88" s="14" t="s">
        <v>190</v>
      </c>
      <c r="BH88" s="14" t="s">
        <v>166</v>
      </c>
      <c r="BI88" s="14" t="s">
        <v>166</v>
      </c>
      <c r="BJ88" s="18" t="s">
        <v>166</v>
      </c>
      <c r="BK88" s="18" t="s">
        <v>166</v>
      </c>
      <c r="BL88" s="14" t="s">
        <v>191</v>
      </c>
      <c r="BM88" s="14" t="s">
        <v>178</v>
      </c>
      <c r="BN88" s="14" t="s">
        <v>177</v>
      </c>
      <c r="BO88" s="22" t="s">
        <v>166</v>
      </c>
      <c r="BP88" s="14" t="s">
        <v>1820</v>
      </c>
      <c r="BQ88" s="21">
        <v>3</v>
      </c>
      <c r="BR88" s="14" t="s">
        <v>166</v>
      </c>
      <c r="BS88" s="21" t="s">
        <v>166</v>
      </c>
      <c r="BT88" s="14" t="s">
        <v>166</v>
      </c>
      <c r="BU88" s="14" t="s">
        <v>166</v>
      </c>
      <c r="BV88" s="14" t="s">
        <v>166</v>
      </c>
      <c r="BW88" s="14" t="s">
        <v>166</v>
      </c>
      <c r="BX88" s="14" t="s">
        <v>166</v>
      </c>
      <c r="BY88" s="14" t="s">
        <v>166</v>
      </c>
      <c r="BZ88" s="14" t="s">
        <v>166</v>
      </c>
      <c r="CA88" s="14" t="s">
        <v>166</v>
      </c>
      <c r="CB88" s="14" t="s">
        <v>166</v>
      </c>
      <c r="CC88" s="14" t="s">
        <v>166</v>
      </c>
      <c r="CD88" s="14" t="s">
        <v>166</v>
      </c>
      <c r="CE88" s="18" t="s">
        <v>166</v>
      </c>
      <c r="CF88" s="16" t="s">
        <v>166</v>
      </c>
      <c r="CG88" s="17" t="s">
        <v>166</v>
      </c>
      <c r="CH88" s="16" t="s">
        <v>166</v>
      </c>
      <c r="CI88" s="16" t="s">
        <v>166</v>
      </c>
      <c r="CJ88" s="16" t="s">
        <v>166</v>
      </c>
      <c r="CK88" s="16" t="s">
        <v>166</v>
      </c>
      <c r="CL88" s="16" t="s">
        <v>166</v>
      </c>
      <c r="CM88" s="20" t="s">
        <v>166</v>
      </c>
      <c r="CN88" s="16" t="s">
        <v>166</v>
      </c>
      <c r="CO88" s="16" t="s">
        <v>166</v>
      </c>
      <c r="CP88" s="16" t="s">
        <v>166</v>
      </c>
      <c r="CQ88" s="16" t="s">
        <v>166</v>
      </c>
      <c r="CR88" s="16" t="s">
        <v>166</v>
      </c>
      <c r="CS88" s="16" t="s">
        <v>166</v>
      </c>
      <c r="CT88" s="16" t="s">
        <v>166</v>
      </c>
      <c r="CU88" s="16" t="s">
        <v>166</v>
      </c>
      <c r="CV88" s="16" t="s">
        <v>166</v>
      </c>
      <c r="CW88" s="16" t="s">
        <v>166</v>
      </c>
      <c r="CX88" s="16" t="s">
        <v>166</v>
      </c>
      <c r="CY88" s="16" t="s">
        <v>166</v>
      </c>
      <c r="CZ88" s="16" t="s">
        <v>166</v>
      </c>
      <c r="DA88" s="16" t="s">
        <v>166</v>
      </c>
      <c r="DB88" s="16" t="s">
        <v>166</v>
      </c>
      <c r="DC88" s="16" t="s">
        <v>166</v>
      </c>
      <c r="DD88" s="16" t="s">
        <v>166</v>
      </c>
      <c r="DE88" s="17" t="s">
        <v>166</v>
      </c>
      <c r="DF88" s="22">
        <v>21</v>
      </c>
      <c r="DG88" s="14" t="s">
        <v>673</v>
      </c>
      <c r="DH88" s="14" t="s">
        <v>193</v>
      </c>
      <c r="DI88" s="14" t="s">
        <v>194</v>
      </c>
      <c r="DJ88" s="14" t="s">
        <v>674</v>
      </c>
      <c r="DK88" s="14" t="s">
        <v>257</v>
      </c>
      <c r="DL88" s="21" t="s">
        <v>1832</v>
      </c>
      <c r="DM88" s="14" t="s">
        <v>198</v>
      </c>
      <c r="DN88" s="13" t="s">
        <v>1833</v>
      </c>
      <c r="DO88" s="20">
        <v>2019</v>
      </c>
      <c r="DP88" s="14" t="s">
        <v>166</v>
      </c>
      <c r="DQ88" s="14" t="s">
        <v>166</v>
      </c>
      <c r="DR88" s="18" t="s">
        <v>166</v>
      </c>
      <c r="DS88" s="16" t="s">
        <v>166</v>
      </c>
      <c r="DT88" s="19" t="s">
        <v>166</v>
      </c>
      <c r="DU88" s="14" t="s">
        <v>166</v>
      </c>
      <c r="DV88" s="18" t="s">
        <v>166</v>
      </c>
      <c r="DW88" s="18" t="s">
        <v>166</v>
      </c>
      <c r="DX88" s="16" t="s">
        <v>166</v>
      </c>
      <c r="DY88" s="16" t="s">
        <v>166</v>
      </c>
      <c r="DZ88" s="17" t="s">
        <v>166</v>
      </c>
      <c r="EA88" s="16" t="s">
        <v>166</v>
      </c>
      <c r="EB88" s="16" t="s">
        <v>166</v>
      </c>
      <c r="EC88" s="16" t="s">
        <v>166</v>
      </c>
      <c r="ED88" s="17" t="s">
        <v>166</v>
      </c>
      <c r="EE88" s="17" t="s">
        <v>166</v>
      </c>
      <c r="EF88" s="17" t="s">
        <v>166</v>
      </c>
      <c r="EG88" s="17" t="s">
        <v>166</v>
      </c>
      <c r="EH88" s="16" t="s">
        <v>166</v>
      </c>
      <c r="EI88" s="16" t="s">
        <v>166</v>
      </c>
      <c r="EJ88" s="16" t="s">
        <v>166</v>
      </c>
      <c r="EK88" s="16" t="s">
        <v>166</v>
      </c>
      <c r="EL88" s="16" t="s">
        <v>166</v>
      </c>
      <c r="EM88" s="16" t="s">
        <v>166</v>
      </c>
      <c r="EN88" s="16" t="s">
        <v>166</v>
      </c>
      <c r="EO88" s="16" t="s">
        <v>166</v>
      </c>
      <c r="EP88" s="16" t="s">
        <v>166</v>
      </c>
      <c r="EQ88" s="16" t="s">
        <v>166</v>
      </c>
      <c r="ER88" s="16" t="s">
        <v>166</v>
      </c>
      <c r="ES88" s="16" t="s">
        <v>166</v>
      </c>
      <c r="ET88" s="14" t="s">
        <v>166</v>
      </c>
      <c r="EU88" s="16" t="s">
        <v>166</v>
      </c>
      <c r="EV88" s="16" t="s">
        <v>166</v>
      </c>
      <c r="EW88" s="16" t="s">
        <v>166</v>
      </c>
      <c r="EX88" s="14" t="s">
        <v>190</v>
      </c>
      <c r="EY88" s="14" t="s">
        <v>166</v>
      </c>
      <c r="EZ88" s="16" t="s">
        <v>166</v>
      </c>
      <c r="FA88" s="15" t="s">
        <v>166</v>
      </c>
      <c r="FB88" s="15" t="s">
        <v>166</v>
      </c>
      <c r="FC88" s="15" t="s">
        <v>166</v>
      </c>
      <c r="FD88" s="15" t="s">
        <v>166</v>
      </c>
      <c r="FE88" s="15" t="s">
        <v>166</v>
      </c>
      <c r="FF88" s="15" t="s">
        <v>166</v>
      </c>
      <c r="FG88" s="14" t="s">
        <v>166</v>
      </c>
      <c r="FH88" s="3">
        <f>HYPERLINK("https://my.pitchbook.com?c=184405-42T","View Company Online")</f>
      </c>
    </row>
    <row r="89">
      <c r="A89" s="25" t="s">
        <v>1834</v>
      </c>
      <c r="B89" s="25" t="s">
        <v>1835</v>
      </c>
      <c r="C89" s="25" t="s">
        <v>1836</v>
      </c>
      <c r="D89" s="25" t="s">
        <v>166</v>
      </c>
      <c r="E89" s="34" t="s">
        <v>1837</v>
      </c>
      <c r="F89" s="32">
        <v>4</v>
      </c>
      <c r="G89" s="25" t="s">
        <v>1838</v>
      </c>
      <c r="H89" s="25" t="s">
        <v>166</v>
      </c>
      <c r="I89" s="25" t="s">
        <v>1839</v>
      </c>
      <c r="J89" s="25" t="s">
        <v>1840</v>
      </c>
      <c r="K89" s="25" t="s">
        <v>1455</v>
      </c>
      <c r="L89" s="25" t="s">
        <v>1456</v>
      </c>
      <c r="M89" s="25" t="s">
        <v>1457</v>
      </c>
      <c r="N89" s="25" t="s">
        <v>1841</v>
      </c>
      <c r="O89" s="25" t="s">
        <v>1842</v>
      </c>
      <c r="P89" s="25" t="s">
        <v>1843</v>
      </c>
      <c r="Q89" s="25" t="s">
        <v>166</v>
      </c>
      <c r="R89" s="25" t="s">
        <v>177</v>
      </c>
      <c r="S89" s="25" t="s">
        <v>178</v>
      </c>
      <c r="T89" s="25" t="s">
        <v>179</v>
      </c>
      <c r="U89" s="25" t="s">
        <v>1844</v>
      </c>
      <c r="V89" s="25" t="s">
        <v>1845</v>
      </c>
      <c r="W89" s="32" t="s">
        <v>1846</v>
      </c>
      <c r="X89" s="25" t="s">
        <v>166</v>
      </c>
      <c r="Y89" s="25" t="s">
        <v>1847</v>
      </c>
      <c r="Z89" s="25" t="s">
        <v>166</v>
      </c>
      <c r="AA89" s="25" t="s">
        <v>166</v>
      </c>
      <c r="AB89" s="25" t="s">
        <v>166</v>
      </c>
      <c r="AC89" s="25" t="s">
        <v>166</v>
      </c>
      <c r="AD89" s="25" t="s">
        <v>166</v>
      </c>
      <c r="AE89" s="25" t="s">
        <v>166</v>
      </c>
      <c r="AF89" s="25" t="s">
        <v>166</v>
      </c>
      <c r="AG89" s="25" t="s">
        <v>166</v>
      </c>
      <c r="AH89" s="32">
        <v>1</v>
      </c>
      <c r="AI89" s="4">
        <f>HYPERLINK("https://my.pitchbook.com/?d=243404-29T","243404-29T")</f>
      </c>
      <c r="AJ89" s="30">
        <v>45139</v>
      </c>
      <c r="AK89" s="30">
        <v>45209</v>
      </c>
      <c r="AL89" s="29">
        <v>1.7</v>
      </c>
      <c r="AM89" s="25" t="s">
        <v>185</v>
      </c>
      <c r="AN89" s="29" t="s">
        <v>166</v>
      </c>
      <c r="AO89" s="29" t="s">
        <v>166</v>
      </c>
      <c r="AP89" s="25" t="s">
        <v>166</v>
      </c>
      <c r="AQ89" s="32" t="s">
        <v>166</v>
      </c>
      <c r="AR89" s="32" t="s">
        <v>166</v>
      </c>
      <c r="AS89" s="28" t="s">
        <v>166</v>
      </c>
      <c r="AT89" s="29">
        <v>1.7</v>
      </c>
      <c r="AU89" s="32" t="s">
        <v>186</v>
      </c>
      <c r="AV89" s="32" t="s">
        <v>166</v>
      </c>
      <c r="AW89" s="29" t="s">
        <v>166</v>
      </c>
      <c r="AX89" s="32" t="s">
        <v>166</v>
      </c>
      <c r="AY89" s="25" t="s">
        <v>217</v>
      </c>
      <c r="AZ89" s="25" t="s">
        <v>217</v>
      </c>
      <c r="BA89" s="25" t="s">
        <v>166</v>
      </c>
      <c r="BB89" s="32" t="s">
        <v>166</v>
      </c>
      <c r="BC89" s="25" t="s">
        <v>179</v>
      </c>
      <c r="BD89" s="25" t="s">
        <v>1840</v>
      </c>
      <c r="BE89" s="25" t="s">
        <v>189</v>
      </c>
      <c r="BF89" s="29">
        <v>1.7</v>
      </c>
      <c r="BG89" s="25" t="s">
        <v>190</v>
      </c>
      <c r="BH89" s="25" t="s">
        <v>166</v>
      </c>
      <c r="BI89" s="25" t="s">
        <v>166</v>
      </c>
      <c r="BJ89" s="29" t="s">
        <v>166</v>
      </c>
      <c r="BK89" s="29" t="s">
        <v>166</v>
      </c>
      <c r="BL89" s="25" t="s">
        <v>191</v>
      </c>
      <c r="BM89" s="25" t="s">
        <v>178</v>
      </c>
      <c r="BN89" s="25" t="s">
        <v>177</v>
      </c>
      <c r="BO89" s="33" t="s">
        <v>166</v>
      </c>
      <c r="BP89" s="25" t="s">
        <v>1837</v>
      </c>
      <c r="BQ89" s="32">
        <v>4</v>
      </c>
      <c r="BR89" s="25" t="s">
        <v>166</v>
      </c>
      <c r="BS89" s="32" t="s">
        <v>166</v>
      </c>
      <c r="BT89" s="25" t="s">
        <v>166</v>
      </c>
      <c r="BU89" s="25" t="s">
        <v>166</v>
      </c>
      <c r="BV89" s="25" t="s">
        <v>166</v>
      </c>
      <c r="BW89" s="25" t="s">
        <v>166</v>
      </c>
      <c r="BX89" s="25" t="s">
        <v>166</v>
      </c>
      <c r="BY89" s="25" t="s">
        <v>166</v>
      </c>
      <c r="BZ89" s="25" t="s">
        <v>166</v>
      </c>
      <c r="CA89" s="25" t="s">
        <v>166</v>
      </c>
      <c r="CB89" s="25" t="s">
        <v>166</v>
      </c>
      <c r="CC89" s="25" t="s">
        <v>166</v>
      </c>
      <c r="CD89" s="25" t="s">
        <v>166</v>
      </c>
      <c r="CE89" s="29" t="s">
        <v>166</v>
      </c>
      <c r="CF89" s="27" t="s">
        <v>166</v>
      </c>
      <c r="CG89" s="28" t="s">
        <v>166</v>
      </c>
      <c r="CH89" s="27" t="s">
        <v>166</v>
      </c>
      <c r="CI89" s="27" t="s">
        <v>166</v>
      </c>
      <c r="CJ89" s="27" t="s">
        <v>166</v>
      </c>
      <c r="CK89" s="27" t="s">
        <v>166</v>
      </c>
      <c r="CL89" s="27" t="s">
        <v>166</v>
      </c>
      <c r="CM89" s="31" t="s">
        <v>166</v>
      </c>
      <c r="CN89" s="27" t="s">
        <v>166</v>
      </c>
      <c r="CO89" s="27" t="s">
        <v>166</v>
      </c>
      <c r="CP89" s="27" t="s">
        <v>166</v>
      </c>
      <c r="CQ89" s="27" t="s">
        <v>166</v>
      </c>
      <c r="CR89" s="27" t="s">
        <v>166</v>
      </c>
      <c r="CS89" s="27" t="s">
        <v>166</v>
      </c>
      <c r="CT89" s="27" t="s">
        <v>166</v>
      </c>
      <c r="CU89" s="27" t="s">
        <v>166</v>
      </c>
      <c r="CV89" s="27" t="s">
        <v>166</v>
      </c>
      <c r="CW89" s="27" t="s">
        <v>166</v>
      </c>
      <c r="CX89" s="27" t="s">
        <v>166</v>
      </c>
      <c r="CY89" s="27" t="s">
        <v>166</v>
      </c>
      <c r="CZ89" s="27" t="s">
        <v>166</v>
      </c>
      <c r="DA89" s="27" t="s">
        <v>166</v>
      </c>
      <c r="DB89" s="27" t="s">
        <v>166</v>
      </c>
      <c r="DC89" s="27" t="s">
        <v>166</v>
      </c>
      <c r="DD89" s="27" t="s">
        <v>166</v>
      </c>
      <c r="DE89" s="28" t="s">
        <v>166</v>
      </c>
      <c r="DF89" s="33" t="s">
        <v>166</v>
      </c>
      <c r="DG89" s="25" t="s">
        <v>309</v>
      </c>
      <c r="DH89" s="25" t="s">
        <v>193</v>
      </c>
      <c r="DI89" s="25" t="s">
        <v>194</v>
      </c>
      <c r="DJ89" s="25" t="s">
        <v>310</v>
      </c>
      <c r="DK89" s="25" t="s">
        <v>310</v>
      </c>
      <c r="DL89" s="32" t="s">
        <v>1848</v>
      </c>
      <c r="DM89" s="25" t="s">
        <v>198</v>
      </c>
      <c r="DN89" s="24" t="s">
        <v>1849</v>
      </c>
      <c r="DO89" s="31">
        <v>2023</v>
      </c>
      <c r="DP89" s="25" t="s">
        <v>166</v>
      </c>
      <c r="DQ89" s="25" t="s">
        <v>166</v>
      </c>
      <c r="DR89" s="29" t="s">
        <v>166</v>
      </c>
      <c r="DS89" s="27" t="s">
        <v>166</v>
      </c>
      <c r="DT89" s="30" t="s">
        <v>166</v>
      </c>
      <c r="DU89" s="25" t="s">
        <v>166</v>
      </c>
      <c r="DV89" s="29" t="s">
        <v>166</v>
      </c>
      <c r="DW89" s="29" t="s">
        <v>166</v>
      </c>
      <c r="DX89" s="27" t="s">
        <v>166</v>
      </c>
      <c r="DY89" s="27" t="s">
        <v>166</v>
      </c>
      <c r="DZ89" s="28" t="s">
        <v>166</v>
      </c>
      <c r="EA89" s="27" t="s">
        <v>166</v>
      </c>
      <c r="EB89" s="27" t="s">
        <v>166</v>
      </c>
      <c r="EC89" s="27" t="s">
        <v>166</v>
      </c>
      <c r="ED89" s="28" t="s">
        <v>166</v>
      </c>
      <c r="EE89" s="28" t="s">
        <v>166</v>
      </c>
      <c r="EF89" s="28" t="s">
        <v>166</v>
      </c>
      <c r="EG89" s="28" t="s">
        <v>166</v>
      </c>
      <c r="EH89" s="27" t="s">
        <v>166</v>
      </c>
      <c r="EI89" s="27" t="s">
        <v>166</v>
      </c>
      <c r="EJ89" s="27" t="s">
        <v>166</v>
      </c>
      <c r="EK89" s="27" t="s">
        <v>166</v>
      </c>
      <c r="EL89" s="27" t="s">
        <v>166</v>
      </c>
      <c r="EM89" s="27" t="s">
        <v>166</v>
      </c>
      <c r="EN89" s="27" t="s">
        <v>166</v>
      </c>
      <c r="EO89" s="27" t="s">
        <v>166</v>
      </c>
      <c r="EP89" s="27" t="s">
        <v>166</v>
      </c>
      <c r="EQ89" s="27" t="s">
        <v>166</v>
      </c>
      <c r="ER89" s="27" t="s">
        <v>166</v>
      </c>
      <c r="ES89" s="27" t="s">
        <v>166</v>
      </c>
      <c r="ET89" s="25" t="s">
        <v>166</v>
      </c>
      <c r="EU89" s="27" t="s">
        <v>166</v>
      </c>
      <c r="EV89" s="27" t="s">
        <v>166</v>
      </c>
      <c r="EW89" s="27" t="s">
        <v>166</v>
      </c>
      <c r="EX89" s="25" t="s">
        <v>190</v>
      </c>
      <c r="EY89" s="25" t="s">
        <v>166</v>
      </c>
      <c r="EZ89" s="27" t="s">
        <v>166</v>
      </c>
      <c r="FA89" s="26" t="s">
        <v>166</v>
      </c>
      <c r="FB89" s="26" t="s">
        <v>166</v>
      </c>
      <c r="FC89" s="26" t="s">
        <v>166</v>
      </c>
      <c r="FD89" s="26" t="s">
        <v>166</v>
      </c>
      <c r="FE89" s="26" t="s">
        <v>166</v>
      </c>
      <c r="FF89" s="26" t="s">
        <v>166</v>
      </c>
      <c r="FG89" s="25" t="s">
        <v>166</v>
      </c>
      <c r="FH89" s="4">
        <f>HYPERLINK("https://my.pitchbook.com?c=243404-29T","View Company Online")</f>
      </c>
    </row>
    <row r="90">
      <c r="A90" s="14" t="s">
        <v>1850</v>
      </c>
      <c r="B90" s="14" t="s">
        <v>1851</v>
      </c>
      <c r="C90" s="14" t="s">
        <v>1852</v>
      </c>
      <c r="D90" s="14" t="s">
        <v>166</v>
      </c>
      <c r="E90" s="23" t="s">
        <v>1853</v>
      </c>
      <c r="F90" s="21">
        <v>2</v>
      </c>
      <c r="G90" s="14" t="s">
        <v>1854</v>
      </c>
      <c r="H90" s="14" t="s">
        <v>166</v>
      </c>
      <c r="I90" s="14" t="s">
        <v>1855</v>
      </c>
      <c r="J90" s="14" t="s">
        <v>1856</v>
      </c>
      <c r="K90" s="14" t="s">
        <v>207</v>
      </c>
      <c r="L90" s="14" t="s">
        <v>208</v>
      </c>
      <c r="M90" s="14" t="s">
        <v>296</v>
      </c>
      <c r="N90" s="14" t="s">
        <v>1857</v>
      </c>
      <c r="O90" s="14" t="s">
        <v>325</v>
      </c>
      <c r="P90" s="14" t="s">
        <v>1858</v>
      </c>
      <c r="Q90" s="14" t="s">
        <v>166</v>
      </c>
      <c r="R90" s="14" t="s">
        <v>177</v>
      </c>
      <c r="S90" s="14" t="s">
        <v>1859</v>
      </c>
      <c r="T90" s="14" t="s">
        <v>179</v>
      </c>
      <c r="U90" s="14" t="s">
        <v>1860</v>
      </c>
      <c r="V90" s="14" t="s">
        <v>1861</v>
      </c>
      <c r="W90" s="21" t="s">
        <v>166</v>
      </c>
      <c r="X90" s="14" t="s">
        <v>1862</v>
      </c>
      <c r="Y90" s="14" t="s">
        <v>1863</v>
      </c>
      <c r="Z90" s="14" t="s">
        <v>166</v>
      </c>
      <c r="AA90" s="14" t="s">
        <v>166</v>
      </c>
      <c r="AB90" s="14" t="s">
        <v>166</v>
      </c>
      <c r="AC90" s="14" t="s">
        <v>166</v>
      </c>
      <c r="AD90" s="14" t="s">
        <v>166</v>
      </c>
      <c r="AE90" s="14" t="s">
        <v>166</v>
      </c>
      <c r="AF90" s="14" t="s">
        <v>166</v>
      </c>
      <c r="AG90" s="14" t="s">
        <v>166</v>
      </c>
      <c r="AH90" s="21">
        <v>3</v>
      </c>
      <c r="AI90" s="3">
        <f>HYPERLINK("https://my.pitchbook.com/?d=224838-55T","224838-55T")</f>
      </c>
      <c r="AJ90" s="19" t="s">
        <v>166</v>
      </c>
      <c r="AK90" s="19">
        <v>45383</v>
      </c>
      <c r="AL90" s="18">
        <v>0.44</v>
      </c>
      <c r="AM90" s="14" t="s">
        <v>185</v>
      </c>
      <c r="AN90" s="18">
        <v>9.56</v>
      </c>
      <c r="AO90" s="18">
        <v>10</v>
      </c>
      <c r="AP90" s="14" t="s">
        <v>185</v>
      </c>
      <c r="AQ90" s="21" t="s">
        <v>166</v>
      </c>
      <c r="AR90" s="21" t="s">
        <v>166</v>
      </c>
      <c r="AS90" s="17">
        <v>4.4</v>
      </c>
      <c r="AT90" s="18">
        <v>1.33</v>
      </c>
      <c r="AU90" s="21" t="s">
        <v>186</v>
      </c>
      <c r="AV90" s="21" t="s">
        <v>166</v>
      </c>
      <c r="AW90" s="18" t="s">
        <v>166</v>
      </c>
      <c r="AX90" s="21" t="s">
        <v>166</v>
      </c>
      <c r="AY90" s="14" t="s">
        <v>187</v>
      </c>
      <c r="AZ90" s="14" t="s">
        <v>166</v>
      </c>
      <c r="BA90" s="14" t="s">
        <v>166</v>
      </c>
      <c r="BB90" s="21" t="s">
        <v>166</v>
      </c>
      <c r="BC90" s="14" t="s">
        <v>179</v>
      </c>
      <c r="BD90" s="14" t="s">
        <v>1864</v>
      </c>
      <c r="BE90" s="14" t="s">
        <v>189</v>
      </c>
      <c r="BF90" s="18">
        <v>0.44</v>
      </c>
      <c r="BG90" s="14" t="s">
        <v>190</v>
      </c>
      <c r="BH90" s="14" t="s">
        <v>166</v>
      </c>
      <c r="BI90" s="14" t="s">
        <v>166</v>
      </c>
      <c r="BJ90" s="18" t="s">
        <v>166</v>
      </c>
      <c r="BK90" s="18" t="s">
        <v>166</v>
      </c>
      <c r="BL90" s="14" t="s">
        <v>191</v>
      </c>
      <c r="BM90" s="14" t="s">
        <v>1859</v>
      </c>
      <c r="BN90" s="14" t="s">
        <v>177</v>
      </c>
      <c r="BO90" s="22" t="s">
        <v>166</v>
      </c>
      <c r="BP90" s="14" t="s">
        <v>1865</v>
      </c>
      <c r="BQ90" s="21">
        <v>1</v>
      </c>
      <c r="BR90" s="14" t="s">
        <v>252</v>
      </c>
      <c r="BS90" s="21">
        <v>1</v>
      </c>
      <c r="BT90" s="14" t="s">
        <v>252</v>
      </c>
      <c r="BU90" s="14" t="s">
        <v>166</v>
      </c>
      <c r="BV90" s="14" t="s">
        <v>166</v>
      </c>
      <c r="BW90" s="14" t="s">
        <v>166</v>
      </c>
      <c r="BX90" s="14" t="s">
        <v>166</v>
      </c>
      <c r="BY90" s="14" t="s">
        <v>166</v>
      </c>
      <c r="BZ90" s="14" t="s">
        <v>166</v>
      </c>
      <c r="CA90" s="14" t="s">
        <v>166</v>
      </c>
      <c r="CB90" s="14" t="s">
        <v>166</v>
      </c>
      <c r="CC90" s="14" t="s">
        <v>166</v>
      </c>
      <c r="CD90" s="14" t="s">
        <v>166</v>
      </c>
      <c r="CE90" s="18" t="s">
        <v>166</v>
      </c>
      <c r="CF90" s="16" t="s">
        <v>166</v>
      </c>
      <c r="CG90" s="17" t="s">
        <v>166</v>
      </c>
      <c r="CH90" s="16" t="s">
        <v>166</v>
      </c>
      <c r="CI90" s="16" t="s">
        <v>166</v>
      </c>
      <c r="CJ90" s="16" t="s">
        <v>166</v>
      </c>
      <c r="CK90" s="16" t="s">
        <v>166</v>
      </c>
      <c r="CL90" s="16" t="s">
        <v>166</v>
      </c>
      <c r="CM90" s="20" t="s">
        <v>166</v>
      </c>
      <c r="CN90" s="16" t="s">
        <v>166</v>
      </c>
      <c r="CO90" s="16" t="s">
        <v>166</v>
      </c>
      <c r="CP90" s="16" t="s">
        <v>166</v>
      </c>
      <c r="CQ90" s="16" t="s">
        <v>166</v>
      </c>
      <c r="CR90" s="16" t="s">
        <v>166</v>
      </c>
      <c r="CS90" s="16" t="s">
        <v>166</v>
      </c>
      <c r="CT90" s="16" t="s">
        <v>166</v>
      </c>
      <c r="CU90" s="16" t="s">
        <v>166</v>
      </c>
      <c r="CV90" s="16" t="s">
        <v>166</v>
      </c>
      <c r="CW90" s="16" t="s">
        <v>166</v>
      </c>
      <c r="CX90" s="16" t="s">
        <v>166</v>
      </c>
      <c r="CY90" s="16" t="s">
        <v>166</v>
      </c>
      <c r="CZ90" s="16" t="s">
        <v>166</v>
      </c>
      <c r="DA90" s="16" t="s">
        <v>166</v>
      </c>
      <c r="DB90" s="16" t="s">
        <v>166</v>
      </c>
      <c r="DC90" s="16" t="s">
        <v>166</v>
      </c>
      <c r="DD90" s="16" t="s">
        <v>166</v>
      </c>
      <c r="DE90" s="17" t="s">
        <v>166</v>
      </c>
      <c r="DF90" s="22">
        <v>6</v>
      </c>
      <c r="DG90" s="14" t="s">
        <v>673</v>
      </c>
      <c r="DH90" s="14" t="s">
        <v>193</v>
      </c>
      <c r="DI90" s="14" t="s">
        <v>194</v>
      </c>
      <c r="DJ90" s="14" t="s">
        <v>674</v>
      </c>
      <c r="DK90" s="14" t="s">
        <v>257</v>
      </c>
      <c r="DL90" s="21" t="s">
        <v>1866</v>
      </c>
      <c r="DM90" s="14" t="s">
        <v>198</v>
      </c>
      <c r="DN90" s="13" t="s">
        <v>1867</v>
      </c>
      <c r="DO90" s="20">
        <v>2021</v>
      </c>
      <c r="DP90" s="14" t="s">
        <v>166</v>
      </c>
      <c r="DQ90" s="14" t="s">
        <v>166</v>
      </c>
      <c r="DR90" s="18" t="s">
        <v>166</v>
      </c>
      <c r="DS90" s="16" t="s">
        <v>166</v>
      </c>
      <c r="DT90" s="19" t="s">
        <v>166</v>
      </c>
      <c r="DU90" s="14" t="s">
        <v>166</v>
      </c>
      <c r="DV90" s="18" t="s">
        <v>166</v>
      </c>
      <c r="DW90" s="18" t="s">
        <v>166</v>
      </c>
      <c r="DX90" s="16" t="s">
        <v>166</v>
      </c>
      <c r="DY90" s="16" t="s">
        <v>166</v>
      </c>
      <c r="DZ90" s="17" t="s">
        <v>166</v>
      </c>
      <c r="EA90" s="16" t="s">
        <v>166</v>
      </c>
      <c r="EB90" s="16" t="s">
        <v>166</v>
      </c>
      <c r="EC90" s="16" t="s">
        <v>166</v>
      </c>
      <c r="ED90" s="17" t="s">
        <v>166</v>
      </c>
      <c r="EE90" s="17" t="s">
        <v>166</v>
      </c>
      <c r="EF90" s="17" t="s">
        <v>166</v>
      </c>
      <c r="EG90" s="17" t="s">
        <v>166</v>
      </c>
      <c r="EH90" s="16" t="s">
        <v>166</v>
      </c>
      <c r="EI90" s="16" t="s">
        <v>166</v>
      </c>
      <c r="EJ90" s="16" t="s">
        <v>166</v>
      </c>
      <c r="EK90" s="16" t="s">
        <v>166</v>
      </c>
      <c r="EL90" s="16" t="s">
        <v>166</v>
      </c>
      <c r="EM90" s="16" t="s">
        <v>166</v>
      </c>
      <c r="EN90" s="16" t="s">
        <v>166</v>
      </c>
      <c r="EO90" s="16" t="s">
        <v>166</v>
      </c>
      <c r="EP90" s="16" t="s">
        <v>166</v>
      </c>
      <c r="EQ90" s="16" t="s">
        <v>166</v>
      </c>
      <c r="ER90" s="16" t="s">
        <v>166</v>
      </c>
      <c r="ES90" s="16" t="s">
        <v>166</v>
      </c>
      <c r="ET90" s="14" t="s">
        <v>166</v>
      </c>
      <c r="EU90" s="16" t="s">
        <v>166</v>
      </c>
      <c r="EV90" s="16" t="s">
        <v>166</v>
      </c>
      <c r="EW90" s="16" t="s">
        <v>166</v>
      </c>
      <c r="EX90" s="14" t="s">
        <v>190</v>
      </c>
      <c r="EY90" s="14" t="s">
        <v>166</v>
      </c>
      <c r="EZ90" s="16" t="s">
        <v>166</v>
      </c>
      <c r="FA90" s="15" t="s">
        <v>166</v>
      </c>
      <c r="FB90" s="15" t="s">
        <v>166</v>
      </c>
      <c r="FC90" s="15" t="s">
        <v>166</v>
      </c>
      <c r="FD90" s="15" t="s">
        <v>166</v>
      </c>
      <c r="FE90" s="15" t="s">
        <v>166</v>
      </c>
      <c r="FF90" s="15" t="s">
        <v>166</v>
      </c>
      <c r="FG90" s="14" t="s">
        <v>166</v>
      </c>
      <c r="FH90" s="3">
        <f>HYPERLINK("https://my.pitchbook.com?c=224838-55T","View Company Online")</f>
      </c>
    </row>
    <row r="91">
      <c r="A91" s="25" t="s">
        <v>1868</v>
      </c>
      <c r="B91" s="25" t="s">
        <v>1869</v>
      </c>
      <c r="C91" s="25" t="s">
        <v>1870</v>
      </c>
      <c r="D91" s="25" t="s">
        <v>166</v>
      </c>
      <c r="E91" s="34" t="s">
        <v>1871</v>
      </c>
      <c r="F91" s="32">
        <v>6</v>
      </c>
      <c r="G91" s="25" t="s">
        <v>1872</v>
      </c>
      <c r="H91" s="25" t="s">
        <v>166</v>
      </c>
      <c r="I91" s="25" t="s">
        <v>1873</v>
      </c>
      <c r="J91" s="25" t="s">
        <v>1874</v>
      </c>
      <c r="K91" s="25" t="s">
        <v>207</v>
      </c>
      <c r="L91" s="25" t="s">
        <v>208</v>
      </c>
      <c r="M91" s="25" t="s">
        <v>209</v>
      </c>
      <c r="N91" s="25" t="s">
        <v>1875</v>
      </c>
      <c r="O91" s="25" t="s">
        <v>531</v>
      </c>
      <c r="P91" s="25" t="s">
        <v>1876</v>
      </c>
      <c r="Q91" s="25" t="s">
        <v>166</v>
      </c>
      <c r="R91" s="25" t="s">
        <v>177</v>
      </c>
      <c r="S91" s="25" t="s">
        <v>178</v>
      </c>
      <c r="T91" s="25" t="s">
        <v>179</v>
      </c>
      <c r="U91" s="25" t="s">
        <v>1877</v>
      </c>
      <c r="V91" s="25" t="s">
        <v>1878</v>
      </c>
      <c r="W91" s="32" t="s">
        <v>1879</v>
      </c>
      <c r="X91" s="25" t="s">
        <v>1880</v>
      </c>
      <c r="Y91" s="25" t="s">
        <v>1881</v>
      </c>
      <c r="Z91" s="25" t="s">
        <v>166</v>
      </c>
      <c r="AA91" s="25" t="s">
        <v>166</v>
      </c>
      <c r="AB91" s="25" t="s">
        <v>166</v>
      </c>
      <c r="AC91" s="25" t="s">
        <v>166</v>
      </c>
      <c r="AD91" s="25" t="s">
        <v>166</v>
      </c>
      <c r="AE91" s="25" t="s">
        <v>166</v>
      </c>
      <c r="AF91" s="25" t="s">
        <v>166</v>
      </c>
      <c r="AG91" s="25" t="s">
        <v>166</v>
      </c>
      <c r="AH91" s="32">
        <v>1</v>
      </c>
      <c r="AI91" s="4">
        <f>HYPERLINK("https://my.pitchbook.com/?d=134820-28T","134820-28T")</f>
      </c>
      <c r="AJ91" s="30">
        <v>43921</v>
      </c>
      <c r="AK91" s="30">
        <v>44063</v>
      </c>
      <c r="AL91" s="29">
        <v>1.35</v>
      </c>
      <c r="AM91" s="25" t="s">
        <v>185</v>
      </c>
      <c r="AN91" s="29" t="s">
        <v>166</v>
      </c>
      <c r="AO91" s="29" t="s">
        <v>166</v>
      </c>
      <c r="AP91" s="25" t="s">
        <v>166</v>
      </c>
      <c r="AQ91" s="32" t="s">
        <v>166</v>
      </c>
      <c r="AR91" s="32" t="s">
        <v>166</v>
      </c>
      <c r="AS91" s="28" t="s">
        <v>166</v>
      </c>
      <c r="AT91" s="29">
        <v>1.35</v>
      </c>
      <c r="AU91" s="32" t="s">
        <v>186</v>
      </c>
      <c r="AV91" s="32" t="s">
        <v>166</v>
      </c>
      <c r="AW91" s="29" t="s">
        <v>166</v>
      </c>
      <c r="AX91" s="32" t="s">
        <v>166</v>
      </c>
      <c r="AY91" s="25" t="s">
        <v>187</v>
      </c>
      <c r="AZ91" s="25" t="s">
        <v>166</v>
      </c>
      <c r="BA91" s="25" t="s">
        <v>166</v>
      </c>
      <c r="BB91" s="32" t="s">
        <v>166</v>
      </c>
      <c r="BC91" s="25" t="s">
        <v>179</v>
      </c>
      <c r="BD91" s="25" t="s">
        <v>1882</v>
      </c>
      <c r="BE91" s="25" t="s">
        <v>189</v>
      </c>
      <c r="BF91" s="29">
        <v>1.35</v>
      </c>
      <c r="BG91" s="25" t="s">
        <v>190</v>
      </c>
      <c r="BH91" s="25" t="s">
        <v>166</v>
      </c>
      <c r="BI91" s="25" t="s">
        <v>166</v>
      </c>
      <c r="BJ91" s="29" t="s">
        <v>166</v>
      </c>
      <c r="BK91" s="29" t="s">
        <v>166</v>
      </c>
      <c r="BL91" s="25" t="s">
        <v>191</v>
      </c>
      <c r="BM91" s="25" t="s">
        <v>178</v>
      </c>
      <c r="BN91" s="25" t="s">
        <v>177</v>
      </c>
      <c r="BO91" s="33" t="s">
        <v>166</v>
      </c>
      <c r="BP91" s="25" t="s">
        <v>1883</v>
      </c>
      <c r="BQ91" s="32">
        <v>6</v>
      </c>
      <c r="BR91" s="25" t="s">
        <v>166</v>
      </c>
      <c r="BS91" s="32" t="s">
        <v>166</v>
      </c>
      <c r="BT91" s="25" t="s">
        <v>1884</v>
      </c>
      <c r="BU91" s="25" t="s">
        <v>166</v>
      </c>
      <c r="BV91" s="25" t="s">
        <v>1885</v>
      </c>
      <c r="BW91" s="25" t="s">
        <v>166</v>
      </c>
      <c r="BX91" s="25" t="s">
        <v>166</v>
      </c>
      <c r="BY91" s="25" t="s">
        <v>166</v>
      </c>
      <c r="BZ91" s="25" t="s">
        <v>166</v>
      </c>
      <c r="CA91" s="25" t="s">
        <v>166</v>
      </c>
      <c r="CB91" s="25" t="s">
        <v>166</v>
      </c>
      <c r="CC91" s="25" t="s">
        <v>166</v>
      </c>
      <c r="CD91" s="25" t="s">
        <v>166</v>
      </c>
      <c r="CE91" s="29" t="s">
        <v>166</v>
      </c>
      <c r="CF91" s="27" t="s">
        <v>166</v>
      </c>
      <c r="CG91" s="28" t="s">
        <v>166</v>
      </c>
      <c r="CH91" s="27" t="s">
        <v>166</v>
      </c>
      <c r="CI91" s="27" t="s">
        <v>166</v>
      </c>
      <c r="CJ91" s="27" t="s">
        <v>166</v>
      </c>
      <c r="CK91" s="27" t="s">
        <v>166</v>
      </c>
      <c r="CL91" s="27" t="s">
        <v>166</v>
      </c>
      <c r="CM91" s="31" t="s">
        <v>166</v>
      </c>
      <c r="CN91" s="27" t="s">
        <v>166</v>
      </c>
      <c r="CO91" s="27" t="s">
        <v>166</v>
      </c>
      <c r="CP91" s="27" t="s">
        <v>166</v>
      </c>
      <c r="CQ91" s="27" t="s">
        <v>166</v>
      </c>
      <c r="CR91" s="27" t="s">
        <v>166</v>
      </c>
      <c r="CS91" s="27" t="s">
        <v>166</v>
      </c>
      <c r="CT91" s="27" t="s">
        <v>166</v>
      </c>
      <c r="CU91" s="27" t="s">
        <v>166</v>
      </c>
      <c r="CV91" s="27" t="s">
        <v>166</v>
      </c>
      <c r="CW91" s="27" t="s">
        <v>166</v>
      </c>
      <c r="CX91" s="27" t="s">
        <v>166</v>
      </c>
      <c r="CY91" s="27" t="s">
        <v>166</v>
      </c>
      <c r="CZ91" s="27" t="s">
        <v>166</v>
      </c>
      <c r="DA91" s="27" t="s">
        <v>166</v>
      </c>
      <c r="DB91" s="27" t="s">
        <v>166</v>
      </c>
      <c r="DC91" s="27" t="s">
        <v>166</v>
      </c>
      <c r="DD91" s="27" t="s">
        <v>166</v>
      </c>
      <c r="DE91" s="28" t="s">
        <v>166</v>
      </c>
      <c r="DF91" s="33">
        <v>126</v>
      </c>
      <c r="DG91" s="25" t="s">
        <v>1886</v>
      </c>
      <c r="DH91" s="25" t="s">
        <v>193</v>
      </c>
      <c r="DI91" s="25" t="s">
        <v>194</v>
      </c>
      <c r="DJ91" s="25" t="s">
        <v>1887</v>
      </c>
      <c r="DK91" s="25" t="s">
        <v>1888</v>
      </c>
      <c r="DL91" s="32" t="s">
        <v>1889</v>
      </c>
      <c r="DM91" s="25" t="s">
        <v>198</v>
      </c>
      <c r="DN91" s="24" t="s">
        <v>1890</v>
      </c>
      <c r="DO91" s="31">
        <v>2018</v>
      </c>
      <c r="DP91" s="25" t="s">
        <v>166</v>
      </c>
      <c r="DQ91" s="25" t="s">
        <v>166</v>
      </c>
      <c r="DR91" s="29" t="s">
        <v>166</v>
      </c>
      <c r="DS91" s="27" t="s">
        <v>166</v>
      </c>
      <c r="DT91" s="30" t="s">
        <v>166</v>
      </c>
      <c r="DU91" s="25" t="s">
        <v>166</v>
      </c>
      <c r="DV91" s="29" t="s">
        <v>166</v>
      </c>
      <c r="DW91" s="29" t="s">
        <v>166</v>
      </c>
      <c r="DX91" s="27" t="s">
        <v>166</v>
      </c>
      <c r="DY91" s="27" t="s">
        <v>166</v>
      </c>
      <c r="DZ91" s="28" t="s">
        <v>166</v>
      </c>
      <c r="EA91" s="27" t="s">
        <v>166</v>
      </c>
      <c r="EB91" s="27" t="s">
        <v>166</v>
      </c>
      <c r="EC91" s="27" t="s">
        <v>166</v>
      </c>
      <c r="ED91" s="28" t="s">
        <v>166</v>
      </c>
      <c r="EE91" s="28" t="s">
        <v>166</v>
      </c>
      <c r="EF91" s="28" t="s">
        <v>166</v>
      </c>
      <c r="EG91" s="28" t="s">
        <v>166</v>
      </c>
      <c r="EH91" s="27" t="s">
        <v>166</v>
      </c>
      <c r="EI91" s="27" t="s">
        <v>166</v>
      </c>
      <c r="EJ91" s="27" t="s">
        <v>166</v>
      </c>
      <c r="EK91" s="27" t="s">
        <v>166</v>
      </c>
      <c r="EL91" s="27" t="s">
        <v>166</v>
      </c>
      <c r="EM91" s="27" t="s">
        <v>166</v>
      </c>
      <c r="EN91" s="27" t="s">
        <v>166</v>
      </c>
      <c r="EO91" s="27" t="s">
        <v>166</v>
      </c>
      <c r="EP91" s="27" t="s">
        <v>166</v>
      </c>
      <c r="EQ91" s="27" t="s">
        <v>166</v>
      </c>
      <c r="ER91" s="27" t="s">
        <v>166</v>
      </c>
      <c r="ES91" s="27" t="s">
        <v>166</v>
      </c>
      <c r="ET91" s="25" t="s">
        <v>166</v>
      </c>
      <c r="EU91" s="27" t="s">
        <v>166</v>
      </c>
      <c r="EV91" s="27" t="s">
        <v>166</v>
      </c>
      <c r="EW91" s="27" t="s">
        <v>166</v>
      </c>
      <c r="EX91" s="25" t="s">
        <v>190</v>
      </c>
      <c r="EY91" s="25" t="s">
        <v>166</v>
      </c>
      <c r="EZ91" s="27" t="s">
        <v>166</v>
      </c>
      <c r="FA91" s="26" t="s">
        <v>166</v>
      </c>
      <c r="FB91" s="26" t="s">
        <v>166</v>
      </c>
      <c r="FC91" s="26" t="s">
        <v>166</v>
      </c>
      <c r="FD91" s="26" t="s">
        <v>166</v>
      </c>
      <c r="FE91" s="26" t="s">
        <v>166</v>
      </c>
      <c r="FF91" s="26" t="s">
        <v>166</v>
      </c>
      <c r="FG91" s="25" t="s">
        <v>166</v>
      </c>
      <c r="FH91" s="4">
        <f>HYPERLINK("https://my.pitchbook.com?c=134820-28T","View Company Online")</f>
      </c>
    </row>
    <row r="92">
      <c r="A92" s="14" t="s">
        <v>1891</v>
      </c>
      <c r="B92" s="14" t="s">
        <v>1892</v>
      </c>
      <c r="C92" s="14" t="s">
        <v>1893</v>
      </c>
      <c r="D92" s="14" t="s">
        <v>166</v>
      </c>
      <c r="E92" s="23" t="s">
        <v>1894</v>
      </c>
      <c r="F92" s="21">
        <v>3</v>
      </c>
      <c r="G92" s="14" t="s">
        <v>1895</v>
      </c>
      <c r="H92" s="14" t="s">
        <v>166</v>
      </c>
      <c r="I92" s="14" t="s">
        <v>1896</v>
      </c>
      <c r="J92" s="14" t="s">
        <v>1897</v>
      </c>
      <c r="K92" s="14" t="s">
        <v>207</v>
      </c>
      <c r="L92" s="14" t="s">
        <v>208</v>
      </c>
      <c r="M92" s="14" t="s">
        <v>209</v>
      </c>
      <c r="N92" s="14" t="s">
        <v>269</v>
      </c>
      <c r="O92" s="14" t="s">
        <v>1842</v>
      </c>
      <c r="P92" s="14" t="s">
        <v>1898</v>
      </c>
      <c r="Q92" s="14" t="s">
        <v>166</v>
      </c>
      <c r="R92" s="14" t="s">
        <v>177</v>
      </c>
      <c r="S92" s="14" t="s">
        <v>178</v>
      </c>
      <c r="T92" s="14" t="s">
        <v>179</v>
      </c>
      <c r="U92" s="14" t="s">
        <v>1899</v>
      </c>
      <c r="V92" s="14" t="s">
        <v>1900</v>
      </c>
      <c r="W92" s="21" t="s">
        <v>166</v>
      </c>
      <c r="X92" s="14" t="s">
        <v>1901</v>
      </c>
      <c r="Y92" s="14" t="s">
        <v>1902</v>
      </c>
      <c r="Z92" s="14" t="s">
        <v>1903</v>
      </c>
      <c r="AA92" s="14" t="s">
        <v>166</v>
      </c>
      <c r="AB92" s="14" t="s">
        <v>166</v>
      </c>
      <c r="AC92" s="14" t="s">
        <v>166</v>
      </c>
      <c r="AD92" s="14" t="s">
        <v>166</v>
      </c>
      <c r="AE92" s="14" t="s">
        <v>166</v>
      </c>
      <c r="AF92" s="14" t="s">
        <v>166</v>
      </c>
      <c r="AG92" s="14" t="s">
        <v>166</v>
      </c>
      <c r="AH92" s="21">
        <v>1</v>
      </c>
      <c r="AI92" s="3">
        <f>HYPERLINK("https://my.pitchbook.com/?d=181513-72T","181513-72T")</f>
      </c>
      <c r="AJ92" s="19">
        <v>44263</v>
      </c>
      <c r="AK92" s="19">
        <v>44539</v>
      </c>
      <c r="AL92" s="18">
        <v>5</v>
      </c>
      <c r="AM92" s="14" t="s">
        <v>185</v>
      </c>
      <c r="AN92" s="18" t="s">
        <v>166</v>
      </c>
      <c r="AO92" s="18" t="s">
        <v>166</v>
      </c>
      <c r="AP92" s="14" t="s">
        <v>166</v>
      </c>
      <c r="AQ92" s="21" t="s">
        <v>166</v>
      </c>
      <c r="AR92" s="21" t="s">
        <v>166</v>
      </c>
      <c r="AS92" s="17" t="s">
        <v>166</v>
      </c>
      <c r="AT92" s="18">
        <v>5</v>
      </c>
      <c r="AU92" s="21" t="s">
        <v>186</v>
      </c>
      <c r="AV92" s="21" t="s">
        <v>166</v>
      </c>
      <c r="AW92" s="18" t="s">
        <v>166</v>
      </c>
      <c r="AX92" s="21" t="s">
        <v>746</v>
      </c>
      <c r="AY92" s="14" t="s">
        <v>217</v>
      </c>
      <c r="AZ92" s="14" t="s">
        <v>746</v>
      </c>
      <c r="BA92" s="14" t="s">
        <v>166</v>
      </c>
      <c r="BB92" s="21" t="s">
        <v>166</v>
      </c>
      <c r="BC92" s="14" t="s">
        <v>179</v>
      </c>
      <c r="BD92" s="14" t="s">
        <v>1897</v>
      </c>
      <c r="BE92" s="14" t="s">
        <v>189</v>
      </c>
      <c r="BF92" s="18">
        <v>5</v>
      </c>
      <c r="BG92" s="14" t="s">
        <v>190</v>
      </c>
      <c r="BH92" s="14" t="s">
        <v>166</v>
      </c>
      <c r="BI92" s="14" t="s">
        <v>166</v>
      </c>
      <c r="BJ92" s="18" t="s">
        <v>166</v>
      </c>
      <c r="BK92" s="18" t="s">
        <v>166</v>
      </c>
      <c r="BL92" s="14" t="s">
        <v>191</v>
      </c>
      <c r="BM92" s="14" t="s">
        <v>178</v>
      </c>
      <c r="BN92" s="14" t="s">
        <v>177</v>
      </c>
      <c r="BO92" s="22" t="s">
        <v>166</v>
      </c>
      <c r="BP92" s="14" t="s">
        <v>1904</v>
      </c>
      <c r="BQ92" s="21">
        <v>3</v>
      </c>
      <c r="BR92" s="14" t="s">
        <v>166</v>
      </c>
      <c r="BS92" s="21" t="s">
        <v>166</v>
      </c>
      <c r="BT92" s="14" t="s">
        <v>1905</v>
      </c>
      <c r="BU92" s="14" t="s">
        <v>166</v>
      </c>
      <c r="BV92" s="14" t="s">
        <v>1906</v>
      </c>
      <c r="BW92" s="14" t="s">
        <v>166</v>
      </c>
      <c r="BX92" s="14" t="s">
        <v>166</v>
      </c>
      <c r="BY92" s="14" t="s">
        <v>166</v>
      </c>
      <c r="BZ92" s="14" t="s">
        <v>1907</v>
      </c>
      <c r="CA92" s="14" t="s">
        <v>1908</v>
      </c>
      <c r="CB92" s="14" t="s">
        <v>166</v>
      </c>
      <c r="CC92" s="14" t="s">
        <v>1909</v>
      </c>
      <c r="CD92" s="14" t="s">
        <v>166</v>
      </c>
      <c r="CE92" s="18" t="s">
        <v>166</v>
      </c>
      <c r="CF92" s="16" t="s">
        <v>166</v>
      </c>
      <c r="CG92" s="17" t="s">
        <v>166</v>
      </c>
      <c r="CH92" s="16" t="s">
        <v>166</v>
      </c>
      <c r="CI92" s="16" t="s">
        <v>166</v>
      </c>
      <c r="CJ92" s="16" t="s">
        <v>166</v>
      </c>
      <c r="CK92" s="16" t="s">
        <v>166</v>
      </c>
      <c r="CL92" s="16" t="s">
        <v>166</v>
      </c>
      <c r="CM92" s="20" t="s">
        <v>166</v>
      </c>
      <c r="CN92" s="16" t="s">
        <v>166</v>
      </c>
      <c r="CO92" s="16" t="s">
        <v>166</v>
      </c>
      <c r="CP92" s="16" t="s">
        <v>166</v>
      </c>
      <c r="CQ92" s="16" t="s">
        <v>166</v>
      </c>
      <c r="CR92" s="16" t="s">
        <v>166</v>
      </c>
      <c r="CS92" s="16" t="s">
        <v>166</v>
      </c>
      <c r="CT92" s="16" t="s">
        <v>166</v>
      </c>
      <c r="CU92" s="16" t="s">
        <v>166</v>
      </c>
      <c r="CV92" s="16" t="s">
        <v>166</v>
      </c>
      <c r="CW92" s="16" t="s">
        <v>166</v>
      </c>
      <c r="CX92" s="16" t="s">
        <v>166</v>
      </c>
      <c r="CY92" s="16" t="s">
        <v>166</v>
      </c>
      <c r="CZ92" s="16" t="s">
        <v>166</v>
      </c>
      <c r="DA92" s="16" t="s">
        <v>166</v>
      </c>
      <c r="DB92" s="16" t="s">
        <v>166</v>
      </c>
      <c r="DC92" s="16" t="s">
        <v>166</v>
      </c>
      <c r="DD92" s="16" t="s">
        <v>166</v>
      </c>
      <c r="DE92" s="17" t="s">
        <v>166</v>
      </c>
      <c r="DF92" s="22">
        <v>11</v>
      </c>
      <c r="DG92" s="14" t="s">
        <v>309</v>
      </c>
      <c r="DH92" s="14" t="s">
        <v>193</v>
      </c>
      <c r="DI92" s="14" t="s">
        <v>194</v>
      </c>
      <c r="DJ92" s="14" t="s">
        <v>310</v>
      </c>
      <c r="DK92" s="14" t="s">
        <v>310</v>
      </c>
      <c r="DL92" s="21" t="s">
        <v>1910</v>
      </c>
      <c r="DM92" s="14" t="s">
        <v>198</v>
      </c>
      <c r="DN92" s="13" t="s">
        <v>1911</v>
      </c>
      <c r="DO92" s="20">
        <v>2019</v>
      </c>
      <c r="DP92" s="14" t="s">
        <v>166</v>
      </c>
      <c r="DQ92" s="14" t="s">
        <v>166</v>
      </c>
      <c r="DR92" s="18" t="s">
        <v>166</v>
      </c>
      <c r="DS92" s="16" t="s">
        <v>166</v>
      </c>
      <c r="DT92" s="19" t="s">
        <v>166</v>
      </c>
      <c r="DU92" s="14" t="s">
        <v>166</v>
      </c>
      <c r="DV92" s="18" t="s">
        <v>166</v>
      </c>
      <c r="DW92" s="18" t="s">
        <v>166</v>
      </c>
      <c r="DX92" s="16" t="s">
        <v>166</v>
      </c>
      <c r="DY92" s="16" t="s">
        <v>166</v>
      </c>
      <c r="DZ92" s="17" t="s">
        <v>166</v>
      </c>
      <c r="EA92" s="16" t="s">
        <v>166</v>
      </c>
      <c r="EB92" s="16" t="s">
        <v>166</v>
      </c>
      <c r="EC92" s="16" t="s">
        <v>166</v>
      </c>
      <c r="ED92" s="17" t="s">
        <v>166</v>
      </c>
      <c r="EE92" s="17" t="s">
        <v>166</v>
      </c>
      <c r="EF92" s="17" t="s">
        <v>166</v>
      </c>
      <c r="EG92" s="17" t="s">
        <v>166</v>
      </c>
      <c r="EH92" s="16" t="s">
        <v>166</v>
      </c>
      <c r="EI92" s="16" t="s">
        <v>166</v>
      </c>
      <c r="EJ92" s="16" t="s">
        <v>166</v>
      </c>
      <c r="EK92" s="16" t="s">
        <v>166</v>
      </c>
      <c r="EL92" s="16" t="s">
        <v>166</v>
      </c>
      <c r="EM92" s="16" t="s">
        <v>166</v>
      </c>
      <c r="EN92" s="16" t="s">
        <v>166</v>
      </c>
      <c r="EO92" s="16" t="s">
        <v>166</v>
      </c>
      <c r="EP92" s="16" t="s">
        <v>166</v>
      </c>
      <c r="EQ92" s="16" t="s">
        <v>166</v>
      </c>
      <c r="ER92" s="16" t="s">
        <v>166</v>
      </c>
      <c r="ES92" s="16" t="s">
        <v>166</v>
      </c>
      <c r="ET92" s="14" t="s">
        <v>166</v>
      </c>
      <c r="EU92" s="16" t="s">
        <v>166</v>
      </c>
      <c r="EV92" s="16" t="s">
        <v>166</v>
      </c>
      <c r="EW92" s="16" t="s">
        <v>166</v>
      </c>
      <c r="EX92" s="14" t="s">
        <v>190</v>
      </c>
      <c r="EY92" s="14" t="s">
        <v>166</v>
      </c>
      <c r="EZ92" s="16" t="s">
        <v>166</v>
      </c>
      <c r="FA92" s="15" t="s">
        <v>166</v>
      </c>
      <c r="FB92" s="15" t="s">
        <v>166</v>
      </c>
      <c r="FC92" s="15" t="s">
        <v>166</v>
      </c>
      <c r="FD92" s="15" t="s">
        <v>166</v>
      </c>
      <c r="FE92" s="15" t="s">
        <v>166</v>
      </c>
      <c r="FF92" s="15" t="s">
        <v>166</v>
      </c>
      <c r="FG92" s="14" t="s">
        <v>166</v>
      </c>
      <c r="FH92" s="3">
        <f>HYPERLINK("https://my.pitchbook.com?c=181513-72T","View Company Online")</f>
      </c>
    </row>
    <row r="93">
      <c r="A93" s="25" t="s">
        <v>1912</v>
      </c>
      <c r="B93" s="25" t="s">
        <v>1913</v>
      </c>
      <c r="C93" s="25" t="s">
        <v>1914</v>
      </c>
      <c r="D93" s="25" t="s">
        <v>166</v>
      </c>
      <c r="E93" s="34" t="s">
        <v>1915</v>
      </c>
      <c r="F93" s="32">
        <v>1</v>
      </c>
      <c r="G93" s="25" t="s">
        <v>1916</v>
      </c>
      <c r="H93" s="25" t="s">
        <v>166</v>
      </c>
      <c r="I93" s="25" t="s">
        <v>1917</v>
      </c>
      <c r="J93" s="25" t="s">
        <v>1918</v>
      </c>
      <c r="K93" s="25" t="s">
        <v>1455</v>
      </c>
      <c r="L93" s="25" t="s">
        <v>1456</v>
      </c>
      <c r="M93" s="25" t="s">
        <v>1457</v>
      </c>
      <c r="N93" s="25" t="s">
        <v>1919</v>
      </c>
      <c r="O93" s="25" t="s">
        <v>1920</v>
      </c>
      <c r="P93" s="25" t="s">
        <v>1921</v>
      </c>
      <c r="Q93" s="25" t="s">
        <v>166</v>
      </c>
      <c r="R93" s="25" t="s">
        <v>177</v>
      </c>
      <c r="S93" s="25" t="s">
        <v>178</v>
      </c>
      <c r="T93" s="25" t="s">
        <v>179</v>
      </c>
      <c r="U93" s="25" t="s">
        <v>1922</v>
      </c>
      <c r="V93" s="25" t="s">
        <v>1923</v>
      </c>
      <c r="W93" s="32" t="s">
        <v>1924</v>
      </c>
      <c r="X93" s="25" t="s">
        <v>1925</v>
      </c>
      <c r="Y93" s="25" t="s">
        <v>1926</v>
      </c>
      <c r="Z93" s="25" t="s">
        <v>1927</v>
      </c>
      <c r="AA93" s="25" t="s">
        <v>166</v>
      </c>
      <c r="AB93" s="25" t="s">
        <v>166</v>
      </c>
      <c r="AC93" s="25" t="s">
        <v>166</v>
      </c>
      <c r="AD93" s="25" t="s">
        <v>166</v>
      </c>
      <c r="AE93" s="25" t="s">
        <v>166</v>
      </c>
      <c r="AF93" s="25" t="s">
        <v>166</v>
      </c>
      <c r="AG93" s="25" t="s">
        <v>166</v>
      </c>
      <c r="AH93" s="32">
        <v>1</v>
      </c>
      <c r="AI93" s="4">
        <f>HYPERLINK("https://my.pitchbook.com/?d=176609-08T","176609-08T")</f>
      </c>
      <c r="AJ93" s="30">
        <v>44378</v>
      </c>
      <c r="AK93" s="30">
        <v>44562</v>
      </c>
      <c r="AL93" s="29">
        <v>0.28</v>
      </c>
      <c r="AM93" s="25" t="s">
        <v>185</v>
      </c>
      <c r="AN93" s="29" t="s">
        <v>166</v>
      </c>
      <c r="AO93" s="29" t="s">
        <v>166</v>
      </c>
      <c r="AP93" s="25" t="s">
        <v>166</v>
      </c>
      <c r="AQ93" s="32" t="s">
        <v>166</v>
      </c>
      <c r="AR93" s="32" t="s">
        <v>166</v>
      </c>
      <c r="AS93" s="28" t="s">
        <v>166</v>
      </c>
      <c r="AT93" s="29">
        <v>0.28</v>
      </c>
      <c r="AU93" s="32" t="s">
        <v>186</v>
      </c>
      <c r="AV93" s="32" t="s">
        <v>166</v>
      </c>
      <c r="AW93" s="29" t="s">
        <v>166</v>
      </c>
      <c r="AX93" s="32" t="s">
        <v>166</v>
      </c>
      <c r="AY93" s="25" t="s">
        <v>217</v>
      </c>
      <c r="AZ93" s="25" t="s">
        <v>217</v>
      </c>
      <c r="BA93" s="25" t="s">
        <v>166</v>
      </c>
      <c r="BB93" s="32" t="s">
        <v>166</v>
      </c>
      <c r="BC93" s="25" t="s">
        <v>179</v>
      </c>
      <c r="BD93" s="25" t="s">
        <v>1928</v>
      </c>
      <c r="BE93" s="25" t="s">
        <v>189</v>
      </c>
      <c r="BF93" s="29">
        <v>0.28</v>
      </c>
      <c r="BG93" s="25" t="s">
        <v>190</v>
      </c>
      <c r="BH93" s="25" t="s">
        <v>166</v>
      </c>
      <c r="BI93" s="25" t="s">
        <v>166</v>
      </c>
      <c r="BJ93" s="29" t="s">
        <v>166</v>
      </c>
      <c r="BK93" s="29" t="s">
        <v>166</v>
      </c>
      <c r="BL93" s="25" t="s">
        <v>191</v>
      </c>
      <c r="BM93" s="25" t="s">
        <v>178</v>
      </c>
      <c r="BN93" s="25" t="s">
        <v>177</v>
      </c>
      <c r="BO93" s="33" t="s">
        <v>166</v>
      </c>
      <c r="BP93" s="25" t="s">
        <v>1915</v>
      </c>
      <c r="BQ93" s="32">
        <v>1</v>
      </c>
      <c r="BR93" s="25" t="s">
        <v>166</v>
      </c>
      <c r="BS93" s="32" t="s">
        <v>166</v>
      </c>
      <c r="BT93" s="25" t="s">
        <v>166</v>
      </c>
      <c r="BU93" s="25" t="s">
        <v>166</v>
      </c>
      <c r="BV93" s="25" t="s">
        <v>166</v>
      </c>
      <c r="BW93" s="25" t="s">
        <v>166</v>
      </c>
      <c r="BX93" s="25" t="s">
        <v>166</v>
      </c>
      <c r="BY93" s="25" t="s">
        <v>166</v>
      </c>
      <c r="BZ93" s="25" t="s">
        <v>166</v>
      </c>
      <c r="CA93" s="25" t="s">
        <v>166</v>
      </c>
      <c r="CB93" s="25" t="s">
        <v>166</v>
      </c>
      <c r="CC93" s="25" t="s">
        <v>166</v>
      </c>
      <c r="CD93" s="25" t="s">
        <v>166</v>
      </c>
      <c r="CE93" s="29" t="s">
        <v>166</v>
      </c>
      <c r="CF93" s="27" t="s">
        <v>166</v>
      </c>
      <c r="CG93" s="28" t="s">
        <v>166</v>
      </c>
      <c r="CH93" s="27" t="s">
        <v>166</v>
      </c>
      <c r="CI93" s="27" t="s">
        <v>166</v>
      </c>
      <c r="CJ93" s="27" t="s">
        <v>166</v>
      </c>
      <c r="CK93" s="27" t="s">
        <v>166</v>
      </c>
      <c r="CL93" s="27" t="s">
        <v>166</v>
      </c>
      <c r="CM93" s="31" t="s">
        <v>166</v>
      </c>
      <c r="CN93" s="27" t="s">
        <v>166</v>
      </c>
      <c r="CO93" s="27" t="s">
        <v>166</v>
      </c>
      <c r="CP93" s="27" t="s">
        <v>166</v>
      </c>
      <c r="CQ93" s="27" t="s">
        <v>166</v>
      </c>
      <c r="CR93" s="27" t="s">
        <v>166</v>
      </c>
      <c r="CS93" s="27" t="s">
        <v>166</v>
      </c>
      <c r="CT93" s="27" t="s">
        <v>166</v>
      </c>
      <c r="CU93" s="27" t="s">
        <v>166</v>
      </c>
      <c r="CV93" s="27" t="s">
        <v>166</v>
      </c>
      <c r="CW93" s="27" t="s">
        <v>166</v>
      </c>
      <c r="CX93" s="27" t="s">
        <v>166</v>
      </c>
      <c r="CY93" s="27" t="s">
        <v>166</v>
      </c>
      <c r="CZ93" s="27" t="s">
        <v>166</v>
      </c>
      <c r="DA93" s="27" t="s">
        <v>166</v>
      </c>
      <c r="DB93" s="27" t="s">
        <v>166</v>
      </c>
      <c r="DC93" s="27" t="s">
        <v>166</v>
      </c>
      <c r="DD93" s="27" t="s">
        <v>166</v>
      </c>
      <c r="DE93" s="28" t="s">
        <v>166</v>
      </c>
      <c r="DF93" s="33">
        <v>7</v>
      </c>
      <c r="DG93" s="25" t="s">
        <v>1929</v>
      </c>
      <c r="DH93" s="25" t="s">
        <v>193</v>
      </c>
      <c r="DI93" s="25" t="s">
        <v>194</v>
      </c>
      <c r="DJ93" s="25" t="s">
        <v>1930</v>
      </c>
      <c r="DK93" s="25" t="s">
        <v>545</v>
      </c>
      <c r="DL93" s="32" t="s">
        <v>1931</v>
      </c>
      <c r="DM93" s="25" t="s">
        <v>198</v>
      </c>
      <c r="DN93" s="24" t="s">
        <v>1932</v>
      </c>
      <c r="DO93" s="31">
        <v>2020</v>
      </c>
      <c r="DP93" s="25" t="s">
        <v>166</v>
      </c>
      <c r="DQ93" s="25" t="s">
        <v>166</v>
      </c>
      <c r="DR93" s="29" t="s">
        <v>166</v>
      </c>
      <c r="DS93" s="27" t="s">
        <v>166</v>
      </c>
      <c r="DT93" s="30" t="s">
        <v>166</v>
      </c>
      <c r="DU93" s="25" t="s">
        <v>166</v>
      </c>
      <c r="DV93" s="29" t="s">
        <v>166</v>
      </c>
      <c r="DW93" s="29" t="s">
        <v>166</v>
      </c>
      <c r="DX93" s="27" t="s">
        <v>166</v>
      </c>
      <c r="DY93" s="27" t="s">
        <v>166</v>
      </c>
      <c r="DZ93" s="28" t="s">
        <v>166</v>
      </c>
      <c r="EA93" s="27" t="s">
        <v>166</v>
      </c>
      <c r="EB93" s="27" t="s">
        <v>166</v>
      </c>
      <c r="EC93" s="27" t="s">
        <v>166</v>
      </c>
      <c r="ED93" s="28" t="s">
        <v>166</v>
      </c>
      <c r="EE93" s="28" t="s">
        <v>166</v>
      </c>
      <c r="EF93" s="28" t="s">
        <v>166</v>
      </c>
      <c r="EG93" s="28" t="s">
        <v>166</v>
      </c>
      <c r="EH93" s="27" t="s">
        <v>166</v>
      </c>
      <c r="EI93" s="27" t="s">
        <v>166</v>
      </c>
      <c r="EJ93" s="27" t="s">
        <v>166</v>
      </c>
      <c r="EK93" s="27" t="s">
        <v>166</v>
      </c>
      <c r="EL93" s="27" t="s">
        <v>166</v>
      </c>
      <c r="EM93" s="27" t="s">
        <v>166</v>
      </c>
      <c r="EN93" s="27" t="s">
        <v>166</v>
      </c>
      <c r="EO93" s="27" t="s">
        <v>166</v>
      </c>
      <c r="EP93" s="27" t="s">
        <v>166</v>
      </c>
      <c r="EQ93" s="27" t="s">
        <v>166</v>
      </c>
      <c r="ER93" s="27" t="s">
        <v>166</v>
      </c>
      <c r="ES93" s="27" t="s">
        <v>166</v>
      </c>
      <c r="ET93" s="25" t="s">
        <v>166</v>
      </c>
      <c r="EU93" s="27" t="s">
        <v>166</v>
      </c>
      <c r="EV93" s="27" t="s">
        <v>166</v>
      </c>
      <c r="EW93" s="27" t="s">
        <v>166</v>
      </c>
      <c r="EX93" s="25" t="s">
        <v>190</v>
      </c>
      <c r="EY93" s="25" t="s">
        <v>166</v>
      </c>
      <c r="EZ93" s="27" t="s">
        <v>166</v>
      </c>
      <c r="FA93" s="26" t="s">
        <v>166</v>
      </c>
      <c r="FB93" s="26" t="s">
        <v>166</v>
      </c>
      <c r="FC93" s="26" t="s">
        <v>166</v>
      </c>
      <c r="FD93" s="26" t="s">
        <v>166</v>
      </c>
      <c r="FE93" s="26" t="s">
        <v>166</v>
      </c>
      <c r="FF93" s="26" t="s">
        <v>166</v>
      </c>
      <c r="FG93" s="25" t="s">
        <v>166</v>
      </c>
      <c r="FH93" s="4">
        <f>HYPERLINK("https://my.pitchbook.com?c=176609-08T","View Company Online")</f>
      </c>
    </row>
    <row r="94">
      <c r="A94" s="14" t="s">
        <v>1933</v>
      </c>
      <c r="B94" s="14" t="s">
        <v>1934</v>
      </c>
      <c r="C94" s="14" t="s">
        <v>1935</v>
      </c>
      <c r="D94" s="14" t="s">
        <v>166</v>
      </c>
      <c r="E94" s="23" t="s">
        <v>1936</v>
      </c>
      <c r="F94" s="21">
        <v>2</v>
      </c>
      <c r="G94" s="14" t="s">
        <v>1937</v>
      </c>
      <c r="H94" s="14" t="s">
        <v>166</v>
      </c>
      <c r="I94" s="14" t="s">
        <v>1938</v>
      </c>
      <c r="J94" s="14" t="s">
        <v>1939</v>
      </c>
      <c r="K94" s="14" t="s">
        <v>207</v>
      </c>
      <c r="L94" s="14" t="s">
        <v>208</v>
      </c>
      <c r="M94" s="14" t="s">
        <v>1940</v>
      </c>
      <c r="N94" s="14" t="s">
        <v>1941</v>
      </c>
      <c r="O94" s="14" t="s">
        <v>1942</v>
      </c>
      <c r="P94" s="14" t="s">
        <v>1943</v>
      </c>
      <c r="Q94" s="14" t="s">
        <v>166</v>
      </c>
      <c r="R94" s="14" t="s">
        <v>177</v>
      </c>
      <c r="S94" s="14" t="s">
        <v>178</v>
      </c>
      <c r="T94" s="14" t="s">
        <v>179</v>
      </c>
      <c r="U94" s="14" t="s">
        <v>1944</v>
      </c>
      <c r="V94" s="14" t="s">
        <v>1945</v>
      </c>
      <c r="W94" s="21" t="s">
        <v>1946</v>
      </c>
      <c r="X94" s="14" t="s">
        <v>1947</v>
      </c>
      <c r="Y94" s="14" t="s">
        <v>1948</v>
      </c>
      <c r="Z94" s="14" t="s">
        <v>1949</v>
      </c>
      <c r="AA94" s="14" t="s">
        <v>242</v>
      </c>
      <c r="AB94" s="14" t="s">
        <v>243</v>
      </c>
      <c r="AC94" s="14" t="s">
        <v>244</v>
      </c>
      <c r="AD94" s="14" t="s">
        <v>243</v>
      </c>
      <c r="AE94" s="14" t="s">
        <v>243</v>
      </c>
      <c r="AF94" s="14" t="s">
        <v>245</v>
      </c>
      <c r="AG94" s="14" t="s">
        <v>807</v>
      </c>
      <c r="AH94" s="21">
        <v>1</v>
      </c>
      <c r="AI94" s="3">
        <f>HYPERLINK("https://my.pitchbook.com/?d=137149-57T","137149-57T")</f>
      </c>
      <c r="AJ94" s="19">
        <v>43964</v>
      </c>
      <c r="AK94" s="19">
        <v>43977</v>
      </c>
      <c r="AL94" s="18">
        <v>8</v>
      </c>
      <c r="AM94" s="14" t="s">
        <v>185</v>
      </c>
      <c r="AN94" s="18">
        <v>25</v>
      </c>
      <c r="AO94" s="18">
        <v>33</v>
      </c>
      <c r="AP94" s="14" t="s">
        <v>185</v>
      </c>
      <c r="AQ94" s="21" t="s">
        <v>166</v>
      </c>
      <c r="AR94" s="21" t="s">
        <v>166</v>
      </c>
      <c r="AS94" s="17">
        <v>24.24</v>
      </c>
      <c r="AT94" s="18">
        <v>8</v>
      </c>
      <c r="AU94" s="21" t="s">
        <v>186</v>
      </c>
      <c r="AV94" s="21" t="s">
        <v>166</v>
      </c>
      <c r="AW94" s="18">
        <v>0.22</v>
      </c>
      <c r="AX94" s="21" t="s">
        <v>248</v>
      </c>
      <c r="AY94" s="14" t="s">
        <v>187</v>
      </c>
      <c r="AZ94" s="14" t="s">
        <v>248</v>
      </c>
      <c r="BA94" s="14" t="s">
        <v>166</v>
      </c>
      <c r="BB94" s="21" t="s">
        <v>166</v>
      </c>
      <c r="BC94" s="14" t="s">
        <v>179</v>
      </c>
      <c r="BD94" s="14" t="s">
        <v>1950</v>
      </c>
      <c r="BE94" s="14" t="s">
        <v>189</v>
      </c>
      <c r="BF94" s="18">
        <v>8</v>
      </c>
      <c r="BG94" s="14" t="s">
        <v>190</v>
      </c>
      <c r="BH94" s="14" t="s">
        <v>166</v>
      </c>
      <c r="BI94" s="14" t="s">
        <v>166</v>
      </c>
      <c r="BJ94" s="18" t="s">
        <v>166</v>
      </c>
      <c r="BK94" s="18" t="s">
        <v>166</v>
      </c>
      <c r="BL94" s="14" t="s">
        <v>191</v>
      </c>
      <c r="BM94" s="14" t="s">
        <v>178</v>
      </c>
      <c r="BN94" s="14" t="s">
        <v>177</v>
      </c>
      <c r="BO94" s="22" t="s">
        <v>166</v>
      </c>
      <c r="BP94" s="14" t="s">
        <v>1951</v>
      </c>
      <c r="BQ94" s="21">
        <v>2</v>
      </c>
      <c r="BR94" s="14" t="s">
        <v>166</v>
      </c>
      <c r="BS94" s="21" t="s">
        <v>166</v>
      </c>
      <c r="BT94" s="14" t="s">
        <v>166</v>
      </c>
      <c r="BU94" s="14" t="s">
        <v>166</v>
      </c>
      <c r="BV94" s="14" t="s">
        <v>1952</v>
      </c>
      <c r="BW94" s="14" t="s">
        <v>166</v>
      </c>
      <c r="BX94" s="14" t="s">
        <v>166</v>
      </c>
      <c r="BY94" s="14" t="s">
        <v>166</v>
      </c>
      <c r="BZ94" s="14" t="s">
        <v>1953</v>
      </c>
      <c r="CA94" s="14" t="s">
        <v>872</v>
      </c>
      <c r="CB94" s="14" t="s">
        <v>166</v>
      </c>
      <c r="CC94" s="14" t="s">
        <v>1954</v>
      </c>
      <c r="CD94" s="14" t="s">
        <v>166</v>
      </c>
      <c r="CE94" s="18" t="s">
        <v>166</v>
      </c>
      <c r="CF94" s="16" t="s">
        <v>166</v>
      </c>
      <c r="CG94" s="17" t="s">
        <v>166</v>
      </c>
      <c r="CH94" s="16" t="s">
        <v>166</v>
      </c>
      <c r="CI94" s="16" t="s">
        <v>166</v>
      </c>
      <c r="CJ94" s="16" t="s">
        <v>166</v>
      </c>
      <c r="CK94" s="16" t="s">
        <v>166</v>
      </c>
      <c r="CL94" s="16" t="s">
        <v>166</v>
      </c>
      <c r="CM94" s="20" t="s">
        <v>166</v>
      </c>
      <c r="CN94" s="16" t="s">
        <v>166</v>
      </c>
      <c r="CO94" s="16" t="s">
        <v>166</v>
      </c>
      <c r="CP94" s="16" t="s">
        <v>166</v>
      </c>
      <c r="CQ94" s="16" t="s">
        <v>166</v>
      </c>
      <c r="CR94" s="16" t="s">
        <v>166</v>
      </c>
      <c r="CS94" s="16" t="s">
        <v>166</v>
      </c>
      <c r="CT94" s="16" t="s">
        <v>166</v>
      </c>
      <c r="CU94" s="16" t="s">
        <v>166</v>
      </c>
      <c r="CV94" s="16" t="s">
        <v>166</v>
      </c>
      <c r="CW94" s="16" t="s">
        <v>166</v>
      </c>
      <c r="CX94" s="16" t="s">
        <v>166</v>
      </c>
      <c r="CY94" s="16" t="s">
        <v>166</v>
      </c>
      <c r="CZ94" s="16" t="s">
        <v>166</v>
      </c>
      <c r="DA94" s="16" t="s">
        <v>166</v>
      </c>
      <c r="DB94" s="16" t="s">
        <v>166</v>
      </c>
      <c r="DC94" s="16" t="s">
        <v>166</v>
      </c>
      <c r="DD94" s="16" t="s">
        <v>166</v>
      </c>
      <c r="DE94" s="17" t="s">
        <v>166</v>
      </c>
      <c r="DF94" s="22">
        <v>300</v>
      </c>
      <c r="DG94" s="14" t="s">
        <v>1955</v>
      </c>
      <c r="DH94" s="14" t="s">
        <v>193</v>
      </c>
      <c r="DI94" s="14" t="s">
        <v>194</v>
      </c>
      <c r="DJ94" s="14" t="s">
        <v>1956</v>
      </c>
      <c r="DK94" s="14" t="s">
        <v>257</v>
      </c>
      <c r="DL94" s="21" t="s">
        <v>1957</v>
      </c>
      <c r="DM94" s="14" t="s">
        <v>198</v>
      </c>
      <c r="DN94" s="13" t="s">
        <v>1958</v>
      </c>
      <c r="DO94" s="20">
        <v>2017</v>
      </c>
      <c r="DP94" s="14" t="s">
        <v>166</v>
      </c>
      <c r="DQ94" s="14" t="s">
        <v>166</v>
      </c>
      <c r="DR94" s="18" t="s">
        <v>166</v>
      </c>
      <c r="DS94" s="16" t="s">
        <v>166</v>
      </c>
      <c r="DT94" s="19" t="s">
        <v>166</v>
      </c>
      <c r="DU94" s="14" t="s">
        <v>166</v>
      </c>
      <c r="DV94" s="18" t="s">
        <v>166</v>
      </c>
      <c r="DW94" s="18" t="s">
        <v>166</v>
      </c>
      <c r="DX94" s="16" t="s">
        <v>166</v>
      </c>
      <c r="DY94" s="16" t="s">
        <v>166</v>
      </c>
      <c r="DZ94" s="17" t="s">
        <v>166</v>
      </c>
      <c r="EA94" s="16" t="s">
        <v>166</v>
      </c>
      <c r="EB94" s="16" t="s">
        <v>166</v>
      </c>
      <c r="EC94" s="16" t="s">
        <v>166</v>
      </c>
      <c r="ED94" s="17" t="s">
        <v>166</v>
      </c>
      <c r="EE94" s="17" t="s">
        <v>166</v>
      </c>
      <c r="EF94" s="17" t="s">
        <v>166</v>
      </c>
      <c r="EG94" s="17" t="s">
        <v>166</v>
      </c>
      <c r="EH94" s="16" t="s">
        <v>166</v>
      </c>
      <c r="EI94" s="16" t="s">
        <v>166</v>
      </c>
      <c r="EJ94" s="16" t="s">
        <v>166</v>
      </c>
      <c r="EK94" s="16" t="s">
        <v>166</v>
      </c>
      <c r="EL94" s="16" t="s">
        <v>166</v>
      </c>
      <c r="EM94" s="16" t="s">
        <v>166</v>
      </c>
      <c r="EN94" s="16" t="s">
        <v>166</v>
      </c>
      <c r="EO94" s="16" t="s">
        <v>166</v>
      </c>
      <c r="EP94" s="16" t="s">
        <v>166</v>
      </c>
      <c r="EQ94" s="16" t="s">
        <v>166</v>
      </c>
      <c r="ER94" s="16" t="s">
        <v>166</v>
      </c>
      <c r="ES94" s="16" t="s">
        <v>166</v>
      </c>
      <c r="ET94" s="14" t="s">
        <v>166</v>
      </c>
      <c r="EU94" s="16" t="s">
        <v>166</v>
      </c>
      <c r="EV94" s="16" t="s">
        <v>166</v>
      </c>
      <c r="EW94" s="16" t="s">
        <v>166</v>
      </c>
      <c r="EX94" s="14" t="s">
        <v>190</v>
      </c>
      <c r="EY94" s="14" t="s">
        <v>166</v>
      </c>
      <c r="EZ94" s="16" t="s">
        <v>166</v>
      </c>
      <c r="FA94" s="15">
        <v>1</v>
      </c>
      <c r="FB94" s="15">
        <v>1</v>
      </c>
      <c r="FC94" s="15" t="s">
        <v>166</v>
      </c>
      <c r="FD94" s="15">
        <v>1</v>
      </c>
      <c r="FE94" s="15" t="s">
        <v>166</v>
      </c>
      <c r="FF94" s="15" t="s">
        <v>166</v>
      </c>
      <c r="FG94" s="14" t="s">
        <v>457</v>
      </c>
      <c r="FH94" s="3">
        <f>HYPERLINK("https://my.pitchbook.com?c=137149-57T","View Company Online")</f>
      </c>
    </row>
    <row r="95">
      <c r="A95" s="25" t="s">
        <v>1959</v>
      </c>
      <c r="B95" s="25" t="s">
        <v>1960</v>
      </c>
      <c r="C95" s="25" t="s">
        <v>1961</v>
      </c>
      <c r="D95" s="25" t="s">
        <v>166</v>
      </c>
      <c r="E95" s="34" t="s">
        <v>1962</v>
      </c>
      <c r="F95" s="32">
        <v>7</v>
      </c>
      <c r="G95" s="25" t="s">
        <v>1963</v>
      </c>
      <c r="H95" s="25" t="s">
        <v>166</v>
      </c>
      <c r="I95" s="25" t="s">
        <v>1964</v>
      </c>
      <c r="J95" s="25" t="s">
        <v>1965</v>
      </c>
      <c r="K95" s="25" t="s">
        <v>207</v>
      </c>
      <c r="L95" s="25" t="s">
        <v>208</v>
      </c>
      <c r="M95" s="25" t="s">
        <v>209</v>
      </c>
      <c r="N95" s="25" t="s">
        <v>1966</v>
      </c>
      <c r="O95" s="25" t="s">
        <v>1842</v>
      </c>
      <c r="P95" s="25" t="s">
        <v>1967</v>
      </c>
      <c r="Q95" s="25" t="s">
        <v>166</v>
      </c>
      <c r="R95" s="25" t="s">
        <v>177</v>
      </c>
      <c r="S95" s="25" t="s">
        <v>178</v>
      </c>
      <c r="T95" s="25" t="s">
        <v>179</v>
      </c>
      <c r="U95" s="25" t="s">
        <v>1968</v>
      </c>
      <c r="V95" s="25" t="s">
        <v>1969</v>
      </c>
      <c r="W95" s="32" t="s">
        <v>166</v>
      </c>
      <c r="X95" s="25" t="s">
        <v>1970</v>
      </c>
      <c r="Y95" s="25" t="s">
        <v>1971</v>
      </c>
      <c r="Z95" s="25" t="s">
        <v>166</v>
      </c>
      <c r="AA95" s="25" t="s">
        <v>166</v>
      </c>
      <c r="AB95" s="25" t="s">
        <v>166</v>
      </c>
      <c r="AC95" s="25" t="s">
        <v>166</v>
      </c>
      <c r="AD95" s="25" t="s">
        <v>166</v>
      </c>
      <c r="AE95" s="25" t="s">
        <v>166</v>
      </c>
      <c r="AF95" s="25" t="s">
        <v>166</v>
      </c>
      <c r="AG95" s="25" t="s">
        <v>166</v>
      </c>
      <c r="AH95" s="32">
        <v>1</v>
      </c>
      <c r="AI95" s="4">
        <f>HYPERLINK("https://my.pitchbook.com/?d=190941-76T","190941-76T")</f>
      </c>
      <c r="AJ95" s="30" t="s">
        <v>166</v>
      </c>
      <c r="AK95" s="30">
        <v>44609</v>
      </c>
      <c r="AL95" s="29">
        <v>2</v>
      </c>
      <c r="AM95" s="25" t="s">
        <v>185</v>
      </c>
      <c r="AN95" s="29" t="s">
        <v>166</v>
      </c>
      <c r="AO95" s="29" t="s">
        <v>166</v>
      </c>
      <c r="AP95" s="25" t="s">
        <v>166</v>
      </c>
      <c r="AQ95" s="32" t="s">
        <v>166</v>
      </c>
      <c r="AR95" s="32" t="s">
        <v>166</v>
      </c>
      <c r="AS95" s="28" t="s">
        <v>166</v>
      </c>
      <c r="AT95" s="29">
        <v>2</v>
      </c>
      <c r="AU95" s="32" t="s">
        <v>186</v>
      </c>
      <c r="AV95" s="32" t="s">
        <v>166</v>
      </c>
      <c r="AW95" s="29" t="s">
        <v>166</v>
      </c>
      <c r="AX95" s="32" t="s">
        <v>166</v>
      </c>
      <c r="AY95" s="25" t="s">
        <v>217</v>
      </c>
      <c r="AZ95" s="25" t="s">
        <v>217</v>
      </c>
      <c r="BA95" s="25" t="s">
        <v>166</v>
      </c>
      <c r="BB95" s="32" t="s">
        <v>166</v>
      </c>
      <c r="BC95" s="25" t="s">
        <v>179</v>
      </c>
      <c r="BD95" s="25" t="s">
        <v>1965</v>
      </c>
      <c r="BE95" s="25" t="s">
        <v>189</v>
      </c>
      <c r="BF95" s="29">
        <v>2</v>
      </c>
      <c r="BG95" s="25" t="s">
        <v>190</v>
      </c>
      <c r="BH95" s="25" t="s">
        <v>166</v>
      </c>
      <c r="BI95" s="25" t="s">
        <v>166</v>
      </c>
      <c r="BJ95" s="29" t="s">
        <v>166</v>
      </c>
      <c r="BK95" s="29" t="s">
        <v>166</v>
      </c>
      <c r="BL95" s="25" t="s">
        <v>191</v>
      </c>
      <c r="BM95" s="25" t="s">
        <v>178</v>
      </c>
      <c r="BN95" s="25" t="s">
        <v>177</v>
      </c>
      <c r="BO95" s="33" t="s">
        <v>166</v>
      </c>
      <c r="BP95" s="25" t="s">
        <v>1972</v>
      </c>
      <c r="BQ95" s="32">
        <v>7</v>
      </c>
      <c r="BR95" s="25" t="s">
        <v>166</v>
      </c>
      <c r="BS95" s="32" t="s">
        <v>166</v>
      </c>
      <c r="BT95" s="25" t="s">
        <v>166</v>
      </c>
      <c r="BU95" s="25" t="s">
        <v>166</v>
      </c>
      <c r="BV95" s="25" t="s">
        <v>1973</v>
      </c>
      <c r="BW95" s="25" t="s">
        <v>166</v>
      </c>
      <c r="BX95" s="25" t="s">
        <v>166</v>
      </c>
      <c r="BY95" s="25" t="s">
        <v>166</v>
      </c>
      <c r="BZ95" s="25" t="s">
        <v>770</v>
      </c>
      <c r="CA95" s="25" t="s">
        <v>770</v>
      </c>
      <c r="CB95" s="25" t="s">
        <v>166</v>
      </c>
      <c r="CC95" s="25" t="s">
        <v>166</v>
      </c>
      <c r="CD95" s="25" t="s">
        <v>166</v>
      </c>
      <c r="CE95" s="29" t="s">
        <v>166</v>
      </c>
      <c r="CF95" s="27" t="s">
        <v>166</v>
      </c>
      <c r="CG95" s="28" t="s">
        <v>166</v>
      </c>
      <c r="CH95" s="27" t="s">
        <v>166</v>
      </c>
      <c r="CI95" s="27" t="s">
        <v>166</v>
      </c>
      <c r="CJ95" s="27" t="s">
        <v>166</v>
      </c>
      <c r="CK95" s="27" t="s">
        <v>166</v>
      </c>
      <c r="CL95" s="27" t="s">
        <v>166</v>
      </c>
      <c r="CM95" s="31" t="s">
        <v>166</v>
      </c>
      <c r="CN95" s="27" t="s">
        <v>166</v>
      </c>
      <c r="CO95" s="27" t="s">
        <v>166</v>
      </c>
      <c r="CP95" s="27" t="s">
        <v>166</v>
      </c>
      <c r="CQ95" s="27" t="s">
        <v>166</v>
      </c>
      <c r="CR95" s="27" t="s">
        <v>166</v>
      </c>
      <c r="CS95" s="27" t="s">
        <v>166</v>
      </c>
      <c r="CT95" s="27" t="s">
        <v>166</v>
      </c>
      <c r="CU95" s="27" t="s">
        <v>166</v>
      </c>
      <c r="CV95" s="27" t="s">
        <v>166</v>
      </c>
      <c r="CW95" s="27" t="s">
        <v>166</v>
      </c>
      <c r="CX95" s="27" t="s">
        <v>166</v>
      </c>
      <c r="CY95" s="27" t="s">
        <v>166</v>
      </c>
      <c r="CZ95" s="27" t="s">
        <v>166</v>
      </c>
      <c r="DA95" s="27" t="s">
        <v>166</v>
      </c>
      <c r="DB95" s="27" t="s">
        <v>166</v>
      </c>
      <c r="DC95" s="27" t="s">
        <v>166</v>
      </c>
      <c r="DD95" s="27" t="s">
        <v>166</v>
      </c>
      <c r="DE95" s="28" t="s">
        <v>166</v>
      </c>
      <c r="DF95" s="33">
        <v>23</v>
      </c>
      <c r="DG95" s="25" t="s">
        <v>1974</v>
      </c>
      <c r="DH95" s="25" t="s">
        <v>193</v>
      </c>
      <c r="DI95" s="25" t="s">
        <v>194</v>
      </c>
      <c r="DJ95" s="25" t="s">
        <v>408</v>
      </c>
      <c r="DK95" s="25" t="s">
        <v>1975</v>
      </c>
      <c r="DL95" s="32" t="s">
        <v>166</v>
      </c>
      <c r="DM95" s="25" t="s">
        <v>198</v>
      </c>
      <c r="DN95" s="24" t="s">
        <v>1976</v>
      </c>
      <c r="DO95" s="31">
        <v>2021</v>
      </c>
      <c r="DP95" s="25" t="s">
        <v>166</v>
      </c>
      <c r="DQ95" s="25" t="s">
        <v>166</v>
      </c>
      <c r="DR95" s="29" t="s">
        <v>166</v>
      </c>
      <c r="DS95" s="27" t="s">
        <v>166</v>
      </c>
      <c r="DT95" s="30" t="s">
        <v>166</v>
      </c>
      <c r="DU95" s="25" t="s">
        <v>166</v>
      </c>
      <c r="DV95" s="29" t="s">
        <v>166</v>
      </c>
      <c r="DW95" s="29" t="s">
        <v>166</v>
      </c>
      <c r="DX95" s="27" t="s">
        <v>166</v>
      </c>
      <c r="DY95" s="27" t="s">
        <v>166</v>
      </c>
      <c r="DZ95" s="28" t="s">
        <v>166</v>
      </c>
      <c r="EA95" s="27" t="s">
        <v>166</v>
      </c>
      <c r="EB95" s="27" t="s">
        <v>166</v>
      </c>
      <c r="EC95" s="27" t="s">
        <v>166</v>
      </c>
      <c r="ED95" s="28" t="s">
        <v>166</v>
      </c>
      <c r="EE95" s="28" t="s">
        <v>166</v>
      </c>
      <c r="EF95" s="28" t="s">
        <v>166</v>
      </c>
      <c r="EG95" s="28" t="s">
        <v>166</v>
      </c>
      <c r="EH95" s="27" t="s">
        <v>166</v>
      </c>
      <c r="EI95" s="27" t="s">
        <v>166</v>
      </c>
      <c r="EJ95" s="27" t="s">
        <v>166</v>
      </c>
      <c r="EK95" s="27" t="s">
        <v>166</v>
      </c>
      <c r="EL95" s="27" t="s">
        <v>166</v>
      </c>
      <c r="EM95" s="27" t="s">
        <v>166</v>
      </c>
      <c r="EN95" s="27" t="s">
        <v>166</v>
      </c>
      <c r="EO95" s="27" t="s">
        <v>166</v>
      </c>
      <c r="EP95" s="27" t="s">
        <v>166</v>
      </c>
      <c r="EQ95" s="27" t="s">
        <v>166</v>
      </c>
      <c r="ER95" s="27" t="s">
        <v>166</v>
      </c>
      <c r="ES95" s="27" t="s">
        <v>166</v>
      </c>
      <c r="ET95" s="25" t="s">
        <v>166</v>
      </c>
      <c r="EU95" s="27" t="s">
        <v>166</v>
      </c>
      <c r="EV95" s="27" t="s">
        <v>166</v>
      </c>
      <c r="EW95" s="27" t="s">
        <v>166</v>
      </c>
      <c r="EX95" s="25" t="s">
        <v>190</v>
      </c>
      <c r="EY95" s="25" t="s">
        <v>166</v>
      </c>
      <c r="EZ95" s="27" t="s">
        <v>166</v>
      </c>
      <c r="FA95" s="26" t="s">
        <v>166</v>
      </c>
      <c r="FB95" s="26" t="s">
        <v>166</v>
      </c>
      <c r="FC95" s="26" t="s">
        <v>166</v>
      </c>
      <c r="FD95" s="26" t="s">
        <v>166</v>
      </c>
      <c r="FE95" s="26" t="s">
        <v>166</v>
      </c>
      <c r="FF95" s="26" t="s">
        <v>166</v>
      </c>
      <c r="FG95" s="25" t="s">
        <v>166</v>
      </c>
      <c r="FH95" s="4">
        <f>HYPERLINK("https://my.pitchbook.com?c=190941-76T","View Company Online")</f>
      </c>
    </row>
    <row r="96">
      <c r="A96" s="14" t="s">
        <v>1977</v>
      </c>
      <c r="B96" s="14" t="s">
        <v>1978</v>
      </c>
      <c r="C96" s="14" t="s">
        <v>1979</v>
      </c>
      <c r="D96" s="14" t="s">
        <v>166</v>
      </c>
      <c r="E96" s="23" t="s">
        <v>1980</v>
      </c>
      <c r="F96" s="21">
        <v>3</v>
      </c>
      <c r="G96" s="14" t="s">
        <v>1981</v>
      </c>
      <c r="H96" s="14" t="s">
        <v>166</v>
      </c>
      <c r="I96" s="14" t="s">
        <v>1982</v>
      </c>
      <c r="J96" s="14" t="s">
        <v>1983</v>
      </c>
      <c r="K96" s="14" t="s">
        <v>1455</v>
      </c>
      <c r="L96" s="14" t="s">
        <v>1984</v>
      </c>
      <c r="M96" s="14" t="s">
        <v>1985</v>
      </c>
      <c r="N96" s="14" t="s">
        <v>1986</v>
      </c>
      <c r="O96" s="14" t="s">
        <v>1987</v>
      </c>
      <c r="P96" s="14" t="s">
        <v>1988</v>
      </c>
      <c r="Q96" s="14" t="s">
        <v>166</v>
      </c>
      <c r="R96" s="14" t="s">
        <v>177</v>
      </c>
      <c r="S96" s="14" t="s">
        <v>178</v>
      </c>
      <c r="T96" s="14" t="s">
        <v>179</v>
      </c>
      <c r="U96" s="14" t="s">
        <v>1989</v>
      </c>
      <c r="V96" s="14" t="s">
        <v>1990</v>
      </c>
      <c r="W96" s="21" t="s">
        <v>166</v>
      </c>
      <c r="X96" s="14" t="s">
        <v>166</v>
      </c>
      <c r="Y96" s="14" t="s">
        <v>1991</v>
      </c>
      <c r="Z96" s="14" t="s">
        <v>1992</v>
      </c>
      <c r="AA96" s="14" t="s">
        <v>166</v>
      </c>
      <c r="AB96" s="14" t="s">
        <v>166</v>
      </c>
      <c r="AC96" s="14" t="s">
        <v>166</v>
      </c>
      <c r="AD96" s="14" t="s">
        <v>166</v>
      </c>
      <c r="AE96" s="14" t="s">
        <v>166</v>
      </c>
      <c r="AF96" s="14" t="s">
        <v>166</v>
      </c>
      <c r="AG96" s="14" t="s">
        <v>166</v>
      </c>
      <c r="AH96" s="21">
        <v>2</v>
      </c>
      <c r="AI96" s="3">
        <f>HYPERLINK("https://my.pitchbook.com/?d=171770-05T","171770-05T")</f>
      </c>
      <c r="AJ96" s="19">
        <v>43831</v>
      </c>
      <c r="AK96" s="19">
        <v>44291</v>
      </c>
      <c r="AL96" s="18">
        <v>1.6</v>
      </c>
      <c r="AM96" s="14" t="s">
        <v>185</v>
      </c>
      <c r="AN96" s="18" t="s">
        <v>166</v>
      </c>
      <c r="AO96" s="18" t="s">
        <v>166</v>
      </c>
      <c r="AP96" s="14" t="s">
        <v>166</v>
      </c>
      <c r="AQ96" s="21" t="s">
        <v>166</v>
      </c>
      <c r="AR96" s="21" t="s">
        <v>166</v>
      </c>
      <c r="AS96" s="17" t="s">
        <v>166</v>
      </c>
      <c r="AT96" s="18">
        <v>1.72</v>
      </c>
      <c r="AU96" s="21" t="s">
        <v>186</v>
      </c>
      <c r="AV96" s="21" t="s">
        <v>166</v>
      </c>
      <c r="AW96" s="18" t="s">
        <v>166</v>
      </c>
      <c r="AX96" s="21" t="s">
        <v>248</v>
      </c>
      <c r="AY96" s="14" t="s">
        <v>187</v>
      </c>
      <c r="AZ96" s="14" t="s">
        <v>248</v>
      </c>
      <c r="BA96" s="14" t="s">
        <v>166</v>
      </c>
      <c r="BB96" s="21" t="s">
        <v>166</v>
      </c>
      <c r="BC96" s="14" t="s">
        <v>179</v>
      </c>
      <c r="BD96" s="14" t="s">
        <v>1983</v>
      </c>
      <c r="BE96" s="14" t="s">
        <v>189</v>
      </c>
      <c r="BF96" s="18">
        <v>1.6</v>
      </c>
      <c r="BG96" s="14" t="s">
        <v>190</v>
      </c>
      <c r="BH96" s="14" t="s">
        <v>166</v>
      </c>
      <c r="BI96" s="14" t="s">
        <v>166</v>
      </c>
      <c r="BJ96" s="18" t="s">
        <v>166</v>
      </c>
      <c r="BK96" s="18" t="s">
        <v>166</v>
      </c>
      <c r="BL96" s="14" t="s">
        <v>191</v>
      </c>
      <c r="BM96" s="14" t="s">
        <v>178</v>
      </c>
      <c r="BN96" s="14" t="s">
        <v>177</v>
      </c>
      <c r="BO96" s="22" t="s">
        <v>166</v>
      </c>
      <c r="BP96" s="14" t="s">
        <v>1993</v>
      </c>
      <c r="BQ96" s="21">
        <v>3</v>
      </c>
      <c r="BR96" s="14" t="s">
        <v>166</v>
      </c>
      <c r="BS96" s="21" t="s">
        <v>166</v>
      </c>
      <c r="BT96" s="14" t="s">
        <v>166</v>
      </c>
      <c r="BU96" s="14" t="s">
        <v>166</v>
      </c>
      <c r="BV96" s="14" t="s">
        <v>1994</v>
      </c>
      <c r="BW96" s="14" t="s">
        <v>166</v>
      </c>
      <c r="BX96" s="14" t="s">
        <v>166</v>
      </c>
      <c r="BY96" s="14" t="s">
        <v>166</v>
      </c>
      <c r="BZ96" s="14" t="s">
        <v>166</v>
      </c>
      <c r="CA96" s="14" t="s">
        <v>166</v>
      </c>
      <c r="CB96" s="14" t="s">
        <v>166</v>
      </c>
      <c r="CC96" s="14" t="s">
        <v>166</v>
      </c>
      <c r="CD96" s="14" t="s">
        <v>166</v>
      </c>
      <c r="CE96" s="18" t="s">
        <v>166</v>
      </c>
      <c r="CF96" s="16" t="s">
        <v>166</v>
      </c>
      <c r="CG96" s="17" t="s">
        <v>166</v>
      </c>
      <c r="CH96" s="16" t="s">
        <v>166</v>
      </c>
      <c r="CI96" s="16" t="s">
        <v>166</v>
      </c>
      <c r="CJ96" s="16" t="s">
        <v>166</v>
      </c>
      <c r="CK96" s="16" t="s">
        <v>166</v>
      </c>
      <c r="CL96" s="16" t="s">
        <v>166</v>
      </c>
      <c r="CM96" s="20" t="s">
        <v>166</v>
      </c>
      <c r="CN96" s="16" t="s">
        <v>166</v>
      </c>
      <c r="CO96" s="16" t="s">
        <v>166</v>
      </c>
      <c r="CP96" s="16" t="s">
        <v>166</v>
      </c>
      <c r="CQ96" s="16" t="s">
        <v>166</v>
      </c>
      <c r="CR96" s="16" t="s">
        <v>166</v>
      </c>
      <c r="CS96" s="16" t="s">
        <v>166</v>
      </c>
      <c r="CT96" s="16" t="s">
        <v>166</v>
      </c>
      <c r="CU96" s="16" t="s">
        <v>166</v>
      </c>
      <c r="CV96" s="16" t="s">
        <v>166</v>
      </c>
      <c r="CW96" s="16" t="s">
        <v>166</v>
      </c>
      <c r="CX96" s="16" t="s">
        <v>166</v>
      </c>
      <c r="CY96" s="16" t="s">
        <v>166</v>
      </c>
      <c r="CZ96" s="16" t="s">
        <v>166</v>
      </c>
      <c r="DA96" s="16" t="s">
        <v>166</v>
      </c>
      <c r="DB96" s="16" t="s">
        <v>166</v>
      </c>
      <c r="DC96" s="16" t="s">
        <v>166</v>
      </c>
      <c r="DD96" s="16" t="s">
        <v>166</v>
      </c>
      <c r="DE96" s="17" t="s">
        <v>166</v>
      </c>
      <c r="DF96" s="22">
        <v>11</v>
      </c>
      <c r="DG96" s="14" t="s">
        <v>1995</v>
      </c>
      <c r="DH96" s="14" t="s">
        <v>193</v>
      </c>
      <c r="DI96" s="14" t="s">
        <v>194</v>
      </c>
      <c r="DJ96" s="14" t="s">
        <v>1996</v>
      </c>
      <c r="DK96" s="14" t="s">
        <v>386</v>
      </c>
      <c r="DL96" s="21" t="s">
        <v>1997</v>
      </c>
      <c r="DM96" s="14" t="s">
        <v>198</v>
      </c>
      <c r="DN96" s="13" t="s">
        <v>1998</v>
      </c>
      <c r="DO96" s="20">
        <v>2017</v>
      </c>
      <c r="DP96" s="14" t="s">
        <v>166</v>
      </c>
      <c r="DQ96" s="14" t="s">
        <v>166</v>
      </c>
      <c r="DR96" s="18" t="s">
        <v>166</v>
      </c>
      <c r="DS96" s="16" t="s">
        <v>166</v>
      </c>
      <c r="DT96" s="19" t="s">
        <v>166</v>
      </c>
      <c r="DU96" s="14" t="s">
        <v>166</v>
      </c>
      <c r="DV96" s="18" t="s">
        <v>166</v>
      </c>
      <c r="DW96" s="18" t="s">
        <v>166</v>
      </c>
      <c r="DX96" s="16" t="s">
        <v>166</v>
      </c>
      <c r="DY96" s="16" t="s">
        <v>166</v>
      </c>
      <c r="DZ96" s="17" t="s">
        <v>166</v>
      </c>
      <c r="EA96" s="16" t="s">
        <v>166</v>
      </c>
      <c r="EB96" s="16" t="s">
        <v>166</v>
      </c>
      <c r="EC96" s="16" t="s">
        <v>166</v>
      </c>
      <c r="ED96" s="17" t="s">
        <v>166</v>
      </c>
      <c r="EE96" s="17" t="s">
        <v>166</v>
      </c>
      <c r="EF96" s="17" t="s">
        <v>166</v>
      </c>
      <c r="EG96" s="17" t="s">
        <v>166</v>
      </c>
      <c r="EH96" s="16" t="s">
        <v>166</v>
      </c>
      <c r="EI96" s="16" t="s">
        <v>166</v>
      </c>
      <c r="EJ96" s="16" t="s">
        <v>166</v>
      </c>
      <c r="EK96" s="16" t="s">
        <v>166</v>
      </c>
      <c r="EL96" s="16" t="s">
        <v>166</v>
      </c>
      <c r="EM96" s="16" t="s">
        <v>166</v>
      </c>
      <c r="EN96" s="16" t="s">
        <v>166</v>
      </c>
      <c r="EO96" s="16" t="s">
        <v>166</v>
      </c>
      <c r="EP96" s="16" t="s">
        <v>166</v>
      </c>
      <c r="EQ96" s="16" t="s">
        <v>166</v>
      </c>
      <c r="ER96" s="16" t="s">
        <v>166</v>
      </c>
      <c r="ES96" s="16" t="s">
        <v>166</v>
      </c>
      <c r="ET96" s="14" t="s">
        <v>166</v>
      </c>
      <c r="EU96" s="16" t="s">
        <v>166</v>
      </c>
      <c r="EV96" s="16" t="s">
        <v>166</v>
      </c>
      <c r="EW96" s="16" t="s">
        <v>166</v>
      </c>
      <c r="EX96" s="14" t="s">
        <v>190</v>
      </c>
      <c r="EY96" s="14" t="s">
        <v>166</v>
      </c>
      <c r="EZ96" s="16" t="s">
        <v>166</v>
      </c>
      <c r="FA96" s="15" t="s">
        <v>166</v>
      </c>
      <c r="FB96" s="15" t="s">
        <v>166</v>
      </c>
      <c r="FC96" s="15" t="s">
        <v>166</v>
      </c>
      <c r="FD96" s="15" t="s">
        <v>166</v>
      </c>
      <c r="FE96" s="15" t="s">
        <v>166</v>
      </c>
      <c r="FF96" s="15" t="s">
        <v>166</v>
      </c>
      <c r="FG96" s="14" t="s">
        <v>166</v>
      </c>
      <c r="FH96" s="3">
        <f>HYPERLINK("https://my.pitchbook.com?c=171770-05T","View Company Online")</f>
      </c>
    </row>
    <row r="97">
      <c r="A97" s="25" t="s">
        <v>1999</v>
      </c>
      <c r="B97" s="25" t="s">
        <v>2000</v>
      </c>
      <c r="C97" s="25" t="s">
        <v>2001</v>
      </c>
      <c r="D97" s="25" t="s">
        <v>166</v>
      </c>
      <c r="E97" s="34" t="s">
        <v>2002</v>
      </c>
      <c r="F97" s="32">
        <v>1</v>
      </c>
      <c r="G97" s="25" t="s">
        <v>2003</v>
      </c>
      <c r="H97" s="25" t="s">
        <v>166</v>
      </c>
      <c r="I97" s="25" t="s">
        <v>2004</v>
      </c>
      <c r="J97" s="25" t="s">
        <v>2005</v>
      </c>
      <c r="K97" s="25" t="s">
        <v>1455</v>
      </c>
      <c r="L97" s="25" t="s">
        <v>1984</v>
      </c>
      <c r="M97" s="25" t="s">
        <v>1985</v>
      </c>
      <c r="N97" s="25" t="s">
        <v>2006</v>
      </c>
      <c r="O97" s="25" t="s">
        <v>2007</v>
      </c>
      <c r="P97" s="25" t="s">
        <v>2008</v>
      </c>
      <c r="Q97" s="25" t="s">
        <v>166</v>
      </c>
      <c r="R97" s="25" t="s">
        <v>177</v>
      </c>
      <c r="S97" s="25" t="s">
        <v>178</v>
      </c>
      <c r="T97" s="25" t="s">
        <v>179</v>
      </c>
      <c r="U97" s="25" t="s">
        <v>2009</v>
      </c>
      <c r="V97" s="25" t="s">
        <v>2010</v>
      </c>
      <c r="W97" s="32" t="s">
        <v>166</v>
      </c>
      <c r="X97" s="25" t="s">
        <v>166</v>
      </c>
      <c r="Y97" s="25" t="s">
        <v>2011</v>
      </c>
      <c r="Z97" s="25" t="s">
        <v>2012</v>
      </c>
      <c r="AA97" s="25" t="s">
        <v>242</v>
      </c>
      <c r="AB97" s="25" t="s">
        <v>243</v>
      </c>
      <c r="AC97" s="25" t="s">
        <v>244</v>
      </c>
      <c r="AD97" s="25" t="s">
        <v>243</v>
      </c>
      <c r="AE97" s="25" t="s">
        <v>243</v>
      </c>
      <c r="AF97" s="25" t="s">
        <v>166</v>
      </c>
      <c r="AG97" s="25" t="s">
        <v>807</v>
      </c>
      <c r="AH97" s="32">
        <v>1</v>
      </c>
      <c r="AI97" s="4">
        <f>HYPERLINK("https://my.pitchbook.com/?d=169896-43T","169896-43T")</f>
      </c>
      <c r="AJ97" s="30">
        <v>44274</v>
      </c>
      <c r="AK97" s="30">
        <v>44288</v>
      </c>
      <c r="AL97" s="29">
        <v>1.31</v>
      </c>
      <c r="AM97" s="25" t="s">
        <v>185</v>
      </c>
      <c r="AN97" s="29">
        <v>5</v>
      </c>
      <c r="AO97" s="29">
        <v>6.31</v>
      </c>
      <c r="AP97" s="25" t="s">
        <v>185</v>
      </c>
      <c r="AQ97" s="32" t="s">
        <v>166</v>
      </c>
      <c r="AR97" s="32" t="s">
        <v>166</v>
      </c>
      <c r="AS97" s="28">
        <v>20.82</v>
      </c>
      <c r="AT97" s="29">
        <v>1.31</v>
      </c>
      <c r="AU97" s="32" t="s">
        <v>186</v>
      </c>
      <c r="AV97" s="32" t="s">
        <v>166</v>
      </c>
      <c r="AW97" s="29">
        <v>0.7</v>
      </c>
      <c r="AX97" s="32" t="s">
        <v>166</v>
      </c>
      <c r="AY97" s="25" t="s">
        <v>217</v>
      </c>
      <c r="AZ97" s="25" t="s">
        <v>217</v>
      </c>
      <c r="BA97" s="25" t="s">
        <v>166</v>
      </c>
      <c r="BB97" s="32" t="s">
        <v>166</v>
      </c>
      <c r="BC97" s="25" t="s">
        <v>179</v>
      </c>
      <c r="BD97" s="25" t="s">
        <v>2013</v>
      </c>
      <c r="BE97" s="25" t="s">
        <v>189</v>
      </c>
      <c r="BF97" s="29">
        <v>1.31</v>
      </c>
      <c r="BG97" s="25" t="s">
        <v>190</v>
      </c>
      <c r="BH97" s="25" t="s">
        <v>166</v>
      </c>
      <c r="BI97" s="25" t="s">
        <v>166</v>
      </c>
      <c r="BJ97" s="29" t="s">
        <v>166</v>
      </c>
      <c r="BK97" s="29" t="s">
        <v>166</v>
      </c>
      <c r="BL97" s="25" t="s">
        <v>191</v>
      </c>
      <c r="BM97" s="25" t="s">
        <v>178</v>
      </c>
      <c r="BN97" s="25" t="s">
        <v>177</v>
      </c>
      <c r="BO97" s="33" t="s">
        <v>166</v>
      </c>
      <c r="BP97" s="25" t="s">
        <v>2002</v>
      </c>
      <c r="BQ97" s="32">
        <v>1</v>
      </c>
      <c r="BR97" s="25" t="s">
        <v>166</v>
      </c>
      <c r="BS97" s="32" t="s">
        <v>166</v>
      </c>
      <c r="BT97" s="25" t="s">
        <v>166</v>
      </c>
      <c r="BU97" s="25" t="s">
        <v>166</v>
      </c>
      <c r="BV97" s="25" t="s">
        <v>2014</v>
      </c>
      <c r="BW97" s="25" t="s">
        <v>166</v>
      </c>
      <c r="BX97" s="25" t="s">
        <v>166</v>
      </c>
      <c r="BY97" s="25" t="s">
        <v>166</v>
      </c>
      <c r="BZ97" s="25" t="s">
        <v>166</v>
      </c>
      <c r="CA97" s="25" t="s">
        <v>166</v>
      </c>
      <c r="CB97" s="25" t="s">
        <v>166</v>
      </c>
      <c r="CC97" s="25" t="s">
        <v>166</v>
      </c>
      <c r="CD97" s="25" t="s">
        <v>166</v>
      </c>
      <c r="CE97" s="29" t="s">
        <v>166</v>
      </c>
      <c r="CF97" s="27" t="s">
        <v>166</v>
      </c>
      <c r="CG97" s="28" t="s">
        <v>166</v>
      </c>
      <c r="CH97" s="27" t="s">
        <v>166</v>
      </c>
      <c r="CI97" s="27" t="s">
        <v>166</v>
      </c>
      <c r="CJ97" s="27" t="s">
        <v>166</v>
      </c>
      <c r="CK97" s="27" t="s">
        <v>166</v>
      </c>
      <c r="CL97" s="27" t="s">
        <v>166</v>
      </c>
      <c r="CM97" s="31" t="s">
        <v>166</v>
      </c>
      <c r="CN97" s="27" t="s">
        <v>166</v>
      </c>
      <c r="CO97" s="27" t="s">
        <v>166</v>
      </c>
      <c r="CP97" s="27" t="s">
        <v>166</v>
      </c>
      <c r="CQ97" s="27" t="s">
        <v>166</v>
      </c>
      <c r="CR97" s="27" t="s">
        <v>166</v>
      </c>
      <c r="CS97" s="27" t="s">
        <v>166</v>
      </c>
      <c r="CT97" s="27" t="s">
        <v>166</v>
      </c>
      <c r="CU97" s="27" t="s">
        <v>166</v>
      </c>
      <c r="CV97" s="27" t="s">
        <v>166</v>
      </c>
      <c r="CW97" s="27" t="s">
        <v>166</v>
      </c>
      <c r="CX97" s="27" t="s">
        <v>166</v>
      </c>
      <c r="CY97" s="27" t="s">
        <v>166</v>
      </c>
      <c r="CZ97" s="27" t="s">
        <v>166</v>
      </c>
      <c r="DA97" s="27" t="s">
        <v>166</v>
      </c>
      <c r="DB97" s="27" t="s">
        <v>166</v>
      </c>
      <c r="DC97" s="27" t="s">
        <v>166</v>
      </c>
      <c r="DD97" s="27" t="s">
        <v>166</v>
      </c>
      <c r="DE97" s="28" t="s">
        <v>166</v>
      </c>
      <c r="DF97" s="33">
        <v>11</v>
      </c>
      <c r="DG97" s="25" t="s">
        <v>2015</v>
      </c>
      <c r="DH97" s="25" t="s">
        <v>193</v>
      </c>
      <c r="DI97" s="25" t="s">
        <v>194</v>
      </c>
      <c r="DJ97" s="25" t="s">
        <v>2016</v>
      </c>
      <c r="DK97" s="25" t="s">
        <v>310</v>
      </c>
      <c r="DL97" s="32" t="s">
        <v>2017</v>
      </c>
      <c r="DM97" s="25" t="s">
        <v>198</v>
      </c>
      <c r="DN97" s="24" t="s">
        <v>2018</v>
      </c>
      <c r="DO97" s="31">
        <v>2020</v>
      </c>
      <c r="DP97" s="25" t="s">
        <v>166</v>
      </c>
      <c r="DQ97" s="25" t="s">
        <v>166</v>
      </c>
      <c r="DR97" s="29" t="s">
        <v>166</v>
      </c>
      <c r="DS97" s="27" t="s">
        <v>166</v>
      </c>
      <c r="DT97" s="30" t="s">
        <v>166</v>
      </c>
      <c r="DU97" s="25" t="s">
        <v>166</v>
      </c>
      <c r="DV97" s="29" t="s">
        <v>166</v>
      </c>
      <c r="DW97" s="29" t="s">
        <v>166</v>
      </c>
      <c r="DX97" s="27" t="s">
        <v>166</v>
      </c>
      <c r="DY97" s="27" t="s">
        <v>166</v>
      </c>
      <c r="DZ97" s="28" t="s">
        <v>166</v>
      </c>
      <c r="EA97" s="27" t="s">
        <v>166</v>
      </c>
      <c r="EB97" s="27" t="s">
        <v>166</v>
      </c>
      <c r="EC97" s="27" t="s">
        <v>166</v>
      </c>
      <c r="ED97" s="28" t="s">
        <v>166</v>
      </c>
      <c r="EE97" s="28" t="s">
        <v>166</v>
      </c>
      <c r="EF97" s="28" t="s">
        <v>166</v>
      </c>
      <c r="EG97" s="28" t="s">
        <v>166</v>
      </c>
      <c r="EH97" s="27" t="s">
        <v>166</v>
      </c>
      <c r="EI97" s="27" t="s">
        <v>166</v>
      </c>
      <c r="EJ97" s="27" t="s">
        <v>166</v>
      </c>
      <c r="EK97" s="27" t="s">
        <v>166</v>
      </c>
      <c r="EL97" s="27" t="s">
        <v>166</v>
      </c>
      <c r="EM97" s="27" t="s">
        <v>166</v>
      </c>
      <c r="EN97" s="27" t="s">
        <v>166</v>
      </c>
      <c r="EO97" s="27" t="s">
        <v>166</v>
      </c>
      <c r="EP97" s="27" t="s">
        <v>166</v>
      </c>
      <c r="EQ97" s="27" t="s">
        <v>166</v>
      </c>
      <c r="ER97" s="27" t="s">
        <v>166</v>
      </c>
      <c r="ES97" s="27" t="s">
        <v>166</v>
      </c>
      <c r="ET97" s="25" t="s">
        <v>166</v>
      </c>
      <c r="EU97" s="27" t="s">
        <v>166</v>
      </c>
      <c r="EV97" s="27" t="s">
        <v>166</v>
      </c>
      <c r="EW97" s="27" t="s">
        <v>166</v>
      </c>
      <c r="EX97" s="25" t="s">
        <v>190</v>
      </c>
      <c r="EY97" s="25" t="s">
        <v>166</v>
      </c>
      <c r="EZ97" s="27" t="s">
        <v>166</v>
      </c>
      <c r="FA97" s="26" t="s">
        <v>166</v>
      </c>
      <c r="FB97" s="26" t="s">
        <v>166</v>
      </c>
      <c r="FC97" s="26" t="s">
        <v>166</v>
      </c>
      <c r="FD97" s="26" t="s">
        <v>166</v>
      </c>
      <c r="FE97" s="26" t="s">
        <v>166</v>
      </c>
      <c r="FF97" s="26" t="s">
        <v>166</v>
      </c>
      <c r="FG97" s="25" t="s">
        <v>166</v>
      </c>
      <c r="FH97" s="4">
        <f>HYPERLINK("https://my.pitchbook.com?c=169896-43T","View Company Online")</f>
      </c>
    </row>
    <row r="98">
      <c r="A98" s="14" t="s">
        <v>2019</v>
      </c>
      <c r="B98" s="14" t="s">
        <v>2020</v>
      </c>
      <c r="C98" s="14" t="s">
        <v>2021</v>
      </c>
      <c r="D98" s="14" t="s">
        <v>166</v>
      </c>
      <c r="E98" s="23" t="s">
        <v>2022</v>
      </c>
      <c r="F98" s="21">
        <v>5</v>
      </c>
      <c r="G98" s="14" t="s">
        <v>2023</v>
      </c>
      <c r="H98" s="14" t="s">
        <v>166</v>
      </c>
      <c r="I98" s="14" t="s">
        <v>2024</v>
      </c>
      <c r="J98" s="14" t="s">
        <v>2025</v>
      </c>
      <c r="K98" s="14" t="s">
        <v>207</v>
      </c>
      <c r="L98" s="14" t="s">
        <v>208</v>
      </c>
      <c r="M98" s="14" t="s">
        <v>209</v>
      </c>
      <c r="N98" s="14" t="s">
        <v>269</v>
      </c>
      <c r="O98" s="14" t="s">
        <v>2026</v>
      </c>
      <c r="P98" s="14" t="s">
        <v>2027</v>
      </c>
      <c r="Q98" s="14" t="s">
        <v>166</v>
      </c>
      <c r="R98" s="14" t="s">
        <v>177</v>
      </c>
      <c r="S98" s="14" t="s">
        <v>178</v>
      </c>
      <c r="T98" s="14" t="s">
        <v>179</v>
      </c>
      <c r="U98" s="14" t="s">
        <v>2028</v>
      </c>
      <c r="V98" s="14" t="s">
        <v>2029</v>
      </c>
      <c r="W98" s="21" t="s">
        <v>2030</v>
      </c>
      <c r="X98" s="14" t="s">
        <v>2031</v>
      </c>
      <c r="Y98" s="14" t="s">
        <v>2032</v>
      </c>
      <c r="Z98" s="14" t="s">
        <v>2033</v>
      </c>
      <c r="AA98" s="14" t="s">
        <v>242</v>
      </c>
      <c r="AB98" s="14" t="s">
        <v>243</v>
      </c>
      <c r="AC98" s="14" t="s">
        <v>244</v>
      </c>
      <c r="AD98" s="14" t="s">
        <v>243</v>
      </c>
      <c r="AE98" s="14" t="s">
        <v>243</v>
      </c>
      <c r="AF98" s="14" t="s">
        <v>245</v>
      </c>
      <c r="AG98" s="14" t="s">
        <v>246</v>
      </c>
      <c r="AH98" s="21">
        <v>1</v>
      </c>
      <c r="AI98" s="3">
        <f>HYPERLINK("https://my.pitchbook.com/?d=178773-67T","178773-67T")</f>
      </c>
      <c r="AJ98" s="19" t="s">
        <v>166</v>
      </c>
      <c r="AK98" s="19">
        <v>44197</v>
      </c>
      <c r="AL98" s="18">
        <v>1.5</v>
      </c>
      <c r="AM98" s="14" t="s">
        <v>247</v>
      </c>
      <c r="AN98" s="18">
        <v>3</v>
      </c>
      <c r="AO98" s="18">
        <v>4.5</v>
      </c>
      <c r="AP98" s="14" t="s">
        <v>185</v>
      </c>
      <c r="AQ98" s="21" t="s">
        <v>166</v>
      </c>
      <c r="AR98" s="21" t="s">
        <v>166</v>
      </c>
      <c r="AS98" s="17">
        <v>46.55</v>
      </c>
      <c r="AT98" s="18">
        <v>1.5</v>
      </c>
      <c r="AU98" s="21" t="s">
        <v>186</v>
      </c>
      <c r="AV98" s="21" t="s">
        <v>166</v>
      </c>
      <c r="AW98" s="18">
        <v>3.24</v>
      </c>
      <c r="AX98" s="21" t="s">
        <v>166</v>
      </c>
      <c r="AY98" s="14" t="s">
        <v>217</v>
      </c>
      <c r="AZ98" s="14" t="s">
        <v>217</v>
      </c>
      <c r="BA98" s="14" t="s">
        <v>166</v>
      </c>
      <c r="BB98" s="21" t="s">
        <v>166</v>
      </c>
      <c r="BC98" s="14" t="s">
        <v>179</v>
      </c>
      <c r="BD98" s="14" t="s">
        <v>2034</v>
      </c>
      <c r="BE98" s="14" t="s">
        <v>189</v>
      </c>
      <c r="BF98" s="18">
        <v>1.5</v>
      </c>
      <c r="BG98" s="14" t="s">
        <v>190</v>
      </c>
      <c r="BH98" s="14" t="s">
        <v>166</v>
      </c>
      <c r="BI98" s="14" t="s">
        <v>166</v>
      </c>
      <c r="BJ98" s="18" t="s">
        <v>166</v>
      </c>
      <c r="BK98" s="18" t="s">
        <v>166</v>
      </c>
      <c r="BL98" s="14" t="s">
        <v>191</v>
      </c>
      <c r="BM98" s="14" t="s">
        <v>178</v>
      </c>
      <c r="BN98" s="14" t="s">
        <v>177</v>
      </c>
      <c r="BO98" s="22" t="s">
        <v>166</v>
      </c>
      <c r="BP98" s="14" t="s">
        <v>2022</v>
      </c>
      <c r="BQ98" s="21">
        <v>5</v>
      </c>
      <c r="BR98" s="14" t="s">
        <v>166</v>
      </c>
      <c r="BS98" s="21" t="s">
        <v>166</v>
      </c>
      <c r="BT98" s="14" t="s">
        <v>166</v>
      </c>
      <c r="BU98" s="14" t="s">
        <v>166</v>
      </c>
      <c r="BV98" s="14" t="s">
        <v>2035</v>
      </c>
      <c r="BW98" s="14" t="s">
        <v>166</v>
      </c>
      <c r="BX98" s="14" t="s">
        <v>166</v>
      </c>
      <c r="BY98" s="14" t="s">
        <v>166</v>
      </c>
      <c r="BZ98" s="14" t="s">
        <v>166</v>
      </c>
      <c r="CA98" s="14" t="s">
        <v>166</v>
      </c>
      <c r="CB98" s="14" t="s">
        <v>166</v>
      </c>
      <c r="CC98" s="14" t="s">
        <v>166</v>
      </c>
      <c r="CD98" s="14" t="s">
        <v>166</v>
      </c>
      <c r="CE98" s="18" t="s">
        <v>166</v>
      </c>
      <c r="CF98" s="16" t="s">
        <v>166</v>
      </c>
      <c r="CG98" s="17" t="s">
        <v>166</v>
      </c>
      <c r="CH98" s="16" t="s">
        <v>166</v>
      </c>
      <c r="CI98" s="16" t="s">
        <v>166</v>
      </c>
      <c r="CJ98" s="16" t="s">
        <v>166</v>
      </c>
      <c r="CK98" s="16" t="s">
        <v>166</v>
      </c>
      <c r="CL98" s="16" t="s">
        <v>166</v>
      </c>
      <c r="CM98" s="20" t="s">
        <v>166</v>
      </c>
      <c r="CN98" s="16" t="s">
        <v>166</v>
      </c>
      <c r="CO98" s="16" t="s">
        <v>166</v>
      </c>
      <c r="CP98" s="16" t="s">
        <v>166</v>
      </c>
      <c r="CQ98" s="16" t="s">
        <v>166</v>
      </c>
      <c r="CR98" s="16" t="s">
        <v>166</v>
      </c>
      <c r="CS98" s="16" t="s">
        <v>166</v>
      </c>
      <c r="CT98" s="16" t="s">
        <v>166</v>
      </c>
      <c r="CU98" s="16" t="s">
        <v>166</v>
      </c>
      <c r="CV98" s="16" t="s">
        <v>166</v>
      </c>
      <c r="CW98" s="16" t="s">
        <v>166</v>
      </c>
      <c r="CX98" s="16" t="s">
        <v>166</v>
      </c>
      <c r="CY98" s="16" t="s">
        <v>166</v>
      </c>
      <c r="CZ98" s="16" t="s">
        <v>166</v>
      </c>
      <c r="DA98" s="16" t="s">
        <v>166</v>
      </c>
      <c r="DB98" s="16" t="s">
        <v>166</v>
      </c>
      <c r="DC98" s="16" t="s">
        <v>166</v>
      </c>
      <c r="DD98" s="16" t="s">
        <v>166</v>
      </c>
      <c r="DE98" s="17" t="s">
        <v>166</v>
      </c>
      <c r="DF98" s="22">
        <v>16</v>
      </c>
      <c r="DG98" s="14" t="s">
        <v>309</v>
      </c>
      <c r="DH98" s="14" t="s">
        <v>193</v>
      </c>
      <c r="DI98" s="14" t="s">
        <v>194</v>
      </c>
      <c r="DJ98" s="14" t="s">
        <v>310</v>
      </c>
      <c r="DK98" s="14" t="s">
        <v>310</v>
      </c>
      <c r="DL98" s="21" t="s">
        <v>2036</v>
      </c>
      <c r="DM98" s="14" t="s">
        <v>198</v>
      </c>
      <c r="DN98" s="13" t="s">
        <v>2037</v>
      </c>
      <c r="DO98" s="20">
        <v>2018</v>
      </c>
      <c r="DP98" s="14" t="s">
        <v>166</v>
      </c>
      <c r="DQ98" s="14" t="s">
        <v>166</v>
      </c>
      <c r="DR98" s="18" t="s">
        <v>166</v>
      </c>
      <c r="DS98" s="16" t="s">
        <v>166</v>
      </c>
      <c r="DT98" s="19" t="s">
        <v>166</v>
      </c>
      <c r="DU98" s="14" t="s">
        <v>166</v>
      </c>
      <c r="DV98" s="18" t="s">
        <v>166</v>
      </c>
      <c r="DW98" s="18" t="s">
        <v>166</v>
      </c>
      <c r="DX98" s="16" t="s">
        <v>166</v>
      </c>
      <c r="DY98" s="16" t="s">
        <v>166</v>
      </c>
      <c r="DZ98" s="17" t="s">
        <v>166</v>
      </c>
      <c r="EA98" s="16" t="s">
        <v>166</v>
      </c>
      <c r="EB98" s="16" t="s">
        <v>166</v>
      </c>
      <c r="EC98" s="16" t="s">
        <v>166</v>
      </c>
      <c r="ED98" s="17" t="s">
        <v>166</v>
      </c>
      <c r="EE98" s="17" t="s">
        <v>166</v>
      </c>
      <c r="EF98" s="17" t="s">
        <v>166</v>
      </c>
      <c r="EG98" s="17" t="s">
        <v>166</v>
      </c>
      <c r="EH98" s="16" t="s">
        <v>166</v>
      </c>
      <c r="EI98" s="16" t="s">
        <v>166</v>
      </c>
      <c r="EJ98" s="16" t="s">
        <v>166</v>
      </c>
      <c r="EK98" s="16" t="s">
        <v>166</v>
      </c>
      <c r="EL98" s="16" t="s">
        <v>166</v>
      </c>
      <c r="EM98" s="16" t="s">
        <v>166</v>
      </c>
      <c r="EN98" s="16" t="s">
        <v>166</v>
      </c>
      <c r="EO98" s="16" t="s">
        <v>166</v>
      </c>
      <c r="EP98" s="16" t="s">
        <v>166</v>
      </c>
      <c r="EQ98" s="16" t="s">
        <v>166</v>
      </c>
      <c r="ER98" s="16" t="s">
        <v>166</v>
      </c>
      <c r="ES98" s="16" t="s">
        <v>166</v>
      </c>
      <c r="ET98" s="14" t="s">
        <v>166</v>
      </c>
      <c r="EU98" s="16" t="s">
        <v>166</v>
      </c>
      <c r="EV98" s="16" t="s">
        <v>166</v>
      </c>
      <c r="EW98" s="16" t="s">
        <v>166</v>
      </c>
      <c r="EX98" s="14" t="s">
        <v>190</v>
      </c>
      <c r="EY98" s="14" t="s">
        <v>166</v>
      </c>
      <c r="EZ98" s="16" t="s">
        <v>166</v>
      </c>
      <c r="FA98" s="15" t="s">
        <v>166</v>
      </c>
      <c r="FB98" s="15" t="s">
        <v>166</v>
      </c>
      <c r="FC98" s="15" t="s">
        <v>166</v>
      </c>
      <c r="FD98" s="15" t="s">
        <v>166</v>
      </c>
      <c r="FE98" s="15" t="s">
        <v>166</v>
      </c>
      <c r="FF98" s="15" t="s">
        <v>166</v>
      </c>
      <c r="FG98" s="14" t="s">
        <v>166</v>
      </c>
      <c r="FH98" s="3">
        <f>HYPERLINK("https://my.pitchbook.com?c=178773-67T","View Company Online")</f>
      </c>
    </row>
    <row r="99">
      <c r="A99" s="25" t="s">
        <v>2038</v>
      </c>
      <c r="B99" s="25" t="s">
        <v>2039</v>
      </c>
      <c r="C99" s="25" t="s">
        <v>2040</v>
      </c>
      <c r="D99" s="25" t="s">
        <v>166</v>
      </c>
      <c r="E99" s="34" t="s">
        <v>2041</v>
      </c>
      <c r="F99" s="32">
        <v>12</v>
      </c>
      <c r="G99" s="25" t="s">
        <v>2042</v>
      </c>
      <c r="H99" s="25" t="s">
        <v>166</v>
      </c>
      <c r="I99" s="25" t="s">
        <v>2043</v>
      </c>
      <c r="J99" s="25" t="s">
        <v>2044</v>
      </c>
      <c r="K99" s="25" t="s">
        <v>207</v>
      </c>
      <c r="L99" s="25" t="s">
        <v>208</v>
      </c>
      <c r="M99" s="25" t="s">
        <v>209</v>
      </c>
      <c r="N99" s="25" t="s">
        <v>2045</v>
      </c>
      <c r="O99" s="25" t="s">
        <v>2046</v>
      </c>
      <c r="P99" s="25" t="s">
        <v>2047</v>
      </c>
      <c r="Q99" s="25" t="s">
        <v>166</v>
      </c>
      <c r="R99" s="25" t="s">
        <v>177</v>
      </c>
      <c r="S99" s="25" t="s">
        <v>178</v>
      </c>
      <c r="T99" s="25" t="s">
        <v>179</v>
      </c>
      <c r="U99" s="25" t="s">
        <v>2048</v>
      </c>
      <c r="V99" s="25" t="s">
        <v>2049</v>
      </c>
      <c r="W99" s="32" t="s">
        <v>166</v>
      </c>
      <c r="X99" s="25" t="s">
        <v>166</v>
      </c>
      <c r="Y99" s="25" t="s">
        <v>2050</v>
      </c>
      <c r="Z99" s="25" t="s">
        <v>2051</v>
      </c>
      <c r="AA99" s="25" t="s">
        <v>242</v>
      </c>
      <c r="AB99" s="25" t="s">
        <v>243</v>
      </c>
      <c r="AC99" s="25" t="s">
        <v>244</v>
      </c>
      <c r="AD99" s="25" t="s">
        <v>243</v>
      </c>
      <c r="AE99" s="25" t="s">
        <v>243</v>
      </c>
      <c r="AF99" s="25" t="s">
        <v>245</v>
      </c>
      <c r="AG99" s="25" t="s">
        <v>246</v>
      </c>
      <c r="AH99" s="32">
        <v>3</v>
      </c>
      <c r="AI99" s="4">
        <f>HYPERLINK("https://my.pitchbook.com/?d=160379-56T","160379-56T")</f>
      </c>
      <c r="AJ99" s="30">
        <v>44151</v>
      </c>
      <c r="AK99" s="30">
        <v>44228</v>
      </c>
      <c r="AL99" s="29">
        <v>2.2</v>
      </c>
      <c r="AM99" s="25" t="s">
        <v>185</v>
      </c>
      <c r="AN99" s="29">
        <v>5</v>
      </c>
      <c r="AO99" s="29">
        <v>7.2</v>
      </c>
      <c r="AP99" s="25" t="s">
        <v>185</v>
      </c>
      <c r="AQ99" s="32" t="s">
        <v>166</v>
      </c>
      <c r="AR99" s="32" t="s">
        <v>166</v>
      </c>
      <c r="AS99" s="28">
        <v>30.56</v>
      </c>
      <c r="AT99" s="29">
        <v>2.22</v>
      </c>
      <c r="AU99" s="32" t="s">
        <v>186</v>
      </c>
      <c r="AV99" s="32" t="s">
        <v>166</v>
      </c>
      <c r="AW99" s="29">
        <v>2.36</v>
      </c>
      <c r="AX99" s="32" t="s">
        <v>166</v>
      </c>
      <c r="AY99" s="25" t="s">
        <v>217</v>
      </c>
      <c r="AZ99" s="25" t="s">
        <v>217</v>
      </c>
      <c r="BA99" s="25" t="s">
        <v>166</v>
      </c>
      <c r="BB99" s="32" t="s">
        <v>166</v>
      </c>
      <c r="BC99" s="25" t="s">
        <v>179</v>
      </c>
      <c r="BD99" s="25" t="s">
        <v>2052</v>
      </c>
      <c r="BE99" s="25" t="s">
        <v>189</v>
      </c>
      <c r="BF99" s="29">
        <v>2.2</v>
      </c>
      <c r="BG99" s="25" t="s">
        <v>190</v>
      </c>
      <c r="BH99" s="25" t="s">
        <v>166</v>
      </c>
      <c r="BI99" s="25" t="s">
        <v>166</v>
      </c>
      <c r="BJ99" s="29" t="s">
        <v>166</v>
      </c>
      <c r="BK99" s="29" t="s">
        <v>166</v>
      </c>
      <c r="BL99" s="25" t="s">
        <v>191</v>
      </c>
      <c r="BM99" s="25" t="s">
        <v>178</v>
      </c>
      <c r="BN99" s="25" t="s">
        <v>177</v>
      </c>
      <c r="BO99" s="33" t="s">
        <v>166</v>
      </c>
      <c r="BP99" s="25" t="s">
        <v>2041</v>
      </c>
      <c r="BQ99" s="32">
        <v>12</v>
      </c>
      <c r="BR99" s="25" t="s">
        <v>166</v>
      </c>
      <c r="BS99" s="32" t="s">
        <v>166</v>
      </c>
      <c r="BT99" s="25" t="s">
        <v>2053</v>
      </c>
      <c r="BU99" s="25" t="s">
        <v>166</v>
      </c>
      <c r="BV99" s="25" t="s">
        <v>2054</v>
      </c>
      <c r="BW99" s="25" t="s">
        <v>166</v>
      </c>
      <c r="BX99" s="25" t="s">
        <v>166</v>
      </c>
      <c r="BY99" s="25" t="s">
        <v>166</v>
      </c>
      <c r="BZ99" s="25" t="s">
        <v>2055</v>
      </c>
      <c r="CA99" s="25" t="s">
        <v>2056</v>
      </c>
      <c r="CB99" s="25" t="s">
        <v>166</v>
      </c>
      <c r="CC99" s="25" t="s">
        <v>2057</v>
      </c>
      <c r="CD99" s="25" t="s">
        <v>166</v>
      </c>
      <c r="CE99" s="29" t="s">
        <v>166</v>
      </c>
      <c r="CF99" s="27" t="s">
        <v>166</v>
      </c>
      <c r="CG99" s="28" t="s">
        <v>166</v>
      </c>
      <c r="CH99" s="27" t="s">
        <v>166</v>
      </c>
      <c r="CI99" s="27" t="s">
        <v>166</v>
      </c>
      <c r="CJ99" s="27" t="s">
        <v>166</v>
      </c>
      <c r="CK99" s="27" t="s">
        <v>166</v>
      </c>
      <c r="CL99" s="27" t="s">
        <v>166</v>
      </c>
      <c r="CM99" s="31" t="s">
        <v>166</v>
      </c>
      <c r="CN99" s="27" t="s">
        <v>166</v>
      </c>
      <c r="CO99" s="27" t="s">
        <v>166</v>
      </c>
      <c r="CP99" s="27" t="s">
        <v>166</v>
      </c>
      <c r="CQ99" s="27" t="s">
        <v>166</v>
      </c>
      <c r="CR99" s="27" t="s">
        <v>166</v>
      </c>
      <c r="CS99" s="27" t="s">
        <v>166</v>
      </c>
      <c r="CT99" s="27" t="s">
        <v>166</v>
      </c>
      <c r="CU99" s="27" t="s">
        <v>166</v>
      </c>
      <c r="CV99" s="27" t="s">
        <v>166</v>
      </c>
      <c r="CW99" s="27" t="s">
        <v>166</v>
      </c>
      <c r="CX99" s="27" t="s">
        <v>166</v>
      </c>
      <c r="CY99" s="27" t="s">
        <v>166</v>
      </c>
      <c r="CZ99" s="27" t="s">
        <v>166</v>
      </c>
      <c r="DA99" s="27" t="s">
        <v>166</v>
      </c>
      <c r="DB99" s="27" t="s">
        <v>166</v>
      </c>
      <c r="DC99" s="27" t="s">
        <v>166</v>
      </c>
      <c r="DD99" s="27" t="s">
        <v>166</v>
      </c>
      <c r="DE99" s="28" t="s">
        <v>166</v>
      </c>
      <c r="DF99" s="33">
        <v>27</v>
      </c>
      <c r="DG99" s="25" t="s">
        <v>1974</v>
      </c>
      <c r="DH99" s="25" t="s">
        <v>193</v>
      </c>
      <c r="DI99" s="25" t="s">
        <v>194</v>
      </c>
      <c r="DJ99" s="25" t="s">
        <v>408</v>
      </c>
      <c r="DK99" s="25" t="s">
        <v>1975</v>
      </c>
      <c r="DL99" s="32" t="s">
        <v>2058</v>
      </c>
      <c r="DM99" s="25" t="s">
        <v>198</v>
      </c>
      <c r="DN99" s="24" t="s">
        <v>2059</v>
      </c>
      <c r="DO99" s="31">
        <v>2017</v>
      </c>
      <c r="DP99" s="25" t="s">
        <v>166</v>
      </c>
      <c r="DQ99" s="25" t="s">
        <v>166</v>
      </c>
      <c r="DR99" s="29" t="s">
        <v>166</v>
      </c>
      <c r="DS99" s="27" t="s">
        <v>166</v>
      </c>
      <c r="DT99" s="30" t="s">
        <v>166</v>
      </c>
      <c r="DU99" s="25" t="s">
        <v>166</v>
      </c>
      <c r="DV99" s="29" t="s">
        <v>166</v>
      </c>
      <c r="DW99" s="29" t="s">
        <v>166</v>
      </c>
      <c r="DX99" s="27" t="s">
        <v>166</v>
      </c>
      <c r="DY99" s="27" t="s">
        <v>166</v>
      </c>
      <c r="DZ99" s="28" t="s">
        <v>166</v>
      </c>
      <c r="EA99" s="27" t="s">
        <v>166</v>
      </c>
      <c r="EB99" s="27" t="s">
        <v>166</v>
      </c>
      <c r="EC99" s="27" t="s">
        <v>166</v>
      </c>
      <c r="ED99" s="28" t="s">
        <v>166</v>
      </c>
      <c r="EE99" s="28" t="s">
        <v>166</v>
      </c>
      <c r="EF99" s="28" t="s">
        <v>166</v>
      </c>
      <c r="EG99" s="28" t="s">
        <v>166</v>
      </c>
      <c r="EH99" s="27" t="s">
        <v>166</v>
      </c>
      <c r="EI99" s="27" t="s">
        <v>166</v>
      </c>
      <c r="EJ99" s="27" t="s">
        <v>166</v>
      </c>
      <c r="EK99" s="27" t="s">
        <v>166</v>
      </c>
      <c r="EL99" s="27" t="s">
        <v>166</v>
      </c>
      <c r="EM99" s="27" t="s">
        <v>166</v>
      </c>
      <c r="EN99" s="27" t="s">
        <v>166</v>
      </c>
      <c r="EO99" s="27" t="s">
        <v>166</v>
      </c>
      <c r="EP99" s="27" t="s">
        <v>166</v>
      </c>
      <c r="EQ99" s="27" t="s">
        <v>166</v>
      </c>
      <c r="ER99" s="27" t="s">
        <v>166</v>
      </c>
      <c r="ES99" s="27" t="s">
        <v>166</v>
      </c>
      <c r="ET99" s="25" t="s">
        <v>166</v>
      </c>
      <c r="EU99" s="27" t="s">
        <v>166</v>
      </c>
      <c r="EV99" s="27" t="s">
        <v>166</v>
      </c>
      <c r="EW99" s="27" t="s">
        <v>166</v>
      </c>
      <c r="EX99" s="25" t="s">
        <v>190</v>
      </c>
      <c r="EY99" s="25" t="s">
        <v>166</v>
      </c>
      <c r="EZ99" s="27" t="s">
        <v>166</v>
      </c>
      <c r="FA99" s="26">
        <v>2</v>
      </c>
      <c r="FB99" s="26">
        <v>1</v>
      </c>
      <c r="FC99" s="26">
        <v>2</v>
      </c>
      <c r="FD99" s="26" t="s">
        <v>166</v>
      </c>
      <c r="FE99" s="26" t="s">
        <v>166</v>
      </c>
      <c r="FF99" s="26" t="s">
        <v>166</v>
      </c>
      <c r="FG99" s="25" t="s">
        <v>2060</v>
      </c>
      <c r="FH99" s="4">
        <f>HYPERLINK("https://my.pitchbook.com?c=160379-56T","View Company Online")</f>
      </c>
    </row>
    <row r="100">
      <c r="A100" s="14" t="s">
        <v>2061</v>
      </c>
      <c r="B100" s="14" t="s">
        <v>2062</v>
      </c>
      <c r="C100" s="14" t="s">
        <v>2063</v>
      </c>
      <c r="D100" s="14" t="s">
        <v>166</v>
      </c>
      <c r="E100" s="23" t="s">
        <v>2064</v>
      </c>
      <c r="F100" s="21">
        <v>2</v>
      </c>
      <c r="G100" s="14" t="s">
        <v>2065</v>
      </c>
      <c r="H100" s="14" t="s">
        <v>166</v>
      </c>
      <c r="I100" s="14" t="s">
        <v>2066</v>
      </c>
      <c r="J100" s="14" t="s">
        <v>2067</v>
      </c>
      <c r="K100" s="14" t="s">
        <v>1455</v>
      </c>
      <c r="L100" s="14" t="s">
        <v>1984</v>
      </c>
      <c r="M100" s="14" t="s">
        <v>1985</v>
      </c>
      <c r="N100" s="14" t="s">
        <v>2068</v>
      </c>
      <c r="O100" s="14" t="s">
        <v>1768</v>
      </c>
      <c r="P100" s="14" t="s">
        <v>2069</v>
      </c>
      <c r="Q100" s="14" t="s">
        <v>166</v>
      </c>
      <c r="R100" s="14" t="s">
        <v>177</v>
      </c>
      <c r="S100" s="14" t="s">
        <v>178</v>
      </c>
      <c r="T100" s="14" t="s">
        <v>1401</v>
      </c>
      <c r="U100" s="14" t="s">
        <v>2070</v>
      </c>
      <c r="V100" s="14" t="s">
        <v>2071</v>
      </c>
      <c r="W100" s="21" t="s">
        <v>2072</v>
      </c>
      <c r="X100" s="14" t="s">
        <v>2073</v>
      </c>
      <c r="Y100" s="14" t="s">
        <v>2074</v>
      </c>
      <c r="Z100" s="14" t="s">
        <v>2075</v>
      </c>
      <c r="AA100" s="14" t="s">
        <v>242</v>
      </c>
      <c r="AB100" s="14" t="s">
        <v>243</v>
      </c>
      <c r="AC100" s="14" t="s">
        <v>244</v>
      </c>
      <c r="AD100" s="14" t="s">
        <v>243</v>
      </c>
      <c r="AE100" s="14" t="s">
        <v>243</v>
      </c>
      <c r="AF100" s="14" t="s">
        <v>306</v>
      </c>
      <c r="AG100" s="14" t="s">
        <v>807</v>
      </c>
      <c r="AH100" s="21">
        <v>2</v>
      </c>
      <c r="AI100" s="3">
        <f>HYPERLINK("https://my.pitchbook.com/?d=156605-32T","156605-32T")</f>
      </c>
      <c r="AJ100" s="19">
        <v>44084</v>
      </c>
      <c r="AK100" s="19">
        <v>44097</v>
      </c>
      <c r="AL100" s="18">
        <v>8.8</v>
      </c>
      <c r="AM100" s="14" t="s">
        <v>185</v>
      </c>
      <c r="AN100" s="18">
        <v>20</v>
      </c>
      <c r="AO100" s="18">
        <v>27.65</v>
      </c>
      <c r="AP100" s="14" t="s">
        <v>185</v>
      </c>
      <c r="AQ100" s="21" t="s">
        <v>166</v>
      </c>
      <c r="AR100" s="21" t="s">
        <v>166</v>
      </c>
      <c r="AS100" s="17">
        <v>28.26</v>
      </c>
      <c r="AT100" s="18">
        <v>8.8</v>
      </c>
      <c r="AU100" s="21" t="s">
        <v>186</v>
      </c>
      <c r="AV100" s="21" t="s">
        <v>166</v>
      </c>
      <c r="AW100" s="18">
        <v>25</v>
      </c>
      <c r="AX100" s="21" t="s">
        <v>248</v>
      </c>
      <c r="AY100" s="14" t="s">
        <v>187</v>
      </c>
      <c r="AZ100" s="14" t="s">
        <v>248</v>
      </c>
      <c r="BA100" s="14" t="s">
        <v>166</v>
      </c>
      <c r="BB100" s="21" t="s">
        <v>166</v>
      </c>
      <c r="BC100" s="14" t="s">
        <v>179</v>
      </c>
      <c r="BD100" s="14" t="s">
        <v>2076</v>
      </c>
      <c r="BE100" s="14" t="s">
        <v>189</v>
      </c>
      <c r="BF100" s="18">
        <v>7.65</v>
      </c>
      <c r="BG100" s="14" t="s">
        <v>190</v>
      </c>
      <c r="BH100" s="14" t="s">
        <v>166</v>
      </c>
      <c r="BI100" s="14" t="s">
        <v>166</v>
      </c>
      <c r="BJ100" s="18">
        <v>1.15</v>
      </c>
      <c r="BK100" s="18" t="s">
        <v>166</v>
      </c>
      <c r="BL100" s="14" t="s">
        <v>191</v>
      </c>
      <c r="BM100" s="14" t="s">
        <v>178</v>
      </c>
      <c r="BN100" s="14" t="s">
        <v>177</v>
      </c>
      <c r="BO100" s="22" t="s">
        <v>166</v>
      </c>
      <c r="BP100" s="14" t="s">
        <v>2064</v>
      </c>
      <c r="BQ100" s="21">
        <v>2</v>
      </c>
      <c r="BR100" s="14" t="s">
        <v>166</v>
      </c>
      <c r="BS100" s="21" t="s">
        <v>166</v>
      </c>
      <c r="BT100" s="14" t="s">
        <v>166</v>
      </c>
      <c r="BU100" s="14" t="s">
        <v>166</v>
      </c>
      <c r="BV100" s="14" t="s">
        <v>166</v>
      </c>
      <c r="BW100" s="14" t="s">
        <v>166</v>
      </c>
      <c r="BX100" s="14" t="s">
        <v>166</v>
      </c>
      <c r="BY100" s="14" t="s">
        <v>166</v>
      </c>
      <c r="BZ100" s="14" t="s">
        <v>166</v>
      </c>
      <c r="CA100" s="14" t="s">
        <v>166</v>
      </c>
      <c r="CB100" s="14" t="s">
        <v>166</v>
      </c>
      <c r="CC100" s="14" t="s">
        <v>166</v>
      </c>
      <c r="CD100" s="14" t="s">
        <v>166</v>
      </c>
      <c r="CE100" s="18" t="s">
        <v>166</v>
      </c>
      <c r="CF100" s="16" t="s">
        <v>166</v>
      </c>
      <c r="CG100" s="17" t="s">
        <v>166</v>
      </c>
      <c r="CH100" s="16" t="s">
        <v>166</v>
      </c>
      <c r="CI100" s="16" t="s">
        <v>166</v>
      </c>
      <c r="CJ100" s="16" t="s">
        <v>166</v>
      </c>
      <c r="CK100" s="16" t="s">
        <v>166</v>
      </c>
      <c r="CL100" s="16" t="s">
        <v>166</v>
      </c>
      <c r="CM100" s="20" t="s">
        <v>166</v>
      </c>
      <c r="CN100" s="16" t="s">
        <v>166</v>
      </c>
      <c r="CO100" s="16" t="s">
        <v>166</v>
      </c>
      <c r="CP100" s="16" t="s">
        <v>166</v>
      </c>
      <c r="CQ100" s="16" t="s">
        <v>166</v>
      </c>
      <c r="CR100" s="16" t="s">
        <v>166</v>
      </c>
      <c r="CS100" s="16" t="s">
        <v>166</v>
      </c>
      <c r="CT100" s="16" t="s">
        <v>166</v>
      </c>
      <c r="CU100" s="16" t="s">
        <v>166</v>
      </c>
      <c r="CV100" s="16" t="s">
        <v>166</v>
      </c>
      <c r="CW100" s="16" t="s">
        <v>166</v>
      </c>
      <c r="CX100" s="16" t="s">
        <v>166</v>
      </c>
      <c r="CY100" s="16">
        <v>0.15</v>
      </c>
      <c r="CZ100" s="16" t="s">
        <v>166</v>
      </c>
      <c r="DA100" s="16" t="s">
        <v>166</v>
      </c>
      <c r="DB100" s="16" t="s">
        <v>166</v>
      </c>
      <c r="DC100" s="16" t="s">
        <v>166</v>
      </c>
      <c r="DD100" s="16" t="s">
        <v>166</v>
      </c>
      <c r="DE100" s="17" t="s">
        <v>166</v>
      </c>
      <c r="DF100" s="22">
        <v>71</v>
      </c>
      <c r="DG100" s="14" t="s">
        <v>2077</v>
      </c>
      <c r="DH100" s="14" t="s">
        <v>193</v>
      </c>
      <c r="DI100" s="14" t="s">
        <v>194</v>
      </c>
      <c r="DJ100" s="14" t="s">
        <v>2078</v>
      </c>
      <c r="DK100" s="14" t="s">
        <v>1000</v>
      </c>
      <c r="DL100" s="21" t="s">
        <v>2079</v>
      </c>
      <c r="DM100" s="14" t="s">
        <v>198</v>
      </c>
      <c r="DN100" s="13" t="s">
        <v>2080</v>
      </c>
      <c r="DO100" s="20">
        <v>2019</v>
      </c>
      <c r="DP100" s="14" t="s">
        <v>166</v>
      </c>
      <c r="DQ100" s="14" t="s">
        <v>2081</v>
      </c>
      <c r="DR100" s="18">
        <v>1.15</v>
      </c>
      <c r="DS100" s="16" t="s">
        <v>166</v>
      </c>
      <c r="DT100" s="19" t="s">
        <v>166</v>
      </c>
      <c r="DU100" s="14" t="s">
        <v>166</v>
      </c>
      <c r="DV100" s="18" t="s">
        <v>166</v>
      </c>
      <c r="DW100" s="18" t="s">
        <v>166</v>
      </c>
      <c r="DX100" s="16" t="s">
        <v>166</v>
      </c>
      <c r="DY100" s="16" t="s">
        <v>166</v>
      </c>
      <c r="DZ100" s="17" t="s">
        <v>166</v>
      </c>
      <c r="EA100" s="16" t="s">
        <v>166</v>
      </c>
      <c r="EB100" s="16" t="s">
        <v>166</v>
      </c>
      <c r="EC100" s="16" t="s">
        <v>166</v>
      </c>
      <c r="ED100" s="17" t="s">
        <v>166</v>
      </c>
      <c r="EE100" s="17" t="s">
        <v>166</v>
      </c>
      <c r="EF100" s="17" t="s">
        <v>166</v>
      </c>
      <c r="EG100" s="17" t="s">
        <v>166</v>
      </c>
      <c r="EH100" s="16" t="s">
        <v>166</v>
      </c>
      <c r="EI100" s="16" t="s">
        <v>166</v>
      </c>
      <c r="EJ100" s="16" t="s">
        <v>166</v>
      </c>
      <c r="EK100" s="16" t="s">
        <v>166</v>
      </c>
      <c r="EL100" s="16" t="s">
        <v>166</v>
      </c>
      <c r="EM100" s="16" t="s">
        <v>166</v>
      </c>
      <c r="EN100" s="16" t="s">
        <v>166</v>
      </c>
      <c r="EO100" s="16" t="s">
        <v>166</v>
      </c>
      <c r="EP100" s="16" t="s">
        <v>166</v>
      </c>
      <c r="EQ100" s="16" t="s">
        <v>166</v>
      </c>
      <c r="ER100" s="16" t="s">
        <v>166</v>
      </c>
      <c r="ES100" s="16" t="s">
        <v>166</v>
      </c>
      <c r="ET100" s="14" t="s">
        <v>166</v>
      </c>
      <c r="EU100" s="16" t="s">
        <v>166</v>
      </c>
      <c r="EV100" s="16" t="s">
        <v>166</v>
      </c>
      <c r="EW100" s="16" t="s">
        <v>166</v>
      </c>
      <c r="EX100" s="14" t="s">
        <v>190</v>
      </c>
      <c r="EY100" s="14" t="s">
        <v>190</v>
      </c>
      <c r="EZ100" s="16" t="s">
        <v>166</v>
      </c>
      <c r="FA100" s="15" t="s">
        <v>166</v>
      </c>
      <c r="FB100" s="15" t="s">
        <v>166</v>
      </c>
      <c r="FC100" s="15" t="s">
        <v>166</v>
      </c>
      <c r="FD100" s="15" t="s">
        <v>166</v>
      </c>
      <c r="FE100" s="15" t="s">
        <v>166</v>
      </c>
      <c r="FF100" s="15" t="s">
        <v>166</v>
      </c>
      <c r="FG100" s="14" t="s">
        <v>166</v>
      </c>
      <c r="FH100" s="3">
        <f>HYPERLINK("https://my.pitchbook.com?c=156605-32T","View Company Online")</f>
      </c>
    </row>
    <row r="101">
      <c r="A101" s="25" t="s">
        <v>2082</v>
      </c>
      <c r="B101" s="25" t="s">
        <v>2083</v>
      </c>
      <c r="C101" s="25" t="s">
        <v>2084</v>
      </c>
      <c r="D101" s="25" t="s">
        <v>166</v>
      </c>
      <c r="E101" s="34" t="s">
        <v>2085</v>
      </c>
      <c r="F101" s="32">
        <v>5</v>
      </c>
      <c r="G101" s="25" t="s">
        <v>2086</v>
      </c>
      <c r="H101" s="25" t="s">
        <v>166</v>
      </c>
      <c r="I101" s="25" t="s">
        <v>2087</v>
      </c>
      <c r="J101" s="25" t="s">
        <v>2088</v>
      </c>
      <c r="K101" s="25" t="s">
        <v>207</v>
      </c>
      <c r="L101" s="25" t="s">
        <v>208</v>
      </c>
      <c r="M101" s="25" t="s">
        <v>1766</v>
      </c>
      <c r="N101" s="25" t="s">
        <v>2089</v>
      </c>
      <c r="O101" s="25" t="s">
        <v>1035</v>
      </c>
      <c r="P101" s="25" t="s">
        <v>2090</v>
      </c>
      <c r="Q101" s="25" t="s">
        <v>166</v>
      </c>
      <c r="R101" s="25" t="s">
        <v>177</v>
      </c>
      <c r="S101" s="25" t="s">
        <v>178</v>
      </c>
      <c r="T101" s="25" t="s">
        <v>179</v>
      </c>
      <c r="U101" s="25" t="s">
        <v>2091</v>
      </c>
      <c r="V101" s="25" t="s">
        <v>2092</v>
      </c>
      <c r="W101" s="32" t="s">
        <v>2093</v>
      </c>
      <c r="X101" s="25" t="s">
        <v>2094</v>
      </c>
      <c r="Y101" s="25" t="s">
        <v>2095</v>
      </c>
      <c r="Z101" s="25" t="s">
        <v>2096</v>
      </c>
      <c r="AA101" s="25" t="s">
        <v>166</v>
      </c>
      <c r="AB101" s="25" t="s">
        <v>166</v>
      </c>
      <c r="AC101" s="25" t="s">
        <v>166</v>
      </c>
      <c r="AD101" s="25" t="s">
        <v>166</v>
      </c>
      <c r="AE101" s="25" t="s">
        <v>166</v>
      </c>
      <c r="AF101" s="25" t="s">
        <v>166</v>
      </c>
      <c r="AG101" s="25" t="s">
        <v>166</v>
      </c>
      <c r="AH101" s="32">
        <v>3</v>
      </c>
      <c r="AI101" s="4">
        <f>HYPERLINK("https://my.pitchbook.com/?d=220254-31T","220254-31T")</f>
      </c>
      <c r="AJ101" s="30" t="s">
        <v>166</v>
      </c>
      <c r="AK101" s="30">
        <v>43862</v>
      </c>
      <c r="AL101" s="29">
        <v>0.29</v>
      </c>
      <c r="AM101" s="25" t="s">
        <v>185</v>
      </c>
      <c r="AN101" s="29" t="s">
        <v>166</v>
      </c>
      <c r="AO101" s="29" t="s">
        <v>166</v>
      </c>
      <c r="AP101" s="25" t="s">
        <v>166</v>
      </c>
      <c r="AQ101" s="32" t="s">
        <v>166</v>
      </c>
      <c r="AR101" s="32" t="s">
        <v>166</v>
      </c>
      <c r="AS101" s="28" t="s">
        <v>166</v>
      </c>
      <c r="AT101" s="29">
        <v>0.31</v>
      </c>
      <c r="AU101" s="32" t="s">
        <v>186</v>
      </c>
      <c r="AV101" s="32" t="s">
        <v>166</v>
      </c>
      <c r="AW101" s="29" t="s">
        <v>166</v>
      </c>
      <c r="AX101" s="32" t="s">
        <v>166</v>
      </c>
      <c r="AY101" s="25" t="s">
        <v>217</v>
      </c>
      <c r="AZ101" s="25" t="s">
        <v>217</v>
      </c>
      <c r="BA101" s="25" t="s">
        <v>166</v>
      </c>
      <c r="BB101" s="32" t="s">
        <v>166</v>
      </c>
      <c r="BC101" s="25" t="s">
        <v>179</v>
      </c>
      <c r="BD101" s="25" t="s">
        <v>2097</v>
      </c>
      <c r="BE101" s="25" t="s">
        <v>189</v>
      </c>
      <c r="BF101" s="29">
        <v>0.29</v>
      </c>
      <c r="BG101" s="25" t="s">
        <v>190</v>
      </c>
      <c r="BH101" s="25" t="s">
        <v>166</v>
      </c>
      <c r="BI101" s="25" t="s">
        <v>166</v>
      </c>
      <c r="BJ101" s="29" t="s">
        <v>166</v>
      </c>
      <c r="BK101" s="29" t="s">
        <v>166</v>
      </c>
      <c r="BL101" s="25" t="s">
        <v>191</v>
      </c>
      <c r="BM101" s="25" t="s">
        <v>178</v>
      </c>
      <c r="BN101" s="25" t="s">
        <v>177</v>
      </c>
      <c r="BO101" s="33" t="s">
        <v>166</v>
      </c>
      <c r="BP101" s="25" t="s">
        <v>2098</v>
      </c>
      <c r="BQ101" s="32">
        <v>4</v>
      </c>
      <c r="BR101" s="25" t="s">
        <v>2099</v>
      </c>
      <c r="BS101" s="32">
        <v>1</v>
      </c>
      <c r="BT101" s="25" t="s">
        <v>166</v>
      </c>
      <c r="BU101" s="25" t="s">
        <v>166</v>
      </c>
      <c r="BV101" s="25" t="s">
        <v>166</v>
      </c>
      <c r="BW101" s="25" t="s">
        <v>166</v>
      </c>
      <c r="BX101" s="25" t="s">
        <v>166</v>
      </c>
      <c r="BY101" s="25" t="s">
        <v>166</v>
      </c>
      <c r="BZ101" s="25" t="s">
        <v>166</v>
      </c>
      <c r="CA101" s="25" t="s">
        <v>166</v>
      </c>
      <c r="CB101" s="25" t="s">
        <v>166</v>
      </c>
      <c r="CC101" s="25" t="s">
        <v>166</v>
      </c>
      <c r="CD101" s="25" t="s">
        <v>166</v>
      </c>
      <c r="CE101" s="29" t="s">
        <v>166</v>
      </c>
      <c r="CF101" s="27" t="s">
        <v>166</v>
      </c>
      <c r="CG101" s="28" t="s">
        <v>166</v>
      </c>
      <c r="CH101" s="27" t="s">
        <v>166</v>
      </c>
      <c r="CI101" s="27" t="s">
        <v>166</v>
      </c>
      <c r="CJ101" s="27" t="s">
        <v>166</v>
      </c>
      <c r="CK101" s="27" t="s">
        <v>166</v>
      </c>
      <c r="CL101" s="27" t="s">
        <v>166</v>
      </c>
      <c r="CM101" s="31" t="s">
        <v>166</v>
      </c>
      <c r="CN101" s="27" t="s">
        <v>166</v>
      </c>
      <c r="CO101" s="27" t="s">
        <v>166</v>
      </c>
      <c r="CP101" s="27" t="s">
        <v>166</v>
      </c>
      <c r="CQ101" s="27" t="s">
        <v>166</v>
      </c>
      <c r="CR101" s="27" t="s">
        <v>166</v>
      </c>
      <c r="CS101" s="27" t="s">
        <v>166</v>
      </c>
      <c r="CT101" s="27" t="s">
        <v>166</v>
      </c>
      <c r="CU101" s="27" t="s">
        <v>166</v>
      </c>
      <c r="CV101" s="27" t="s">
        <v>166</v>
      </c>
      <c r="CW101" s="27" t="s">
        <v>166</v>
      </c>
      <c r="CX101" s="27" t="s">
        <v>166</v>
      </c>
      <c r="CY101" s="27" t="s">
        <v>166</v>
      </c>
      <c r="CZ101" s="27" t="s">
        <v>166</v>
      </c>
      <c r="DA101" s="27" t="s">
        <v>166</v>
      </c>
      <c r="DB101" s="27" t="s">
        <v>166</v>
      </c>
      <c r="DC101" s="27" t="s">
        <v>166</v>
      </c>
      <c r="DD101" s="27" t="s">
        <v>166</v>
      </c>
      <c r="DE101" s="28" t="s">
        <v>166</v>
      </c>
      <c r="DF101" s="33">
        <v>2</v>
      </c>
      <c r="DG101" s="25" t="s">
        <v>2100</v>
      </c>
      <c r="DH101" s="25" t="s">
        <v>193</v>
      </c>
      <c r="DI101" s="25" t="s">
        <v>194</v>
      </c>
      <c r="DJ101" s="25" t="s">
        <v>2101</v>
      </c>
      <c r="DK101" s="25" t="s">
        <v>2102</v>
      </c>
      <c r="DL101" s="32" t="s">
        <v>2103</v>
      </c>
      <c r="DM101" s="25" t="s">
        <v>198</v>
      </c>
      <c r="DN101" s="24" t="s">
        <v>2104</v>
      </c>
      <c r="DO101" s="31">
        <v>2016</v>
      </c>
      <c r="DP101" s="25" t="s">
        <v>166</v>
      </c>
      <c r="DQ101" s="25" t="s">
        <v>166</v>
      </c>
      <c r="DR101" s="29" t="s">
        <v>166</v>
      </c>
      <c r="DS101" s="27" t="s">
        <v>166</v>
      </c>
      <c r="DT101" s="30" t="s">
        <v>166</v>
      </c>
      <c r="DU101" s="25" t="s">
        <v>166</v>
      </c>
      <c r="DV101" s="29" t="s">
        <v>166</v>
      </c>
      <c r="DW101" s="29" t="s">
        <v>166</v>
      </c>
      <c r="DX101" s="27" t="s">
        <v>166</v>
      </c>
      <c r="DY101" s="27" t="s">
        <v>166</v>
      </c>
      <c r="DZ101" s="28" t="s">
        <v>166</v>
      </c>
      <c r="EA101" s="27" t="s">
        <v>166</v>
      </c>
      <c r="EB101" s="27" t="s">
        <v>166</v>
      </c>
      <c r="EC101" s="27" t="s">
        <v>166</v>
      </c>
      <c r="ED101" s="28" t="s">
        <v>166</v>
      </c>
      <c r="EE101" s="28" t="s">
        <v>166</v>
      </c>
      <c r="EF101" s="28" t="s">
        <v>166</v>
      </c>
      <c r="EG101" s="28" t="s">
        <v>166</v>
      </c>
      <c r="EH101" s="27" t="s">
        <v>166</v>
      </c>
      <c r="EI101" s="27" t="s">
        <v>166</v>
      </c>
      <c r="EJ101" s="27" t="s">
        <v>166</v>
      </c>
      <c r="EK101" s="27" t="s">
        <v>166</v>
      </c>
      <c r="EL101" s="27" t="s">
        <v>166</v>
      </c>
      <c r="EM101" s="27" t="s">
        <v>166</v>
      </c>
      <c r="EN101" s="27" t="s">
        <v>166</v>
      </c>
      <c r="EO101" s="27" t="s">
        <v>166</v>
      </c>
      <c r="EP101" s="27" t="s">
        <v>166</v>
      </c>
      <c r="EQ101" s="27" t="s">
        <v>166</v>
      </c>
      <c r="ER101" s="27" t="s">
        <v>166</v>
      </c>
      <c r="ES101" s="27" t="s">
        <v>166</v>
      </c>
      <c r="ET101" s="25" t="s">
        <v>166</v>
      </c>
      <c r="EU101" s="27" t="s">
        <v>166</v>
      </c>
      <c r="EV101" s="27" t="s">
        <v>166</v>
      </c>
      <c r="EW101" s="27" t="s">
        <v>166</v>
      </c>
      <c r="EX101" s="25" t="s">
        <v>190</v>
      </c>
      <c r="EY101" s="25" t="s">
        <v>166</v>
      </c>
      <c r="EZ101" s="27" t="s">
        <v>166</v>
      </c>
      <c r="FA101" s="26">
        <v>2</v>
      </c>
      <c r="FB101" s="26">
        <v>1</v>
      </c>
      <c r="FC101" s="26" t="s">
        <v>166</v>
      </c>
      <c r="FD101" s="26" t="s">
        <v>166</v>
      </c>
      <c r="FE101" s="26" t="s">
        <v>166</v>
      </c>
      <c r="FF101" s="26">
        <v>2</v>
      </c>
      <c r="FG101" s="25" t="s">
        <v>166</v>
      </c>
      <c r="FH101" s="4">
        <f>HYPERLINK("https://my.pitchbook.com?c=220254-31T","View Company Online")</f>
      </c>
    </row>
    <row r="102">
      <c r="A102" s="14" t="s">
        <v>2105</v>
      </c>
      <c r="B102" s="14" t="s">
        <v>2106</v>
      </c>
      <c r="C102" s="14" t="s">
        <v>2107</v>
      </c>
      <c r="D102" s="14" t="s">
        <v>166</v>
      </c>
      <c r="E102" s="23" t="s">
        <v>2108</v>
      </c>
      <c r="F102" s="21">
        <v>1</v>
      </c>
      <c r="G102" s="14" t="s">
        <v>2109</v>
      </c>
      <c r="H102" s="14" t="s">
        <v>166</v>
      </c>
      <c r="I102" s="14" t="s">
        <v>2110</v>
      </c>
      <c r="J102" s="14" t="s">
        <v>2111</v>
      </c>
      <c r="K102" s="14" t="s">
        <v>1455</v>
      </c>
      <c r="L102" s="14" t="s">
        <v>1984</v>
      </c>
      <c r="M102" s="14" t="s">
        <v>2112</v>
      </c>
      <c r="N102" s="14" t="s">
        <v>2113</v>
      </c>
      <c r="O102" s="14" t="s">
        <v>2114</v>
      </c>
      <c r="P102" s="14" t="s">
        <v>2115</v>
      </c>
      <c r="Q102" s="14" t="s">
        <v>166</v>
      </c>
      <c r="R102" s="14" t="s">
        <v>177</v>
      </c>
      <c r="S102" s="14" t="s">
        <v>178</v>
      </c>
      <c r="T102" s="14" t="s">
        <v>179</v>
      </c>
      <c r="U102" s="14" t="s">
        <v>2116</v>
      </c>
      <c r="V102" s="14" t="s">
        <v>2117</v>
      </c>
      <c r="W102" s="21" t="s">
        <v>2118</v>
      </c>
      <c r="X102" s="14" t="s">
        <v>2119</v>
      </c>
      <c r="Y102" s="14" t="s">
        <v>2120</v>
      </c>
      <c r="Z102" s="14" t="s">
        <v>166</v>
      </c>
      <c r="AA102" s="14" t="s">
        <v>166</v>
      </c>
      <c r="AB102" s="14" t="s">
        <v>166</v>
      </c>
      <c r="AC102" s="14" t="s">
        <v>166</v>
      </c>
      <c r="AD102" s="14" t="s">
        <v>166</v>
      </c>
      <c r="AE102" s="14" t="s">
        <v>166</v>
      </c>
      <c r="AF102" s="14" t="s">
        <v>166</v>
      </c>
      <c r="AG102" s="14" t="s">
        <v>166</v>
      </c>
      <c r="AH102" s="21">
        <v>3</v>
      </c>
      <c r="AI102" s="3">
        <f>HYPERLINK("https://my.pitchbook.com/?d=192158-47T","192158-47T")</f>
      </c>
      <c r="AJ102" s="19" t="s">
        <v>166</v>
      </c>
      <c r="AK102" s="19">
        <v>44562</v>
      </c>
      <c r="AL102" s="18">
        <v>0.2</v>
      </c>
      <c r="AM102" s="14" t="s">
        <v>185</v>
      </c>
      <c r="AN102" s="18" t="s">
        <v>166</v>
      </c>
      <c r="AO102" s="18" t="s">
        <v>166</v>
      </c>
      <c r="AP102" s="14" t="s">
        <v>166</v>
      </c>
      <c r="AQ102" s="21" t="s">
        <v>166</v>
      </c>
      <c r="AR102" s="21" t="s">
        <v>166</v>
      </c>
      <c r="AS102" s="17" t="s">
        <v>166</v>
      </c>
      <c r="AT102" s="18">
        <v>0.3</v>
      </c>
      <c r="AU102" s="21" t="s">
        <v>186</v>
      </c>
      <c r="AV102" s="21" t="s">
        <v>166</v>
      </c>
      <c r="AW102" s="18" t="s">
        <v>166</v>
      </c>
      <c r="AX102" s="21" t="s">
        <v>166</v>
      </c>
      <c r="AY102" s="14" t="s">
        <v>187</v>
      </c>
      <c r="AZ102" s="14" t="s">
        <v>166</v>
      </c>
      <c r="BA102" s="14" t="s">
        <v>166</v>
      </c>
      <c r="BB102" s="21" t="s">
        <v>166</v>
      </c>
      <c r="BC102" s="14" t="s">
        <v>179</v>
      </c>
      <c r="BD102" s="14" t="s">
        <v>2121</v>
      </c>
      <c r="BE102" s="14" t="s">
        <v>189</v>
      </c>
      <c r="BF102" s="18">
        <v>0.2</v>
      </c>
      <c r="BG102" s="14" t="s">
        <v>190</v>
      </c>
      <c r="BH102" s="14" t="s">
        <v>166</v>
      </c>
      <c r="BI102" s="14" t="s">
        <v>166</v>
      </c>
      <c r="BJ102" s="18" t="s">
        <v>166</v>
      </c>
      <c r="BK102" s="18" t="s">
        <v>166</v>
      </c>
      <c r="BL102" s="14" t="s">
        <v>191</v>
      </c>
      <c r="BM102" s="14" t="s">
        <v>178</v>
      </c>
      <c r="BN102" s="14" t="s">
        <v>177</v>
      </c>
      <c r="BO102" s="22" t="s">
        <v>166</v>
      </c>
      <c r="BP102" s="14" t="s">
        <v>2108</v>
      </c>
      <c r="BQ102" s="21">
        <v>1</v>
      </c>
      <c r="BR102" s="14" t="s">
        <v>166</v>
      </c>
      <c r="BS102" s="21" t="s">
        <v>166</v>
      </c>
      <c r="BT102" s="14" t="s">
        <v>166</v>
      </c>
      <c r="BU102" s="14" t="s">
        <v>166</v>
      </c>
      <c r="BV102" s="14" t="s">
        <v>166</v>
      </c>
      <c r="BW102" s="14" t="s">
        <v>166</v>
      </c>
      <c r="BX102" s="14" t="s">
        <v>166</v>
      </c>
      <c r="BY102" s="14" t="s">
        <v>166</v>
      </c>
      <c r="BZ102" s="14" t="s">
        <v>166</v>
      </c>
      <c r="CA102" s="14" t="s">
        <v>166</v>
      </c>
      <c r="CB102" s="14" t="s">
        <v>166</v>
      </c>
      <c r="CC102" s="14" t="s">
        <v>166</v>
      </c>
      <c r="CD102" s="14" t="s">
        <v>166</v>
      </c>
      <c r="CE102" s="18" t="s">
        <v>166</v>
      </c>
      <c r="CF102" s="16" t="s">
        <v>166</v>
      </c>
      <c r="CG102" s="17" t="s">
        <v>166</v>
      </c>
      <c r="CH102" s="16" t="s">
        <v>166</v>
      </c>
      <c r="CI102" s="16" t="s">
        <v>166</v>
      </c>
      <c r="CJ102" s="16" t="s">
        <v>166</v>
      </c>
      <c r="CK102" s="16" t="s">
        <v>166</v>
      </c>
      <c r="CL102" s="16" t="s">
        <v>166</v>
      </c>
      <c r="CM102" s="20" t="s">
        <v>166</v>
      </c>
      <c r="CN102" s="16" t="s">
        <v>166</v>
      </c>
      <c r="CO102" s="16" t="s">
        <v>166</v>
      </c>
      <c r="CP102" s="16" t="s">
        <v>166</v>
      </c>
      <c r="CQ102" s="16" t="s">
        <v>166</v>
      </c>
      <c r="CR102" s="16" t="s">
        <v>166</v>
      </c>
      <c r="CS102" s="16" t="s">
        <v>166</v>
      </c>
      <c r="CT102" s="16" t="s">
        <v>166</v>
      </c>
      <c r="CU102" s="16" t="s">
        <v>166</v>
      </c>
      <c r="CV102" s="16" t="s">
        <v>166</v>
      </c>
      <c r="CW102" s="16" t="s">
        <v>166</v>
      </c>
      <c r="CX102" s="16" t="s">
        <v>166</v>
      </c>
      <c r="CY102" s="16" t="s">
        <v>166</v>
      </c>
      <c r="CZ102" s="16" t="s">
        <v>166</v>
      </c>
      <c r="DA102" s="16" t="s">
        <v>166</v>
      </c>
      <c r="DB102" s="16" t="s">
        <v>166</v>
      </c>
      <c r="DC102" s="16" t="s">
        <v>166</v>
      </c>
      <c r="DD102" s="16" t="s">
        <v>166</v>
      </c>
      <c r="DE102" s="17" t="s">
        <v>166</v>
      </c>
      <c r="DF102" s="22">
        <v>8</v>
      </c>
      <c r="DG102" s="14" t="s">
        <v>2122</v>
      </c>
      <c r="DH102" s="14" t="s">
        <v>193</v>
      </c>
      <c r="DI102" s="14" t="s">
        <v>194</v>
      </c>
      <c r="DJ102" s="14" t="s">
        <v>2123</v>
      </c>
      <c r="DK102" s="14" t="s">
        <v>2124</v>
      </c>
      <c r="DL102" s="21" t="s">
        <v>166</v>
      </c>
      <c r="DM102" s="14" t="s">
        <v>198</v>
      </c>
      <c r="DN102" s="13" t="s">
        <v>2125</v>
      </c>
      <c r="DO102" s="20">
        <v>2019</v>
      </c>
      <c r="DP102" s="14" t="s">
        <v>166</v>
      </c>
      <c r="DQ102" s="14" t="s">
        <v>166</v>
      </c>
      <c r="DR102" s="18" t="s">
        <v>166</v>
      </c>
      <c r="DS102" s="16" t="s">
        <v>166</v>
      </c>
      <c r="DT102" s="19" t="s">
        <v>166</v>
      </c>
      <c r="DU102" s="14" t="s">
        <v>166</v>
      </c>
      <c r="DV102" s="18" t="s">
        <v>166</v>
      </c>
      <c r="DW102" s="18" t="s">
        <v>166</v>
      </c>
      <c r="DX102" s="16" t="s">
        <v>166</v>
      </c>
      <c r="DY102" s="16" t="s">
        <v>166</v>
      </c>
      <c r="DZ102" s="17" t="s">
        <v>166</v>
      </c>
      <c r="EA102" s="16" t="s">
        <v>166</v>
      </c>
      <c r="EB102" s="16" t="s">
        <v>166</v>
      </c>
      <c r="EC102" s="16" t="s">
        <v>166</v>
      </c>
      <c r="ED102" s="17" t="s">
        <v>166</v>
      </c>
      <c r="EE102" s="17" t="s">
        <v>166</v>
      </c>
      <c r="EF102" s="17" t="s">
        <v>166</v>
      </c>
      <c r="EG102" s="17" t="s">
        <v>166</v>
      </c>
      <c r="EH102" s="16" t="s">
        <v>166</v>
      </c>
      <c r="EI102" s="16" t="s">
        <v>166</v>
      </c>
      <c r="EJ102" s="16" t="s">
        <v>166</v>
      </c>
      <c r="EK102" s="16" t="s">
        <v>166</v>
      </c>
      <c r="EL102" s="16" t="s">
        <v>166</v>
      </c>
      <c r="EM102" s="16" t="s">
        <v>166</v>
      </c>
      <c r="EN102" s="16" t="s">
        <v>166</v>
      </c>
      <c r="EO102" s="16" t="s">
        <v>166</v>
      </c>
      <c r="EP102" s="16" t="s">
        <v>166</v>
      </c>
      <c r="EQ102" s="16" t="s">
        <v>166</v>
      </c>
      <c r="ER102" s="16" t="s">
        <v>166</v>
      </c>
      <c r="ES102" s="16" t="s">
        <v>166</v>
      </c>
      <c r="ET102" s="14" t="s">
        <v>166</v>
      </c>
      <c r="EU102" s="16" t="s">
        <v>166</v>
      </c>
      <c r="EV102" s="16" t="s">
        <v>166</v>
      </c>
      <c r="EW102" s="16" t="s">
        <v>166</v>
      </c>
      <c r="EX102" s="14" t="s">
        <v>190</v>
      </c>
      <c r="EY102" s="14" t="s">
        <v>166</v>
      </c>
      <c r="EZ102" s="16" t="s">
        <v>166</v>
      </c>
      <c r="FA102" s="15" t="s">
        <v>166</v>
      </c>
      <c r="FB102" s="15" t="s">
        <v>166</v>
      </c>
      <c r="FC102" s="15" t="s">
        <v>166</v>
      </c>
      <c r="FD102" s="15" t="s">
        <v>166</v>
      </c>
      <c r="FE102" s="15" t="s">
        <v>166</v>
      </c>
      <c r="FF102" s="15" t="s">
        <v>166</v>
      </c>
      <c r="FG102" s="14" t="s">
        <v>166</v>
      </c>
      <c r="FH102" s="3">
        <f>HYPERLINK("https://my.pitchbook.com?c=192158-47T","View Company Online")</f>
      </c>
    </row>
    <row r="103">
      <c r="A103" s="25" t="s">
        <v>2126</v>
      </c>
      <c r="B103" s="25" t="s">
        <v>2127</v>
      </c>
      <c r="C103" s="25" t="s">
        <v>2128</v>
      </c>
      <c r="D103" s="25" t="s">
        <v>166</v>
      </c>
      <c r="E103" s="34" t="s">
        <v>2129</v>
      </c>
      <c r="F103" s="32">
        <v>10</v>
      </c>
      <c r="G103" s="25" t="s">
        <v>2130</v>
      </c>
      <c r="H103" s="25" t="s">
        <v>166</v>
      </c>
      <c r="I103" s="25" t="s">
        <v>2131</v>
      </c>
      <c r="J103" s="25" t="s">
        <v>2132</v>
      </c>
      <c r="K103" s="25" t="s">
        <v>207</v>
      </c>
      <c r="L103" s="25" t="s">
        <v>208</v>
      </c>
      <c r="M103" s="25" t="s">
        <v>209</v>
      </c>
      <c r="N103" s="25" t="s">
        <v>924</v>
      </c>
      <c r="O103" s="25" t="s">
        <v>984</v>
      </c>
      <c r="P103" s="25" t="s">
        <v>2133</v>
      </c>
      <c r="Q103" s="25" t="s">
        <v>166</v>
      </c>
      <c r="R103" s="25" t="s">
        <v>177</v>
      </c>
      <c r="S103" s="25" t="s">
        <v>178</v>
      </c>
      <c r="T103" s="25" t="s">
        <v>179</v>
      </c>
      <c r="U103" s="25" t="s">
        <v>2134</v>
      </c>
      <c r="V103" s="25" t="s">
        <v>2135</v>
      </c>
      <c r="W103" s="32" t="s">
        <v>2136</v>
      </c>
      <c r="X103" s="25" t="s">
        <v>2137</v>
      </c>
      <c r="Y103" s="25" t="s">
        <v>2138</v>
      </c>
      <c r="Z103" s="25" t="s">
        <v>166</v>
      </c>
      <c r="AA103" s="25" t="s">
        <v>166</v>
      </c>
      <c r="AB103" s="25" t="s">
        <v>166</v>
      </c>
      <c r="AC103" s="25" t="s">
        <v>166</v>
      </c>
      <c r="AD103" s="25" t="s">
        <v>166</v>
      </c>
      <c r="AE103" s="25" t="s">
        <v>166</v>
      </c>
      <c r="AF103" s="25" t="s">
        <v>166</v>
      </c>
      <c r="AG103" s="25" t="s">
        <v>166</v>
      </c>
      <c r="AH103" s="32">
        <v>1</v>
      </c>
      <c r="AI103" s="4">
        <f>HYPERLINK("https://my.pitchbook.com/?d=137216-44T","137216-44T")</f>
      </c>
      <c r="AJ103" s="30" t="s">
        <v>166</v>
      </c>
      <c r="AK103" s="30">
        <v>43841</v>
      </c>
      <c r="AL103" s="29">
        <v>0.35</v>
      </c>
      <c r="AM103" s="25" t="s">
        <v>185</v>
      </c>
      <c r="AN103" s="29" t="s">
        <v>166</v>
      </c>
      <c r="AO103" s="29" t="s">
        <v>166</v>
      </c>
      <c r="AP103" s="25" t="s">
        <v>166</v>
      </c>
      <c r="AQ103" s="32" t="s">
        <v>166</v>
      </c>
      <c r="AR103" s="32" t="s">
        <v>166</v>
      </c>
      <c r="AS103" s="28" t="s">
        <v>166</v>
      </c>
      <c r="AT103" s="29">
        <v>0.35</v>
      </c>
      <c r="AU103" s="32" t="s">
        <v>186</v>
      </c>
      <c r="AV103" s="32" t="s">
        <v>166</v>
      </c>
      <c r="AW103" s="29" t="s">
        <v>166</v>
      </c>
      <c r="AX103" s="32" t="s">
        <v>166</v>
      </c>
      <c r="AY103" s="25" t="s">
        <v>187</v>
      </c>
      <c r="AZ103" s="25" t="s">
        <v>166</v>
      </c>
      <c r="BA103" s="25" t="s">
        <v>166</v>
      </c>
      <c r="BB103" s="32" t="s">
        <v>166</v>
      </c>
      <c r="BC103" s="25" t="s">
        <v>179</v>
      </c>
      <c r="BD103" s="25" t="s">
        <v>2139</v>
      </c>
      <c r="BE103" s="25" t="s">
        <v>189</v>
      </c>
      <c r="BF103" s="29">
        <v>0.35</v>
      </c>
      <c r="BG103" s="25" t="s">
        <v>190</v>
      </c>
      <c r="BH103" s="25" t="s">
        <v>166</v>
      </c>
      <c r="BI103" s="25" t="s">
        <v>166</v>
      </c>
      <c r="BJ103" s="29" t="s">
        <v>166</v>
      </c>
      <c r="BK103" s="29" t="s">
        <v>166</v>
      </c>
      <c r="BL103" s="25" t="s">
        <v>191</v>
      </c>
      <c r="BM103" s="25" t="s">
        <v>785</v>
      </c>
      <c r="BN103" s="25" t="s">
        <v>177</v>
      </c>
      <c r="BO103" s="33" t="s">
        <v>166</v>
      </c>
      <c r="BP103" s="25" t="s">
        <v>2140</v>
      </c>
      <c r="BQ103" s="32">
        <v>10</v>
      </c>
      <c r="BR103" s="25" t="s">
        <v>166</v>
      </c>
      <c r="BS103" s="32" t="s">
        <v>166</v>
      </c>
      <c r="BT103" s="25" t="s">
        <v>166</v>
      </c>
      <c r="BU103" s="25" t="s">
        <v>166</v>
      </c>
      <c r="BV103" s="25" t="s">
        <v>2141</v>
      </c>
      <c r="BW103" s="25" t="s">
        <v>166</v>
      </c>
      <c r="BX103" s="25" t="s">
        <v>166</v>
      </c>
      <c r="BY103" s="25" t="s">
        <v>166</v>
      </c>
      <c r="BZ103" s="25" t="s">
        <v>166</v>
      </c>
      <c r="CA103" s="25" t="s">
        <v>166</v>
      </c>
      <c r="CB103" s="25" t="s">
        <v>166</v>
      </c>
      <c r="CC103" s="25" t="s">
        <v>166</v>
      </c>
      <c r="CD103" s="25" t="s">
        <v>166</v>
      </c>
      <c r="CE103" s="29" t="s">
        <v>166</v>
      </c>
      <c r="CF103" s="27" t="s">
        <v>166</v>
      </c>
      <c r="CG103" s="28" t="s">
        <v>166</v>
      </c>
      <c r="CH103" s="27" t="s">
        <v>166</v>
      </c>
      <c r="CI103" s="27" t="s">
        <v>166</v>
      </c>
      <c r="CJ103" s="27" t="s">
        <v>166</v>
      </c>
      <c r="CK103" s="27" t="s">
        <v>166</v>
      </c>
      <c r="CL103" s="27" t="s">
        <v>166</v>
      </c>
      <c r="CM103" s="31" t="s">
        <v>166</v>
      </c>
      <c r="CN103" s="27" t="s">
        <v>166</v>
      </c>
      <c r="CO103" s="27" t="s">
        <v>166</v>
      </c>
      <c r="CP103" s="27" t="s">
        <v>166</v>
      </c>
      <c r="CQ103" s="27" t="s">
        <v>166</v>
      </c>
      <c r="CR103" s="27" t="s">
        <v>166</v>
      </c>
      <c r="CS103" s="27" t="s">
        <v>166</v>
      </c>
      <c r="CT103" s="27" t="s">
        <v>166</v>
      </c>
      <c r="CU103" s="27" t="s">
        <v>166</v>
      </c>
      <c r="CV103" s="27" t="s">
        <v>166</v>
      </c>
      <c r="CW103" s="27" t="s">
        <v>166</v>
      </c>
      <c r="CX103" s="27" t="s">
        <v>166</v>
      </c>
      <c r="CY103" s="27" t="s">
        <v>166</v>
      </c>
      <c r="CZ103" s="27" t="s">
        <v>166</v>
      </c>
      <c r="DA103" s="27" t="s">
        <v>166</v>
      </c>
      <c r="DB103" s="27" t="s">
        <v>166</v>
      </c>
      <c r="DC103" s="27" t="s">
        <v>166</v>
      </c>
      <c r="DD103" s="27" t="s">
        <v>166</v>
      </c>
      <c r="DE103" s="28" t="s">
        <v>166</v>
      </c>
      <c r="DF103" s="33">
        <v>18</v>
      </c>
      <c r="DG103" s="25" t="s">
        <v>1191</v>
      </c>
      <c r="DH103" s="25" t="s">
        <v>193</v>
      </c>
      <c r="DI103" s="25" t="s">
        <v>194</v>
      </c>
      <c r="DJ103" s="25" t="s">
        <v>1192</v>
      </c>
      <c r="DK103" s="25" t="s">
        <v>1023</v>
      </c>
      <c r="DL103" s="32" t="s">
        <v>2142</v>
      </c>
      <c r="DM103" s="25" t="s">
        <v>198</v>
      </c>
      <c r="DN103" s="24" t="s">
        <v>2143</v>
      </c>
      <c r="DO103" s="31">
        <v>2018</v>
      </c>
      <c r="DP103" s="25" t="s">
        <v>166</v>
      </c>
      <c r="DQ103" s="25" t="s">
        <v>166</v>
      </c>
      <c r="DR103" s="29" t="s">
        <v>166</v>
      </c>
      <c r="DS103" s="27" t="s">
        <v>166</v>
      </c>
      <c r="DT103" s="30" t="s">
        <v>166</v>
      </c>
      <c r="DU103" s="25" t="s">
        <v>166</v>
      </c>
      <c r="DV103" s="29" t="s">
        <v>166</v>
      </c>
      <c r="DW103" s="29" t="s">
        <v>166</v>
      </c>
      <c r="DX103" s="27" t="s">
        <v>166</v>
      </c>
      <c r="DY103" s="27" t="s">
        <v>166</v>
      </c>
      <c r="DZ103" s="28" t="s">
        <v>166</v>
      </c>
      <c r="EA103" s="27" t="s">
        <v>166</v>
      </c>
      <c r="EB103" s="27" t="s">
        <v>166</v>
      </c>
      <c r="EC103" s="27" t="s">
        <v>166</v>
      </c>
      <c r="ED103" s="28" t="s">
        <v>166</v>
      </c>
      <c r="EE103" s="28" t="s">
        <v>166</v>
      </c>
      <c r="EF103" s="28" t="s">
        <v>166</v>
      </c>
      <c r="EG103" s="28" t="s">
        <v>166</v>
      </c>
      <c r="EH103" s="27" t="s">
        <v>166</v>
      </c>
      <c r="EI103" s="27" t="s">
        <v>166</v>
      </c>
      <c r="EJ103" s="27" t="s">
        <v>166</v>
      </c>
      <c r="EK103" s="27" t="s">
        <v>166</v>
      </c>
      <c r="EL103" s="27" t="s">
        <v>166</v>
      </c>
      <c r="EM103" s="27" t="s">
        <v>166</v>
      </c>
      <c r="EN103" s="27" t="s">
        <v>166</v>
      </c>
      <c r="EO103" s="27" t="s">
        <v>166</v>
      </c>
      <c r="EP103" s="27" t="s">
        <v>166</v>
      </c>
      <c r="EQ103" s="27" t="s">
        <v>166</v>
      </c>
      <c r="ER103" s="27" t="s">
        <v>166</v>
      </c>
      <c r="ES103" s="27" t="s">
        <v>166</v>
      </c>
      <c r="ET103" s="25" t="s">
        <v>166</v>
      </c>
      <c r="EU103" s="27" t="s">
        <v>166</v>
      </c>
      <c r="EV103" s="27" t="s">
        <v>166</v>
      </c>
      <c r="EW103" s="27" t="s">
        <v>166</v>
      </c>
      <c r="EX103" s="25" t="s">
        <v>190</v>
      </c>
      <c r="EY103" s="25" t="s">
        <v>166</v>
      </c>
      <c r="EZ103" s="27" t="s">
        <v>166</v>
      </c>
      <c r="FA103" s="26" t="s">
        <v>166</v>
      </c>
      <c r="FB103" s="26" t="s">
        <v>166</v>
      </c>
      <c r="FC103" s="26" t="s">
        <v>166</v>
      </c>
      <c r="FD103" s="26" t="s">
        <v>166</v>
      </c>
      <c r="FE103" s="26" t="s">
        <v>166</v>
      </c>
      <c r="FF103" s="26" t="s">
        <v>166</v>
      </c>
      <c r="FG103" s="25" t="s">
        <v>166</v>
      </c>
      <c r="FH103" s="4">
        <f>HYPERLINK("https://my.pitchbook.com?c=137216-44T","View Company Online")</f>
      </c>
    </row>
    <row r="104">
      <c r="A104" s="14" t="s">
        <v>2144</v>
      </c>
      <c r="B104" s="14" t="s">
        <v>2145</v>
      </c>
      <c r="C104" s="14" t="s">
        <v>2146</v>
      </c>
      <c r="D104" s="14" t="s">
        <v>166</v>
      </c>
      <c r="E104" s="23" t="s">
        <v>2147</v>
      </c>
      <c r="F104" s="21">
        <v>9</v>
      </c>
      <c r="G104" s="14" t="s">
        <v>2148</v>
      </c>
      <c r="H104" s="14" t="s">
        <v>166</v>
      </c>
      <c r="I104" s="14" t="s">
        <v>2149</v>
      </c>
      <c r="J104" s="14" t="s">
        <v>2150</v>
      </c>
      <c r="K104" s="14" t="s">
        <v>2151</v>
      </c>
      <c r="L104" s="14" t="s">
        <v>2152</v>
      </c>
      <c r="M104" s="14" t="s">
        <v>2153</v>
      </c>
      <c r="N104" s="14" t="s">
        <v>2154</v>
      </c>
      <c r="O104" s="14" t="s">
        <v>2155</v>
      </c>
      <c r="P104" s="14" t="s">
        <v>2156</v>
      </c>
      <c r="Q104" s="14" t="s">
        <v>2157</v>
      </c>
      <c r="R104" s="14" t="s">
        <v>177</v>
      </c>
      <c r="S104" s="14" t="s">
        <v>178</v>
      </c>
      <c r="T104" s="14" t="s">
        <v>179</v>
      </c>
      <c r="U104" s="14" t="s">
        <v>2158</v>
      </c>
      <c r="V104" s="14" t="s">
        <v>2159</v>
      </c>
      <c r="W104" s="21" t="s">
        <v>2160</v>
      </c>
      <c r="X104" s="14" t="s">
        <v>2161</v>
      </c>
      <c r="Y104" s="14" t="s">
        <v>2162</v>
      </c>
      <c r="Z104" s="14" t="s">
        <v>166</v>
      </c>
      <c r="AA104" s="14" t="s">
        <v>242</v>
      </c>
      <c r="AB104" s="14" t="s">
        <v>243</v>
      </c>
      <c r="AC104" s="14" t="s">
        <v>244</v>
      </c>
      <c r="AD104" s="14" t="s">
        <v>243</v>
      </c>
      <c r="AE104" s="14" t="s">
        <v>243</v>
      </c>
      <c r="AF104" s="14" t="s">
        <v>166</v>
      </c>
      <c r="AG104" s="14" t="s">
        <v>246</v>
      </c>
      <c r="AH104" s="21">
        <v>1</v>
      </c>
      <c r="AI104" s="3">
        <f>HYPERLINK("https://my.pitchbook.com/?d=201555-73T","201555-73T")</f>
      </c>
      <c r="AJ104" s="19">
        <v>44725</v>
      </c>
      <c r="AK104" s="19">
        <v>44783</v>
      </c>
      <c r="AL104" s="18">
        <v>6</v>
      </c>
      <c r="AM104" s="14" t="s">
        <v>185</v>
      </c>
      <c r="AN104" s="18">
        <v>9.35</v>
      </c>
      <c r="AO104" s="18">
        <v>15.35</v>
      </c>
      <c r="AP104" s="14" t="s">
        <v>247</v>
      </c>
      <c r="AQ104" s="21" t="s">
        <v>166</v>
      </c>
      <c r="AR104" s="21" t="s">
        <v>166</v>
      </c>
      <c r="AS104" s="17">
        <v>35.67</v>
      </c>
      <c r="AT104" s="18">
        <v>6</v>
      </c>
      <c r="AU104" s="21" t="s">
        <v>186</v>
      </c>
      <c r="AV104" s="21" t="s">
        <v>166</v>
      </c>
      <c r="AW104" s="18">
        <v>1.18</v>
      </c>
      <c r="AX104" s="21" t="s">
        <v>166</v>
      </c>
      <c r="AY104" s="14" t="s">
        <v>217</v>
      </c>
      <c r="AZ104" s="14" t="s">
        <v>217</v>
      </c>
      <c r="BA104" s="14" t="s">
        <v>166</v>
      </c>
      <c r="BB104" s="21" t="s">
        <v>166</v>
      </c>
      <c r="BC104" s="14" t="s">
        <v>179</v>
      </c>
      <c r="BD104" s="14" t="s">
        <v>2163</v>
      </c>
      <c r="BE104" s="14" t="s">
        <v>189</v>
      </c>
      <c r="BF104" s="18">
        <v>6</v>
      </c>
      <c r="BG104" s="14" t="s">
        <v>190</v>
      </c>
      <c r="BH104" s="14" t="s">
        <v>166</v>
      </c>
      <c r="BI104" s="14" t="s">
        <v>166</v>
      </c>
      <c r="BJ104" s="18" t="s">
        <v>166</v>
      </c>
      <c r="BK104" s="18" t="s">
        <v>166</v>
      </c>
      <c r="BL104" s="14" t="s">
        <v>191</v>
      </c>
      <c r="BM104" s="14" t="s">
        <v>358</v>
      </c>
      <c r="BN104" s="14" t="s">
        <v>177</v>
      </c>
      <c r="BO104" s="22" t="s">
        <v>166</v>
      </c>
      <c r="BP104" s="14" t="s">
        <v>2164</v>
      </c>
      <c r="BQ104" s="21">
        <v>9</v>
      </c>
      <c r="BR104" s="14" t="s">
        <v>166</v>
      </c>
      <c r="BS104" s="21" t="s">
        <v>166</v>
      </c>
      <c r="BT104" s="14" t="s">
        <v>2165</v>
      </c>
      <c r="BU104" s="14" t="s">
        <v>166</v>
      </c>
      <c r="BV104" s="14" t="s">
        <v>2166</v>
      </c>
      <c r="BW104" s="14" t="s">
        <v>166</v>
      </c>
      <c r="BX104" s="14" t="s">
        <v>166</v>
      </c>
      <c r="BY104" s="14" t="s">
        <v>166</v>
      </c>
      <c r="BZ104" s="14" t="s">
        <v>166</v>
      </c>
      <c r="CA104" s="14" t="s">
        <v>166</v>
      </c>
      <c r="CB104" s="14" t="s">
        <v>166</v>
      </c>
      <c r="CC104" s="14" t="s">
        <v>166</v>
      </c>
      <c r="CD104" s="14" t="s">
        <v>166</v>
      </c>
      <c r="CE104" s="18" t="s">
        <v>166</v>
      </c>
      <c r="CF104" s="16" t="s">
        <v>166</v>
      </c>
      <c r="CG104" s="17" t="s">
        <v>166</v>
      </c>
      <c r="CH104" s="16" t="s">
        <v>166</v>
      </c>
      <c r="CI104" s="16" t="s">
        <v>166</v>
      </c>
      <c r="CJ104" s="16" t="s">
        <v>166</v>
      </c>
      <c r="CK104" s="16" t="s">
        <v>166</v>
      </c>
      <c r="CL104" s="16" t="s">
        <v>166</v>
      </c>
      <c r="CM104" s="20" t="s">
        <v>166</v>
      </c>
      <c r="CN104" s="16" t="s">
        <v>166</v>
      </c>
      <c r="CO104" s="16" t="s">
        <v>166</v>
      </c>
      <c r="CP104" s="16" t="s">
        <v>166</v>
      </c>
      <c r="CQ104" s="16" t="s">
        <v>166</v>
      </c>
      <c r="CR104" s="16" t="s">
        <v>166</v>
      </c>
      <c r="CS104" s="16" t="s">
        <v>166</v>
      </c>
      <c r="CT104" s="16" t="s">
        <v>166</v>
      </c>
      <c r="CU104" s="16" t="s">
        <v>166</v>
      </c>
      <c r="CV104" s="16" t="s">
        <v>166</v>
      </c>
      <c r="CW104" s="16" t="s">
        <v>166</v>
      </c>
      <c r="CX104" s="16" t="s">
        <v>166</v>
      </c>
      <c r="CY104" s="16" t="s">
        <v>166</v>
      </c>
      <c r="CZ104" s="16" t="s">
        <v>166</v>
      </c>
      <c r="DA104" s="16" t="s">
        <v>166</v>
      </c>
      <c r="DB104" s="16" t="s">
        <v>166</v>
      </c>
      <c r="DC104" s="16" t="s">
        <v>166</v>
      </c>
      <c r="DD104" s="16" t="s">
        <v>166</v>
      </c>
      <c r="DE104" s="17" t="s">
        <v>166</v>
      </c>
      <c r="DF104" s="22">
        <v>18</v>
      </c>
      <c r="DG104" s="14" t="s">
        <v>384</v>
      </c>
      <c r="DH104" s="14" t="s">
        <v>193</v>
      </c>
      <c r="DI104" s="14" t="s">
        <v>194</v>
      </c>
      <c r="DJ104" s="14" t="s">
        <v>385</v>
      </c>
      <c r="DK104" s="14" t="s">
        <v>386</v>
      </c>
      <c r="DL104" s="21" t="s">
        <v>2167</v>
      </c>
      <c r="DM104" s="14" t="s">
        <v>198</v>
      </c>
      <c r="DN104" s="13" t="s">
        <v>2168</v>
      </c>
      <c r="DO104" s="20">
        <v>2022</v>
      </c>
      <c r="DP104" s="14" t="s">
        <v>166</v>
      </c>
      <c r="DQ104" s="14" t="s">
        <v>166</v>
      </c>
      <c r="DR104" s="18" t="s">
        <v>166</v>
      </c>
      <c r="DS104" s="16" t="s">
        <v>166</v>
      </c>
      <c r="DT104" s="19" t="s">
        <v>166</v>
      </c>
      <c r="DU104" s="14" t="s">
        <v>166</v>
      </c>
      <c r="DV104" s="18" t="s">
        <v>166</v>
      </c>
      <c r="DW104" s="18" t="s">
        <v>166</v>
      </c>
      <c r="DX104" s="16" t="s">
        <v>166</v>
      </c>
      <c r="DY104" s="16" t="s">
        <v>166</v>
      </c>
      <c r="DZ104" s="17" t="s">
        <v>166</v>
      </c>
      <c r="EA104" s="16" t="s">
        <v>166</v>
      </c>
      <c r="EB104" s="16" t="s">
        <v>166</v>
      </c>
      <c r="EC104" s="16" t="s">
        <v>166</v>
      </c>
      <c r="ED104" s="17" t="s">
        <v>166</v>
      </c>
      <c r="EE104" s="17" t="s">
        <v>166</v>
      </c>
      <c r="EF104" s="17" t="s">
        <v>166</v>
      </c>
      <c r="EG104" s="17" t="s">
        <v>166</v>
      </c>
      <c r="EH104" s="16" t="s">
        <v>166</v>
      </c>
      <c r="EI104" s="16" t="s">
        <v>166</v>
      </c>
      <c r="EJ104" s="16" t="s">
        <v>166</v>
      </c>
      <c r="EK104" s="16" t="s">
        <v>166</v>
      </c>
      <c r="EL104" s="16" t="s">
        <v>166</v>
      </c>
      <c r="EM104" s="16" t="s">
        <v>166</v>
      </c>
      <c r="EN104" s="16" t="s">
        <v>166</v>
      </c>
      <c r="EO104" s="16" t="s">
        <v>166</v>
      </c>
      <c r="EP104" s="16" t="s">
        <v>166</v>
      </c>
      <c r="EQ104" s="16" t="s">
        <v>166</v>
      </c>
      <c r="ER104" s="16" t="s">
        <v>166</v>
      </c>
      <c r="ES104" s="16" t="s">
        <v>166</v>
      </c>
      <c r="ET104" s="14" t="s">
        <v>166</v>
      </c>
      <c r="EU104" s="16" t="s">
        <v>166</v>
      </c>
      <c r="EV104" s="16" t="s">
        <v>166</v>
      </c>
      <c r="EW104" s="16" t="s">
        <v>166</v>
      </c>
      <c r="EX104" s="14" t="s">
        <v>190</v>
      </c>
      <c r="EY104" s="14" t="s">
        <v>166</v>
      </c>
      <c r="EZ104" s="16" t="s">
        <v>166</v>
      </c>
      <c r="FA104" s="15">
        <v>6</v>
      </c>
      <c r="FB104" s="15">
        <v>3</v>
      </c>
      <c r="FC104" s="15">
        <v>1</v>
      </c>
      <c r="FD104" s="15">
        <v>5</v>
      </c>
      <c r="FE104" s="15" t="s">
        <v>166</v>
      </c>
      <c r="FF104" s="15" t="s">
        <v>166</v>
      </c>
      <c r="FG104" s="14" t="s">
        <v>2169</v>
      </c>
      <c r="FH104" s="3">
        <f>HYPERLINK("https://my.pitchbook.com?c=201555-73T","View Company Online")</f>
      </c>
    </row>
    <row r="105">
      <c r="A105" s="25" t="s">
        <v>2170</v>
      </c>
      <c r="B105" s="25" t="s">
        <v>2171</v>
      </c>
      <c r="C105" s="25" t="s">
        <v>2172</v>
      </c>
      <c r="D105" s="25" t="s">
        <v>166</v>
      </c>
      <c r="E105" s="34" t="s">
        <v>2173</v>
      </c>
      <c r="F105" s="32">
        <v>6</v>
      </c>
      <c r="G105" s="25" t="s">
        <v>2174</v>
      </c>
      <c r="H105" s="25" t="s">
        <v>166</v>
      </c>
      <c r="I105" s="25" t="s">
        <v>2175</v>
      </c>
      <c r="J105" s="25" t="s">
        <v>2176</v>
      </c>
      <c r="K105" s="25" t="s">
        <v>207</v>
      </c>
      <c r="L105" s="25" t="s">
        <v>208</v>
      </c>
      <c r="M105" s="25" t="s">
        <v>965</v>
      </c>
      <c r="N105" s="25" t="s">
        <v>2177</v>
      </c>
      <c r="O105" s="25" t="s">
        <v>2178</v>
      </c>
      <c r="P105" s="25" t="s">
        <v>2179</v>
      </c>
      <c r="Q105" s="25" t="s">
        <v>926</v>
      </c>
      <c r="R105" s="25" t="s">
        <v>177</v>
      </c>
      <c r="S105" s="25" t="s">
        <v>178</v>
      </c>
      <c r="T105" s="25" t="s">
        <v>179</v>
      </c>
      <c r="U105" s="25" t="s">
        <v>2180</v>
      </c>
      <c r="V105" s="25" t="s">
        <v>2181</v>
      </c>
      <c r="W105" s="32" t="s">
        <v>166</v>
      </c>
      <c r="X105" s="25" t="s">
        <v>2182</v>
      </c>
      <c r="Y105" s="25" t="s">
        <v>2183</v>
      </c>
      <c r="Z105" s="25" t="s">
        <v>2184</v>
      </c>
      <c r="AA105" s="25" t="s">
        <v>166</v>
      </c>
      <c r="AB105" s="25" t="s">
        <v>166</v>
      </c>
      <c r="AC105" s="25" t="s">
        <v>166</v>
      </c>
      <c r="AD105" s="25" t="s">
        <v>166</v>
      </c>
      <c r="AE105" s="25" t="s">
        <v>166</v>
      </c>
      <c r="AF105" s="25" t="s">
        <v>166</v>
      </c>
      <c r="AG105" s="25" t="s">
        <v>166</v>
      </c>
      <c r="AH105" s="32">
        <v>1</v>
      </c>
      <c r="AI105" s="4">
        <f>HYPERLINK("https://my.pitchbook.com/?d=219902-05T","219902-05T")</f>
      </c>
      <c r="AJ105" s="30">
        <v>44662</v>
      </c>
      <c r="AK105" s="30">
        <v>45170</v>
      </c>
      <c r="AL105" s="29">
        <v>3</v>
      </c>
      <c r="AM105" s="25" t="s">
        <v>185</v>
      </c>
      <c r="AN105" s="29">
        <v>12</v>
      </c>
      <c r="AO105" s="29">
        <v>15</v>
      </c>
      <c r="AP105" s="25" t="s">
        <v>185</v>
      </c>
      <c r="AQ105" s="32" t="s">
        <v>166</v>
      </c>
      <c r="AR105" s="32" t="s">
        <v>166</v>
      </c>
      <c r="AS105" s="28">
        <v>20</v>
      </c>
      <c r="AT105" s="29">
        <v>3</v>
      </c>
      <c r="AU105" s="32" t="s">
        <v>186</v>
      </c>
      <c r="AV105" s="32" t="s">
        <v>166</v>
      </c>
      <c r="AW105" s="29" t="s">
        <v>166</v>
      </c>
      <c r="AX105" s="32" t="s">
        <v>166</v>
      </c>
      <c r="AY105" s="25" t="s">
        <v>217</v>
      </c>
      <c r="AZ105" s="25" t="s">
        <v>217</v>
      </c>
      <c r="BA105" s="25" t="s">
        <v>166</v>
      </c>
      <c r="BB105" s="32" t="s">
        <v>166</v>
      </c>
      <c r="BC105" s="25" t="s">
        <v>179</v>
      </c>
      <c r="BD105" s="25" t="s">
        <v>2185</v>
      </c>
      <c r="BE105" s="25" t="s">
        <v>189</v>
      </c>
      <c r="BF105" s="29">
        <v>3</v>
      </c>
      <c r="BG105" s="25" t="s">
        <v>190</v>
      </c>
      <c r="BH105" s="25" t="s">
        <v>166</v>
      </c>
      <c r="BI105" s="25" t="s">
        <v>166</v>
      </c>
      <c r="BJ105" s="29" t="s">
        <v>166</v>
      </c>
      <c r="BK105" s="29" t="s">
        <v>166</v>
      </c>
      <c r="BL105" s="25" t="s">
        <v>191</v>
      </c>
      <c r="BM105" s="25" t="s">
        <v>178</v>
      </c>
      <c r="BN105" s="25" t="s">
        <v>177</v>
      </c>
      <c r="BO105" s="33">
        <v>12</v>
      </c>
      <c r="BP105" s="25" t="s">
        <v>2186</v>
      </c>
      <c r="BQ105" s="32">
        <v>6</v>
      </c>
      <c r="BR105" s="25" t="s">
        <v>166</v>
      </c>
      <c r="BS105" s="32" t="s">
        <v>166</v>
      </c>
      <c r="BT105" s="25" t="s">
        <v>2187</v>
      </c>
      <c r="BU105" s="25" t="s">
        <v>166</v>
      </c>
      <c r="BV105" s="25" t="s">
        <v>2188</v>
      </c>
      <c r="BW105" s="25" t="s">
        <v>166</v>
      </c>
      <c r="BX105" s="25" t="s">
        <v>166</v>
      </c>
      <c r="BY105" s="25" t="s">
        <v>166</v>
      </c>
      <c r="BZ105" s="25" t="s">
        <v>2189</v>
      </c>
      <c r="CA105" s="25" t="s">
        <v>2189</v>
      </c>
      <c r="CB105" s="25" t="s">
        <v>166</v>
      </c>
      <c r="CC105" s="25" t="s">
        <v>166</v>
      </c>
      <c r="CD105" s="25" t="s">
        <v>166</v>
      </c>
      <c r="CE105" s="29" t="s">
        <v>166</v>
      </c>
      <c r="CF105" s="27" t="s">
        <v>166</v>
      </c>
      <c r="CG105" s="28" t="s">
        <v>166</v>
      </c>
      <c r="CH105" s="27" t="s">
        <v>166</v>
      </c>
      <c r="CI105" s="27" t="s">
        <v>166</v>
      </c>
      <c r="CJ105" s="27" t="s">
        <v>166</v>
      </c>
      <c r="CK105" s="27" t="s">
        <v>166</v>
      </c>
      <c r="CL105" s="27" t="s">
        <v>166</v>
      </c>
      <c r="CM105" s="31" t="s">
        <v>166</v>
      </c>
      <c r="CN105" s="27" t="s">
        <v>166</v>
      </c>
      <c r="CO105" s="27" t="s">
        <v>166</v>
      </c>
      <c r="CP105" s="27" t="s">
        <v>166</v>
      </c>
      <c r="CQ105" s="27" t="s">
        <v>166</v>
      </c>
      <c r="CR105" s="27" t="s">
        <v>166</v>
      </c>
      <c r="CS105" s="27" t="s">
        <v>166</v>
      </c>
      <c r="CT105" s="27" t="s">
        <v>166</v>
      </c>
      <c r="CU105" s="27" t="s">
        <v>166</v>
      </c>
      <c r="CV105" s="27" t="s">
        <v>166</v>
      </c>
      <c r="CW105" s="27" t="s">
        <v>166</v>
      </c>
      <c r="CX105" s="27" t="s">
        <v>166</v>
      </c>
      <c r="CY105" s="27" t="s">
        <v>166</v>
      </c>
      <c r="CZ105" s="27" t="s">
        <v>166</v>
      </c>
      <c r="DA105" s="27" t="s">
        <v>166</v>
      </c>
      <c r="DB105" s="27" t="s">
        <v>166</v>
      </c>
      <c r="DC105" s="27" t="s">
        <v>166</v>
      </c>
      <c r="DD105" s="27" t="s">
        <v>166</v>
      </c>
      <c r="DE105" s="28" t="s">
        <v>166</v>
      </c>
      <c r="DF105" s="33">
        <v>12</v>
      </c>
      <c r="DG105" s="25" t="s">
        <v>2190</v>
      </c>
      <c r="DH105" s="25" t="s">
        <v>193</v>
      </c>
      <c r="DI105" s="25" t="s">
        <v>194</v>
      </c>
      <c r="DJ105" s="25" t="s">
        <v>2191</v>
      </c>
      <c r="DK105" s="25" t="s">
        <v>257</v>
      </c>
      <c r="DL105" s="32" t="s">
        <v>166</v>
      </c>
      <c r="DM105" s="25" t="s">
        <v>198</v>
      </c>
      <c r="DN105" s="24" t="s">
        <v>2192</v>
      </c>
      <c r="DO105" s="31">
        <v>2021</v>
      </c>
      <c r="DP105" s="25" t="s">
        <v>166</v>
      </c>
      <c r="DQ105" s="25" t="s">
        <v>166</v>
      </c>
      <c r="DR105" s="29" t="s">
        <v>166</v>
      </c>
      <c r="DS105" s="27" t="s">
        <v>166</v>
      </c>
      <c r="DT105" s="30" t="s">
        <v>166</v>
      </c>
      <c r="DU105" s="25" t="s">
        <v>166</v>
      </c>
      <c r="DV105" s="29" t="s">
        <v>166</v>
      </c>
      <c r="DW105" s="29" t="s">
        <v>166</v>
      </c>
      <c r="DX105" s="27" t="s">
        <v>166</v>
      </c>
      <c r="DY105" s="27" t="s">
        <v>166</v>
      </c>
      <c r="DZ105" s="28" t="s">
        <v>166</v>
      </c>
      <c r="EA105" s="27" t="s">
        <v>166</v>
      </c>
      <c r="EB105" s="27" t="s">
        <v>166</v>
      </c>
      <c r="EC105" s="27" t="s">
        <v>166</v>
      </c>
      <c r="ED105" s="28" t="s">
        <v>166</v>
      </c>
      <c r="EE105" s="28" t="s">
        <v>166</v>
      </c>
      <c r="EF105" s="28" t="s">
        <v>166</v>
      </c>
      <c r="EG105" s="28" t="s">
        <v>166</v>
      </c>
      <c r="EH105" s="27" t="s">
        <v>166</v>
      </c>
      <c r="EI105" s="27" t="s">
        <v>166</v>
      </c>
      <c r="EJ105" s="27" t="s">
        <v>166</v>
      </c>
      <c r="EK105" s="27" t="s">
        <v>166</v>
      </c>
      <c r="EL105" s="27" t="s">
        <v>166</v>
      </c>
      <c r="EM105" s="27" t="s">
        <v>166</v>
      </c>
      <c r="EN105" s="27" t="s">
        <v>166</v>
      </c>
      <c r="EO105" s="27" t="s">
        <v>166</v>
      </c>
      <c r="EP105" s="27" t="s">
        <v>166</v>
      </c>
      <c r="EQ105" s="27" t="s">
        <v>166</v>
      </c>
      <c r="ER105" s="27" t="s">
        <v>166</v>
      </c>
      <c r="ES105" s="27" t="s">
        <v>166</v>
      </c>
      <c r="ET105" s="25" t="s">
        <v>166</v>
      </c>
      <c r="EU105" s="27" t="s">
        <v>166</v>
      </c>
      <c r="EV105" s="27" t="s">
        <v>166</v>
      </c>
      <c r="EW105" s="27" t="s">
        <v>166</v>
      </c>
      <c r="EX105" s="25" t="s">
        <v>190</v>
      </c>
      <c r="EY105" s="25" t="s">
        <v>166</v>
      </c>
      <c r="EZ105" s="27" t="s">
        <v>166</v>
      </c>
      <c r="FA105" s="26" t="s">
        <v>166</v>
      </c>
      <c r="FB105" s="26" t="s">
        <v>166</v>
      </c>
      <c r="FC105" s="26" t="s">
        <v>166</v>
      </c>
      <c r="FD105" s="26" t="s">
        <v>166</v>
      </c>
      <c r="FE105" s="26" t="s">
        <v>166</v>
      </c>
      <c r="FF105" s="26" t="s">
        <v>166</v>
      </c>
      <c r="FG105" s="25" t="s">
        <v>166</v>
      </c>
      <c r="FH105" s="4">
        <f>HYPERLINK("https://my.pitchbook.com?c=219902-05T","View Company Online")</f>
      </c>
    </row>
    <row r="106">
      <c r="A106" s="14" t="s">
        <v>2193</v>
      </c>
      <c r="B106" s="14" t="s">
        <v>2194</v>
      </c>
      <c r="C106" s="14" t="s">
        <v>2195</v>
      </c>
      <c r="D106" s="14" t="s">
        <v>166</v>
      </c>
      <c r="E106" s="23" t="s">
        <v>2196</v>
      </c>
      <c r="F106" s="21">
        <v>2</v>
      </c>
      <c r="G106" s="14" t="s">
        <v>2197</v>
      </c>
      <c r="H106" s="14" t="s">
        <v>166</v>
      </c>
      <c r="I106" s="14" t="s">
        <v>2198</v>
      </c>
      <c r="J106" s="14" t="s">
        <v>2199</v>
      </c>
      <c r="K106" s="14" t="s">
        <v>1500</v>
      </c>
      <c r="L106" s="14" t="s">
        <v>2200</v>
      </c>
      <c r="M106" s="14" t="s">
        <v>2201</v>
      </c>
      <c r="N106" s="14" t="s">
        <v>2202</v>
      </c>
      <c r="O106" s="14" t="s">
        <v>2203</v>
      </c>
      <c r="P106" s="14" t="s">
        <v>2204</v>
      </c>
      <c r="Q106" s="14" t="s">
        <v>166</v>
      </c>
      <c r="R106" s="14" t="s">
        <v>177</v>
      </c>
      <c r="S106" s="14" t="s">
        <v>178</v>
      </c>
      <c r="T106" s="14" t="s">
        <v>179</v>
      </c>
      <c r="U106" s="14" t="s">
        <v>2205</v>
      </c>
      <c r="V106" s="14" t="s">
        <v>2206</v>
      </c>
      <c r="W106" s="21" t="s">
        <v>2207</v>
      </c>
      <c r="X106" s="14" t="s">
        <v>2208</v>
      </c>
      <c r="Y106" s="14" t="s">
        <v>2209</v>
      </c>
      <c r="Z106" s="14" t="s">
        <v>166</v>
      </c>
      <c r="AA106" s="14" t="s">
        <v>242</v>
      </c>
      <c r="AB106" s="14" t="s">
        <v>243</v>
      </c>
      <c r="AC106" s="14" t="s">
        <v>244</v>
      </c>
      <c r="AD106" s="14" t="s">
        <v>243</v>
      </c>
      <c r="AE106" s="14" t="s">
        <v>243</v>
      </c>
      <c r="AF106" s="14" t="s">
        <v>306</v>
      </c>
      <c r="AG106" s="14" t="s">
        <v>807</v>
      </c>
      <c r="AH106" s="21">
        <v>1</v>
      </c>
      <c r="AI106" s="3">
        <f>HYPERLINK("https://my.pitchbook.com/?d=182325-61T","182325-61T")</f>
      </c>
      <c r="AJ106" s="19" t="s">
        <v>166</v>
      </c>
      <c r="AK106" s="19">
        <v>44438</v>
      </c>
      <c r="AL106" s="18">
        <v>2.5</v>
      </c>
      <c r="AM106" s="14" t="s">
        <v>185</v>
      </c>
      <c r="AN106" s="18">
        <v>12</v>
      </c>
      <c r="AO106" s="18">
        <v>14.5</v>
      </c>
      <c r="AP106" s="14" t="s">
        <v>185</v>
      </c>
      <c r="AQ106" s="21" t="s">
        <v>166</v>
      </c>
      <c r="AR106" s="21" t="s">
        <v>166</v>
      </c>
      <c r="AS106" s="17">
        <v>17.24</v>
      </c>
      <c r="AT106" s="18">
        <v>2.5</v>
      </c>
      <c r="AU106" s="21" t="s">
        <v>186</v>
      </c>
      <c r="AV106" s="21" t="s">
        <v>166</v>
      </c>
      <c r="AW106" s="18">
        <v>1.78</v>
      </c>
      <c r="AX106" s="21" t="s">
        <v>166</v>
      </c>
      <c r="AY106" s="14" t="s">
        <v>217</v>
      </c>
      <c r="AZ106" s="14" t="s">
        <v>217</v>
      </c>
      <c r="BA106" s="14" t="s">
        <v>166</v>
      </c>
      <c r="BB106" s="21" t="s">
        <v>166</v>
      </c>
      <c r="BC106" s="14" t="s">
        <v>179</v>
      </c>
      <c r="BD106" s="14" t="s">
        <v>2210</v>
      </c>
      <c r="BE106" s="14" t="s">
        <v>189</v>
      </c>
      <c r="BF106" s="18">
        <v>2.5</v>
      </c>
      <c r="BG106" s="14" t="s">
        <v>190</v>
      </c>
      <c r="BH106" s="14" t="s">
        <v>166</v>
      </c>
      <c r="BI106" s="14" t="s">
        <v>166</v>
      </c>
      <c r="BJ106" s="18" t="s">
        <v>166</v>
      </c>
      <c r="BK106" s="18" t="s">
        <v>166</v>
      </c>
      <c r="BL106" s="14" t="s">
        <v>191</v>
      </c>
      <c r="BM106" s="14" t="s">
        <v>178</v>
      </c>
      <c r="BN106" s="14" t="s">
        <v>177</v>
      </c>
      <c r="BO106" s="22" t="s">
        <v>166</v>
      </c>
      <c r="BP106" s="14" t="s">
        <v>2196</v>
      </c>
      <c r="BQ106" s="21">
        <v>2</v>
      </c>
      <c r="BR106" s="14" t="s">
        <v>166</v>
      </c>
      <c r="BS106" s="21" t="s">
        <v>166</v>
      </c>
      <c r="BT106" s="14" t="s">
        <v>166</v>
      </c>
      <c r="BU106" s="14" t="s">
        <v>166</v>
      </c>
      <c r="BV106" s="14" t="s">
        <v>2211</v>
      </c>
      <c r="BW106" s="14" t="s">
        <v>166</v>
      </c>
      <c r="BX106" s="14" t="s">
        <v>166</v>
      </c>
      <c r="BY106" s="14" t="s">
        <v>166</v>
      </c>
      <c r="BZ106" s="14" t="s">
        <v>166</v>
      </c>
      <c r="CA106" s="14" t="s">
        <v>166</v>
      </c>
      <c r="CB106" s="14" t="s">
        <v>166</v>
      </c>
      <c r="CC106" s="14" t="s">
        <v>166</v>
      </c>
      <c r="CD106" s="14" t="s">
        <v>166</v>
      </c>
      <c r="CE106" s="18" t="s">
        <v>166</v>
      </c>
      <c r="CF106" s="16" t="s">
        <v>166</v>
      </c>
      <c r="CG106" s="17" t="s">
        <v>166</v>
      </c>
      <c r="CH106" s="16" t="s">
        <v>166</v>
      </c>
      <c r="CI106" s="16" t="s">
        <v>166</v>
      </c>
      <c r="CJ106" s="16" t="s">
        <v>166</v>
      </c>
      <c r="CK106" s="16" t="s">
        <v>166</v>
      </c>
      <c r="CL106" s="16" t="s">
        <v>166</v>
      </c>
      <c r="CM106" s="20" t="s">
        <v>166</v>
      </c>
      <c r="CN106" s="16" t="s">
        <v>166</v>
      </c>
      <c r="CO106" s="16" t="s">
        <v>166</v>
      </c>
      <c r="CP106" s="16" t="s">
        <v>166</v>
      </c>
      <c r="CQ106" s="16" t="s">
        <v>166</v>
      </c>
      <c r="CR106" s="16" t="s">
        <v>166</v>
      </c>
      <c r="CS106" s="16" t="s">
        <v>166</v>
      </c>
      <c r="CT106" s="16" t="s">
        <v>166</v>
      </c>
      <c r="CU106" s="16" t="s">
        <v>166</v>
      </c>
      <c r="CV106" s="16" t="s">
        <v>166</v>
      </c>
      <c r="CW106" s="16" t="s">
        <v>166</v>
      </c>
      <c r="CX106" s="16" t="s">
        <v>166</v>
      </c>
      <c r="CY106" s="16" t="s">
        <v>166</v>
      </c>
      <c r="CZ106" s="16" t="s">
        <v>166</v>
      </c>
      <c r="DA106" s="16" t="s">
        <v>166</v>
      </c>
      <c r="DB106" s="16" t="s">
        <v>166</v>
      </c>
      <c r="DC106" s="16" t="s">
        <v>166</v>
      </c>
      <c r="DD106" s="16" t="s">
        <v>166</v>
      </c>
      <c r="DE106" s="17" t="s">
        <v>166</v>
      </c>
      <c r="DF106" s="22">
        <v>26</v>
      </c>
      <c r="DG106" s="14" t="s">
        <v>2212</v>
      </c>
      <c r="DH106" s="14" t="s">
        <v>193</v>
      </c>
      <c r="DI106" s="14" t="s">
        <v>194</v>
      </c>
      <c r="DJ106" s="14" t="s">
        <v>2213</v>
      </c>
      <c r="DK106" s="14" t="s">
        <v>1000</v>
      </c>
      <c r="DL106" s="21" t="s">
        <v>2214</v>
      </c>
      <c r="DM106" s="14" t="s">
        <v>198</v>
      </c>
      <c r="DN106" s="13" t="s">
        <v>2215</v>
      </c>
      <c r="DO106" s="20">
        <v>2020</v>
      </c>
      <c r="DP106" s="14" t="s">
        <v>166</v>
      </c>
      <c r="DQ106" s="14" t="s">
        <v>166</v>
      </c>
      <c r="DR106" s="18" t="s">
        <v>166</v>
      </c>
      <c r="DS106" s="16" t="s">
        <v>166</v>
      </c>
      <c r="DT106" s="19" t="s">
        <v>166</v>
      </c>
      <c r="DU106" s="14" t="s">
        <v>166</v>
      </c>
      <c r="DV106" s="18" t="s">
        <v>166</v>
      </c>
      <c r="DW106" s="18" t="s">
        <v>166</v>
      </c>
      <c r="DX106" s="16" t="s">
        <v>166</v>
      </c>
      <c r="DY106" s="16" t="s">
        <v>166</v>
      </c>
      <c r="DZ106" s="17" t="s">
        <v>166</v>
      </c>
      <c r="EA106" s="16" t="s">
        <v>166</v>
      </c>
      <c r="EB106" s="16" t="s">
        <v>166</v>
      </c>
      <c r="EC106" s="16" t="s">
        <v>166</v>
      </c>
      <c r="ED106" s="17" t="s">
        <v>166</v>
      </c>
      <c r="EE106" s="17" t="s">
        <v>166</v>
      </c>
      <c r="EF106" s="17" t="s">
        <v>166</v>
      </c>
      <c r="EG106" s="17" t="s">
        <v>166</v>
      </c>
      <c r="EH106" s="16" t="s">
        <v>166</v>
      </c>
      <c r="EI106" s="16" t="s">
        <v>166</v>
      </c>
      <c r="EJ106" s="16" t="s">
        <v>166</v>
      </c>
      <c r="EK106" s="16" t="s">
        <v>166</v>
      </c>
      <c r="EL106" s="16" t="s">
        <v>166</v>
      </c>
      <c r="EM106" s="16" t="s">
        <v>166</v>
      </c>
      <c r="EN106" s="16" t="s">
        <v>166</v>
      </c>
      <c r="EO106" s="16" t="s">
        <v>166</v>
      </c>
      <c r="EP106" s="16" t="s">
        <v>166</v>
      </c>
      <c r="EQ106" s="16" t="s">
        <v>166</v>
      </c>
      <c r="ER106" s="16" t="s">
        <v>166</v>
      </c>
      <c r="ES106" s="16" t="s">
        <v>166</v>
      </c>
      <c r="ET106" s="14" t="s">
        <v>166</v>
      </c>
      <c r="EU106" s="16" t="s">
        <v>166</v>
      </c>
      <c r="EV106" s="16" t="s">
        <v>166</v>
      </c>
      <c r="EW106" s="16" t="s">
        <v>166</v>
      </c>
      <c r="EX106" s="14" t="s">
        <v>190</v>
      </c>
      <c r="EY106" s="14" t="s">
        <v>166</v>
      </c>
      <c r="EZ106" s="16" t="s">
        <v>166</v>
      </c>
      <c r="FA106" s="15">
        <v>2</v>
      </c>
      <c r="FB106" s="15">
        <v>1</v>
      </c>
      <c r="FC106" s="15" t="s">
        <v>166</v>
      </c>
      <c r="FD106" s="15">
        <v>2</v>
      </c>
      <c r="FE106" s="15" t="s">
        <v>166</v>
      </c>
      <c r="FF106" s="15" t="s">
        <v>166</v>
      </c>
      <c r="FG106" s="14" t="s">
        <v>2216</v>
      </c>
      <c r="FH106" s="3">
        <f>HYPERLINK("https://my.pitchbook.com?c=182325-61T","View Company Online")</f>
      </c>
    </row>
    <row r="107">
      <c r="A107" s="25" t="s">
        <v>2217</v>
      </c>
      <c r="B107" s="25" t="s">
        <v>2218</v>
      </c>
      <c r="C107" s="25" t="s">
        <v>2219</v>
      </c>
      <c r="D107" s="25" t="s">
        <v>166</v>
      </c>
      <c r="E107" s="34" t="s">
        <v>2220</v>
      </c>
      <c r="F107" s="32">
        <v>2</v>
      </c>
      <c r="G107" s="25" t="s">
        <v>2221</v>
      </c>
      <c r="H107" s="25" t="s">
        <v>166</v>
      </c>
      <c r="I107" s="25" t="s">
        <v>2222</v>
      </c>
      <c r="J107" s="25" t="s">
        <v>2223</v>
      </c>
      <c r="K107" s="25" t="s">
        <v>1500</v>
      </c>
      <c r="L107" s="25" t="s">
        <v>2200</v>
      </c>
      <c r="M107" s="25" t="s">
        <v>2201</v>
      </c>
      <c r="N107" s="25" t="s">
        <v>2224</v>
      </c>
      <c r="O107" s="25" t="s">
        <v>2225</v>
      </c>
      <c r="P107" s="25" t="s">
        <v>2226</v>
      </c>
      <c r="Q107" s="25" t="s">
        <v>166</v>
      </c>
      <c r="R107" s="25" t="s">
        <v>177</v>
      </c>
      <c r="S107" s="25" t="s">
        <v>178</v>
      </c>
      <c r="T107" s="25" t="s">
        <v>179</v>
      </c>
      <c r="U107" s="25" t="s">
        <v>2227</v>
      </c>
      <c r="V107" s="25" t="s">
        <v>2228</v>
      </c>
      <c r="W107" s="32" t="s">
        <v>2229</v>
      </c>
      <c r="X107" s="25" t="s">
        <v>2230</v>
      </c>
      <c r="Y107" s="25" t="s">
        <v>2231</v>
      </c>
      <c r="Z107" s="25" t="s">
        <v>2232</v>
      </c>
      <c r="AA107" s="25" t="s">
        <v>242</v>
      </c>
      <c r="AB107" s="25" t="s">
        <v>243</v>
      </c>
      <c r="AC107" s="25" t="s">
        <v>244</v>
      </c>
      <c r="AD107" s="25" t="s">
        <v>243</v>
      </c>
      <c r="AE107" s="25" t="s">
        <v>243</v>
      </c>
      <c r="AF107" s="25" t="s">
        <v>166</v>
      </c>
      <c r="AG107" s="25" t="s">
        <v>246</v>
      </c>
      <c r="AH107" s="32">
        <v>1</v>
      </c>
      <c r="AI107" s="4">
        <f>HYPERLINK("https://my.pitchbook.com/?d=180683-29T","180683-29T")</f>
      </c>
      <c r="AJ107" s="30" t="s">
        <v>166</v>
      </c>
      <c r="AK107" s="30">
        <v>44453</v>
      </c>
      <c r="AL107" s="29">
        <v>7.24</v>
      </c>
      <c r="AM107" s="25" t="s">
        <v>185</v>
      </c>
      <c r="AN107" s="29">
        <v>12</v>
      </c>
      <c r="AO107" s="29">
        <v>19.24</v>
      </c>
      <c r="AP107" s="25" t="s">
        <v>185</v>
      </c>
      <c r="AQ107" s="32" t="s">
        <v>166</v>
      </c>
      <c r="AR107" s="32" t="s">
        <v>166</v>
      </c>
      <c r="AS107" s="28">
        <v>37.63</v>
      </c>
      <c r="AT107" s="29">
        <v>7.24</v>
      </c>
      <c r="AU107" s="32" t="s">
        <v>186</v>
      </c>
      <c r="AV107" s="32" t="s">
        <v>166</v>
      </c>
      <c r="AW107" s="29">
        <v>1.01</v>
      </c>
      <c r="AX107" s="32" t="s">
        <v>166</v>
      </c>
      <c r="AY107" s="25" t="s">
        <v>217</v>
      </c>
      <c r="AZ107" s="25" t="s">
        <v>217</v>
      </c>
      <c r="BA107" s="25" t="s">
        <v>166</v>
      </c>
      <c r="BB107" s="32" t="s">
        <v>166</v>
      </c>
      <c r="BC107" s="25" t="s">
        <v>179</v>
      </c>
      <c r="BD107" s="25" t="s">
        <v>2233</v>
      </c>
      <c r="BE107" s="25" t="s">
        <v>189</v>
      </c>
      <c r="BF107" s="29">
        <v>7.24</v>
      </c>
      <c r="BG107" s="25" t="s">
        <v>190</v>
      </c>
      <c r="BH107" s="25" t="s">
        <v>166</v>
      </c>
      <c r="BI107" s="25" t="s">
        <v>166</v>
      </c>
      <c r="BJ107" s="29" t="s">
        <v>166</v>
      </c>
      <c r="BK107" s="29" t="s">
        <v>166</v>
      </c>
      <c r="BL107" s="25" t="s">
        <v>191</v>
      </c>
      <c r="BM107" s="25" t="s">
        <v>358</v>
      </c>
      <c r="BN107" s="25" t="s">
        <v>177</v>
      </c>
      <c r="BO107" s="33" t="s">
        <v>166</v>
      </c>
      <c r="BP107" s="25" t="s">
        <v>2234</v>
      </c>
      <c r="BQ107" s="32">
        <v>2</v>
      </c>
      <c r="BR107" s="25" t="s">
        <v>166</v>
      </c>
      <c r="BS107" s="32" t="s">
        <v>166</v>
      </c>
      <c r="BT107" s="25" t="s">
        <v>166</v>
      </c>
      <c r="BU107" s="25" t="s">
        <v>166</v>
      </c>
      <c r="BV107" s="25" t="s">
        <v>2235</v>
      </c>
      <c r="BW107" s="25" t="s">
        <v>166</v>
      </c>
      <c r="BX107" s="25" t="s">
        <v>166</v>
      </c>
      <c r="BY107" s="25" t="s">
        <v>166</v>
      </c>
      <c r="BZ107" s="25" t="s">
        <v>2236</v>
      </c>
      <c r="CA107" s="25" t="s">
        <v>166</v>
      </c>
      <c r="CB107" s="25" t="s">
        <v>166</v>
      </c>
      <c r="CC107" s="25" t="s">
        <v>2236</v>
      </c>
      <c r="CD107" s="25" t="s">
        <v>166</v>
      </c>
      <c r="CE107" s="29" t="s">
        <v>166</v>
      </c>
      <c r="CF107" s="27" t="s">
        <v>166</v>
      </c>
      <c r="CG107" s="28" t="s">
        <v>166</v>
      </c>
      <c r="CH107" s="27" t="s">
        <v>166</v>
      </c>
      <c r="CI107" s="27" t="s">
        <v>166</v>
      </c>
      <c r="CJ107" s="27" t="s">
        <v>166</v>
      </c>
      <c r="CK107" s="27" t="s">
        <v>166</v>
      </c>
      <c r="CL107" s="27" t="s">
        <v>166</v>
      </c>
      <c r="CM107" s="31" t="s">
        <v>166</v>
      </c>
      <c r="CN107" s="27" t="s">
        <v>166</v>
      </c>
      <c r="CO107" s="27" t="s">
        <v>166</v>
      </c>
      <c r="CP107" s="27" t="s">
        <v>166</v>
      </c>
      <c r="CQ107" s="27" t="s">
        <v>166</v>
      </c>
      <c r="CR107" s="27" t="s">
        <v>166</v>
      </c>
      <c r="CS107" s="27" t="s">
        <v>166</v>
      </c>
      <c r="CT107" s="27" t="s">
        <v>166</v>
      </c>
      <c r="CU107" s="27" t="s">
        <v>166</v>
      </c>
      <c r="CV107" s="27" t="s">
        <v>166</v>
      </c>
      <c r="CW107" s="27" t="s">
        <v>166</v>
      </c>
      <c r="CX107" s="27" t="s">
        <v>166</v>
      </c>
      <c r="CY107" s="27" t="s">
        <v>166</v>
      </c>
      <c r="CZ107" s="27" t="s">
        <v>166</v>
      </c>
      <c r="DA107" s="27" t="s">
        <v>166</v>
      </c>
      <c r="DB107" s="27" t="s">
        <v>166</v>
      </c>
      <c r="DC107" s="27" t="s">
        <v>166</v>
      </c>
      <c r="DD107" s="27" t="s">
        <v>166</v>
      </c>
      <c r="DE107" s="28" t="s">
        <v>166</v>
      </c>
      <c r="DF107" s="33">
        <v>23</v>
      </c>
      <c r="DG107" s="25" t="s">
        <v>2237</v>
      </c>
      <c r="DH107" s="25" t="s">
        <v>193</v>
      </c>
      <c r="DI107" s="25" t="s">
        <v>194</v>
      </c>
      <c r="DJ107" s="25" t="s">
        <v>2238</v>
      </c>
      <c r="DK107" s="25" t="s">
        <v>196</v>
      </c>
      <c r="DL107" s="32" t="s">
        <v>2239</v>
      </c>
      <c r="DM107" s="25" t="s">
        <v>198</v>
      </c>
      <c r="DN107" s="24" t="s">
        <v>2240</v>
      </c>
      <c r="DO107" s="31">
        <v>2021</v>
      </c>
      <c r="DP107" s="25" t="s">
        <v>166</v>
      </c>
      <c r="DQ107" s="25" t="s">
        <v>166</v>
      </c>
      <c r="DR107" s="29" t="s">
        <v>166</v>
      </c>
      <c r="DS107" s="27" t="s">
        <v>166</v>
      </c>
      <c r="DT107" s="30" t="s">
        <v>166</v>
      </c>
      <c r="DU107" s="25" t="s">
        <v>166</v>
      </c>
      <c r="DV107" s="29" t="s">
        <v>166</v>
      </c>
      <c r="DW107" s="29" t="s">
        <v>166</v>
      </c>
      <c r="DX107" s="27" t="s">
        <v>166</v>
      </c>
      <c r="DY107" s="27" t="s">
        <v>166</v>
      </c>
      <c r="DZ107" s="28" t="s">
        <v>166</v>
      </c>
      <c r="EA107" s="27" t="s">
        <v>166</v>
      </c>
      <c r="EB107" s="27" t="s">
        <v>166</v>
      </c>
      <c r="EC107" s="27" t="s">
        <v>166</v>
      </c>
      <c r="ED107" s="28" t="s">
        <v>166</v>
      </c>
      <c r="EE107" s="28" t="s">
        <v>166</v>
      </c>
      <c r="EF107" s="28" t="s">
        <v>166</v>
      </c>
      <c r="EG107" s="28" t="s">
        <v>166</v>
      </c>
      <c r="EH107" s="27" t="s">
        <v>166</v>
      </c>
      <c r="EI107" s="27" t="s">
        <v>166</v>
      </c>
      <c r="EJ107" s="27" t="s">
        <v>166</v>
      </c>
      <c r="EK107" s="27" t="s">
        <v>166</v>
      </c>
      <c r="EL107" s="27" t="s">
        <v>166</v>
      </c>
      <c r="EM107" s="27" t="s">
        <v>166</v>
      </c>
      <c r="EN107" s="27" t="s">
        <v>166</v>
      </c>
      <c r="EO107" s="27" t="s">
        <v>166</v>
      </c>
      <c r="EP107" s="27" t="s">
        <v>166</v>
      </c>
      <c r="EQ107" s="27" t="s">
        <v>166</v>
      </c>
      <c r="ER107" s="27" t="s">
        <v>166</v>
      </c>
      <c r="ES107" s="27" t="s">
        <v>166</v>
      </c>
      <c r="ET107" s="25" t="s">
        <v>166</v>
      </c>
      <c r="EU107" s="27" t="s">
        <v>166</v>
      </c>
      <c r="EV107" s="27" t="s">
        <v>166</v>
      </c>
      <c r="EW107" s="27" t="s">
        <v>166</v>
      </c>
      <c r="EX107" s="25" t="s">
        <v>190</v>
      </c>
      <c r="EY107" s="25" t="s">
        <v>166</v>
      </c>
      <c r="EZ107" s="27" t="s">
        <v>166</v>
      </c>
      <c r="FA107" s="26">
        <v>2</v>
      </c>
      <c r="FB107" s="26">
        <v>1</v>
      </c>
      <c r="FC107" s="26" t="s">
        <v>166</v>
      </c>
      <c r="FD107" s="26">
        <v>2</v>
      </c>
      <c r="FE107" s="26" t="s">
        <v>166</v>
      </c>
      <c r="FF107" s="26" t="s">
        <v>166</v>
      </c>
      <c r="FG107" s="25" t="s">
        <v>2241</v>
      </c>
      <c r="FH107" s="4">
        <f>HYPERLINK("https://my.pitchbook.com?c=180683-29T","View Company Online")</f>
      </c>
    </row>
    <row r="108">
      <c r="A108" s="14" t="s">
        <v>2242</v>
      </c>
      <c r="B108" s="14" t="s">
        <v>2243</v>
      </c>
      <c r="C108" s="14" t="s">
        <v>2244</v>
      </c>
      <c r="D108" s="14" t="s">
        <v>166</v>
      </c>
      <c r="E108" s="23" t="s">
        <v>2245</v>
      </c>
      <c r="F108" s="21">
        <v>11</v>
      </c>
      <c r="G108" s="14" t="s">
        <v>2246</v>
      </c>
      <c r="H108" s="14" t="s">
        <v>166</v>
      </c>
      <c r="I108" s="14" t="s">
        <v>2247</v>
      </c>
      <c r="J108" s="14" t="s">
        <v>2248</v>
      </c>
      <c r="K108" s="14" t="s">
        <v>207</v>
      </c>
      <c r="L108" s="14" t="s">
        <v>208</v>
      </c>
      <c r="M108" s="14" t="s">
        <v>209</v>
      </c>
      <c r="N108" s="14" t="s">
        <v>2249</v>
      </c>
      <c r="O108" s="14" t="s">
        <v>2250</v>
      </c>
      <c r="P108" s="14" t="s">
        <v>2251</v>
      </c>
      <c r="Q108" s="14" t="s">
        <v>166</v>
      </c>
      <c r="R108" s="14" t="s">
        <v>177</v>
      </c>
      <c r="S108" s="14" t="s">
        <v>178</v>
      </c>
      <c r="T108" s="14" t="s">
        <v>179</v>
      </c>
      <c r="U108" s="14" t="s">
        <v>2252</v>
      </c>
      <c r="V108" s="14" t="s">
        <v>2253</v>
      </c>
      <c r="W108" s="21" t="s">
        <v>2254</v>
      </c>
      <c r="X108" s="14" t="s">
        <v>166</v>
      </c>
      <c r="Y108" s="14" t="s">
        <v>2255</v>
      </c>
      <c r="Z108" s="14" t="s">
        <v>2256</v>
      </c>
      <c r="AA108" s="14" t="s">
        <v>242</v>
      </c>
      <c r="AB108" s="14" t="s">
        <v>243</v>
      </c>
      <c r="AC108" s="14" t="s">
        <v>244</v>
      </c>
      <c r="AD108" s="14" t="s">
        <v>243</v>
      </c>
      <c r="AE108" s="14" t="s">
        <v>243</v>
      </c>
      <c r="AF108" s="14" t="s">
        <v>166</v>
      </c>
      <c r="AG108" s="14" t="s">
        <v>246</v>
      </c>
      <c r="AH108" s="21">
        <v>1</v>
      </c>
      <c r="AI108" s="3">
        <f>HYPERLINK("https://my.pitchbook.com/?d=171887-41T","171887-41T")</f>
      </c>
      <c r="AJ108" s="19" t="s">
        <v>166</v>
      </c>
      <c r="AK108" s="19">
        <v>44291</v>
      </c>
      <c r="AL108" s="18">
        <v>3</v>
      </c>
      <c r="AM108" s="14" t="s">
        <v>185</v>
      </c>
      <c r="AN108" s="18">
        <v>10</v>
      </c>
      <c r="AO108" s="18">
        <v>13</v>
      </c>
      <c r="AP108" s="14" t="s">
        <v>185</v>
      </c>
      <c r="AQ108" s="21" t="s">
        <v>166</v>
      </c>
      <c r="AR108" s="21" t="s">
        <v>166</v>
      </c>
      <c r="AS108" s="17">
        <v>26.92</v>
      </c>
      <c r="AT108" s="18">
        <v>3</v>
      </c>
      <c r="AU108" s="21" t="s">
        <v>186</v>
      </c>
      <c r="AV108" s="21" t="s">
        <v>166</v>
      </c>
      <c r="AW108" s="18">
        <v>0.62</v>
      </c>
      <c r="AX108" s="21" t="s">
        <v>166</v>
      </c>
      <c r="AY108" s="14" t="s">
        <v>217</v>
      </c>
      <c r="AZ108" s="14" t="s">
        <v>217</v>
      </c>
      <c r="BA108" s="14" t="s">
        <v>166</v>
      </c>
      <c r="BB108" s="21" t="s">
        <v>166</v>
      </c>
      <c r="BC108" s="14" t="s">
        <v>179</v>
      </c>
      <c r="BD108" s="14" t="s">
        <v>2257</v>
      </c>
      <c r="BE108" s="14" t="s">
        <v>189</v>
      </c>
      <c r="BF108" s="18">
        <v>3</v>
      </c>
      <c r="BG108" s="14" t="s">
        <v>190</v>
      </c>
      <c r="BH108" s="14" t="s">
        <v>166</v>
      </c>
      <c r="BI108" s="14" t="s">
        <v>166</v>
      </c>
      <c r="BJ108" s="18" t="s">
        <v>166</v>
      </c>
      <c r="BK108" s="18" t="s">
        <v>166</v>
      </c>
      <c r="BL108" s="14" t="s">
        <v>191</v>
      </c>
      <c r="BM108" s="14" t="s">
        <v>178</v>
      </c>
      <c r="BN108" s="14" t="s">
        <v>177</v>
      </c>
      <c r="BO108" s="22">
        <v>15</v>
      </c>
      <c r="BP108" s="14" t="s">
        <v>2258</v>
      </c>
      <c r="BQ108" s="21">
        <v>11</v>
      </c>
      <c r="BR108" s="14" t="s">
        <v>166</v>
      </c>
      <c r="BS108" s="21" t="s">
        <v>166</v>
      </c>
      <c r="BT108" s="14" t="s">
        <v>2259</v>
      </c>
      <c r="BU108" s="14" t="s">
        <v>166</v>
      </c>
      <c r="BV108" s="14" t="s">
        <v>2260</v>
      </c>
      <c r="BW108" s="14" t="s">
        <v>166</v>
      </c>
      <c r="BX108" s="14" t="s">
        <v>166</v>
      </c>
      <c r="BY108" s="14" t="s">
        <v>166</v>
      </c>
      <c r="BZ108" s="14" t="s">
        <v>2261</v>
      </c>
      <c r="CA108" s="14" t="s">
        <v>2261</v>
      </c>
      <c r="CB108" s="14" t="s">
        <v>166</v>
      </c>
      <c r="CC108" s="14" t="s">
        <v>166</v>
      </c>
      <c r="CD108" s="14" t="s">
        <v>166</v>
      </c>
      <c r="CE108" s="18" t="s">
        <v>166</v>
      </c>
      <c r="CF108" s="16" t="s">
        <v>166</v>
      </c>
      <c r="CG108" s="17" t="s">
        <v>166</v>
      </c>
      <c r="CH108" s="16" t="s">
        <v>166</v>
      </c>
      <c r="CI108" s="16" t="s">
        <v>166</v>
      </c>
      <c r="CJ108" s="16" t="s">
        <v>166</v>
      </c>
      <c r="CK108" s="16" t="s">
        <v>166</v>
      </c>
      <c r="CL108" s="16" t="s">
        <v>166</v>
      </c>
      <c r="CM108" s="20" t="s">
        <v>166</v>
      </c>
      <c r="CN108" s="16" t="s">
        <v>166</v>
      </c>
      <c r="CO108" s="16" t="s">
        <v>166</v>
      </c>
      <c r="CP108" s="16" t="s">
        <v>166</v>
      </c>
      <c r="CQ108" s="16" t="s">
        <v>166</v>
      </c>
      <c r="CR108" s="16" t="s">
        <v>166</v>
      </c>
      <c r="CS108" s="16" t="s">
        <v>166</v>
      </c>
      <c r="CT108" s="16" t="s">
        <v>166</v>
      </c>
      <c r="CU108" s="16" t="s">
        <v>166</v>
      </c>
      <c r="CV108" s="16" t="s">
        <v>166</v>
      </c>
      <c r="CW108" s="16" t="s">
        <v>166</v>
      </c>
      <c r="CX108" s="16" t="s">
        <v>166</v>
      </c>
      <c r="CY108" s="16" t="s">
        <v>166</v>
      </c>
      <c r="CZ108" s="16" t="s">
        <v>166</v>
      </c>
      <c r="DA108" s="16" t="s">
        <v>166</v>
      </c>
      <c r="DB108" s="16" t="s">
        <v>166</v>
      </c>
      <c r="DC108" s="16" t="s">
        <v>166</v>
      </c>
      <c r="DD108" s="16" t="s">
        <v>166</v>
      </c>
      <c r="DE108" s="17" t="s">
        <v>166</v>
      </c>
      <c r="DF108" s="22">
        <v>32</v>
      </c>
      <c r="DG108" s="14" t="s">
        <v>2262</v>
      </c>
      <c r="DH108" s="14" t="s">
        <v>193</v>
      </c>
      <c r="DI108" s="14" t="s">
        <v>194</v>
      </c>
      <c r="DJ108" s="14" t="s">
        <v>2263</v>
      </c>
      <c r="DK108" s="14" t="s">
        <v>728</v>
      </c>
      <c r="DL108" s="21" t="s">
        <v>2264</v>
      </c>
      <c r="DM108" s="14" t="s">
        <v>198</v>
      </c>
      <c r="DN108" s="13" t="s">
        <v>2265</v>
      </c>
      <c r="DO108" s="20">
        <v>2021</v>
      </c>
      <c r="DP108" s="14" t="s">
        <v>166</v>
      </c>
      <c r="DQ108" s="14" t="s">
        <v>166</v>
      </c>
      <c r="DR108" s="18" t="s">
        <v>166</v>
      </c>
      <c r="DS108" s="16" t="s">
        <v>166</v>
      </c>
      <c r="DT108" s="19" t="s">
        <v>166</v>
      </c>
      <c r="DU108" s="14" t="s">
        <v>166</v>
      </c>
      <c r="DV108" s="18" t="s">
        <v>166</v>
      </c>
      <c r="DW108" s="18" t="s">
        <v>166</v>
      </c>
      <c r="DX108" s="16" t="s">
        <v>166</v>
      </c>
      <c r="DY108" s="16" t="s">
        <v>166</v>
      </c>
      <c r="DZ108" s="17" t="s">
        <v>166</v>
      </c>
      <c r="EA108" s="16" t="s">
        <v>166</v>
      </c>
      <c r="EB108" s="16" t="s">
        <v>166</v>
      </c>
      <c r="EC108" s="16" t="s">
        <v>166</v>
      </c>
      <c r="ED108" s="17" t="s">
        <v>166</v>
      </c>
      <c r="EE108" s="17" t="s">
        <v>166</v>
      </c>
      <c r="EF108" s="17" t="s">
        <v>166</v>
      </c>
      <c r="EG108" s="17" t="s">
        <v>166</v>
      </c>
      <c r="EH108" s="16" t="s">
        <v>166</v>
      </c>
      <c r="EI108" s="16" t="s">
        <v>166</v>
      </c>
      <c r="EJ108" s="16" t="s">
        <v>166</v>
      </c>
      <c r="EK108" s="16" t="s">
        <v>166</v>
      </c>
      <c r="EL108" s="16" t="s">
        <v>166</v>
      </c>
      <c r="EM108" s="16" t="s">
        <v>166</v>
      </c>
      <c r="EN108" s="16" t="s">
        <v>166</v>
      </c>
      <c r="EO108" s="16" t="s">
        <v>166</v>
      </c>
      <c r="EP108" s="16" t="s">
        <v>166</v>
      </c>
      <c r="EQ108" s="16" t="s">
        <v>166</v>
      </c>
      <c r="ER108" s="16" t="s">
        <v>166</v>
      </c>
      <c r="ES108" s="16" t="s">
        <v>166</v>
      </c>
      <c r="ET108" s="14" t="s">
        <v>166</v>
      </c>
      <c r="EU108" s="16" t="s">
        <v>166</v>
      </c>
      <c r="EV108" s="16" t="s">
        <v>166</v>
      </c>
      <c r="EW108" s="16" t="s">
        <v>166</v>
      </c>
      <c r="EX108" s="14" t="s">
        <v>190</v>
      </c>
      <c r="EY108" s="14" t="s">
        <v>166</v>
      </c>
      <c r="EZ108" s="16" t="s">
        <v>166</v>
      </c>
      <c r="FA108" s="15" t="s">
        <v>166</v>
      </c>
      <c r="FB108" s="15" t="s">
        <v>166</v>
      </c>
      <c r="FC108" s="15" t="s">
        <v>166</v>
      </c>
      <c r="FD108" s="15" t="s">
        <v>166</v>
      </c>
      <c r="FE108" s="15" t="s">
        <v>166</v>
      </c>
      <c r="FF108" s="15" t="s">
        <v>166</v>
      </c>
      <c r="FG108" s="14" t="s">
        <v>166</v>
      </c>
      <c r="FH108" s="3">
        <f>HYPERLINK("https://my.pitchbook.com?c=171887-41T","View Company Online")</f>
      </c>
    </row>
    <row r="109">
      <c r="A109" s="25" t="s">
        <v>2266</v>
      </c>
      <c r="B109" s="25" t="s">
        <v>2267</v>
      </c>
      <c r="C109" s="25" t="s">
        <v>2268</v>
      </c>
      <c r="D109" s="25" t="s">
        <v>166</v>
      </c>
      <c r="E109" s="34" t="s">
        <v>2269</v>
      </c>
      <c r="F109" s="32">
        <v>10</v>
      </c>
      <c r="G109" s="25" t="s">
        <v>2270</v>
      </c>
      <c r="H109" s="25" t="s">
        <v>166</v>
      </c>
      <c r="I109" s="25" t="s">
        <v>2271</v>
      </c>
      <c r="J109" s="25" t="s">
        <v>2272</v>
      </c>
      <c r="K109" s="25" t="s">
        <v>207</v>
      </c>
      <c r="L109" s="25" t="s">
        <v>208</v>
      </c>
      <c r="M109" s="25" t="s">
        <v>296</v>
      </c>
      <c r="N109" s="25" t="s">
        <v>1052</v>
      </c>
      <c r="O109" s="25" t="s">
        <v>2273</v>
      </c>
      <c r="P109" s="25" t="s">
        <v>2274</v>
      </c>
      <c r="Q109" s="25" t="s">
        <v>166</v>
      </c>
      <c r="R109" s="25" t="s">
        <v>177</v>
      </c>
      <c r="S109" s="25" t="s">
        <v>178</v>
      </c>
      <c r="T109" s="25" t="s">
        <v>179</v>
      </c>
      <c r="U109" s="25" t="s">
        <v>2275</v>
      </c>
      <c r="V109" s="25" t="s">
        <v>2276</v>
      </c>
      <c r="W109" s="32" t="s">
        <v>2277</v>
      </c>
      <c r="X109" s="25" t="s">
        <v>2278</v>
      </c>
      <c r="Y109" s="25" t="s">
        <v>2279</v>
      </c>
      <c r="Z109" s="25" t="s">
        <v>2280</v>
      </c>
      <c r="AA109" s="25" t="s">
        <v>242</v>
      </c>
      <c r="AB109" s="25" t="s">
        <v>243</v>
      </c>
      <c r="AC109" s="25" t="s">
        <v>244</v>
      </c>
      <c r="AD109" s="25" t="s">
        <v>243</v>
      </c>
      <c r="AE109" s="25" t="s">
        <v>243</v>
      </c>
      <c r="AF109" s="25" t="s">
        <v>245</v>
      </c>
      <c r="AG109" s="25" t="s">
        <v>246</v>
      </c>
      <c r="AH109" s="32">
        <v>2</v>
      </c>
      <c r="AI109" s="4">
        <f>HYPERLINK("https://my.pitchbook.com/?d=135644-41T","135644-41T")</f>
      </c>
      <c r="AJ109" s="30">
        <v>43942</v>
      </c>
      <c r="AK109" s="30">
        <v>43985</v>
      </c>
      <c r="AL109" s="29">
        <v>2.55</v>
      </c>
      <c r="AM109" s="25" t="s">
        <v>185</v>
      </c>
      <c r="AN109" s="29">
        <v>10</v>
      </c>
      <c r="AO109" s="29">
        <v>12.55</v>
      </c>
      <c r="AP109" s="25" t="s">
        <v>185</v>
      </c>
      <c r="AQ109" s="32" t="s">
        <v>166</v>
      </c>
      <c r="AR109" s="32" t="s">
        <v>166</v>
      </c>
      <c r="AS109" s="28">
        <v>24.42</v>
      </c>
      <c r="AT109" s="29">
        <v>2.67</v>
      </c>
      <c r="AU109" s="32" t="s">
        <v>186</v>
      </c>
      <c r="AV109" s="32" t="s">
        <v>166</v>
      </c>
      <c r="AW109" s="29">
        <v>0.86</v>
      </c>
      <c r="AX109" s="32" t="s">
        <v>166</v>
      </c>
      <c r="AY109" s="25" t="s">
        <v>217</v>
      </c>
      <c r="AZ109" s="25" t="s">
        <v>217</v>
      </c>
      <c r="BA109" s="25" t="s">
        <v>166</v>
      </c>
      <c r="BB109" s="32" t="s">
        <v>166</v>
      </c>
      <c r="BC109" s="25" t="s">
        <v>179</v>
      </c>
      <c r="BD109" s="25" t="s">
        <v>2281</v>
      </c>
      <c r="BE109" s="25" t="s">
        <v>189</v>
      </c>
      <c r="BF109" s="29">
        <v>2.55</v>
      </c>
      <c r="BG109" s="25" t="s">
        <v>190</v>
      </c>
      <c r="BH109" s="25" t="s">
        <v>166</v>
      </c>
      <c r="BI109" s="25" t="s">
        <v>166</v>
      </c>
      <c r="BJ109" s="29" t="s">
        <v>166</v>
      </c>
      <c r="BK109" s="29" t="s">
        <v>166</v>
      </c>
      <c r="BL109" s="25" t="s">
        <v>191</v>
      </c>
      <c r="BM109" s="25" t="s">
        <v>178</v>
      </c>
      <c r="BN109" s="25" t="s">
        <v>177</v>
      </c>
      <c r="BO109" s="33" t="s">
        <v>166</v>
      </c>
      <c r="BP109" s="25" t="s">
        <v>2282</v>
      </c>
      <c r="BQ109" s="32">
        <v>9</v>
      </c>
      <c r="BR109" s="25" t="s">
        <v>914</v>
      </c>
      <c r="BS109" s="32">
        <v>1</v>
      </c>
      <c r="BT109" s="25" t="s">
        <v>2283</v>
      </c>
      <c r="BU109" s="25" t="s">
        <v>166</v>
      </c>
      <c r="BV109" s="25" t="s">
        <v>2284</v>
      </c>
      <c r="BW109" s="25" t="s">
        <v>166</v>
      </c>
      <c r="BX109" s="25" t="s">
        <v>166</v>
      </c>
      <c r="BY109" s="25" t="s">
        <v>166</v>
      </c>
      <c r="BZ109" s="25" t="s">
        <v>2285</v>
      </c>
      <c r="CA109" s="25" t="s">
        <v>1327</v>
      </c>
      <c r="CB109" s="25" t="s">
        <v>166</v>
      </c>
      <c r="CC109" s="25" t="s">
        <v>2286</v>
      </c>
      <c r="CD109" s="25" t="s">
        <v>166</v>
      </c>
      <c r="CE109" s="29" t="s">
        <v>166</v>
      </c>
      <c r="CF109" s="27" t="s">
        <v>166</v>
      </c>
      <c r="CG109" s="28" t="s">
        <v>166</v>
      </c>
      <c r="CH109" s="27" t="s">
        <v>166</v>
      </c>
      <c r="CI109" s="27" t="s">
        <v>166</v>
      </c>
      <c r="CJ109" s="27" t="s">
        <v>166</v>
      </c>
      <c r="CK109" s="27" t="s">
        <v>166</v>
      </c>
      <c r="CL109" s="27" t="s">
        <v>166</v>
      </c>
      <c r="CM109" s="31" t="s">
        <v>166</v>
      </c>
      <c r="CN109" s="27" t="s">
        <v>166</v>
      </c>
      <c r="CO109" s="27" t="s">
        <v>166</v>
      </c>
      <c r="CP109" s="27" t="s">
        <v>166</v>
      </c>
      <c r="CQ109" s="27" t="s">
        <v>166</v>
      </c>
      <c r="CR109" s="27" t="s">
        <v>166</v>
      </c>
      <c r="CS109" s="27" t="s">
        <v>166</v>
      </c>
      <c r="CT109" s="27" t="s">
        <v>166</v>
      </c>
      <c r="CU109" s="27" t="s">
        <v>166</v>
      </c>
      <c r="CV109" s="27" t="s">
        <v>166</v>
      </c>
      <c r="CW109" s="27" t="s">
        <v>166</v>
      </c>
      <c r="CX109" s="27" t="s">
        <v>166</v>
      </c>
      <c r="CY109" s="27" t="s">
        <v>166</v>
      </c>
      <c r="CZ109" s="27" t="s">
        <v>166</v>
      </c>
      <c r="DA109" s="27" t="s">
        <v>166</v>
      </c>
      <c r="DB109" s="27" t="s">
        <v>166</v>
      </c>
      <c r="DC109" s="27" t="s">
        <v>166</v>
      </c>
      <c r="DD109" s="27" t="s">
        <v>166</v>
      </c>
      <c r="DE109" s="28" t="s">
        <v>166</v>
      </c>
      <c r="DF109" s="33">
        <v>45</v>
      </c>
      <c r="DG109" s="25" t="s">
        <v>309</v>
      </c>
      <c r="DH109" s="25" t="s">
        <v>193</v>
      </c>
      <c r="DI109" s="25" t="s">
        <v>194</v>
      </c>
      <c r="DJ109" s="25" t="s">
        <v>310</v>
      </c>
      <c r="DK109" s="25" t="s">
        <v>310</v>
      </c>
      <c r="DL109" s="32" t="s">
        <v>1910</v>
      </c>
      <c r="DM109" s="25" t="s">
        <v>198</v>
      </c>
      <c r="DN109" s="24" t="s">
        <v>2287</v>
      </c>
      <c r="DO109" s="31">
        <v>2019</v>
      </c>
      <c r="DP109" s="25" t="s">
        <v>166</v>
      </c>
      <c r="DQ109" s="25" t="s">
        <v>166</v>
      </c>
      <c r="DR109" s="29" t="s">
        <v>166</v>
      </c>
      <c r="DS109" s="27" t="s">
        <v>166</v>
      </c>
      <c r="DT109" s="30" t="s">
        <v>166</v>
      </c>
      <c r="DU109" s="25" t="s">
        <v>166</v>
      </c>
      <c r="DV109" s="29" t="s">
        <v>166</v>
      </c>
      <c r="DW109" s="29" t="s">
        <v>166</v>
      </c>
      <c r="DX109" s="27" t="s">
        <v>166</v>
      </c>
      <c r="DY109" s="27" t="s">
        <v>166</v>
      </c>
      <c r="DZ109" s="28" t="s">
        <v>166</v>
      </c>
      <c r="EA109" s="27" t="s">
        <v>166</v>
      </c>
      <c r="EB109" s="27" t="s">
        <v>166</v>
      </c>
      <c r="EC109" s="27" t="s">
        <v>166</v>
      </c>
      <c r="ED109" s="28" t="s">
        <v>166</v>
      </c>
      <c r="EE109" s="28" t="s">
        <v>166</v>
      </c>
      <c r="EF109" s="28" t="s">
        <v>166</v>
      </c>
      <c r="EG109" s="28" t="s">
        <v>166</v>
      </c>
      <c r="EH109" s="27" t="s">
        <v>166</v>
      </c>
      <c r="EI109" s="27" t="s">
        <v>166</v>
      </c>
      <c r="EJ109" s="27" t="s">
        <v>166</v>
      </c>
      <c r="EK109" s="27" t="s">
        <v>166</v>
      </c>
      <c r="EL109" s="27" t="s">
        <v>166</v>
      </c>
      <c r="EM109" s="27" t="s">
        <v>166</v>
      </c>
      <c r="EN109" s="27" t="s">
        <v>166</v>
      </c>
      <c r="EO109" s="27" t="s">
        <v>166</v>
      </c>
      <c r="EP109" s="27" t="s">
        <v>166</v>
      </c>
      <c r="EQ109" s="27" t="s">
        <v>166</v>
      </c>
      <c r="ER109" s="27" t="s">
        <v>166</v>
      </c>
      <c r="ES109" s="27" t="s">
        <v>166</v>
      </c>
      <c r="ET109" s="25" t="s">
        <v>166</v>
      </c>
      <c r="EU109" s="27" t="s">
        <v>166</v>
      </c>
      <c r="EV109" s="27" t="s">
        <v>166</v>
      </c>
      <c r="EW109" s="27" t="s">
        <v>166</v>
      </c>
      <c r="EX109" s="25" t="s">
        <v>190</v>
      </c>
      <c r="EY109" s="25" t="s">
        <v>166</v>
      </c>
      <c r="EZ109" s="27" t="s">
        <v>166</v>
      </c>
      <c r="FA109" s="26" t="s">
        <v>166</v>
      </c>
      <c r="FB109" s="26" t="s">
        <v>166</v>
      </c>
      <c r="FC109" s="26" t="s">
        <v>166</v>
      </c>
      <c r="FD109" s="26" t="s">
        <v>166</v>
      </c>
      <c r="FE109" s="26" t="s">
        <v>166</v>
      </c>
      <c r="FF109" s="26" t="s">
        <v>166</v>
      </c>
      <c r="FG109" s="25" t="s">
        <v>166</v>
      </c>
      <c r="FH109" s="4">
        <f>HYPERLINK("https://my.pitchbook.com?c=135644-41T","View Company Online")</f>
      </c>
    </row>
    <row r="110">
      <c r="A110" s="14" t="s">
        <v>2288</v>
      </c>
      <c r="B110" s="14" t="s">
        <v>2289</v>
      </c>
      <c r="C110" s="14" t="s">
        <v>2290</v>
      </c>
      <c r="D110" s="14" t="s">
        <v>166</v>
      </c>
      <c r="E110" s="23" t="s">
        <v>2291</v>
      </c>
      <c r="F110" s="21">
        <v>5</v>
      </c>
      <c r="G110" s="14" t="s">
        <v>2292</v>
      </c>
      <c r="H110" s="14" t="s">
        <v>166</v>
      </c>
      <c r="I110" s="14" t="s">
        <v>2293</v>
      </c>
      <c r="J110" s="14" t="s">
        <v>2294</v>
      </c>
      <c r="K110" s="14" t="s">
        <v>1455</v>
      </c>
      <c r="L110" s="14" t="s">
        <v>1456</v>
      </c>
      <c r="M110" s="14" t="s">
        <v>1457</v>
      </c>
      <c r="N110" s="14" t="s">
        <v>1841</v>
      </c>
      <c r="O110" s="14" t="s">
        <v>1842</v>
      </c>
      <c r="P110" s="14" t="s">
        <v>2295</v>
      </c>
      <c r="Q110" s="14" t="s">
        <v>166</v>
      </c>
      <c r="R110" s="14" t="s">
        <v>177</v>
      </c>
      <c r="S110" s="14" t="s">
        <v>178</v>
      </c>
      <c r="T110" s="14" t="s">
        <v>179</v>
      </c>
      <c r="U110" s="14" t="s">
        <v>2296</v>
      </c>
      <c r="V110" s="14" t="s">
        <v>2297</v>
      </c>
      <c r="W110" s="21" t="s">
        <v>2298</v>
      </c>
      <c r="X110" s="14" t="s">
        <v>2299</v>
      </c>
      <c r="Y110" s="14" t="s">
        <v>2300</v>
      </c>
      <c r="Z110" s="14" t="s">
        <v>2301</v>
      </c>
      <c r="AA110" s="14" t="s">
        <v>242</v>
      </c>
      <c r="AB110" s="14" t="s">
        <v>243</v>
      </c>
      <c r="AC110" s="14" t="s">
        <v>244</v>
      </c>
      <c r="AD110" s="14" t="s">
        <v>243</v>
      </c>
      <c r="AE110" s="14" t="s">
        <v>243</v>
      </c>
      <c r="AF110" s="14" t="s">
        <v>245</v>
      </c>
      <c r="AG110" s="14" t="s">
        <v>246</v>
      </c>
      <c r="AH110" s="21">
        <v>2</v>
      </c>
      <c r="AI110" s="3">
        <f>HYPERLINK("https://my.pitchbook.com/?d=210408-22T","210408-22T")</f>
      </c>
      <c r="AJ110" s="19">
        <v>44481</v>
      </c>
      <c r="AK110" s="19">
        <v>44907</v>
      </c>
      <c r="AL110" s="18">
        <v>5.04</v>
      </c>
      <c r="AM110" s="14" t="s">
        <v>185</v>
      </c>
      <c r="AN110" s="18">
        <v>7.46</v>
      </c>
      <c r="AO110" s="18">
        <v>12.5</v>
      </c>
      <c r="AP110" s="14" t="s">
        <v>185</v>
      </c>
      <c r="AQ110" s="21" t="s">
        <v>166</v>
      </c>
      <c r="AR110" s="21" t="s">
        <v>166</v>
      </c>
      <c r="AS110" s="17">
        <v>41.67</v>
      </c>
      <c r="AT110" s="18">
        <v>5.04</v>
      </c>
      <c r="AU110" s="21" t="s">
        <v>186</v>
      </c>
      <c r="AV110" s="21" t="s">
        <v>166</v>
      </c>
      <c r="AW110" s="18">
        <v>0.84</v>
      </c>
      <c r="AX110" s="21" t="s">
        <v>166</v>
      </c>
      <c r="AY110" s="14" t="s">
        <v>217</v>
      </c>
      <c r="AZ110" s="14" t="s">
        <v>217</v>
      </c>
      <c r="BA110" s="14" t="s">
        <v>166</v>
      </c>
      <c r="BB110" s="21" t="s">
        <v>166</v>
      </c>
      <c r="BC110" s="14" t="s">
        <v>179</v>
      </c>
      <c r="BD110" s="14" t="s">
        <v>2302</v>
      </c>
      <c r="BE110" s="14" t="s">
        <v>189</v>
      </c>
      <c r="BF110" s="18">
        <v>5.04</v>
      </c>
      <c r="BG110" s="14" t="s">
        <v>190</v>
      </c>
      <c r="BH110" s="14" t="s">
        <v>166</v>
      </c>
      <c r="BI110" s="14" t="s">
        <v>166</v>
      </c>
      <c r="BJ110" s="18" t="s">
        <v>166</v>
      </c>
      <c r="BK110" s="18" t="s">
        <v>166</v>
      </c>
      <c r="BL110" s="14" t="s">
        <v>191</v>
      </c>
      <c r="BM110" s="14" t="s">
        <v>178</v>
      </c>
      <c r="BN110" s="14" t="s">
        <v>177</v>
      </c>
      <c r="BO110" s="22" t="s">
        <v>166</v>
      </c>
      <c r="BP110" s="14" t="s">
        <v>2303</v>
      </c>
      <c r="BQ110" s="21">
        <v>5</v>
      </c>
      <c r="BR110" s="14" t="s">
        <v>166</v>
      </c>
      <c r="BS110" s="21" t="s">
        <v>166</v>
      </c>
      <c r="BT110" s="14" t="s">
        <v>2304</v>
      </c>
      <c r="BU110" s="14" t="s">
        <v>166</v>
      </c>
      <c r="BV110" s="14" t="s">
        <v>2305</v>
      </c>
      <c r="BW110" s="14" t="s">
        <v>166</v>
      </c>
      <c r="BX110" s="14" t="s">
        <v>166</v>
      </c>
      <c r="BY110" s="14" t="s">
        <v>166</v>
      </c>
      <c r="BZ110" s="14" t="s">
        <v>2306</v>
      </c>
      <c r="CA110" s="14" t="s">
        <v>166</v>
      </c>
      <c r="CB110" s="14" t="s">
        <v>166</v>
      </c>
      <c r="CC110" s="14" t="s">
        <v>2306</v>
      </c>
      <c r="CD110" s="14" t="s">
        <v>166</v>
      </c>
      <c r="CE110" s="18" t="s">
        <v>166</v>
      </c>
      <c r="CF110" s="16" t="s">
        <v>166</v>
      </c>
      <c r="CG110" s="17" t="s">
        <v>166</v>
      </c>
      <c r="CH110" s="16" t="s">
        <v>166</v>
      </c>
      <c r="CI110" s="16" t="s">
        <v>166</v>
      </c>
      <c r="CJ110" s="16" t="s">
        <v>166</v>
      </c>
      <c r="CK110" s="16" t="s">
        <v>166</v>
      </c>
      <c r="CL110" s="16" t="s">
        <v>166</v>
      </c>
      <c r="CM110" s="20" t="s">
        <v>166</v>
      </c>
      <c r="CN110" s="16" t="s">
        <v>166</v>
      </c>
      <c r="CO110" s="16" t="s">
        <v>166</v>
      </c>
      <c r="CP110" s="16" t="s">
        <v>166</v>
      </c>
      <c r="CQ110" s="16" t="s">
        <v>166</v>
      </c>
      <c r="CR110" s="16" t="s">
        <v>166</v>
      </c>
      <c r="CS110" s="16" t="s">
        <v>166</v>
      </c>
      <c r="CT110" s="16" t="s">
        <v>166</v>
      </c>
      <c r="CU110" s="16" t="s">
        <v>166</v>
      </c>
      <c r="CV110" s="16" t="s">
        <v>166</v>
      </c>
      <c r="CW110" s="16" t="s">
        <v>166</v>
      </c>
      <c r="CX110" s="16" t="s">
        <v>166</v>
      </c>
      <c r="CY110" s="16" t="s">
        <v>166</v>
      </c>
      <c r="CZ110" s="16" t="s">
        <v>166</v>
      </c>
      <c r="DA110" s="16" t="s">
        <v>166</v>
      </c>
      <c r="DB110" s="16" t="s">
        <v>166</v>
      </c>
      <c r="DC110" s="16" t="s">
        <v>166</v>
      </c>
      <c r="DD110" s="16" t="s">
        <v>166</v>
      </c>
      <c r="DE110" s="17" t="s">
        <v>166</v>
      </c>
      <c r="DF110" s="22">
        <v>6</v>
      </c>
      <c r="DG110" s="14" t="s">
        <v>2307</v>
      </c>
      <c r="DH110" s="14" t="s">
        <v>193</v>
      </c>
      <c r="DI110" s="14" t="s">
        <v>194</v>
      </c>
      <c r="DJ110" s="14" t="s">
        <v>2308</v>
      </c>
      <c r="DK110" s="14" t="s">
        <v>257</v>
      </c>
      <c r="DL110" s="21" t="s">
        <v>2309</v>
      </c>
      <c r="DM110" s="14" t="s">
        <v>198</v>
      </c>
      <c r="DN110" s="13" t="s">
        <v>2310</v>
      </c>
      <c r="DO110" s="20">
        <v>2021</v>
      </c>
      <c r="DP110" s="14" t="s">
        <v>166</v>
      </c>
      <c r="DQ110" s="14" t="s">
        <v>166</v>
      </c>
      <c r="DR110" s="18" t="s">
        <v>166</v>
      </c>
      <c r="DS110" s="16" t="s">
        <v>166</v>
      </c>
      <c r="DT110" s="19" t="s">
        <v>166</v>
      </c>
      <c r="DU110" s="14" t="s">
        <v>166</v>
      </c>
      <c r="DV110" s="18" t="s">
        <v>166</v>
      </c>
      <c r="DW110" s="18" t="s">
        <v>166</v>
      </c>
      <c r="DX110" s="16" t="s">
        <v>166</v>
      </c>
      <c r="DY110" s="16" t="s">
        <v>166</v>
      </c>
      <c r="DZ110" s="17" t="s">
        <v>166</v>
      </c>
      <c r="EA110" s="16" t="s">
        <v>166</v>
      </c>
      <c r="EB110" s="16" t="s">
        <v>166</v>
      </c>
      <c r="EC110" s="16" t="s">
        <v>166</v>
      </c>
      <c r="ED110" s="17" t="s">
        <v>166</v>
      </c>
      <c r="EE110" s="17" t="s">
        <v>166</v>
      </c>
      <c r="EF110" s="17" t="s">
        <v>166</v>
      </c>
      <c r="EG110" s="17" t="s">
        <v>166</v>
      </c>
      <c r="EH110" s="16" t="s">
        <v>166</v>
      </c>
      <c r="EI110" s="16" t="s">
        <v>166</v>
      </c>
      <c r="EJ110" s="16" t="s">
        <v>166</v>
      </c>
      <c r="EK110" s="16" t="s">
        <v>166</v>
      </c>
      <c r="EL110" s="16" t="s">
        <v>166</v>
      </c>
      <c r="EM110" s="16" t="s">
        <v>166</v>
      </c>
      <c r="EN110" s="16" t="s">
        <v>166</v>
      </c>
      <c r="EO110" s="16" t="s">
        <v>166</v>
      </c>
      <c r="EP110" s="16" t="s">
        <v>166</v>
      </c>
      <c r="EQ110" s="16" t="s">
        <v>166</v>
      </c>
      <c r="ER110" s="16" t="s">
        <v>166</v>
      </c>
      <c r="ES110" s="16" t="s">
        <v>166</v>
      </c>
      <c r="ET110" s="14" t="s">
        <v>166</v>
      </c>
      <c r="EU110" s="16" t="s">
        <v>166</v>
      </c>
      <c r="EV110" s="16" t="s">
        <v>166</v>
      </c>
      <c r="EW110" s="16" t="s">
        <v>166</v>
      </c>
      <c r="EX110" s="14" t="s">
        <v>190</v>
      </c>
      <c r="EY110" s="14" t="s">
        <v>166</v>
      </c>
      <c r="EZ110" s="16" t="s">
        <v>166</v>
      </c>
      <c r="FA110" s="15" t="s">
        <v>166</v>
      </c>
      <c r="FB110" s="15" t="s">
        <v>166</v>
      </c>
      <c r="FC110" s="15" t="s">
        <v>166</v>
      </c>
      <c r="FD110" s="15" t="s">
        <v>166</v>
      </c>
      <c r="FE110" s="15" t="s">
        <v>166</v>
      </c>
      <c r="FF110" s="15" t="s">
        <v>166</v>
      </c>
      <c r="FG110" s="14" t="s">
        <v>166</v>
      </c>
      <c r="FH110" s="3">
        <f>HYPERLINK("https://my.pitchbook.com?c=210408-22T","View Company Online")</f>
      </c>
    </row>
    <row r="111">
      <c r="A111" s="25" t="s">
        <v>2311</v>
      </c>
      <c r="B111" s="25" t="s">
        <v>2312</v>
      </c>
      <c r="C111" s="25" t="s">
        <v>2313</v>
      </c>
      <c r="D111" s="25" t="s">
        <v>166</v>
      </c>
      <c r="E111" s="34" t="s">
        <v>2314</v>
      </c>
      <c r="F111" s="32">
        <v>4</v>
      </c>
      <c r="G111" s="25" t="s">
        <v>2315</v>
      </c>
      <c r="H111" s="25" t="s">
        <v>166</v>
      </c>
      <c r="I111" s="25" t="s">
        <v>2316</v>
      </c>
      <c r="J111" s="25" t="s">
        <v>2317</v>
      </c>
      <c r="K111" s="25" t="s">
        <v>207</v>
      </c>
      <c r="L111" s="25" t="s">
        <v>208</v>
      </c>
      <c r="M111" s="25" t="s">
        <v>209</v>
      </c>
      <c r="N111" s="25" t="s">
        <v>269</v>
      </c>
      <c r="O111" s="25" t="s">
        <v>2318</v>
      </c>
      <c r="P111" s="25" t="s">
        <v>2319</v>
      </c>
      <c r="Q111" s="25" t="s">
        <v>166</v>
      </c>
      <c r="R111" s="25" t="s">
        <v>177</v>
      </c>
      <c r="S111" s="25" t="s">
        <v>178</v>
      </c>
      <c r="T111" s="25" t="s">
        <v>179</v>
      </c>
      <c r="U111" s="25" t="s">
        <v>2320</v>
      </c>
      <c r="V111" s="25" t="s">
        <v>2321</v>
      </c>
      <c r="W111" s="32" t="s">
        <v>2322</v>
      </c>
      <c r="X111" s="25" t="s">
        <v>2323</v>
      </c>
      <c r="Y111" s="25" t="s">
        <v>2324</v>
      </c>
      <c r="Z111" s="25" t="s">
        <v>2325</v>
      </c>
      <c r="AA111" s="25" t="s">
        <v>242</v>
      </c>
      <c r="AB111" s="25" t="s">
        <v>243</v>
      </c>
      <c r="AC111" s="25" t="s">
        <v>244</v>
      </c>
      <c r="AD111" s="25" t="s">
        <v>243</v>
      </c>
      <c r="AE111" s="25" t="s">
        <v>243</v>
      </c>
      <c r="AF111" s="25" t="s">
        <v>166</v>
      </c>
      <c r="AG111" s="25" t="s">
        <v>246</v>
      </c>
      <c r="AH111" s="32">
        <v>1</v>
      </c>
      <c r="AI111" s="4">
        <f>HYPERLINK("https://my.pitchbook.com/?d=199105-66T","199105-66T")</f>
      </c>
      <c r="AJ111" s="30" t="s">
        <v>166</v>
      </c>
      <c r="AK111" s="30">
        <v>44263</v>
      </c>
      <c r="AL111" s="29">
        <v>0.3</v>
      </c>
      <c r="AM111" s="25" t="s">
        <v>247</v>
      </c>
      <c r="AN111" s="29">
        <v>5.7</v>
      </c>
      <c r="AO111" s="29">
        <v>6</v>
      </c>
      <c r="AP111" s="25" t="s">
        <v>247</v>
      </c>
      <c r="AQ111" s="32" t="s">
        <v>166</v>
      </c>
      <c r="AR111" s="32" t="s">
        <v>166</v>
      </c>
      <c r="AS111" s="28">
        <v>6.04</v>
      </c>
      <c r="AT111" s="29">
        <v>0.3</v>
      </c>
      <c r="AU111" s="32" t="s">
        <v>186</v>
      </c>
      <c r="AV111" s="32" t="s">
        <v>166</v>
      </c>
      <c r="AW111" s="29">
        <v>0.6</v>
      </c>
      <c r="AX111" s="32" t="s">
        <v>166</v>
      </c>
      <c r="AY111" s="25" t="s">
        <v>217</v>
      </c>
      <c r="AZ111" s="25" t="s">
        <v>217</v>
      </c>
      <c r="BA111" s="25" t="s">
        <v>166</v>
      </c>
      <c r="BB111" s="32" t="s">
        <v>166</v>
      </c>
      <c r="BC111" s="25" t="s">
        <v>179</v>
      </c>
      <c r="BD111" s="25" t="s">
        <v>2326</v>
      </c>
      <c r="BE111" s="25" t="s">
        <v>189</v>
      </c>
      <c r="BF111" s="29">
        <v>0.3</v>
      </c>
      <c r="BG111" s="25" t="s">
        <v>190</v>
      </c>
      <c r="BH111" s="25" t="s">
        <v>166</v>
      </c>
      <c r="BI111" s="25" t="s">
        <v>166</v>
      </c>
      <c r="BJ111" s="29" t="s">
        <v>166</v>
      </c>
      <c r="BK111" s="29" t="s">
        <v>166</v>
      </c>
      <c r="BL111" s="25" t="s">
        <v>191</v>
      </c>
      <c r="BM111" s="25" t="s">
        <v>178</v>
      </c>
      <c r="BN111" s="25" t="s">
        <v>177</v>
      </c>
      <c r="BO111" s="33" t="s">
        <v>166</v>
      </c>
      <c r="BP111" s="25" t="s">
        <v>2314</v>
      </c>
      <c r="BQ111" s="32">
        <v>4</v>
      </c>
      <c r="BR111" s="25" t="s">
        <v>166</v>
      </c>
      <c r="BS111" s="32" t="s">
        <v>166</v>
      </c>
      <c r="BT111" s="25" t="s">
        <v>166</v>
      </c>
      <c r="BU111" s="25" t="s">
        <v>166</v>
      </c>
      <c r="BV111" s="25" t="s">
        <v>166</v>
      </c>
      <c r="BW111" s="25" t="s">
        <v>166</v>
      </c>
      <c r="BX111" s="25" t="s">
        <v>166</v>
      </c>
      <c r="BY111" s="25" t="s">
        <v>166</v>
      </c>
      <c r="BZ111" s="25" t="s">
        <v>166</v>
      </c>
      <c r="CA111" s="25" t="s">
        <v>166</v>
      </c>
      <c r="CB111" s="25" t="s">
        <v>166</v>
      </c>
      <c r="CC111" s="25" t="s">
        <v>166</v>
      </c>
      <c r="CD111" s="25" t="s">
        <v>166</v>
      </c>
      <c r="CE111" s="29" t="s">
        <v>166</v>
      </c>
      <c r="CF111" s="27" t="s">
        <v>166</v>
      </c>
      <c r="CG111" s="28" t="s">
        <v>166</v>
      </c>
      <c r="CH111" s="27" t="s">
        <v>166</v>
      </c>
      <c r="CI111" s="27" t="s">
        <v>166</v>
      </c>
      <c r="CJ111" s="27" t="s">
        <v>166</v>
      </c>
      <c r="CK111" s="27" t="s">
        <v>166</v>
      </c>
      <c r="CL111" s="27" t="s">
        <v>166</v>
      </c>
      <c r="CM111" s="31" t="s">
        <v>166</v>
      </c>
      <c r="CN111" s="27" t="s">
        <v>166</v>
      </c>
      <c r="CO111" s="27" t="s">
        <v>166</v>
      </c>
      <c r="CP111" s="27" t="s">
        <v>166</v>
      </c>
      <c r="CQ111" s="27" t="s">
        <v>166</v>
      </c>
      <c r="CR111" s="27" t="s">
        <v>166</v>
      </c>
      <c r="CS111" s="27" t="s">
        <v>166</v>
      </c>
      <c r="CT111" s="27" t="s">
        <v>166</v>
      </c>
      <c r="CU111" s="27" t="s">
        <v>166</v>
      </c>
      <c r="CV111" s="27" t="s">
        <v>166</v>
      </c>
      <c r="CW111" s="27" t="s">
        <v>166</v>
      </c>
      <c r="CX111" s="27" t="s">
        <v>166</v>
      </c>
      <c r="CY111" s="27" t="s">
        <v>166</v>
      </c>
      <c r="CZ111" s="27" t="s">
        <v>166</v>
      </c>
      <c r="DA111" s="27" t="s">
        <v>166</v>
      </c>
      <c r="DB111" s="27" t="s">
        <v>166</v>
      </c>
      <c r="DC111" s="27" t="s">
        <v>166</v>
      </c>
      <c r="DD111" s="27" t="s">
        <v>166</v>
      </c>
      <c r="DE111" s="28" t="s">
        <v>166</v>
      </c>
      <c r="DF111" s="33">
        <v>13</v>
      </c>
      <c r="DG111" s="25" t="s">
        <v>673</v>
      </c>
      <c r="DH111" s="25" t="s">
        <v>193</v>
      </c>
      <c r="DI111" s="25" t="s">
        <v>194</v>
      </c>
      <c r="DJ111" s="25" t="s">
        <v>674</v>
      </c>
      <c r="DK111" s="25" t="s">
        <v>257</v>
      </c>
      <c r="DL111" s="32" t="s">
        <v>1599</v>
      </c>
      <c r="DM111" s="25" t="s">
        <v>198</v>
      </c>
      <c r="DN111" s="24" t="s">
        <v>2327</v>
      </c>
      <c r="DO111" s="31">
        <v>2021</v>
      </c>
      <c r="DP111" s="25" t="s">
        <v>166</v>
      </c>
      <c r="DQ111" s="25" t="s">
        <v>166</v>
      </c>
      <c r="DR111" s="29" t="s">
        <v>166</v>
      </c>
      <c r="DS111" s="27" t="s">
        <v>166</v>
      </c>
      <c r="DT111" s="30" t="s">
        <v>166</v>
      </c>
      <c r="DU111" s="25" t="s">
        <v>166</v>
      </c>
      <c r="DV111" s="29" t="s">
        <v>166</v>
      </c>
      <c r="DW111" s="29" t="s">
        <v>166</v>
      </c>
      <c r="DX111" s="27" t="s">
        <v>166</v>
      </c>
      <c r="DY111" s="27" t="s">
        <v>166</v>
      </c>
      <c r="DZ111" s="28" t="s">
        <v>166</v>
      </c>
      <c r="EA111" s="27" t="s">
        <v>166</v>
      </c>
      <c r="EB111" s="27" t="s">
        <v>166</v>
      </c>
      <c r="EC111" s="27" t="s">
        <v>166</v>
      </c>
      <c r="ED111" s="28" t="s">
        <v>166</v>
      </c>
      <c r="EE111" s="28" t="s">
        <v>166</v>
      </c>
      <c r="EF111" s="28" t="s">
        <v>166</v>
      </c>
      <c r="EG111" s="28" t="s">
        <v>166</v>
      </c>
      <c r="EH111" s="27" t="s">
        <v>166</v>
      </c>
      <c r="EI111" s="27" t="s">
        <v>166</v>
      </c>
      <c r="EJ111" s="27" t="s">
        <v>166</v>
      </c>
      <c r="EK111" s="27" t="s">
        <v>166</v>
      </c>
      <c r="EL111" s="27" t="s">
        <v>166</v>
      </c>
      <c r="EM111" s="27" t="s">
        <v>166</v>
      </c>
      <c r="EN111" s="27" t="s">
        <v>166</v>
      </c>
      <c r="EO111" s="27" t="s">
        <v>166</v>
      </c>
      <c r="EP111" s="27" t="s">
        <v>166</v>
      </c>
      <c r="EQ111" s="27" t="s">
        <v>166</v>
      </c>
      <c r="ER111" s="27" t="s">
        <v>166</v>
      </c>
      <c r="ES111" s="27" t="s">
        <v>166</v>
      </c>
      <c r="ET111" s="25" t="s">
        <v>166</v>
      </c>
      <c r="EU111" s="27" t="s">
        <v>166</v>
      </c>
      <c r="EV111" s="27" t="s">
        <v>166</v>
      </c>
      <c r="EW111" s="27" t="s">
        <v>166</v>
      </c>
      <c r="EX111" s="25" t="s">
        <v>190</v>
      </c>
      <c r="EY111" s="25" t="s">
        <v>166</v>
      </c>
      <c r="EZ111" s="27" t="s">
        <v>166</v>
      </c>
      <c r="FA111" s="26" t="s">
        <v>166</v>
      </c>
      <c r="FB111" s="26" t="s">
        <v>166</v>
      </c>
      <c r="FC111" s="26" t="s">
        <v>166</v>
      </c>
      <c r="FD111" s="26" t="s">
        <v>166</v>
      </c>
      <c r="FE111" s="26" t="s">
        <v>166</v>
      </c>
      <c r="FF111" s="26" t="s">
        <v>166</v>
      </c>
      <c r="FG111" s="25" t="s">
        <v>166</v>
      </c>
      <c r="FH111" s="4">
        <f>HYPERLINK("https://my.pitchbook.com?c=199105-66T","View Company Online")</f>
      </c>
    </row>
    <row r="112">
      <c r="A112" s="14" t="s">
        <v>2328</v>
      </c>
      <c r="B112" s="14" t="s">
        <v>2329</v>
      </c>
      <c r="C112" s="14" t="s">
        <v>2330</v>
      </c>
      <c r="D112" s="14" t="s">
        <v>166</v>
      </c>
      <c r="E112" s="23" t="s">
        <v>381</v>
      </c>
      <c r="F112" s="21">
        <v>1</v>
      </c>
      <c r="G112" s="14" t="s">
        <v>2331</v>
      </c>
      <c r="H112" s="14" t="s">
        <v>166</v>
      </c>
      <c r="I112" s="14" t="s">
        <v>2332</v>
      </c>
      <c r="J112" s="14" t="s">
        <v>2333</v>
      </c>
      <c r="K112" s="14" t="s">
        <v>1500</v>
      </c>
      <c r="L112" s="14" t="s">
        <v>2334</v>
      </c>
      <c r="M112" s="14" t="s">
        <v>2335</v>
      </c>
      <c r="N112" s="14" t="s">
        <v>2336</v>
      </c>
      <c r="O112" s="14" t="s">
        <v>2337</v>
      </c>
      <c r="P112" s="14" t="s">
        <v>2338</v>
      </c>
      <c r="Q112" s="14" t="s">
        <v>166</v>
      </c>
      <c r="R112" s="14" t="s">
        <v>177</v>
      </c>
      <c r="S112" s="14" t="s">
        <v>178</v>
      </c>
      <c r="T112" s="14" t="s">
        <v>179</v>
      </c>
      <c r="U112" s="14" t="s">
        <v>2339</v>
      </c>
      <c r="V112" s="14" t="s">
        <v>2340</v>
      </c>
      <c r="W112" s="21" t="s">
        <v>2341</v>
      </c>
      <c r="X112" s="14" t="s">
        <v>2342</v>
      </c>
      <c r="Y112" s="14" t="s">
        <v>2343</v>
      </c>
      <c r="Z112" s="14" t="s">
        <v>2344</v>
      </c>
      <c r="AA112" s="14" t="s">
        <v>166</v>
      </c>
      <c r="AB112" s="14" t="s">
        <v>166</v>
      </c>
      <c r="AC112" s="14" t="s">
        <v>166</v>
      </c>
      <c r="AD112" s="14" t="s">
        <v>166</v>
      </c>
      <c r="AE112" s="14" t="s">
        <v>166</v>
      </c>
      <c r="AF112" s="14" t="s">
        <v>166</v>
      </c>
      <c r="AG112" s="14" t="s">
        <v>166</v>
      </c>
      <c r="AH112" s="21">
        <v>5</v>
      </c>
      <c r="AI112" s="3">
        <f>HYPERLINK("https://my.pitchbook.com/?d=211111-48T","211111-48T")</f>
      </c>
      <c r="AJ112" s="19" t="s">
        <v>166</v>
      </c>
      <c r="AK112" s="19">
        <v>44915</v>
      </c>
      <c r="AL112" s="18">
        <v>0.03</v>
      </c>
      <c r="AM112" s="14" t="s">
        <v>185</v>
      </c>
      <c r="AN112" s="18" t="s">
        <v>166</v>
      </c>
      <c r="AO112" s="18" t="s">
        <v>166</v>
      </c>
      <c r="AP112" s="14" t="s">
        <v>166</v>
      </c>
      <c r="AQ112" s="21" t="s">
        <v>166</v>
      </c>
      <c r="AR112" s="21" t="s">
        <v>166</v>
      </c>
      <c r="AS112" s="17" t="s">
        <v>166</v>
      </c>
      <c r="AT112" s="18">
        <v>0.03</v>
      </c>
      <c r="AU112" s="21" t="s">
        <v>186</v>
      </c>
      <c r="AV112" s="21" t="s">
        <v>166</v>
      </c>
      <c r="AW112" s="18" t="s">
        <v>166</v>
      </c>
      <c r="AX112" s="21" t="s">
        <v>166</v>
      </c>
      <c r="AY112" s="14" t="s">
        <v>217</v>
      </c>
      <c r="AZ112" s="14" t="s">
        <v>217</v>
      </c>
      <c r="BA112" s="14" t="s">
        <v>166</v>
      </c>
      <c r="BB112" s="21" t="s">
        <v>166</v>
      </c>
      <c r="BC112" s="14" t="s">
        <v>179</v>
      </c>
      <c r="BD112" s="14" t="s">
        <v>2345</v>
      </c>
      <c r="BE112" s="14" t="s">
        <v>189</v>
      </c>
      <c r="BF112" s="18" t="s">
        <v>166</v>
      </c>
      <c r="BG112" s="14" t="s">
        <v>190</v>
      </c>
      <c r="BH112" s="14" t="s">
        <v>166</v>
      </c>
      <c r="BI112" s="14" t="s">
        <v>166</v>
      </c>
      <c r="BJ112" s="18">
        <v>0.03</v>
      </c>
      <c r="BK112" s="18" t="s">
        <v>166</v>
      </c>
      <c r="BL112" s="14" t="s">
        <v>191</v>
      </c>
      <c r="BM112" s="14" t="s">
        <v>178</v>
      </c>
      <c r="BN112" s="14" t="s">
        <v>177</v>
      </c>
      <c r="BO112" s="22" t="s">
        <v>166</v>
      </c>
      <c r="BP112" s="14" t="s">
        <v>381</v>
      </c>
      <c r="BQ112" s="21">
        <v>1</v>
      </c>
      <c r="BR112" s="14" t="s">
        <v>166</v>
      </c>
      <c r="BS112" s="21" t="s">
        <v>166</v>
      </c>
      <c r="BT112" s="14" t="s">
        <v>166</v>
      </c>
      <c r="BU112" s="14" t="s">
        <v>166</v>
      </c>
      <c r="BV112" s="14" t="s">
        <v>166</v>
      </c>
      <c r="BW112" s="14" t="s">
        <v>166</v>
      </c>
      <c r="BX112" s="14" t="s">
        <v>166</v>
      </c>
      <c r="BY112" s="14" t="s">
        <v>166</v>
      </c>
      <c r="BZ112" s="14" t="s">
        <v>166</v>
      </c>
      <c r="CA112" s="14" t="s">
        <v>166</v>
      </c>
      <c r="CB112" s="14" t="s">
        <v>166</v>
      </c>
      <c r="CC112" s="14" t="s">
        <v>166</v>
      </c>
      <c r="CD112" s="14" t="s">
        <v>166</v>
      </c>
      <c r="CE112" s="18" t="s">
        <v>166</v>
      </c>
      <c r="CF112" s="16" t="s">
        <v>166</v>
      </c>
      <c r="CG112" s="17" t="s">
        <v>166</v>
      </c>
      <c r="CH112" s="16" t="s">
        <v>166</v>
      </c>
      <c r="CI112" s="16" t="s">
        <v>166</v>
      </c>
      <c r="CJ112" s="16" t="s">
        <v>166</v>
      </c>
      <c r="CK112" s="16" t="s">
        <v>166</v>
      </c>
      <c r="CL112" s="16" t="s">
        <v>166</v>
      </c>
      <c r="CM112" s="20" t="s">
        <v>166</v>
      </c>
      <c r="CN112" s="16" t="s">
        <v>166</v>
      </c>
      <c r="CO112" s="16" t="s">
        <v>166</v>
      </c>
      <c r="CP112" s="16" t="s">
        <v>166</v>
      </c>
      <c r="CQ112" s="16" t="s">
        <v>166</v>
      </c>
      <c r="CR112" s="16" t="s">
        <v>166</v>
      </c>
      <c r="CS112" s="16" t="s">
        <v>166</v>
      </c>
      <c r="CT112" s="16" t="s">
        <v>166</v>
      </c>
      <c r="CU112" s="16" t="s">
        <v>166</v>
      </c>
      <c r="CV112" s="16" t="s">
        <v>166</v>
      </c>
      <c r="CW112" s="16" t="s">
        <v>166</v>
      </c>
      <c r="CX112" s="16" t="s">
        <v>166</v>
      </c>
      <c r="CY112" s="16" t="s">
        <v>166</v>
      </c>
      <c r="CZ112" s="16" t="s">
        <v>166</v>
      </c>
      <c r="DA112" s="16" t="s">
        <v>166</v>
      </c>
      <c r="DB112" s="16" t="s">
        <v>166</v>
      </c>
      <c r="DC112" s="16" t="s">
        <v>166</v>
      </c>
      <c r="DD112" s="16" t="s">
        <v>166</v>
      </c>
      <c r="DE112" s="17" t="s">
        <v>166</v>
      </c>
      <c r="DF112" s="22">
        <v>12</v>
      </c>
      <c r="DG112" s="14" t="s">
        <v>2346</v>
      </c>
      <c r="DH112" s="14" t="s">
        <v>193</v>
      </c>
      <c r="DI112" s="14" t="s">
        <v>194</v>
      </c>
      <c r="DJ112" s="14" t="s">
        <v>2347</v>
      </c>
      <c r="DK112" s="14" t="s">
        <v>386</v>
      </c>
      <c r="DL112" s="21" t="s">
        <v>2348</v>
      </c>
      <c r="DM112" s="14" t="s">
        <v>198</v>
      </c>
      <c r="DN112" s="13" t="s">
        <v>2349</v>
      </c>
      <c r="DO112" s="20">
        <v>2020</v>
      </c>
      <c r="DP112" s="14" t="s">
        <v>166</v>
      </c>
      <c r="DQ112" s="14" t="s">
        <v>2350</v>
      </c>
      <c r="DR112" s="18">
        <v>0.03</v>
      </c>
      <c r="DS112" s="16" t="s">
        <v>166</v>
      </c>
      <c r="DT112" s="19" t="s">
        <v>166</v>
      </c>
      <c r="DU112" s="14" t="s">
        <v>166</v>
      </c>
      <c r="DV112" s="18" t="s">
        <v>166</v>
      </c>
      <c r="DW112" s="18" t="s">
        <v>166</v>
      </c>
      <c r="DX112" s="16" t="s">
        <v>166</v>
      </c>
      <c r="DY112" s="16" t="s">
        <v>166</v>
      </c>
      <c r="DZ112" s="17" t="s">
        <v>166</v>
      </c>
      <c r="EA112" s="16" t="s">
        <v>166</v>
      </c>
      <c r="EB112" s="16" t="s">
        <v>166</v>
      </c>
      <c r="EC112" s="16" t="s">
        <v>166</v>
      </c>
      <c r="ED112" s="17" t="s">
        <v>166</v>
      </c>
      <c r="EE112" s="17" t="s">
        <v>166</v>
      </c>
      <c r="EF112" s="17" t="s">
        <v>166</v>
      </c>
      <c r="EG112" s="17" t="s">
        <v>166</v>
      </c>
      <c r="EH112" s="16" t="s">
        <v>166</v>
      </c>
      <c r="EI112" s="16" t="s">
        <v>166</v>
      </c>
      <c r="EJ112" s="16" t="s">
        <v>166</v>
      </c>
      <c r="EK112" s="16" t="s">
        <v>166</v>
      </c>
      <c r="EL112" s="16" t="s">
        <v>166</v>
      </c>
      <c r="EM112" s="16" t="s">
        <v>166</v>
      </c>
      <c r="EN112" s="16" t="s">
        <v>166</v>
      </c>
      <c r="EO112" s="16" t="s">
        <v>166</v>
      </c>
      <c r="EP112" s="16" t="s">
        <v>166</v>
      </c>
      <c r="EQ112" s="16" t="s">
        <v>166</v>
      </c>
      <c r="ER112" s="16" t="s">
        <v>166</v>
      </c>
      <c r="ES112" s="16" t="s">
        <v>166</v>
      </c>
      <c r="ET112" s="14" t="s">
        <v>166</v>
      </c>
      <c r="EU112" s="16" t="s">
        <v>166</v>
      </c>
      <c r="EV112" s="16" t="s">
        <v>166</v>
      </c>
      <c r="EW112" s="16" t="s">
        <v>166</v>
      </c>
      <c r="EX112" s="14" t="s">
        <v>190</v>
      </c>
      <c r="EY112" s="14" t="s">
        <v>190</v>
      </c>
      <c r="EZ112" s="16" t="s">
        <v>166</v>
      </c>
      <c r="FA112" s="15" t="s">
        <v>166</v>
      </c>
      <c r="FB112" s="15" t="s">
        <v>166</v>
      </c>
      <c r="FC112" s="15" t="s">
        <v>166</v>
      </c>
      <c r="FD112" s="15" t="s">
        <v>166</v>
      </c>
      <c r="FE112" s="15" t="s">
        <v>166</v>
      </c>
      <c r="FF112" s="15" t="s">
        <v>166</v>
      </c>
      <c r="FG112" s="14" t="s">
        <v>166</v>
      </c>
      <c r="FH112" s="3">
        <f>HYPERLINK("https://my.pitchbook.com?c=211111-48T","View Company Online")</f>
      </c>
    </row>
    <row r="113">
      <c r="A113" s="25" t="s">
        <v>2351</v>
      </c>
      <c r="B113" s="25" t="s">
        <v>2352</v>
      </c>
      <c r="C113" s="25" t="s">
        <v>2353</v>
      </c>
      <c r="D113" s="25" t="s">
        <v>166</v>
      </c>
      <c r="E113" s="34" t="s">
        <v>2354</v>
      </c>
      <c r="F113" s="32">
        <v>1</v>
      </c>
      <c r="G113" s="25" t="s">
        <v>2355</v>
      </c>
      <c r="H113" s="25" t="s">
        <v>166</v>
      </c>
      <c r="I113" s="25" t="s">
        <v>2356</v>
      </c>
      <c r="J113" s="25" t="s">
        <v>2357</v>
      </c>
      <c r="K113" s="25" t="s">
        <v>1500</v>
      </c>
      <c r="L113" s="25" t="s">
        <v>2334</v>
      </c>
      <c r="M113" s="25" t="s">
        <v>2335</v>
      </c>
      <c r="N113" s="25" t="s">
        <v>2358</v>
      </c>
      <c r="O113" s="25" t="s">
        <v>2359</v>
      </c>
      <c r="P113" s="25" t="s">
        <v>2360</v>
      </c>
      <c r="Q113" s="25" t="s">
        <v>166</v>
      </c>
      <c r="R113" s="25" t="s">
        <v>177</v>
      </c>
      <c r="S113" s="25" t="s">
        <v>178</v>
      </c>
      <c r="T113" s="25" t="s">
        <v>179</v>
      </c>
      <c r="U113" s="25" t="s">
        <v>2361</v>
      </c>
      <c r="V113" s="25" t="s">
        <v>2362</v>
      </c>
      <c r="W113" s="32" t="s">
        <v>2363</v>
      </c>
      <c r="X113" s="25" t="s">
        <v>2364</v>
      </c>
      <c r="Y113" s="25" t="s">
        <v>2365</v>
      </c>
      <c r="Z113" s="25" t="s">
        <v>2366</v>
      </c>
      <c r="AA113" s="25" t="s">
        <v>166</v>
      </c>
      <c r="AB113" s="25" t="s">
        <v>166</v>
      </c>
      <c r="AC113" s="25" t="s">
        <v>166</v>
      </c>
      <c r="AD113" s="25" t="s">
        <v>166</v>
      </c>
      <c r="AE113" s="25" t="s">
        <v>166</v>
      </c>
      <c r="AF113" s="25" t="s">
        <v>166</v>
      </c>
      <c r="AG113" s="25" t="s">
        <v>166</v>
      </c>
      <c r="AH113" s="32">
        <v>3</v>
      </c>
      <c r="AI113" s="4">
        <f>HYPERLINK("https://my.pitchbook.com/?d=265626-19T","265626-19T")</f>
      </c>
      <c r="AJ113" s="30" t="s">
        <v>166</v>
      </c>
      <c r="AK113" s="30">
        <v>45398</v>
      </c>
      <c r="AL113" s="29">
        <v>0.35</v>
      </c>
      <c r="AM113" s="25" t="s">
        <v>185</v>
      </c>
      <c r="AN113" s="29" t="s">
        <v>166</v>
      </c>
      <c r="AO113" s="29" t="s">
        <v>166</v>
      </c>
      <c r="AP113" s="25" t="s">
        <v>166</v>
      </c>
      <c r="AQ113" s="32" t="s">
        <v>166</v>
      </c>
      <c r="AR113" s="32" t="s">
        <v>166</v>
      </c>
      <c r="AS113" s="28" t="s">
        <v>166</v>
      </c>
      <c r="AT113" s="29">
        <v>0.43</v>
      </c>
      <c r="AU113" s="32" t="s">
        <v>186</v>
      </c>
      <c r="AV113" s="32" t="s">
        <v>166</v>
      </c>
      <c r="AW113" s="29" t="s">
        <v>166</v>
      </c>
      <c r="AX113" s="32" t="s">
        <v>166</v>
      </c>
      <c r="AY113" s="25" t="s">
        <v>187</v>
      </c>
      <c r="AZ113" s="25" t="s">
        <v>166</v>
      </c>
      <c r="BA113" s="25" t="s">
        <v>166</v>
      </c>
      <c r="BB113" s="32" t="s">
        <v>166</v>
      </c>
      <c r="BC113" s="25" t="s">
        <v>179</v>
      </c>
      <c r="BD113" s="25" t="s">
        <v>2357</v>
      </c>
      <c r="BE113" s="25" t="s">
        <v>189</v>
      </c>
      <c r="BF113" s="29">
        <v>0.35</v>
      </c>
      <c r="BG113" s="25" t="s">
        <v>190</v>
      </c>
      <c r="BH113" s="25" t="s">
        <v>166</v>
      </c>
      <c r="BI113" s="25" t="s">
        <v>166</v>
      </c>
      <c r="BJ113" s="29" t="s">
        <v>166</v>
      </c>
      <c r="BK113" s="29" t="s">
        <v>166</v>
      </c>
      <c r="BL113" s="25" t="s">
        <v>191</v>
      </c>
      <c r="BM113" s="25" t="s">
        <v>178</v>
      </c>
      <c r="BN113" s="25" t="s">
        <v>177</v>
      </c>
      <c r="BO113" s="33" t="s">
        <v>166</v>
      </c>
      <c r="BP113" s="25" t="s">
        <v>2354</v>
      </c>
      <c r="BQ113" s="32">
        <v>1</v>
      </c>
      <c r="BR113" s="25" t="s">
        <v>166</v>
      </c>
      <c r="BS113" s="32" t="s">
        <v>166</v>
      </c>
      <c r="BT113" s="25" t="s">
        <v>166</v>
      </c>
      <c r="BU113" s="25" t="s">
        <v>166</v>
      </c>
      <c r="BV113" s="25" t="s">
        <v>166</v>
      </c>
      <c r="BW113" s="25" t="s">
        <v>166</v>
      </c>
      <c r="BX113" s="25" t="s">
        <v>166</v>
      </c>
      <c r="BY113" s="25" t="s">
        <v>166</v>
      </c>
      <c r="BZ113" s="25" t="s">
        <v>166</v>
      </c>
      <c r="CA113" s="25" t="s">
        <v>166</v>
      </c>
      <c r="CB113" s="25" t="s">
        <v>166</v>
      </c>
      <c r="CC113" s="25" t="s">
        <v>166</v>
      </c>
      <c r="CD113" s="25" t="s">
        <v>166</v>
      </c>
      <c r="CE113" s="29" t="s">
        <v>166</v>
      </c>
      <c r="CF113" s="27" t="s">
        <v>166</v>
      </c>
      <c r="CG113" s="28" t="s">
        <v>166</v>
      </c>
      <c r="CH113" s="27" t="s">
        <v>166</v>
      </c>
      <c r="CI113" s="27" t="s">
        <v>166</v>
      </c>
      <c r="CJ113" s="27" t="s">
        <v>166</v>
      </c>
      <c r="CK113" s="27" t="s">
        <v>166</v>
      </c>
      <c r="CL113" s="27" t="s">
        <v>166</v>
      </c>
      <c r="CM113" s="31" t="s">
        <v>166</v>
      </c>
      <c r="CN113" s="27" t="s">
        <v>166</v>
      </c>
      <c r="CO113" s="27" t="s">
        <v>166</v>
      </c>
      <c r="CP113" s="27" t="s">
        <v>166</v>
      </c>
      <c r="CQ113" s="27" t="s">
        <v>166</v>
      </c>
      <c r="CR113" s="27" t="s">
        <v>166</v>
      </c>
      <c r="CS113" s="27" t="s">
        <v>166</v>
      </c>
      <c r="CT113" s="27" t="s">
        <v>166</v>
      </c>
      <c r="CU113" s="27" t="s">
        <v>166</v>
      </c>
      <c r="CV113" s="27" t="s">
        <v>166</v>
      </c>
      <c r="CW113" s="27" t="s">
        <v>166</v>
      </c>
      <c r="CX113" s="27" t="s">
        <v>166</v>
      </c>
      <c r="CY113" s="27" t="s">
        <v>166</v>
      </c>
      <c r="CZ113" s="27" t="s">
        <v>166</v>
      </c>
      <c r="DA113" s="27" t="s">
        <v>166</v>
      </c>
      <c r="DB113" s="27" t="s">
        <v>166</v>
      </c>
      <c r="DC113" s="27" t="s">
        <v>166</v>
      </c>
      <c r="DD113" s="27" t="s">
        <v>166</v>
      </c>
      <c r="DE113" s="28" t="s">
        <v>166</v>
      </c>
      <c r="DF113" s="33">
        <v>7</v>
      </c>
      <c r="DG113" s="25" t="s">
        <v>2367</v>
      </c>
      <c r="DH113" s="25" t="s">
        <v>193</v>
      </c>
      <c r="DI113" s="25" t="s">
        <v>194</v>
      </c>
      <c r="DJ113" s="25" t="s">
        <v>2368</v>
      </c>
      <c r="DK113" s="25" t="s">
        <v>2369</v>
      </c>
      <c r="DL113" s="32" t="s">
        <v>166</v>
      </c>
      <c r="DM113" s="25" t="s">
        <v>198</v>
      </c>
      <c r="DN113" s="24" t="s">
        <v>2370</v>
      </c>
      <c r="DO113" s="31" t="s">
        <v>166</v>
      </c>
      <c r="DP113" s="25" t="s">
        <v>166</v>
      </c>
      <c r="DQ113" s="25" t="s">
        <v>166</v>
      </c>
      <c r="DR113" s="29" t="s">
        <v>166</v>
      </c>
      <c r="DS113" s="27" t="s">
        <v>166</v>
      </c>
      <c r="DT113" s="30" t="s">
        <v>166</v>
      </c>
      <c r="DU113" s="25" t="s">
        <v>166</v>
      </c>
      <c r="DV113" s="29" t="s">
        <v>166</v>
      </c>
      <c r="DW113" s="29" t="s">
        <v>166</v>
      </c>
      <c r="DX113" s="27" t="s">
        <v>166</v>
      </c>
      <c r="DY113" s="27" t="s">
        <v>166</v>
      </c>
      <c r="DZ113" s="28" t="s">
        <v>166</v>
      </c>
      <c r="EA113" s="27" t="s">
        <v>166</v>
      </c>
      <c r="EB113" s="27" t="s">
        <v>166</v>
      </c>
      <c r="EC113" s="27" t="s">
        <v>166</v>
      </c>
      <c r="ED113" s="28" t="s">
        <v>166</v>
      </c>
      <c r="EE113" s="28" t="s">
        <v>166</v>
      </c>
      <c r="EF113" s="28" t="s">
        <v>166</v>
      </c>
      <c r="EG113" s="28" t="s">
        <v>166</v>
      </c>
      <c r="EH113" s="27" t="s">
        <v>166</v>
      </c>
      <c r="EI113" s="27" t="s">
        <v>166</v>
      </c>
      <c r="EJ113" s="27" t="s">
        <v>166</v>
      </c>
      <c r="EK113" s="27" t="s">
        <v>166</v>
      </c>
      <c r="EL113" s="27" t="s">
        <v>166</v>
      </c>
      <c r="EM113" s="27" t="s">
        <v>166</v>
      </c>
      <c r="EN113" s="27" t="s">
        <v>166</v>
      </c>
      <c r="EO113" s="27" t="s">
        <v>166</v>
      </c>
      <c r="EP113" s="27" t="s">
        <v>166</v>
      </c>
      <c r="EQ113" s="27" t="s">
        <v>166</v>
      </c>
      <c r="ER113" s="27" t="s">
        <v>166</v>
      </c>
      <c r="ES113" s="27" t="s">
        <v>166</v>
      </c>
      <c r="ET113" s="25" t="s">
        <v>166</v>
      </c>
      <c r="EU113" s="27" t="s">
        <v>166</v>
      </c>
      <c r="EV113" s="27" t="s">
        <v>166</v>
      </c>
      <c r="EW113" s="27" t="s">
        <v>166</v>
      </c>
      <c r="EX113" s="25" t="s">
        <v>190</v>
      </c>
      <c r="EY113" s="25" t="s">
        <v>166</v>
      </c>
      <c r="EZ113" s="27" t="s">
        <v>166</v>
      </c>
      <c r="FA113" s="26" t="s">
        <v>166</v>
      </c>
      <c r="FB113" s="26" t="s">
        <v>166</v>
      </c>
      <c r="FC113" s="26" t="s">
        <v>166</v>
      </c>
      <c r="FD113" s="26" t="s">
        <v>166</v>
      </c>
      <c r="FE113" s="26" t="s">
        <v>166</v>
      </c>
      <c r="FF113" s="26" t="s">
        <v>166</v>
      </c>
      <c r="FG113" s="25" t="s">
        <v>166</v>
      </c>
      <c r="FH113" s="4">
        <f>HYPERLINK("https://my.pitchbook.com?c=265626-19T","View Company Online")</f>
      </c>
    </row>
    <row r="114">
      <c r="A114" s="14" t="s">
        <v>2371</v>
      </c>
      <c r="B114" s="14" t="s">
        <v>2372</v>
      </c>
      <c r="C114" s="14" t="s">
        <v>2373</v>
      </c>
      <c r="D114" s="14" t="s">
        <v>166</v>
      </c>
      <c r="E114" s="23" t="s">
        <v>2374</v>
      </c>
      <c r="F114" s="21">
        <v>9</v>
      </c>
      <c r="G114" s="14" t="s">
        <v>2375</v>
      </c>
      <c r="H114" s="14" t="s">
        <v>166</v>
      </c>
      <c r="I114" s="14" t="s">
        <v>2376</v>
      </c>
      <c r="J114" s="14" t="s">
        <v>2377</v>
      </c>
      <c r="K114" s="14" t="s">
        <v>207</v>
      </c>
      <c r="L114" s="14" t="s">
        <v>208</v>
      </c>
      <c r="M114" s="14" t="s">
        <v>209</v>
      </c>
      <c r="N114" s="14" t="s">
        <v>2378</v>
      </c>
      <c r="O114" s="14" t="s">
        <v>800</v>
      </c>
      <c r="P114" s="14" t="s">
        <v>2379</v>
      </c>
      <c r="Q114" s="14" t="s">
        <v>926</v>
      </c>
      <c r="R114" s="14" t="s">
        <v>177</v>
      </c>
      <c r="S114" s="14" t="s">
        <v>178</v>
      </c>
      <c r="T114" s="14" t="s">
        <v>179</v>
      </c>
      <c r="U114" s="14" t="s">
        <v>2380</v>
      </c>
      <c r="V114" s="14" t="s">
        <v>2381</v>
      </c>
      <c r="W114" s="21" t="s">
        <v>166</v>
      </c>
      <c r="X114" s="14" t="s">
        <v>2382</v>
      </c>
      <c r="Y114" s="14" t="s">
        <v>2383</v>
      </c>
      <c r="Z114" s="14" t="s">
        <v>2384</v>
      </c>
      <c r="AA114" s="14" t="s">
        <v>166</v>
      </c>
      <c r="AB114" s="14" t="s">
        <v>166</v>
      </c>
      <c r="AC114" s="14" t="s">
        <v>166</v>
      </c>
      <c r="AD114" s="14" t="s">
        <v>166</v>
      </c>
      <c r="AE114" s="14" t="s">
        <v>166</v>
      </c>
      <c r="AF114" s="14" t="s">
        <v>166</v>
      </c>
      <c r="AG114" s="14" t="s">
        <v>166</v>
      </c>
      <c r="AH114" s="21">
        <v>1</v>
      </c>
      <c r="AI114" s="3">
        <f>HYPERLINK("https://my.pitchbook.com/?d=184760-65T","184760-65T")</f>
      </c>
      <c r="AJ114" s="19" t="s">
        <v>166</v>
      </c>
      <c r="AK114" s="19">
        <v>44682</v>
      </c>
      <c r="AL114" s="18">
        <v>6.5</v>
      </c>
      <c r="AM114" s="14" t="s">
        <v>185</v>
      </c>
      <c r="AN114" s="18" t="s">
        <v>166</v>
      </c>
      <c r="AO114" s="18" t="s">
        <v>166</v>
      </c>
      <c r="AP114" s="14" t="s">
        <v>166</v>
      </c>
      <c r="AQ114" s="21" t="s">
        <v>166</v>
      </c>
      <c r="AR114" s="21" t="s">
        <v>166</v>
      </c>
      <c r="AS114" s="17" t="s">
        <v>166</v>
      </c>
      <c r="AT114" s="18">
        <v>6.5</v>
      </c>
      <c r="AU114" s="21" t="s">
        <v>186</v>
      </c>
      <c r="AV114" s="21" t="s">
        <v>166</v>
      </c>
      <c r="AW114" s="18" t="s">
        <v>166</v>
      </c>
      <c r="AX114" s="21" t="s">
        <v>166</v>
      </c>
      <c r="AY114" s="14" t="s">
        <v>249</v>
      </c>
      <c r="AZ114" s="14" t="s">
        <v>166</v>
      </c>
      <c r="BA114" s="14" t="s">
        <v>166</v>
      </c>
      <c r="BB114" s="21" t="s">
        <v>166</v>
      </c>
      <c r="BC114" s="14" t="s">
        <v>179</v>
      </c>
      <c r="BD114" s="14" t="s">
        <v>2385</v>
      </c>
      <c r="BE114" s="14" t="s">
        <v>189</v>
      </c>
      <c r="BF114" s="18">
        <v>6.5</v>
      </c>
      <c r="BG114" s="14" t="s">
        <v>190</v>
      </c>
      <c r="BH114" s="14" t="s">
        <v>166</v>
      </c>
      <c r="BI114" s="14" t="s">
        <v>166</v>
      </c>
      <c r="BJ114" s="18" t="s">
        <v>166</v>
      </c>
      <c r="BK114" s="18" t="s">
        <v>166</v>
      </c>
      <c r="BL114" s="14" t="s">
        <v>191</v>
      </c>
      <c r="BM114" s="14" t="s">
        <v>178</v>
      </c>
      <c r="BN114" s="14" t="s">
        <v>177</v>
      </c>
      <c r="BO114" s="22" t="s">
        <v>166</v>
      </c>
      <c r="BP114" s="14" t="s">
        <v>2386</v>
      </c>
      <c r="BQ114" s="21">
        <v>9</v>
      </c>
      <c r="BR114" s="14" t="s">
        <v>166</v>
      </c>
      <c r="BS114" s="21" t="s">
        <v>166</v>
      </c>
      <c r="BT114" s="14" t="s">
        <v>166</v>
      </c>
      <c r="BU114" s="14" t="s">
        <v>166</v>
      </c>
      <c r="BV114" s="14" t="s">
        <v>166</v>
      </c>
      <c r="BW114" s="14" t="s">
        <v>166</v>
      </c>
      <c r="BX114" s="14" t="s">
        <v>166</v>
      </c>
      <c r="BY114" s="14" t="s">
        <v>166</v>
      </c>
      <c r="BZ114" s="14" t="s">
        <v>166</v>
      </c>
      <c r="CA114" s="14" t="s">
        <v>166</v>
      </c>
      <c r="CB114" s="14" t="s">
        <v>166</v>
      </c>
      <c r="CC114" s="14" t="s">
        <v>166</v>
      </c>
      <c r="CD114" s="14" t="s">
        <v>166</v>
      </c>
      <c r="CE114" s="18" t="s">
        <v>166</v>
      </c>
      <c r="CF114" s="16" t="s">
        <v>166</v>
      </c>
      <c r="CG114" s="17" t="s">
        <v>166</v>
      </c>
      <c r="CH114" s="16" t="s">
        <v>166</v>
      </c>
      <c r="CI114" s="16" t="s">
        <v>166</v>
      </c>
      <c r="CJ114" s="16" t="s">
        <v>166</v>
      </c>
      <c r="CK114" s="16" t="s">
        <v>166</v>
      </c>
      <c r="CL114" s="16" t="s">
        <v>166</v>
      </c>
      <c r="CM114" s="20" t="s">
        <v>166</v>
      </c>
      <c r="CN114" s="16" t="s">
        <v>166</v>
      </c>
      <c r="CO114" s="16" t="s">
        <v>166</v>
      </c>
      <c r="CP114" s="16" t="s">
        <v>166</v>
      </c>
      <c r="CQ114" s="16" t="s">
        <v>166</v>
      </c>
      <c r="CR114" s="16" t="s">
        <v>166</v>
      </c>
      <c r="CS114" s="16" t="s">
        <v>166</v>
      </c>
      <c r="CT114" s="16" t="s">
        <v>166</v>
      </c>
      <c r="CU114" s="16" t="s">
        <v>166</v>
      </c>
      <c r="CV114" s="16" t="s">
        <v>166</v>
      </c>
      <c r="CW114" s="16" t="s">
        <v>166</v>
      </c>
      <c r="CX114" s="16" t="s">
        <v>166</v>
      </c>
      <c r="CY114" s="16" t="s">
        <v>166</v>
      </c>
      <c r="CZ114" s="16" t="s">
        <v>166</v>
      </c>
      <c r="DA114" s="16" t="s">
        <v>166</v>
      </c>
      <c r="DB114" s="16" t="s">
        <v>166</v>
      </c>
      <c r="DC114" s="16" t="s">
        <v>166</v>
      </c>
      <c r="DD114" s="16" t="s">
        <v>166</v>
      </c>
      <c r="DE114" s="17" t="s">
        <v>166</v>
      </c>
      <c r="DF114" s="22">
        <v>27</v>
      </c>
      <c r="DG114" s="14" t="s">
        <v>673</v>
      </c>
      <c r="DH114" s="14" t="s">
        <v>193</v>
      </c>
      <c r="DI114" s="14" t="s">
        <v>194</v>
      </c>
      <c r="DJ114" s="14" t="s">
        <v>674</v>
      </c>
      <c r="DK114" s="14" t="s">
        <v>257</v>
      </c>
      <c r="DL114" s="21" t="s">
        <v>1491</v>
      </c>
      <c r="DM114" s="14" t="s">
        <v>198</v>
      </c>
      <c r="DN114" s="13" t="s">
        <v>2387</v>
      </c>
      <c r="DO114" s="20">
        <v>2017</v>
      </c>
      <c r="DP114" s="14" t="s">
        <v>166</v>
      </c>
      <c r="DQ114" s="14" t="s">
        <v>166</v>
      </c>
      <c r="DR114" s="18" t="s">
        <v>166</v>
      </c>
      <c r="DS114" s="16" t="s">
        <v>166</v>
      </c>
      <c r="DT114" s="19" t="s">
        <v>166</v>
      </c>
      <c r="DU114" s="14" t="s">
        <v>166</v>
      </c>
      <c r="DV114" s="18" t="s">
        <v>166</v>
      </c>
      <c r="DW114" s="18" t="s">
        <v>166</v>
      </c>
      <c r="DX114" s="16" t="s">
        <v>166</v>
      </c>
      <c r="DY114" s="16" t="s">
        <v>166</v>
      </c>
      <c r="DZ114" s="17" t="s">
        <v>166</v>
      </c>
      <c r="EA114" s="16" t="s">
        <v>166</v>
      </c>
      <c r="EB114" s="16" t="s">
        <v>166</v>
      </c>
      <c r="EC114" s="16" t="s">
        <v>166</v>
      </c>
      <c r="ED114" s="17" t="s">
        <v>166</v>
      </c>
      <c r="EE114" s="17" t="s">
        <v>166</v>
      </c>
      <c r="EF114" s="17" t="s">
        <v>166</v>
      </c>
      <c r="EG114" s="17" t="s">
        <v>166</v>
      </c>
      <c r="EH114" s="16" t="s">
        <v>166</v>
      </c>
      <c r="EI114" s="16" t="s">
        <v>166</v>
      </c>
      <c r="EJ114" s="16" t="s">
        <v>166</v>
      </c>
      <c r="EK114" s="16" t="s">
        <v>166</v>
      </c>
      <c r="EL114" s="16" t="s">
        <v>166</v>
      </c>
      <c r="EM114" s="16" t="s">
        <v>166</v>
      </c>
      <c r="EN114" s="16" t="s">
        <v>166</v>
      </c>
      <c r="EO114" s="16" t="s">
        <v>166</v>
      </c>
      <c r="EP114" s="16" t="s">
        <v>166</v>
      </c>
      <c r="EQ114" s="16" t="s">
        <v>166</v>
      </c>
      <c r="ER114" s="16" t="s">
        <v>166</v>
      </c>
      <c r="ES114" s="16" t="s">
        <v>166</v>
      </c>
      <c r="ET114" s="14" t="s">
        <v>166</v>
      </c>
      <c r="EU114" s="16" t="s">
        <v>166</v>
      </c>
      <c r="EV114" s="16" t="s">
        <v>166</v>
      </c>
      <c r="EW114" s="16" t="s">
        <v>166</v>
      </c>
      <c r="EX114" s="14" t="s">
        <v>190</v>
      </c>
      <c r="EY114" s="14" t="s">
        <v>166</v>
      </c>
      <c r="EZ114" s="16" t="s">
        <v>166</v>
      </c>
      <c r="FA114" s="15" t="s">
        <v>166</v>
      </c>
      <c r="FB114" s="15" t="s">
        <v>166</v>
      </c>
      <c r="FC114" s="15" t="s">
        <v>166</v>
      </c>
      <c r="FD114" s="15" t="s">
        <v>166</v>
      </c>
      <c r="FE114" s="15" t="s">
        <v>166</v>
      </c>
      <c r="FF114" s="15" t="s">
        <v>166</v>
      </c>
      <c r="FG114" s="14" t="s">
        <v>166</v>
      </c>
      <c r="FH114" s="3">
        <f>HYPERLINK("https://my.pitchbook.com?c=184760-65T","View Company Online")</f>
      </c>
    </row>
    <row r="115">
      <c r="A115" s="25" t="s">
        <v>2388</v>
      </c>
      <c r="B115" s="25" t="s">
        <v>2389</v>
      </c>
      <c r="C115" s="25" t="s">
        <v>2390</v>
      </c>
      <c r="D115" s="25" t="s">
        <v>166</v>
      </c>
      <c r="E115" s="34" t="s">
        <v>617</v>
      </c>
      <c r="F115" s="32">
        <v>1</v>
      </c>
      <c r="G115" s="25" t="s">
        <v>618</v>
      </c>
      <c r="H115" s="25" t="s">
        <v>166</v>
      </c>
      <c r="I115" s="25" t="s">
        <v>2391</v>
      </c>
      <c r="J115" s="25" t="s">
        <v>2392</v>
      </c>
      <c r="K115" s="25" t="s">
        <v>207</v>
      </c>
      <c r="L115" s="25" t="s">
        <v>208</v>
      </c>
      <c r="M115" s="25" t="s">
        <v>1766</v>
      </c>
      <c r="N115" s="25" t="s">
        <v>2393</v>
      </c>
      <c r="O115" s="25" t="s">
        <v>2394</v>
      </c>
      <c r="P115" s="25" t="s">
        <v>2395</v>
      </c>
      <c r="Q115" s="25" t="s">
        <v>166</v>
      </c>
      <c r="R115" s="25" t="s">
        <v>177</v>
      </c>
      <c r="S115" s="25" t="s">
        <v>178</v>
      </c>
      <c r="T115" s="25" t="s">
        <v>179</v>
      </c>
      <c r="U115" s="25" t="s">
        <v>2396</v>
      </c>
      <c r="V115" s="25" t="s">
        <v>2397</v>
      </c>
      <c r="W115" s="32" t="s">
        <v>2398</v>
      </c>
      <c r="X115" s="25" t="s">
        <v>166</v>
      </c>
      <c r="Y115" s="25" t="s">
        <v>2399</v>
      </c>
      <c r="Z115" s="25" t="s">
        <v>2400</v>
      </c>
      <c r="AA115" s="25" t="s">
        <v>166</v>
      </c>
      <c r="AB115" s="25" t="s">
        <v>166</v>
      </c>
      <c r="AC115" s="25" t="s">
        <v>166</v>
      </c>
      <c r="AD115" s="25" t="s">
        <v>166</v>
      </c>
      <c r="AE115" s="25" t="s">
        <v>166</v>
      </c>
      <c r="AF115" s="25" t="s">
        <v>166</v>
      </c>
      <c r="AG115" s="25" t="s">
        <v>166</v>
      </c>
      <c r="AH115" s="32">
        <v>3</v>
      </c>
      <c r="AI115" s="4">
        <f>HYPERLINK("https://my.pitchbook.com/?d=188456-59T","188456-59T")</f>
      </c>
      <c r="AJ115" s="30">
        <v>44606</v>
      </c>
      <c r="AK115" s="30">
        <v>44805</v>
      </c>
      <c r="AL115" s="29">
        <v>0.06</v>
      </c>
      <c r="AM115" s="25" t="s">
        <v>185</v>
      </c>
      <c r="AN115" s="29" t="s">
        <v>166</v>
      </c>
      <c r="AO115" s="29" t="s">
        <v>166</v>
      </c>
      <c r="AP115" s="25" t="s">
        <v>166</v>
      </c>
      <c r="AQ115" s="32" t="s">
        <v>166</v>
      </c>
      <c r="AR115" s="32" t="s">
        <v>166</v>
      </c>
      <c r="AS115" s="28" t="s">
        <v>166</v>
      </c>
      <c r="AT115" s="29">
        <v>0.06</v>
      </c>
      <c r="AU115" s="32" t="s">
        <v>186</v>
      </c>
      <c r="AV115" s="32" t="s">
        <v>166</v>
      </c>
      <c r="AW115" s="29" t="s">
        <v>166</v>
      </c>
      <c r="AX115" s="32" t="s">
        <v>166</v>
      </c>
      <c r="AY115" s="25" t="s">
        <v>187</v>
      </c>
      <c r="AZ115" s="25" t="s">
        <v>166</v>
      </c>
      <c r="BA115" s="25" t="s">
        <v>166</v>
      </c>
      <c r="BB115" s="32" t="s">
        <v>166</v>
      </c>
      <c r="BC115" s="25" t="s">
        <v>179</v>
      </c>
      <c r="BD115" s="25" t="s">
        <v>2401</v>
      </c>
      <c r="BE115" s="25" t="s">
        <v>189</v>
      </c>
      <c r="BF115" s="29" t="s">
        <v>166</v>
      </c>
      <c r="BG115" s="25" t="s">
        <v>190</v>
      </c>
      <c r="BH115" s="25" t="s">
        <v>166</v>
      </c>
      <c r="BI115" s="25" t="s">
        <v>166</v>
      </c>
      <c r="BJ115" s="29" t="s">
        <v>166</v>
      </c>
      <c r="BK115" s="29" t="s">
        <v>166</v>
      </c>
      <c r="BL115" s="25" t="s">
        <v>191</v>
      </c>
      <c r="BM115" s="25" t="s">
        <v>178</v>
      </c>
      <c r="BN115" s="25" t="s">
        <v>177</v>
      </c>
      <c r="BO115" s="33" t="s">
        <v>166</v>
      </c>
      <c r="BP115" s="25" t="s">
        <v>617</v>
      </c>
      <c r="BQ115" s="32">
        <v>1</v>
      </c>
      <c r="BR115" s="25" t="s">
        <v>166</v>
      </c>
      <c r="BS115" s="32" t="s">
        <v>166</v>
      </c>
      <c r="BT115" s="25" t="s">
        <v>166</v>
      </c>
      <c r="BU115" s="25" t="s">
        <v>166</v>
      </c>
      <c r="BV115" s="25" t="s">
        <v>166</v>
      </c>
      <c r="BW115" s="25" t="s">
        <v>166</v>
      </c>
      <c r="BX115" s="25" t="s">
        <v>166</v>
      </c>
      <c r="BY115" s="25" t="s">
        <v>166</v>
      </c>
      <c r="BZ115" s="25" t="s">
        <v>166</v>
      </c>
      <c r="CA115" s="25" t="s">
        <v>166</v>
      </c>
      <c r="CB115" s="25" t="s">
        <v>166</v>
      </c>
      <c r="CC115" s="25" t="s">
        <v>166</v>
      </c>
      <c r="CD115" s="25" t="s">
        <v>166</v>
      </c>
      <c r="CE115" s="29" t="s">
        <v>166</v>
      </c>
      <c r="CF115" s="27" t="s">
        <v>166</v>
      </c>
      <c r="CG115" s="28" t="s">
        <v>166</v>
      </c>
      <c r="CH115" s="27" t="s">
        <v>166</v>
      </c>
      <c r="CI115" s="27" t="s">
        <v>166</v>
      </c>
      <c r="CJ115" s="27" t="s">
        <v>166</v>
      </c>
      <c r="CK115" s="27" t="s">
        <v>166</v>
      </c>
      <c r="CL115" s="27" t="s">
        <v>166</v>
      </c>
      <c r="CM115" s="31" t="s">
        <v>166</v>
      </c>
      <c r="CN115" s="27" t="s">
        <v>166</v>
      </c>
      <c r="CO115" s="27" t="s">
        <v>166</v>
      </c>
      <c r="CP115" s="27" t="s">
        <v>166</v>
      </c>
      <c r="CQ115" s="27" t="s">
        <v>166</v>
      </c>
      <c r="CR115" s="27" t="s">
        <v>166</v>
      </c>
      <c r="CS115" s="27" t="s">
        <v>166</v>
      </c>
      <c r="CT115" s="27" t="s">
        <v>166</v>
      </c>
      <c r="CU115" s="27" t="s">
        <v>166</v>
      </c>
      <c r="CV115" s="27" t="s">
        <v>166</v>
      </c>
      <c r="CW115" s="27" t="s">
        <v>166</v>
      </c>
      <c r="CX115" s="27" t="s">
        <v>166</v>
      </c>
      <c r="CY115" s="27" t="s">
        <v>166</v>
      </c>
      <c r="CZ115" s="27" t="s">
        <v>166</v>
      </c>
      <c r="DA115" s="27" t="s">
        <v>166</v>
      </c>
      <c r="DB115" s="27" t="s">
        <v>166</v>
      </c>
      <c r="DC115" s="27" t="s">
        <v>166</v>
      </c>
      <c r="DD115" s="27" t="s">
        <v>166</v>
      </c>
      <c r="DE115" s="28" t="s">
        <v>166</v>
      </c>
      <c r="DF115" s="33">
        <v>19</v>
      </c>
      <c r="DG115" s="25" t="s">
        <v>429</v>
      </c>
      <c r="DH115" s="25" t="s">
        <v>193</v>
      </c>
      <c r="DI115" s="25" t="s">
        <v>194</v>
      </c>
      <c r="DJ115" s="25" t="s">
        <v>430</v>
      </c>
      <c r="DK115" s="25" t="s">
        <v>431</v>
      </c>
      <c r="DL115" s="32" t="s">
        <v>1369</v>
      </c>
      <c r="DM115" s="25" t="s">
        <v>198</v>
      </c>
      <c r="DN115" s="24" t="s">
        <v>2402</v>
      </c>
      <c r="DO115" s="31">
        <v>2018</v>
      </c>
      <c r="DP115" s="25" t="s">
        <v>166</v>
      </c>
      <c r="DQ115" s="25" t="s">
        <v>166</v>
      </c>
      <c r="DR115" s="29" t="s">
        <v>166</v>
      </c>
      <c r="DS115" s="27" t="s">
        <v>166</v>
      </c>
      <c r="DT115" s="30" t="s">
        <v>166</v>
      </c>
      <c r="DU115" s="25" t="s">
        <v>166</v>
      </c>
      <c r="DV115" s="29" t="s">
        <v>166</v>
      </c>
      <c r="DW115" s="29" t="s">
        <v>166</v>
      </c>
      <c r="DX115" s="27" t="s">
        <v>166</v>
      </c>
      <c r="DY115" s="27" t="s">
        <v>166</v>
      </c>
      <c r="DZ115" s="28" t="s">
        <v>166</v>
      </c>
      <c r="EA115" s="27" t="s">
        <v>166</v>
      </c>
      <c r="EB115" s="27" t="s">
        <v>166</v>
      </c>
      <c r="EC115" s="27" t="s">
        <v>166</v>
      </c>
      <c r="ED115" s="28" t="s">
        <v>166</v>
      </c>
      <c r="EE115" s="28" t="s">
        <v>166</v>
      </c>
      <c r="EF115" s="28" t="s">
        <v>166</v>
      </c>
      <c r="EG115" s="28" t="s">
        <v>166</v>
      </c>
      <c r="EH115" s="27" t="s">
        <v>166</v>
      </c>
      <c r="EI115" s="27" t="s">
        <v>166</v>
      </c>
      <c r="EJ115" s="27" t="s">
        <v>166</v>
      </c>
      <c r="EK115" s="27" t="s">
        <v>166</v>
      </c>
      <c r="EL115" s="27" t="s">
        <v>166</v>
      </c>
      <c r="EM115" s="27" t="s">
        <v>166</v>
      </c>
      <c r="EN115" s="27" t="s">
        <v>166</v>
      </c>
      <c r="EO115" s="27" t="s">
        <v>166</v>
      </c>
      <c r="EP115" s="27" t="s">
        <v>166</v>
      </c>
      <c r="EQ115" s="27" t="s">
        <v>166</v>
      </c>
      <c r="ER115" s="27" t="s">
        <v>166</v>
      </c>
      <c r="ES115" s="27" t="s">
        <v>166</v>
      </c>
      <c r="ET115" s="25" t="s">
        <v>166</v>
      </c>
      <c r="EU115" s="27" t="s">
        <v>166</v>
      </c>
      <c r="EV115" s="27" t="s">
        <v>166</v>
      </c>
      <c r="EW115" s="27" t="s">
        <v>166</v>
      </c>
      <c r="EX115" s="25" t="s">
        <v>190</v>
      </c>
      <c r="EY115" s="25" t="s">
        <v>166</v>
      </c>
      <c r="EZ115" s="27" t="s">
        <v>166</v>
      </c>
      <c r="FA115" s="26" t="s">
        <v>166</v>
      </c>
      <c r="FB115" s="26" t="s">
        <v>166</v>
      </c>
      <c r="FC115" s="26" t="s">
        <v>166</v>
      </c>
      <c r="FD115" s="26" t="s">
        <v>166</v>
      </c>
      <c r="FE115" s="26" t="s">
        <v>166</v>
      </c>
      <c r="FF115" s="26" t="s">
        <v>166</v>
      </c>
      <c r="FG115" s="25" t="s">
        <v>166</v>
      </c>
      <c r="FH115" s="4">
        <f>HYPERLINK("https://my.pitchbook.com?c=188456-59T","View Company Online")</f>
      </c>
    </row>
    <row r="116">
      <c r="A116" s="14" t="s">
        <v>2403</v>
      </c>
      <c r="B116" s="14" t="s">
        <v>2404</v>
      </c>
      <c r="C116" s="14" t="s">
        <v>2405</v>
      </c>
      <c r="D116" s="14" t="s">
        <v>166</v>
      </c>
      <c r="E116" s="23" t="s">
        <v>2406</v>
      </c>
      <c r="F116" s="21">
        <v>1</v>
      </c>
      <c r="G116" s="14" t="s">
        <v>2407</v>
      </c>
      <c r="H116" s="14" t="s">
        <v>166</v>
      </c>
      <c r="I116" s="14" t="s">
        <v>2408</v>
      </c>
      <c r="J116" s="14" t="s">
        <v>2409</v>
      </c>
      <c r="K116" s="14" t="s">
        <v>321</v>
      </c>
      <c r="L116" s="14" t="s">
        <v>322</v>
      </c>
      <c r="M116" s="14" t="s">
        <v>322</v>
      </c>
      <c r="N116" s="14" t="s">
        <v>2410</v>
      </c>
      <c r="O116" s="14" t="s">
        <v>325</v>
      </c>
      <c r="P116" s="14" t="s">
        <v>2411</v>
      </c>
      <c r="Q116" s="14" t="s">
        <v>166</v>
      </c>
      <c r="R116" s="14" t="s">
        <v>177</v>
      </c>
      <c r="S116" s="14" t="s">
        <v>178</v>
      </c>
      <c r="T116" s="14" t="s">
        <v>179</v>
      </c>
      <c r="U116" s="14" t="s">
        <v>2412</v>
      </c>
      <c r="V116" s="14" t="s">
        <v>2413</v>
      </c>
      <c r="W116" s="21" t="s">
        <v>166</v>
      </c>
      <c r="X116" s="14" t="s">
        <v>166</v>
      </c>
      <c r="Y116" s="14" t="s">
        <v>2414</v>
      </c>
      <c r="Z116" s="14" t="s">
        <v>166</v>
      </c>
      <c r="AA116" s="14" t="s">
        <v>242</v>
      </c>
      <c r="AB116" s="14" t="s">
        <v>243</v>
      </c>
      <c r="AC116" s="14" t="s">
        <v>244</v>
      </c>
      <c r="AD116" s="14" t="s">
        <v>243</v>
      </c>
      <c r="AE116" s="14" t="s">
        <v>243</v>
      </c>
      <c r="AF116" s="14" t="s">
        <v>166</v>
      </c>
      <c r="AG116" s="14" t="s">
        <v>246</v>
      </c>
      <c r="AH116" s="21">
        <v>1</v>
      </c>
      <c r="AI116" s="3">
        <f>HYPERLINK("https://my.pitchbook.com/?d=228271-78T","228271-78T")</f>
      </c>
      <c r="AJ116" s="19" t="s">
        <v>166</v>
      </c>
      <c r="AK116" s="19">
        <v>44846</v>
      </c>
      <c r="AL116" s="18">
        <v>0.57</v>
      </c>
      <c r="AM116" s="14" t="s">
        <v>247</v>
      </c>
      <c r="AN116" s="18">
        <v>5.48</v>
      </c>
      <c r="AO116" s="18">
        <v>6.05</v>
      </c>
      <c r="AP116" s="14" t="s">
        <v>185</v>
      </c>
      <c r="AQ116" s="21" t="s">
        <v>166</v>
      </c>
      <c r="AR116" s="21" t="s">
        <v>166</v>
      </c>
      <c r="AS116" s="17">
        <v>9.71</v>
      </c>
      <c r="AT116" s="18">
        <v>0.57</v>
      </c>
      <c r="AU116" s="21" t="s">
        <v>186</v>
      </c>
      <c r="AV116" s="21" t="s">
        <v>166</v>
      </c>
      <c r="AW116" s="18">
        <v>0.67</v>
      </c>
      <c r="AX116" s="21" t="s">
        <v>166</v>
      </c>
      <c r="AY116" s="14" t="s">
        <v>217</v>
      </c>
      <c r="AZ116" s="14" t="s">
        <v>217</v>
      </c>
      <c r="BA116" s="14" t="s">
        <v>166</v>
      </c>
      <c r="BB116" s="21" t="s">
        <v>166</v>
      </c>
      <c r="BC116" s="14" t="s">
        <v>179</v>
      </c>
      <c r="BD116" s="14" t="s">
        <v>2415</v>
      </c>
      <c r="BE116" s="14" t="s">
        <v>189</v>
      </c>
      <c r="BF116" s="18">
        <v>0.57</v>
      </c>
      <c r="BG116" s="14" t="s">
        <v>190</v>
      </c>
      <c r="BH116" s="14" t="s">
        <v>166</v>
      </c>
      <c r="BI116" s="14" t="s">
        <v>166</v>
      </c>
      <c r="BJ116" s="18" t="s">
        <v>166</v>
      </c>
      <c r="BK116" s="18" t="s">
        <v>166</v>
      </c>
      <c r="BL116" s="14" t="s">
        <v>191</v>
      </c>
      <c r="BM116" s="14" t="s">
        <v>358</v>
      </c>
      <c r="BN116" s="14" t="s">
        <v>177</v>
      </c>
      <c r="BO116" s="22" t="s">
        <v>166</v>
      </c>
      <c r="BP116" s="14" t="s">
        <v>2416</v>
      </c>
      <c r="BQ116" s="21">
        <v>1</v>
      </c>
      <c r="BR116" s="14" t="s">
        <v>166</v>
      </c>
      <c r="BS116" s="21" t="s">
        <v>166</v>
      </c>
      <c r="BT116" s="14" t="s">
        <v>2406</v>
      </c>
      <c r="BU116" s="14" t="s">
        <v>166</v>
      </c>
      <c r="BV116" s="14" t="s">
        <v>2417</v>
      </c>
      <c r="BW116" s="14" t="s">
        <v>166</v>
      </c>
      <c r="BX116" s="14" t="s">
        <v>166</v>
      </c>
      <c r="BY116" s="14" t="s">
        <v>166</v>
      </c>
      <c r="BZ116" s="14" t="s">
        <v>166</v>
      </c>
      <c r="CA116" s="14" t="s">
        <v>166</v>
      </c>
      <c r="CB116" s="14" t="s">
        <v>166</v>
      </c>
      <c r="CC116" s="14" t="s">
        <v>166</v>
      </c>
      <c r="CD116" s="14" t="s">
        <v>166</v>
      </c>
      <c r="CE116" s="18" t="s">
        <v>166</v>
      </c>
      <c r="CF116" s="16" t="s">
        <v>166</v>
      </c>
      <c r="CG116" s="17" t="s">
        <v>166</v>
      </c>
      <c r="CH116" s="16" t="s">
        <v>166</v>
      </c>
      <c r="CI116" s="16" t="s">
        <v>166</v>
      </c>
      <c r="CJ116" s="16" t="s">
        <v>166</v>
      </c>
      <c r="CK116" s="16" t="s">
        <v>166</v>
      </c>
      <c r="CL116" s="16" t="s">
        <v>166</v>
      </c>
      <c r="CM116" s="20" t="s">
        <v>166</v>
      </c>
      <c r="CN116" s="16" t="s">
        <v>166</v>
      </c>
      <c r="CO116" s="16" t="s">
        <v>166</v>
      </c>
      <c r="CP116" s="16" t="s">
        <v>166</v>
      </c>
      <c r="CQ116" s="16" t="s">
        <v>166</v>
      </c>
      <c r="CR116" s="16" t="s">
        <v>166</v>
      </c>
      <c r="CS116" s="16" t="s">
        <v>166</v>
      </c>
      <c r="CT116" s="16" t="s">
        <v>166</v>
      </c>
      <c r="CU116" s="16" t="s">
        <v>166</v>
      </c>
      <c r="CV116" s="16" t="s">
        <v>166</v>
      </c>
      <c r="CW116" s="16" t="s">
        <v>166</v>
      </c>
      <c r="CX116" s="16" t="s">
        <v>166</v>
      </c>
      <c r="CY116" s="16" t="s">
        <v>166</v>
      </c>
      <c r="CZ116" s="16" t="s">
        <v>166</v>
      </c>
      <c r="DA116" s="16" t="s">
        <v>166</v>
      </c>
      <c r="DB116" s="16" t="s">
        <v>166</v>
      </c>
      <c r="DC116" s="16" t="s">
        <v>166</v>
      </c>
      <c r="DD116" s="16" t="s">
        <v>166</v>
      </c>
      <c r="DE116" s="17" t="s">
        <v>166</v>
      </c>
      <c r="DF116" s="22">
        <v>10</v>
      </c>
      <c r="DG116" s="14" t="s">
        <v>1974</v>
      </c>
      <c r="DH116" s="14" t="s">
        <v>193</v>
      </c>
      <c r="DI116" s="14" t="s">
        <v>194</v>
      </c>
      <c r="DJ116" s="14" t="s">
        <v>408</v>
      </c>
      <c r="DK116" s="14" t="s">
        <v>1975</v>
      </c>
      <c r="DL116" s="21" t="s">
        <v>166</v>
      </c>
      <c r="DM116" s="14" t="s">
        <v>198</v>
      </c>
      <c r="DN116" s="13" t="s">
        <v>2418</v>
      </c>
      <c r="DO116" s="20">
        <v>2022</v>
      </c>
      <c r="DP116" s="14" t="s">
        <v>166</v>
      </c>
      <c r="DQ116" s="14" t="s">
        <v>166</v>
      </c>
      <c r="DR116" s="18" t="s">
        <v>166</v>
      </c>
      <c r="DS116" s="16" t="s">
        <v>166</v>
      </c>
      <c r="DT116" s="19" t="s">
        <v>166</v>
      </c>
      <c r="DU116" s="14" t="s">
        <v>166</v>
      </c>
      <c r="DV116" s="18" t="s">
        <v>166</v>
      </c>
      <c r="DW116" s="18" t="s">
        <v>166</v>
      </c>
      <c r="DX116" s="16" t="s">
        <v>166</v>
      </c>
      <c r="DY116" s="16" t="s">
        <v>166</v>
      </c>
      <c r="DZ116" s="17" t="s">
        <v>166</v>
      </c>
      <c r="EA116" s="16" t="s">
        <v>166</v>
      </c>
      <c r="EB116" s="16" t="s">
        <v>166</v>
      </c>
      <c r="EC116" s="16" t="s">
        <v>166</v>
      </c>
      <c r="ED116" s="17" t="s">
        <v>166</v>
      </c>
      <c r="EE116" s="17" t="s">
        <v>166</v>
      </c>
      <c r="EF116" s="17" t="s">
        <v>166</v>
      </c>
      <c r="EG116" s="17" t="s">
        <v>166</v>
      </c>
      <c r="EH116" s="16" t="s">
        <v>166</v>
      </c>
      <c r="EI116" s="16" t="s">
        <v>166</v>
      </c>
      <c r="EJ116" s="16" t="s">
        <v>166</v>
      </c>
      <c r="EK116" s="16" t="s">
        <v>166</v>
      </c>
      <c r="EL116" s="16" t="s">
        <v>166</v>
      </c>
      <c r="EM116" s="16" t="s">
        <v>166</v>
      </c>
      <c r="EN116" s="16" t="s">
        <v>166</v>
      </c>
      <c r="EO116" s="16" t="s">
        <v>166</v>
      </c>
      <c r="EP116" s="16" t="s">
        <v>166</v>
      </c>
      <c r="EQ116" s="16" t="s">
        <v>166</v>
      </c>
      <c r="ER116" s="16" t="s">
        <v>166</v>
      </c>
      <c r="ES116" s="16" t="s">
        <v>166</v>
      </c>
      <c r="ET116" s="14" t="s">
        <v>166</v>
      </c>
      <c r="EU116" s="16" t="s">
        <v>166</v>
      </c>
      <c r="EV116" s="16" t="s">
        <v>166</v>
      </c>
      <c r="EW116" s="16" t="s">
        <v>166</v>
      </c>
      <c r="EX116" s="14" t="s">
        <v>190</v>
      </c>
      <c r="EY116" s="14" t="s">
        <v>166</v>
      </c>
      <c r="EZ116" s="16" t="s">
        <v>166</v>
      </c>
      <c r="FA116" s="15" t="s">
        <v>166</v>
      </c>
      <c r="FB116" s="15" t="s">
        <v>166</v>
      </c>
      <c r="FC116" s="15" t="s">
        <v>166</v>
      </c>
      <c r="FD116" s="15" t="s">
        <v>166</v>
      </c>
      <c r="FE116" s="15" t="s">
        <v>166</v>
      </c>
      <c r="FF116" s="15" t="s">
        <v>166</v>
      </c>
      <c r="FG116" s="14" t="s">
        <v>166</v>
      </c>
      <c r="FH116" s="3">
        <f>HYPERLINK("https://my.pitchbook.com?c=228271-78T","View Company Online")</f>
      </c>
    </row>
    <row r="117">
      <c r="A117" s="25" t="s">
        <v>2419</v>
      </c>
      <c r="B117" s="25" t="s">
        <v>2420</v>
      </c>
      <c r="C117" s="25" t="s">
        <v>2421</v>
      </c>
      <c r="D117" s="25" t="s">
        <v>166</v>
      </c>
      <c r="E117" s="34" t="s">
        <v>2422</v>
      </c>
      <c r="F117" s="32">
        <v>5</v>
      </c>
      <c r="G117" s="25" t="s">
        <v>2423</v>
      </c>
      <c r="H117" s="25" t="s">
        <v>166</v>
      </c>
      <c r="I117" s="25" t="s">
        <v>2424</v>
      </c>
      <c r="J117" s="25" t="s">
        <v>2425</v>
      </c>
      <c r="K117" s="25" t="s">
        <v>171</v>
      </c>
      <c r="L117" s="25" t="s">
        <v>172</v>
      </c>
      <c r="M117" s="25" t="s">
        <v>2426</v>
      </c>
      <c r="N117" s="25" t="s">
        <v>2427</v>
      </c>
      <c r="O117" s="25" t="s">
        <v>2428</v>
      </c>
      <c r="P117" s="25" t="s">
        <v>2429</v>
      </c>
      <c r="Q117" s="25" t="s">
        <v>166</v>
      </c>
      <c r="R117" s="25" t="s">
        <v>177</v>
      </c>
      <c r="S117" s="25" t="s">
        <v>178</v>
      </c>
      <c r="T117" s="25" t="s">
        <v>179</v>
      </c>
      <c r="U117" s="25" t="s">
        <v>2430</v>
      </c>
      <c r="V117" s="25" t="s">
        <v>2431</v>
      </c>
      <c r="W117" s="32" t="s">
        <v>2432</v>
      </c>
      <c r="X117" s="25" t="s">
        <v>2433</v>
      </c>
      <c r="Y117" s="25" t="s">
        <v>2434</v>
      </c>
      <c r="Z117" s="25" t="s">
        <v>2435</v>
      </c>
      <c r="AA117" s="25" t="s">
        <v>242</v>
      </c>
      <c r="AB117" s="25" t="s">
        <v>243</v>
      </c>
      <c r="AC117" s="25" t="s">
        <v>244</v>
      </c>
      <c r="AD117" s="25" t="s">
        <v>243</v>
      </c>
      <c r="AE117" s="25" t="s">
        <v>243</v>
      </c>
      <c r="AF117" s="25" t="s">
        <v>166</v>
      </c>
      <c r="AG117" s="25" t="s">
        <v>166</v>
      </c>
      <c r="AH117" s="32">
        <v>1</v>
      </c>
      <c r="AI117" s="4">
        <f>HYPERLINK("https://my.pitchbook.com/?d=178327-63T","178327-63T")</f>
      </c>
      <c r="AJ117" s="30">
        <v>44001</v>
      </c>
      <c r="AK117" s="30">
        <v>44501</v>
      </c>
      <c r="AL117" s="29">
        <v>0.21</v>
      </c>
      <c r="AM117" s="25" t="s">
        <v>185</v>
      </c>
      <c r="AN117" s="29">
        <v>6.29</v>
      </c>
      <c r="AO117" s="29">
        <v>6.5</v>
      </c>
      <c r="AP117" s="25" t="s">
        <v>185</v>
      </c>
      <c r="AQ117" s="32" t="s">
        <v>166</v>
      </c>
      <c r="AR117" s="32" t="s">
        <v>166</v>
      </c>
      <c r="AS117" s="28" t="s">
        <v>166</v>
      </c>
      <c r="AT117" s="29">
        <v>0.21</v>
      </c>
      <c r="AU117" s="32" t="s">
        <v>186</v>
      </c>
      <c r="AV117" s="32" t="s">
        <v>166</v>
      </c>
      <c r="AW117" s="29">
        <v>0.35</v>
      </c>
      <c r="AX117" s="32" t="s">
        <v>166</v>
      </c>
      <c r="AY117" s="25" t="s">
        <v>217</v>
      </c>
      <c r="AZ117" s="25" t="s">
        <v>217</v>
      </c>
      <c r="BA117" s="25" t="s">
        <v>166</v>
      </c>
      <c r="BB117" s="32" t="s">
        <v>166</v>
      </c>
      <c r="BC117" s="25" t="s">
        <v>179</v>
      </c>
      <c r="BD117" s="25" t="s">
        <v>2436</v>
      </c>
      <c r="BE117" s="25" t="s">
        <v>189</v>
      </c>
      <c r="BF117" s="29">
        <v>0.21</v>
      </c>
      <c r="BG117" s="25" t="s">
        <v>190</v>
      </c>
      <c r="BH117" s="25" t="s">
        <v>166</v>
      </c>
      <c r="BI117" s="25" t="s">
        <v>166</v>
      </c>
      <c r="BJ117" s="29" t="s">
        <v>166</v>
      </c>
      <c r="BK117" s="29" t="s">
        <v>166</v>
      </c>
      <c r="BL117" s="25" t="s">
        <v>191</v>
      </c>
      <c r="BM117" s="25" t="s">
        <v>178</v>
      </c>
      <c r="BN117" s="25" t="s">
        <v>177</v>
      </c>
      <c r="BO117" s="33">
        <v>5</v>
      </c>
      <c r="BP117" s="25" t="s">
        <v>2437</v>
      </c>
      <c r="BQ117" s="32">
        <v>5</v>
      </c>
      <c r="BR117" s="25" t="s">
        <v>166</v>
      </c>
      <c r="BS117" s="32" t="s">
        <v>166</v>
      </c>
      <c r="BT117" s="25" t="s">
        <v>166</v>
      </c>
      <c r="BU117" s="25" t="s">
        <v>166</v>
      </c>
      <c r="BV117" s="25" t="s">
        <v>2438</v>
      </c>
      <c r="BW117" s="25" t="s">
        <v>166</v>
      </c>
      <c r="BX117" s="25" t="s">
        <v>166</v>
      </c>
      <c r="BY117" s="25" t="s">
        <v>166</v>
      </c>
      <c r="BZ117" s="25" t="s">
        <v>166</v>
      </c>
      <c r="CA117" s="25" t="s">
        <v>166</v>
      </c>
      <c r="CB117" s="25" t="s">
        <v>166</v>
      </c>
      <c r="CC117" s="25" t="s">
        <v>166</v>
      </c>
      <c r="CD117" s="25" t="s">
        <v>166</v>
      </c>
      <c r="CE117" s="29" t="s">
        <v>166</v>
      </c>
      <c r="CF117" s="27" t="s">
        <v>166</v>
      </c>
      <c r="CG117" s="28" t="s">
        <v>166</v>
      </c>
      <c r="CH117" s="27" t="s">
        <v>166</v>
      </c>
      <c r="CI117" s="27" t="s">
        <v>166</v>
      </c>
      <c r="CJ117" s="27" t="s">
        <v>166</v>
      </c>
      <c r="CK117" s="27" t="s">
        <v>166</v>
      </c>
      <c r="CL117" s="27" t="s">
        <v>166</v>
      </c>
      <c r="CM117" s="31" t="s">
        <v>166</v>
      </c>
      <c r="CN117" s="27" t="s">
        <v>166</v>
      </c>
      <c r="CO117" s="27" t="s">
        <v>166</v>
      </c>
      <c r="CP117" s="27" t="s">
        <v>166</v>
      </c>
      <c r="CQ117" s="27" t="s">
        <v>166</v>
      </c>
      <c r="CR117" s="27" t="s">
        <v>166</v>
      </c>
      <c r="CS117" s="27" t="s">
        <v>166</v>
      </c>
      <c r="CT117" s="27" t="s">
        <v>166</v>
      </c>
      <c r="CU117" s="27" t="s">
        <v>166</v>
      </c>
      <c r="CV117" s="27" t="s">
        <v>166</v>
      </c>
      <c r="CW117" s="27" t="s">
        <v>166</v>
      </c>
      <c r="CX117" s="27" t="s">
        <v>166</v>
      </c>
      <c r="CY117" s="27" t="s">
        <v>166</v>
      </c>
      <c r="CZ117" s="27" t="s">
        <v>166</v>
      </c>
      <c r="DA117" s="27" t="s">
        <v>166</v>
      </c>
      <c r="DB117" s="27" t="s">
        <v>166</v>
      </c>
      <c r="DC117" s="27" t="s">
        <v>166</v>
      </c>
      <c r="DD117" s="27" t="s">
        <v>166</v>
      </c>
      <c r="DE117" s="28" t="s">
        <v>166</v>
      </c>
      <c r="DF117" s="33">
        <v>36</v>
      </c>
      <c r="DG117" s="25" t="s">
        <v>2439</v>
      </c>
      <c r="DH117" s="25" t="s">
        <v>193</v>
      </c>
      <c r="DI117" s="25" t="s">
        <v>194</v>
      </c>
      <c r="DJ117" s="25" t="s">
        <v>2440</v>
      </c>
      <c r="DK117" s="25" t="s">
        <v>454</v>
      </c>
      <c r="DL117" s="32" t="s">
        <v>2441</v>
      </c>
      <c r="DM117" s="25" t="s">
        <v>198</v>
      </c>
      <c r="DN117" s="24" t="s">
        <v>2442</v>
      </c>
      <c r="DO117" s="31">
        <v>2020</v>
      </c>
      <c r="DP117" s="25" t="s">
        <v>166</v>
      </c>
      <c r="DQ117" s="25" t="s">
        <v>166</v>
      </c>
      <c r="DR117" s="29" t="s">
        <v>166</v>
      </c>
      <c r="DS117" s="27" t="s">
        <v>166</v>
      </c>
      <c r="DT117" s="30" t="s">
        <v>166</v>
      </c>
      <c r="DU117" s="25" t="s">
        <v>166</v>
      </c>
      <c r="DV117" s="29" t="s">
        <v>166</v>
      </c>
      <c r="DW117" s="29" t="s">
        <v>166</v>
      </c>
      <c r="DX117" s="27" t="s">
        <v>166</v>
      </c>
      <c r="DY117" s="27" t="s">
        <v>166</v>
      </c>
      <c r="DZ117" s="28" t="s">
        <v>166</v>
      </c>
      <c r="EA117" s="27" t="s">
        <v>166</v>
      </c>
      <c r="EB117" s="27" t="s">
        <v>166</v>
      </c>
      <c r="EC117" s="27" t="s">
        <v>166</v>
      </c>
      <c r="ED117" s="28" t="s">
        <v>166</v>
      </c>
      <c r="EE117" s="28" t="s">
        <v>166</v>
      </c>
      <c r="EF117" s="28" t="s">
        <v>166</v>
      </c>
      <c r="EG117" s="28" t="s">
        <v>166</v>
      </c>
      <c r="EH117" s="27" t="s">
        <v>166</v>
      </c>
      <c r="EI117" s="27" t="s">
        <v>166</v>
      </c>
      <c r="EJ117" s="27" t="s">
        <v>166</v>
      </c>
      <c r="EK117" s="27" t="s">
        <v>166</v>
      </c>
      <c r="EL117" s="27" t="s">
        <v>166</v>
      </c>
      <c r="EM117" s="27" t="s">
        <v>166</v>
      </c>
      <c r="EN117" s="27" t="s">
        <v>166</v>
      </c>
      <c r="EO117" s="27" t="s">
        <v>166</v>
      </c>
      <c r="EP117" s="27" t="s">
        <v>166</v>
      </c>
      <c r="EQ117" s="27" t="s">
        <v>166</v>
      </c>
      <c r="ER117" s="27" t="s">
        <v>166</v>
      </c>
      <c r="ES117" s="27" t="s">
        <v>166</v>
      </c>
      <c r="ET117" s="25" t="s">
        <v>166</v>
      </c>
      <c r="EU117" s="27" t="s">
        <v>166</v>
      </c>
      <c r="EV117" s="27" t="s">
        <v>166</v>
      </c>
      <c r="EW117" s="27" t="s">
        <v>166</v>
      </c>
      <c r="EX117" s="25" t="s">
        <v>190</v>
      </c>
      <c r="EY117" s="25" t="s">
        <v>166</v>
      </c>
      <c r="EZ117" s="27" t="s">
        <v>166</v>
      </c>
      <c r="FA117" s="26" t="s">
        <v>166</v>
      </c>
      <c r="FB117" s="26" t="s">
        <v>166</v>
      </c>
      <c r="FC117" s="26" t="s">
        <v>166</v>
      </c>
      <c r="FD117" s="26" t="s">
        <v>166</v>
      </c>
      <c r="FE117" s="26" t="s">
        <v>166</v>
      </c>
      <c r="FF117" s="26" t="s">
        <v>166</v>
      </c>
      <c r="FG117" s="25" t="s">
        <v>166</v>
      </c>
      <c r="FH117" s="4">
        <f>HYPERLINK("https://my.pitchbook.com?c=178327-63T","View Company Online")</f>
      </c>
    </row>
    <row r="118">
      <c r="A118" s="14" t="s">
        <v>2443</v>
      </c>
      <c r="B118" s="14" t="s">
        <v>2444</v>
      </c>
      <c r="C118" s="14" t="s">
        <v>2445</v>
      </c>
      <c r="D118" s="14" t="s">
        <v>166</v>
      </c>
      <c r="E118" s="23" t="s">
        <v>2446</v>
      </c>
      <c r="F118" s="21">
        <v>3</v>
      </c>
      <c r="G118" s="14" t="s">
        <v>2447</v>
      </c>
      <c r="H118" s="14" t="s">
        <v>166</v>
      </c>
      <c r="I118" s="14" t="s">
        <v>2448</v>
      </c>
      <c r="J118" s="14" t="s">
        <v>2449</v>
      </c>
      <c r="K118" s="14" t="s">
        <v>207</v>
      </c>
      <c r="L118" s="14" t="s">
        <v>208</v>
      </c>
      <c r="M118" s="14" t="s">
        <v>296</v>
      </c>
      <c r="N118" s="14" t="s">
        <v>2450</v>
      </c>
      <c r="O118" s="14" t="s">
        <v>1053</v>
      </c>
      <c r="P118" s="14" t="s">
        <v>2451</v>
      </c>
      <c r="Q118" s="14" t="s">
        <v>166</v>
      </c>
      <c r="R118" s="14" t="s">
        <v>177</v>
      </c>
      <c r="S118" s="14" t="s">
        <v>178</v>
      </c>
      <c r="T118" s="14" t="s">
        <v>179</v>
      </c>
      <c r="U118" s="14" t="s">
        <v>2452</v>
      </c>
      <c r="V118" s="14" t="s">
        <v>2453</v>
      </c>
      <c r="W118" s="21" t="s">
        <v>166</v>
      </c>
      <c r="X118" s="14" t="s">
        <v>2454</v>
      </c>
      <c r="Y118" s="14" t="s">
        <v>2455</v>
      </c>
      <c r="Z118" s="14" t="s">
        <v>166</v>
      </c>
      <c r="AA118" s="14" t="s">
        <v>166</v>
      </c>
      <c r="AB118" s="14" t="s">
        <v>166</v>
      </c>
      <c r="AC118" s="14" t="s">
        <v>166</v>
      </c>
      <c r="AD118" s="14" t="s">
        <v>166</v>
      </c>
      <c r="AE118" s="14" t="s">
        <v>166</v>
      </c>
      <c r="AF118" s="14" t="s">
        <v>166</v>
      </c>
      <c r="AG118" s="14" t="s">
        <v>166</v>
      </c>
      <c r="AH118" s="21">
        <v>2</v>
      </c>
      <c r="AI118" s="3">
        <f>HYPERLINK("https://my.pitchbook.com/?d=181130-14T","181130-14T")</f>
      </c>
      <c r="AJ118" s="19" t="s">
        <v>166</v>
      </c>
      <c r="AK118" s="19">
        <v>44473</v>
      </c>
      <c r="AL118" s="18">
        <v>0.35</v>
      </c>
      <c r="AM118" s="14" t="s">
        <v>185</v>
      </c>
      <c r="AN118" s="18" t="s">
        <v>166</v>
      </c>
      <c r="AO118" s="18" t="s">
        <v>166</v>
      </c>
      <c r="AP118" s="14" t="s">
        <v>166</v>
      </c>
      <c r="AQ118" s="21" t="s">
        <v>166</v>
      </c>
      <c r="AR118" s="21" t="s">
        <v>166</v>
      </c>
      <c r="AS118" s="17" t="s">
        <v>166</v>
      </c>
      <c r="AT118" s="18">
        <v>0.35</v>
      </c>
      <c r="AU118" s="21" t="s">
        <v>186</v>
      </c>
      <c r="AV118" s="21" t="s">
        <v>166</v>
      </c>
      <c r="AW118" s="18" t="s">
        <v>166</v>
      </c>
      <c r="AX118" s="21" t="s">
        <v>166</v>
      </c>
      <c r="AY118" s="14" t="s">
        <v>217</v>
      </c>
      <c r="AZ118" s="14" t="s">
        <v>217</v>
      </c>
      <c r="BA118" s="14" t="s">
        <v>166</v>
      </c>
      <c r="BB118" s="21" t="s">
        <v>166</v>
      </c>
      <c r="BC118" s="14" t="s">
        <v>179</v>
      </c>
      <c r="BD118" s="14" t="s">
        <v>2456</v>
      </c>
      <c r="BE118" s="14" t="s">
        <v>189</v>
      </c>
      <c r="BF118" s="18">
        <v>0.35</v>
      </c>
      <c r="BG118" s="14" t="s">
        <v>190</v>
      </c>
      <c r="BH118" s="14" t="s">
        <v>166</v>
      </c>
      <c r="BI118" s="14" t="s">
        <v>166</v>
      </c>
      <c r="BJ118" s="18" t="s">
        <v>166</v>
      </c>
      <c r="BK118" s="18" t="s">
        <v>166</v>
      </c>
      <c r="BL118" s="14" t="s">
        <v>191</v>
      </c>
      <c r="BM118" s="14" t="s">
        <v>178</v>
      </c>
      <c r="BN118" s="14" t="s">
        <v>177</v>
      </c>
      <c r="BO118" s="22">
        <v>25</v>
      </c>
      <c r="BP118" s="14" t="s">
        <v>2457</v>
      </c>
      <c r="BQ118" s="21">
        <v>3</v>
      </c>
      <c r="BR118" s="14" t="s">
        <v>166</v>
      </c>
      <c r="BS118" s="21" t="s">
        <v>166</v>
      </c>
      <c r="BT118" s="14" t="s">
        <v>2458</v>
      </c>
      <c r="BU118" s="14" t="s">
        <v>166</v>
      </c>
      <c r="BV118" s="14" t="s">
        <v>2459</v>
      </c>
      <c r="BW118" s="14" t="s">
        <v>166</v>
      </c>
      <c r="BX118" s="14" t="s">
        <v>166</v>
      </c>
      <c r="BY118" s="14" t="s">
        <v>166</v>
      </c>
      <c r="BZ118" s="14" t="s">
        <v>166</v>
      </c>
      <c r="CA118" s="14" t="s">
        <v>166</v>
      </c>
      <c r="CB118" s="14" t="s">
        <v>166</v>
      </c>
      <c r="CC118" s="14" t="s">
        <v>166</v>
      </c>
      <c r="CD118" s="14" t="s">
        <v>166</v>
      </c>
      <c r="CE118" s="18" t="s">
        <v>166</v>
      </c>
      <c r="CF118" s="16" t="s">
        <v>166</v>
      </c>
      <c r="CG118" s="17" t="s">
        <v>166</v>
      </c>
      <c r="CH118" s="16" t="s">
        <v>166</v>
      </c>
      <c r="CI118" s="16" t="s">
        <v>166</v>
      </c>
      <c r="CJ118" s="16" t="s">
        <v>166</v>
      </c>
      <c r="CK118" s="16" t="s">
        <v>166</v>
      </c>
      <c r="CL118" s="16" t="s">
        <v>166</v>
      </c>
      <c r="CM118" s="20" t="s">
        <v>166</v>
      </c>
      <c r="CN118" s="16" t="s">
        <v>166</v>
      </c>
      <c r="CO118" s="16" t="s">
        <v>166</v>
      </c>
      <c r="CP118" s="16" t="s">
        <v>166</v>
      </c>
      <c r="CQ118" s="16" t="s">
        <v>166</v>
      </c>
      <c r="CR118" s="16" t="s">
        <v>166</v>
      </c>
      <c r="CS118" s="16" t="s">
        <v>166</v>
      </c>
      <c r="CT118" s="16" t="s">
        <v>166</v>
      </c>
      <c r="CU118" s="16" t="s">
        <v>166</v>
      </c>
      <c r="CV118" s="16" t="s">
        <v>166</v>
      </c>
      <c r="CW118" s="16" t="s">
        <v>166</v>
      </c>
      <c r="CX118" s="16" t="s">
        <v>166</v>
      </c>
      <c r="CY118" s="16" t="s">
        <v>166</v>
      </c>
      <c r="CZ118" s="16" t="s">
        <v>166</v>
      </c>
      <c r="DA118" s="16" t="s">
        <v>166</v>
      </c>
      <c r="DB118" s="16" t="s">
        <v>166</v>
      </c>
      <c r="DC118" s="16" t="s">
        <v>166</v>
      </c>
      <c r="DD118" s="16" t="s">
        <v>166</v>
      </c>
      <c r="DE118" s="17" t="s">
        <v>166</v>
      </c>
      <c r="DF118" s="22">
        <v>25</v>
      </c>
      <c r="DG118" s="14" t="s">
        <v>2460</v>
      </c>
      <c r="DH118" s="14" t="s">
        <v>193</v>
      </c>
      <c r="DI118" s="14" t="s">
        <v>194</v>
      </c>
      <c r="DJ118" s="14" t="s">
        <v>2461</v>
      </c>
      <c r="DK118" s="14" t="s">
        <v>1063</v>
      </c>
      <c r="DL118" s="21" t="s">
        <v>2462</v>
      </c>
      <c r="DM118" s="14" t="s">
        <v>198</v>
      </c>
      <c r="DN118" s="13" t="s">
        <v>2463</v>
      </c>
      <c r="DO118" s="20">
        <v>2017</v>
      </c>
      <c r="DP118" s="14" t="s">
        <v>166</v>
      </c>
      <c r="DQ118" s="14" t="s">
        <v>166</v>
      </c>
      <c r="DR118" s="18" t="s">
        <v>166</v>
      </c>
      <c r="DS118" s="16" t="s">
        <v>166</v>
      </c>
      <c r="DT118" s="19" t="s">
        <v>166</v>
      </c>
      <c r="DU118" s="14" t="s">
        <v>166</v>
      </c>
      <c r="DV118" s="18" t="s">
        <v>166</v>
      </c>
      <c r="DW118" s="18" t="s">
        <v>166</v>
      </c>
      <c r="DX118" s="16" t="s">
        <v>166</v>
      </c>
      <c r="DY118" s="16" t="s">
        <v>166</v>
      </c>
      <c r="DZ118" s="17" t="s">
        <v>166</v>
      </c>
      <c r="EA118" s="16" t="s">
        <v>166</v>
      </c>
      <c r="EB118" s="16" t="s">
        <v>166</v>
      </c>
      <c r="EC118" s="16" t="s">
        <v>166</v>
      </c>
      <c r="ED118" s="17" t="s">
        <v>166</v>
      </c>
      <c r="EE118" s="17" t="s">
        <v>166</v>
      </c>
      <c r="EF118" s="17" t="s">
        <v>166</v>
      </c>
      <c r="EG118" s="17" t="s">
        <v>166</v>
      </c>
      <c r="EH118" s="16" t="s">
        <v>166</v>
      </c>
      <c r="EI118" s="16" t="s">
        <v>166</v>
      </c>
      <c r="EJ118" s="16" t="s">
        <v>166</v>
      </c>
      <c r="EK118" s="16" t="s">
        <v>166</v>
      </c>
      <c r="EL118" s="16" t="s">
        <v>166</v>
      </c>
      <c r="EM118" s="16" t="s">
        <v>166</v>
      </c>
      <c r="EN118" s="16" t="s">
        <v>166</v>
      </c>
      <c r="EO118" s="16" t="s">
        <v>166</v>
      </c>
      <c r="EP118" s="16" t="s">
        <v>166</v>
      </c>
      <c r="EQ118" s="16" t="s">
        <v>166</v>
      </c>
      <c r="ER118" s="16" t="s">
        <v>166</v>
      </c>
      <c r="ES118" s="16" t="s">
        <v>166</v>
      </c>
      <c r="ET118" s="14" t="s">
        <v>166</v>
      </c>
      <c r="EU118" s="16" t="s">
        <v>166</v>
      </c>
      <c r="EV118" s="16" t="s">
        <v>166</v>
      </c>
      <c r="EW118" s="16" t="s">
        <v>166</v>
      </c>
      <c r="EX118" s="14" t="s">
        <v>190</v>
      </c>
      <c r="EY118" s="14" t="s">
        <v>166</v>
      </c>
      <c r="EZ118" s="16" t="s">
        <v>166</v>
      </c>
      <c r="FA118" s="15" t="s">
        <v>166</v>
      </c>
      <c r="FB118" s="15" t="s">
        <v>166</v>
      </c>
      <c r="FC118" s="15" t="s">
        <v>166</v>
      </c>
      <c r="FD118" s="15" t="s">
        <v>166</v>
      </c>
      <c r="FE118" s="15" t="s">
        <v>166</v>
      </c>
      <c r="FF118" s="15" t="s">
        <v>166</v>
      </c>
      <c r="FG118" s="14" t="s">
        <v>166</v>
      </c>
      <c r="FH118" s="3">
        <f>HYPERLINK("https://my.pitchbook.com?c=181130-14T","View Company Online")</f>
      </c>
    </row>
    <row r="119">
      <c r="A119" s="25" t="s">
        <v>2464</v>
      </c>
      <c r="B119" s="25" t="s">
        <v>2465</v>
      </c>
      <c r="C119" s="25" t="s">
        <v>2466</v>
      </c>
      <c r="D119" s="25" t="s">
        <v>166</v>
      </c>
      <c r="E119" s="34" t="s">
        <v>2467</v>
      </c>
      <c r="F119" s="32">
        <v>9</v>
      </c>
      <c r="G119" s="25" t="s">
        <v>2468</v>
      </c>
      <c r="H119" s="25" t="s">
        <v>166</v>
      </c>
      <c r="I119" s="25" t="s">
        <v>2469</v>
      </c>
      <c r="J119" s="25" t="s">
        <v>2470</v>
      </c>
      <c r="K119" s="25" t="s">
        <v>207</v>
      </c>
      <c r="L119" s="25" t="s">
        <v>208</v>
      </c>
      <c r="M119" s="25" t="s">
        <v>209</v>
      </c>
      <c r="N119" s="25" t="s">
        <v>2471</v>
      </c>
      <c r="O119" s="25" t="s">
        <v>884</v>
      </c>
      <c r="P119" s="25" t="s">
        <v>2472</v>
      </c>
      <c r="Q119" s="25" t="s">
        <v>166</v>
      </c>
      <c r="R119" s="25" t="s">
        <v>177</v>
      </c>
      <c r="S119" s="25" t="s">
        <v>178</v>
      </c>
      <c r="T119" s="25" t="s">
        <v>179</v>
      </c>
      <c r="U119" s="25" t="s">
        <v>2473</v>
      </c>
      <c r="V119" s="25" t="s">
        <v>2474</v>
      </c>
      <c r="W119" s="32" t="s">
        <v>2475</v>
      </c>
      <c r="X119" s="25" t="s">
        <v>2476</v>
      </c>
      <c r="Y119" s="25" t="s">
        <v>2477</v>
      </c>
      <c r="Z119" s="25" t="s">
        <v>2478</v>
      </c>
      <c r="AA119" s="25" t="s">
        <v>166</v>
      </c>
      <c r="AB119" s="25" t="s">
        <v>166</v>
      </c>
      <c r="AC119" s="25" t="s">
        <v>166</v>
      </c>
      <c r="AD119" s="25" t="s">
        <v>166</v>
      </c>
      <c r="AE119" s="25" t="s">
        <v>166</v>
      </c>
      <c r="AF119" s="25" t="s">
        <v>166</v>
      </c>
      <c r="AG119" s="25" t="s">
        <v>166</v>
      </c>
      <c r="AH119" s="32">
        <v>2</v>
      </c>
      <c r="AI119" s="4">
        <f>HYPERLINK("https://my.pitchbook.com/?d=194762-26T","194762-26T")</f>
      </c>
      <c r="AJ119" s="30">
        <v>44656</v>
      </c>
      <c r="AK119" s="30">
        <v>44666</v>
      </c>
      <c r="AL119" s="29">
        <v>1.4</v>
      </c>
      <c r="AM119" s="25" t="s">
        <v>185</v>
      </c>
      <c r="AN119" s="29" t="s">
        <v>166</v>
      </c>
      <c r="AO119" s="29" t="s">
        <v>166</v>
      </c>
      <c r="AP119" s="25" t="s">
        <v>166</v>
      </c>
      <c r="AQ119" s="32" t="s">
        <v>166</v>
      </c>
      <c r="AR119" s="32" t="s">
        <v>166</v>
      </c>
      <c r="AS119" s="28" t="s">
        <v>166</v>
      </c>
      <c r="AT119" s="29">
        <v>1.9</v>
      </c>
      <c r="AU119" s="32" t="s">
        <v>186</v>
      </c>
      <c r="AV119" s="32" t="s">
        <v>166</v>
      </c>
      <c r="AW119" s="29" t="s">
        <v>166</v>
      </c>
      <c r="AX119" s="32" t="s">
        <v>166</v>
      </c>
      <c r="AY119" s="25" t="s">
        <v>217</v>
      </c>
      <c r="AZ119" s="25" t="s">
        <v>217</v>
      </c>
      <c r="BA119" s="25" t="s">
        <v>166</v>
      </c>
      <c r="BB119" s="32" t="s">
        <v>166</v>
      </c>
      <c r="BC119" s="25" t="s">
        <v>179</v>
      </c>
      <c r="BD119" s="25" t="s">
        <v>2479</v>
      </c>
      <c r="BE119" s="25" t="s">
        <v>189</v>
      </c>
      <c r="BF119" s="29">
        <v>1.4</v>
      </c>
      <c r="BG119" s="25" t="s">
        <v>190</v>
      </c>
      <c r="BH119" s="25" t="s">
        <v>166</v>
      </c>
      <c r="BI119" s="25" t="s">
        <v>166</v>
      </c>
      <c r="BJ119" s="29" t="s">
        <v>166</v>
      </c>
      <c r="BK119" s="29" t="s">
        <v>166</v>
      </c>
      <c r="BL119" s="25" t="s">
        <v>191</v>
      </c>
      <c r="BM119" s="25" t="s">
        <v>178</v>
      </c>
      <c r="BN119" s="25" t="s">
        <v>177</v>
      </c>
      <c r="BO119" s="33">
        <v>4</v>
      </c>
      <c r="BP119" s="25" t="s">
        <v>2467</v>
      </c>
      <c r="BQ119" s="32">
        <v>9</v>
      </c>
      <c r="BR119" s="25" t="s">
        <v>166</v>
      </c>
      <c r="BS119" s="32" t="s">
        <v>166</v>
      </c>
      <c r="BT119" s="25" t="s">
        <v>166</v>
      </c>
      <c r="BU119" s="25" t="s">
        <v>166</v>
      </c>
      <c r="BV119" s="25" t="s">
        <v>2480</v>
      </c>
      <c r="BW119" s="25" t="s">
        <v>166</v>
      </c>
      <c r="BX119" s="25" t="s">
        <v>166</v>
      </c>
      <c r="BY119" s="25" t="s">
        <v>166</v>
      </c>
      <c r="BZ119" s="25" t="s">
        <v>166</v>
      </c>
      <c r="CA119" s="25" t="s">
        <v>166</v>
      </c>
      <c r="CB119" s="25" t="s">
        <v>166</v>
      </c>
      <c r="CC119" s="25" t="s">
        <v>166</v>
      </c>
      <c r="CD119" s="25" t="s">
        <v>166</v>
      </c>
      <c r="CE119" s="29" t="s">
        <v>166</v>
      </c>
      <c r="CF119" s="27" t="s">
        <v>166</v>
      </c>
      <c r="CG119" s="28" t="s">
        <v>166</v>
      </c>
      <c r="CH119" s="27" t="s">
        <v>166</v>
      </c>
      <c r="CI119" s="27" t="s">
        <v>166</v>
      </c>
      <c r="CJ119" s="27" t="s">
        <v>166</v>
      </c>
      <c r="CK119" s="27" t="s">
        <v>166</v>
      </c>
      <c r="CL119" s="27" t="s">
        <v>166</v>
      </c>
      <c r="CM119" s="31" t="s">
        <v>166</v>
      </c>
      <c r="CN119" s="27" t="s">
        <v>166</v>
      </c>
      <c r="CO119" s="27" t="s">
        <v>166</v>
      </c>
      <c r="CP119" s="27" t="s">
        <v>166</v>
      </c>
      <c r="CQ119" s="27" t="s">
        <v>166</v>
      </c>
      <c r="CR119" s="27" t="s">
        <v>166</v>
      </c>
      <c r="CS119" s="27" t="s">
        <v>166</v>
      </c>
      <c r="CT119" s="27" t="s">
        <v>166</v>
      </c>
      <c r="CU119" s="27" t="s">
        <v>166</v>
      </c>
      <c r="CV119" s="27" t="s">
        <v>166</v>
      </c>
      <c r="CW119" s="27" t="s">
        <v>166</v>
      </c>
      <c r="CX119" s="27" t="s">
        <v>166</v>
      </c>
      <c r="CY119" s="27" t="s">
        <v>166</v>
      </c>
      <c r="CZ119" s="27" t="s">
        <v>166</v>
      </c>
      <c r="DA119" s="27" t="s">
        <v>166</v>
      </c>
      <c r="DB119" s="27" t="s">
        <v>166</v>
      </c>
      <c r="DC119" s="27" t="s">
        <v>166</v>
      </c>
      <c r="DD119" s="27" t="s">
        <v>166</v>
      </c>
      <c r="DE119" s="28" t="s">
        <v>166</v>
      </c>
      <c r="DF119" s="33">
        <v>9</v>
      </c>
      <c r="DG119" s="25" t="s">
        <v>2481</v>
      </c>
      <c r="DH119" s="25" t="s">
        <v>193</v>
      </c>
      <c r="DI119" s="25" t="s">
        <v>194</v>
      </c>
      <c r="DJ119" s="25" t="s">
        <v>2482</v>
      </c>
      <c r="DK119" s="25" t="s">
        <v>257</v>
      </c>
      <c r="DL119" s="32" t="s">
        <v>2483</v>
      </c>
      <c r="DM119" s="25" t="s">
        <v>198</v>
      </c>
      <c r="DN119" s="24" t="s">
        <v>2484</v>
      </c>
      <c r="DO119" s="31">
        <v>2021</v>
      </c>
      <c r="DP119" s="25" t="s">
        <v>166</v>
      </c>
      <c r="DQ119" s="25" t="s">
        <v>166</v>
      </c>
      <c r="DR119" s="29" t="s">
        <v>166</v>
      </c>
      <c r="DS119" s="27" t="s">
        <v>166</v>
      </c>
      <c r="DT119" s="30" t="s">
        <v>166</v>
      </c>
      <c r="DU119" s="25" t="s">
        <v>166</v>
      </c>
      <c r="DV119" s="29" t="s">
        <v>166</v>
      </c>
      <c r="DW119" s="29" t="s">
        <v>166</v>
      </c>
      <c r="DX119" s="27" t="s">
        <v>166</v>
      </c>
      <c r="DY119" s="27" t="s">
        <v>166</v>
      </c>
      <c r="DZ119" s="28" t="s">
        <v>166</v>
      </c>
      <c r="EA119" s="27" t="s">
        <v>166</v>
      </c>
      <c r="EB119" s="27" t="s">
        <v>166</v>
      </c>
      <c r="EC119" s="27" t="s">
        <v>166</v>
      </c>
      <c r="ED119" s="28" t="s">
        <v>166</v>
      </c>
      <c r="EE119" s="28" t="s">
        <v>166</v>
      </c>
      <c r="EF119" s="28" t="s">
        <v>166</v>
      </c>
      <c r="EG119" s="28" t="s">
        <v>166</v>
      </c>
      <c r="EH119" s="27" t="s">
        <v>166</v>
      </c>
      <c r="EI119" s="27" t="s">
        <v>166</v>
      </c>
      <c r="EJ119" s="27" t="s">
        <v>166</v>
      </c>
      <c r="EK119" s="27" t="s">
        <v>166</v>
      </c>
      <c r="EL119" s="27" t="s">
        <v>166</v>
      </c>
      <c r="EM119" s="27" t="s">
        <v>166</v>
      </c>
      <c r="EN119" s="27" t="s">
        <v>166</v>
      </c>
      <c r="EO119" s="27" t="s">
        <v>166</v>
      </c>
      <c r="EP119" s="27" t="s">
        <v>166</v>
      </c>
      <c r="EQ119" s="27" t="s">
        <v>166</v>
      </c>
      <c r="ER119" s="27" t="s">
        <v>166</v>
      </c>
      <c r="ES119" s="27" t="s">
        <v>166</v>
      </c>
      <c r="ET119" s="25" t="s">
        <v>166</v>
      </c>
      <c r="EU119" s="27" t="s">
        <v>166</v>
      </c>
      <c r="EV119" s="27" t="s">
        <v>166</v>
      </c>
      <c r="EW119" s="27" t="s">
        <v>166</v>
      </c>
      <c r="EX119" s="25" t="s">
        <v>190</v>
      </c>
      <c r="EY119" s="25" t="s">
        <v>166</v>
      </c>
      <c r="EZ119" s="27" t="s">
        <v>166</v>
      </c>
      <c r="FA119" s="26" t="s">
        <v>166</v>
      </c>
      <c r="FB119" s="26" t="s">
        <v>166</v>
      </c>
      <c r="FC119" s="26" t="s">
        <v>166</v>
      </c>
      <c r="FD119" s="26" t="s">
        <v>166</v>
      </c>
      <c r="FE119" s="26" t="s">
        <v>166</v>
      </c>
      <c r="FF119" s="26" t="s">
        <v>166</v>
      </c>
      <c r="FG119" s="25" t="s">
        <v>166</v>
      </c>
      <c r="FH119" s="4">
        <f>HYPERLINK("https://my.pitchbook.com?c=194762-26T","View Company Online")</f>
      </c>
    </row>
    <row r="120">
      <c r="A120" s="14" t="s">
        <v>2485</v>
      </c>
      <c r="B120" s="14" t="s">
        <v>2486</v>
      </c>
      <c r="C120" s="14" t="s">
        <v>2487</v>
      </c>
      <c r="D120" s="14" t="s">
        <v>166</v>
      </c>
      <c r="E120" s="23" t="s">
        <v>2488</v>
      </c>
      <c r="F120" s="21">
        <v>12</v>
      </c>
      <c r="G120" s="14" t="s">
        <v>2489</v>
      </c>
      <c r="H120" s="14" t="s">
        <v>166</v>
      </c>
      <c r="I120" s="14" t="s">
        <v>2490</v>
      </c>
      <c r="J120" s="14" t="s">
        <v>2491</v>
      </c>
      <c r="K120" s="14" t="s">
        <v>207</v>
      </c>
      <c r="L120" s="14" t="s">
        <v>208</v>
      </c>
      <c r="M120" s="14" t="s">
        <v>209</v>
      </c>
      <c r="N120" s="14" t="s">
        <v>684</v>
      </c>
      <c r="O120" s="14" t="s">
        <v>211</v>
      </c>
      <c r="P120" s="14" t="s">
        <v>2492</v>
      </c>
      <c r="Q120" s="14" t="s">
        <v>166</v>
      </c>
      <c r="R120" s="14" t="s">
        <v>177</v>
      </c>
      <c r="S120" s="14" t="s">
        <v>178</v>
      </c>
      <c r="T120" s="14" t="s">
        <v>179</v>
      </c>
      <c r="U120" s="14" t="s">
        <v>2493</v>
      </c>
      <c r="V120" s="14" t="s">
        <v>2494</v>
      </c>
      <c r="W120" s="21" t="s">
        <v>2495</v>
      </c>
      <c r="X120" s="14" t="s">
        <v>2496</v>
      </c>
      <c r="Y120" s="14" t="s">
        <v>2497</v>
      </c>
      <c r="Z120" s="14" t="s">
        <v>2498</v>
      </c>
      <c r="AA120" s="14" t="s">
        <v>166</v>
      </c>
      <c r="AB120" s="14" t="s">
        <v>166</v>
      </c>
      <c r="AC120" s="14" t="s">
        <v>166</v>
      </c>
      <c r="AD120" s="14" t="s">
        <v>166</v>
      </c>
      <c r="AE120" s="14" t="s">
        <v>166</v>
      </c>
      <c r="AF120" s="14" t="s">
        <v>166</v>
      </c>
      <c r="AG120" s="14" t="s">
        <v>166</v>
      </c>
      <c r="AH120" s="21">
        <v>1</v>
      </c>
      <c r="AI120" s="3">
        <f>HYPERLINK("https://my.pitchbook.com/?d=188580-16T","188580-16T")</f>
      </c>
      <c r="AJ120" s="19">
        <v>44593</v>
      </c>
      <c r="AK120" s="19">
        <v>45216</v>
      </c>
      <c r="AL120" s="18">
        <v>5</v>
      </c>
      <c r="AM120" s="14" t="s">
        <v>185</v>
      </c>
      <c r="AN120" s="18">
        <v>30</v>
      </c>
      <c r="AO120" s="18">
        <v>35</v>
      </c>
      <c r="AP120" s="14" t="s">
        <v>185</v>
      </c>
      <c r="AQ120" s="21" t="s">
        <v>166</v>
      </c>
      <c r="AR120" s="21" t="s">
        <v>166</v>
      </c>
      <c r="AS120" s="17">
        <v>14.29</v>
      </c>
      <c r="AT120" s="18">
        <v>5</v>
      </c>
      <c r="AU120" s="21" t="s">
        <v>186</v>
      </c>
      <c r="AV120" s="21" t="s">
        <v>166</v>
      </c>
      <c r="AW120" s="18" t="s">
        <v>166</v>
      </c>
      <c r="AX120" s="21" t="s">
        <v>166</v>
      </c>
      <c r="AY120" s="14" t="s">
        <v>217</v>
      </c>
      <c r="AZ120" s="14" t="s">
        <v>217</v>
      </c>
      <c r="BA120" s="14" t="s">
        <v>166</v>
      </c>
      <c r="BB120" s="21" t="s">
        <v>166</v>
      </c>
      <c r="BC120" s="14" t="s">
        <v>179</v>
      </c>
      <c r="BD120" s="14" t="s">
        <v>2499</v>
      </c>
      <c r="BE120" s="14" t="s">
        <v>189</v>
      </c>
      <c r="BF120" s="18" t="s">
        <v>166</v>
      </c>
      <c r="BG120" s="14" t="s">
        <v>190</v>
      </c>
      <c r="BH120" s="14" t="s">
        <v>166</v>
      </c>
      <c r="BI120" s="14" t="s">
        <v>166</v>
      </c>
      <c r="BJ120" s="18" t="s">
        <v>166</v>
      </c>
      <c r="BK120" s="18" t="s">
        <v>166</v>
      </c>
      <c r="BL120" s="14" t="s">
        <v>191</v>
      </c>
      <c r="BM120" s="14" t="s">
        <v>178</v>
      </c>
      <c r="BN120" s="14" t="s">
        <v>177</v>
      </c>
      <c r="BO120" s="22">
        <v>17</v>
      </c>
      <c r="BP120" s="14" t="s">
        <v>2500</v>
      </c>
      <c r="BQ120" s="21">
        <v>12</v>
      </c>
      <c r="BR120" s="14" t="s">
        <v>166</v>
      </c>
      <c r="BS120" s="21" t="s">
        <v>166</v>
      </c>
      <c r="BT120" s="14" t="s">
        <v>2501</v>
      </c>
      <c r="BU120" s="14" t="s">
        <v>166</v>
      </c>
      <c r="BV120" s="14" t="s">
        <v>2502</v>
      </c>
      <c r="BW120" s="14" t="s">
        <v>166</v>
      </c>
      <c r="BX120" s="14" t="s">
        <v>166</v>
      </c>
      <c r="BY120" s="14" t="s">
        <v>166</v>
      </c>
      <c r="BZ120" s="14" t="s">
        <v>166</v>
      </c>
      <c r="CA120" s="14" t="s">
        <v>166</v>
      </c>
      <c r="CB120" s="14" t="s">
        <v>166</v>
      </c>
      <c r="CC120" s="14" t="s">
        <v>166</v>
      </c>
      <c r="CD120" s="14" t="s">
        <v>166</v>
      </c>
      <c r="CE120" s="18" t="s">
        <v>166</v>
      </c>
      <c r="CF120" s="16">
        <v>1.2</v>
      </c>
      <c r="CG120" s="17" t="s">
        <v>166</v>
      </c>
      <c r="CH120" s="16" t="s">
        <v>166</v>
      </c>
      <c r="CI120" s="16" t="s">
        <v>166</v>
      </c>
      <c r="CJ120" s="16" t="s">
        <v>166</v>
      </c>
      <c r="CK120" s="16" t="s">
        <v>166</v>
      </c>
      <c r="CL120" s="16" t="s">
        <v>166</v>
      </c>
      <c r="CM120" s="20">
        <v>2023</v>
      </c>
      <c r="CN120" s="16" t="s">
        <v>166</v>
      </c>
      <c r="CO120" s="16" t="s">
        <v>166</v>
      </c>
      <c r="CP120" s="16" t="s">
        <v>166</v>
      </c>
      <c r="CQ120" s="16">
        <v>29.17</v>
      </c>
      <c r="CR120" s="16" t="s">
        <v>166</v>
      </c>
      <c r="CS120" s="16" t="s">
        <v>166</v>
      </c>
      <c r="CT120" s="16" t="s">
        <v>166</v>
      </c>
      <c r="CU120" s="16" t="s">
        <v>166</v>
      </c>
      <c r="CV120" s="16">
        <v>4.17</v>
      </c>
      <c r="CW120" s="16" t="s">
        <v>166</v>
      </c>
      <c r="CX120" s="16" t="s">
        <v>166</v>
      </c>
      <c r="CY120" s="16" t="s">
        <v>166</v>
      </c>
      <c r="CZ120" s="16" t="s">
        <v>166</v>
      </c>
      <c r="DA120" s="16" t="s">
        <v>166</v>
      </c>
      <c r="DB120" s="16" t="s">
        <v>166</v>
      </c>
      <c r="DC120" s="16" t="s">
        <v>166</v>
      </c>
      <c r="DD120" s="16" t="s">
        <v>166</v>
      </c>
      <c r="DE120" s="17" t="s">
        <v>166</v>
      </c>
      <c r="DF120" s="22">
        <v>18</v>
      </c>
      <c r="DG120" s="14" t="s">
        <v>1540</v>
      </c>
      <c r="DH120" s="14" t="s">
        <v>193</v>
      </c>
      <c r="DI120" s="14" t="s">
        <v>194</v>
      </c>
      <c r="DJ120" s="14" t="s">
        <v>1541</v>
      </c>
      <c r="DK120" s="14" t="s">
        <v>257</v>
      </c>
      <c r="DL120" s="21" t="s">
        <v>2503</v>
      </c>
      <c r="DM120" s="14" t="s">
        <v>198</v>
      </c>
      <c r="DN120" s="13" t="s">
        <v>2504</v>
      </c>
      <c r="DO120" s="20">
        <v>2022</v>
      </c>
      <c r="DP120" s="14" t="s">
        <v>166</v>
      </c>
      <c r="DQ120" s="14" t="s">
        <v>166</v>
      </c>
      <c r="DR120" s="18" t="s">
        <v>166</v>
      </c>
      <c r="DS120" s="16" t="s">
        <v>166</v>
      </c>
      <c r="DT120" s="19" t="s">
        <v>166</v>
      </c>
      <c r="DU120" s="14" t="s">
        <v>166</v>
      </c>
      <c r="DV120" s="18" t="s">
        <v>166</v>
      </c>
      <c r="DW120" s="18" t="s">
        <v>166</v>
      </c>
      <c r="DX120" s="16" t="s">
        <v>166</v>
      </c>
      <c r="DY120" s="16" t="s">
        <v>166</v>
      </c>
      <c r="DZ120" s="17" t="s">
        <v>166</v>
      </c>
      <c r="EA120" s="16" t="s">
        <v>166</v>
      </c>
      <c r="EB120" s="16" t="s">
        <v>166</v>
      </c>
      <c r="EC120" s="16" t="s">
        <v>166</v>
      </c>
      <c r="ED120" s="17" t="s">
        <v>166</v>
      </c>
      <c r="EE120" s="17" t="s">
        <v>166</v>
      </c>
      <c r="EF120" s="17" t="s">
        <v>166</v>
      </c>
      <c r="EG120" s="17" t="s">
        <v>166</v>
      </c>
      <c r="EH120" s="16" t="s">
        <v>166</v>
      </c>
      <c r="EI120" s="16" t="s">
        <v>166</v>
      </c>
      <c r="EJ120" s="16" t="s">
        <v>166</v>
      </c>
      <c r="EK120" s="16" t="s">
        <v>166</v>
      </c>
      <c r="EL120" s="16" t="s">
        <v>166</v>
      </c>
      <c r="EM120" s="16" t="s">
        <v>166</v>
      </c>
      <c r="EN120" s="16" t="s">
        <v>166</v>
      </c>
      <c r="EO120" s="16" t="s">
        <v>166</v>
      </c>
      <c r="EP120" s="16" t="s">
        <v>166</v>
      </c>
      <c r="EQ120" s="16" t="s">
        <v>166</v>
      </c>
      <c r="ER120" s="16" t="s">
        <v>166</v>
      </c>
      <c r="ES120" s="16" t="s">
        <v>166</v>
      </c>
      <c r="ET120" s="14" t="s">
        <v>166</v>
      </c>
      <c r="EU120" s="16" t="s">
        <v>166</v>
      </c>
      <c r="EV120" s="16" t="s">
        <v>166</v>
      </c>
      <c r="EW120" s="16" t="s">
        <v>166</v>
      </c>
      <c r="EX120" s="14" t="s">
        <v>190</v>
      </c>
      <c r="EY120" s="14" t="s">
        <v>166</v>
      </c>
      <c r="EZ120" s="16" t="s">
        <v>166</v>
      </c>
      <c r="FA120" s="15" t="s">
        <v>166</v>
      </c>
      <c r="FB120" s="15" t="s">
        <v>166</v>
      </c>
      <c r="FC120" s="15" t="s">
        <v>166</v>
      </c>
      <c r="FD120" s="15" t="s">
        <v>166</v>
      </c>
      <c r="FE120" s="15" t="s">
        <v>166</v>
      </c>
      <c r="FF120" s="15" t="s">
        <v>166</v>
      </c>
      <c r="FG120" s="14" t="s">
        <v>166</v>
      </c>
      <c r="FH120" s="3">
        <f>HYPERLINK("https://my.pitchbook.com?c=188580-16T","View Company Online")</f>
      </c>
    </row>
    <row r="121">
      <c r="A121" s="25" t="s">
        <v>2505</v>
      </c>
      <c r="B121" s="25" t="s">
        <v>2506</v>
      </c>
      <c r="C121" s="25" t="s">
        <v>2507</v>
      </c>
      <c r="D121" s="25" t="s">
        <v>166</v>
      </c>
      <c r="E121" s="34" t="s">
        <v>2508</v>
      </c>
      <c r="F121" s="32">
        <v>1</v>
      </c>
      <c r="G121" s="25" t="s">
        <v>2509</v>
      </c>
      <c r="H121" s="25" t="s">
        <v>166</v>
      </c>
      <c r="I121" s="25" t="s">
        <v>2510</v>
      </c>
      <c r="J121" s="25" t="s">
        <v>2511</v>
      </c>
      <c r="K121" s="25" t="s">
        <v>207</v>
      </c>
      <c r="L121" s="25" t="s">
        <v>208</v>
      </c>
      <c r="M121" s="25" t="s">
        <v>965</v>
      </c>
      <c r="N121" s="25" t="s">
        <v>2512</v>
      </c>
      <c r="O121" s="25" t="s">
        <v>580</v>
      </c>
      <c r="P121" s="25" t="s">
        <v>2513</v>
      </c>
      <c r="Q121" s="25" t="s">
        <v>166</v>
      </c>
      <c r="R121" s="25" t="s">
        <v>177</v>
      </c>
      <c r="S121" s="25" t="s">
        <v>178</v>
      </c>
      <c r="T121" s="25" t="s">
        <v>179</v>
      </c>
      <c r="U121" s="25" t="s">
        <v>2514</v>
      </c>
      <c r="V121" s="25" t="s">
        <v>2515</v>
      </c>
      <c r="W121" s="32" t="s">
        <v>166</v>
      </c>
      <c r="X121" s="25" t="s">
        <v>2516</v>
      </c>
      <c r="Y121" s="25" t="s">
        <v>2517</v>
      </c>
      <c r="Z121" s="25" t="s">
        <v>2518</v>
      </c>
      <c r="AA121" s="25" t="s">
        <v>166</v>
      </c>
      <c r="AB121" s="25" t="s">
        <v>166</v>
      </c>
      <c r="AC121" s="25" t="s">
        <v>166</v>
      </c>
      <c r="AD121" s="25" t="s">
        <v>166</v>
      </c>
      <c r="AE121" s="25" t="s">
        <v>166</v>
      </c>
      <c r="AF121" s="25" t="s">
        <v>166</v>
      </c>
      <c r="AG121" s="25" t="s">
        <v>166</v>
      </c>
      <c r="AH121" s="32">
        <v>1</v>
      </c>
      <c r="AI121" s="4">
        <f>HYPERLINK("https://my.pitchbook.com/?d=257908-87T","257908-87T")</f>
      </c>
      <c r="AJ121" s="30" t="s">
        <v>166</v>
      </c>
      <c r="AK121" s="30">
        <v>45299</v>
      </c>
      <c r="AL121" s="29">
        <v>0.1</v>
      </c>
      <c r="AM121" s="25" t="s">
        <v>185</v>
      </c>
      <c r="AN121" s="29" t="s">
        <v>166</v>
      </c>
      <c r="AO121" s="29" t="s">
        <v>166</v>
      </c>
      <c r="AP121" s="25" t="s">
        <v>166</v>
      </c>
      <c r="AQ121" s="32" t="s">
        <v>166</v>
      </c>
      <c r="AR121" s="32" t="s">
        <v>166</v>
      </c>
      <c r="AS121" s="28" t="s">
        <v>166</v>
      </c>
      <c r="AT121" s="29">
        <v>0.1</v>
      </c>
      <c r="AU121" s="32" t="s">
        <v>186</v>
      </c>
      <c r="AV121" s="32" t="s">
        <v>166</v>
      </c>
      <c r="AW121" s="29" t="s">
        <v>166</v>
      </c>
      <c r="AX121" s="32" t="s">
        <v>166</v>
      </c>
      <c r="AY121" s="25" t="s">
        <v>187</v>
      </c>
      <c r="AZ121" s="25" t="s">
        <v>166</v>
      </c>
      <c r="BA121" s="25" t="s">
        <v>166</v>
      </c>
      <c r="BB121" s="32" t="s">
        <v>166</v>
      </c>
      <c r="BC121" s="25" t="s">
        <v>179</v>
      </c>
      <c r="BD121" s="25" t="s">
        <v>2519</v>
      </c>
      <c r="BE121" s="25" t="s">
        <v>189</v>
      </c>
      <c r="BF121" s="29">
        <v>0.1</v>
      </c>
      <c r="BG121" s="25" t="s">
        <v>190</v>
      </c>
      <c r="BH121" s="25" t="s">
        <v>166</v>
      </c>
      <c r="BI121" s="25" t="s">
        <v>166</v>
      </c>
      <c r="BJ121" s="29" t="s">
        <v>166</v>
      </c>
      <c r="BK121" s="29" t="s">
        <v>166</v>
      </c>
      <c r="BL121" s="25" t="s">
        <v>191</v>
      </c>
      <c r="BM121" s="25" t="s">
        <v>178</v>
      </c>
      <c r="BN121" s="25" t="s">
        <v>177</v>
      </c>
      <c r="BO121" s="33" t="s">
        <v>166</v>
      </c>
      <c r="BP121" s="25" t="s">
        <v>2508</v>
      </c>
      <c r="BQ121" s="32">
        <v>1</v>
      </c>
      <c r="BR121" s="25" t="s">
        <v>166</v>
      </c>
      <c r="BS121" s="32" t="s">
        <v>166</v>
      </c>
      <c r="BT121" s="25" t="s">
        <v>166</v>
      </c>
      <c r="BU121" s="25" t="s">
        <v>166</v>
      </c>
      <c r="BV121" s="25" t="s">
        <v>2520</v>
      </c>
      <c r="BW121" s="25" t="s">
        <v>166</v>
      </c>
      <c r="BX121" s="25" t="s">
        <v>166</v>
      </c>
      <c r="BY121" s="25" t="s">
        <v>166</v>
      </c>
      <c r="BZ121" s="25" t="s">
        <v>166</v>
      </c>
      <c r="CA121" s="25" t="s">
        <v>166</v>
      </c>
      <c r="CB121" s="25" t="s">
        <v>166</v>
      </c>
      <c r="CC121" s="25" t="s">
        <v>166</v>
      </c>
      <c r="CD121" s="25" t="s">
        <v>166</v>
      </c>
      <c r="CE121" s="29" t="s">
        <v>166</v>
      </c>
      <c r="CF121" s="27">
        <v>0.02</v>
      </c>
      <c r="CG121" s="28" t="s">
        <v>166</v>
      </c>
      <c r="CH121" s="27" t="s">
        <v>166</v>
      </c>
      <c r="CI121" s="27" t="s">
        <v>166</v>
      </c>
      <c r="CJ121" s="27" t="s">
        <v>166</v>
      </c>
      <c r="CK121" s="27" t="s">
        <v>166</v>
      </c>
      <c r="CL121" s="27" t="s">
        <v>166</v>
      </c>
      <c r="CM121" s="31">
        <v>2023</v>
      </c>
      <c r="CN121" s="27" t="s">
        <v>166</v>
      </c>
      <c r="CO121" s="27" t="s">
        <v>166</v>
      </c>
      <c r="CP121" s="27" t="s">
        <v>166</v>
      </c>
      <c r="CQ121" s="27" t="s">
        <v>166</v>
      </c>
      <c r="CR121" s="27" t="s">
        <v>166</v>
      </c>
      <c r="CS121" s="27" t="s">
        <v>166</v>
      </c>
      <c r="CT121" s="27" t="s">
        <v>166</v>
      </c>
      <c r="CU121" s="27" t="s">
        <v>166</v>
      </c>
      <c r="CV121" s="27">
        <v>4.05</v>
      </c>
      <c r="CW121" s="27" t="s">
        <v>166</v>
      </c>
      <c r="CX121" s="27" t="s">
        <v>166</v>
      </c>
      <c r="CY121" s="27" t="s">
        <v>166</v>
      </c>
      <c r="CZ121" s="27" t="s">
        <v>166</v>
      </c>
      <c r="DA121" s="27" t="s">
        <v>166</v>
      </c>
      <c r="DB121" s="27" t="s">
        <v>166</v>
      </c>
      <c r="DC121" s="27" t="s">
        <v>166</v>
      </c>
      <c r="DD121" s="27" t="s">
        <v>166</v>
      </c>
      <c r="DE121" s="28" t="s">
        <v>166</v>
      </c>
      <c r="DF121" s="33">
        <v>11</v>
      </c>
      <c r="DG121" s="25" t="s">
        <v>1540</v>
      </c>
      <c r="DH121" s="25" t="s">
        <v>193</v>
      </c>
      <c r="DI121" s="25" t="s">
        <v>194</v>
      </c>
      <c r="DJ121" s="25" t="s">
        <v>1541</v>
      </c>
      <c r="DK121" s="25" t="s">
        <v>257</v>
      </c>
      <c r="DL121" s="32" t="s">
        <v>2521</v>
      </c>
      <c r="DM121" s="25" t="s">
        <v>198</v>
      </c>
      <c r="DN121" s="24" t="s">
        <v>2522</v>
      </c>
      <c r="DO121" s="31">
        <v>2021</v>
      </c>
      <c r="DP121" s="25" t="s">
        <v>166</v>
      </c>
      <c r="DQ121" s="25" t="s">
        <v>166</v>
      </c>
      <c r="DR121" s="29" t="s">
        <v>166</v>
      </c>
      <c r="DS121" s="27" t="s">
        <v>166</v>
      </c>
      <c r="DT121" s="30" t="s">
        <v>166</v>
      </c>
      <c r="DU121" s="25" t="s">
        <v>166</v>
      </c>
      <c r="DV121" s="29" t="s">
        <v>166</v>
      </c>
      <c r="DW121" s="29" t="s">
        <v>166</v>
      </c>
      <c r="DX121" s="27" t="s">
        <v>166</v>
      </c>
      <c r="DY121" s="27" t="s">
        <v>166</v>
      </c>
      <c r="DZ121" s="28" t="s">
        <v>166</v>
      </c>
      <c r="EA121" s="27" t="s">
        <v>166</v>
      </c>
      <c r="EB121" s="27" t="s">
        <v>166</v>
      </c>
      <c r="EC121" s="27" t="s">
        <v>166</v>
      </c>
      <c r="ED121" s="28" t="s">
        <v>166</v>
      </c>
      <c r="EE121" s="28" t="s">
        <v>166</v>
      </c>
      <c r="EF121" s="28" t="s">
        <v>166</v>
      </c>
      <c r="EG121" s="28" t="s">
        <v>166</v>
      </c>
      <c r="EH121" s="27" t="s">
        <v>166</v>
      </c>
      <c r="EI121" s="27" t="s">
        <v>166</v>
      </c>
      <c r="EJ121" s="27" t="s">
        <v>166</v>
      </c>
      <c r="EK121" s="27" t="s">
        <v>166</v>
      </c>
      <c r="EL121" s="27" t="s">
        <v>166</v>
      </c>
      <c r="EM121" s="27" t="s">
        <v>166</v>
      </c>
      <c r="EN121" s="27" t="s">
        <v>166</v>
      </c>
      <c r="EO121" s="27" t="s">
        <v>166</v>
      </c>
      <c r="EP121" s="27" t="s">
        <v>166</v>
      </c>
      <c r="EQ121" s="27" t="s">
        <v>166</v>
      </c>
      <c r="ER121" s="27" t="s">
        <v>166</v>
      </c>
      <c r="ES121" s="27" t="s">
        <v>166</v>
      </c>
      <c r="ET121" s="25" t="s">
        <v>166</v>
      </c>
      <c r="EU121" s="27" t="s">
        <v>166</v>
      </c>
      <c r="EV121" s="27" t="s">
        <v>166</v>
      </c>
      <c r="EW121" s="27" t="s">
        <v>166</v>
      </c>
      <c r="EX121" s="25" t="s">
        <v>190</v>
      </c>
      <c r="EY121" s="25" t="s">
        <v>166</v>
      </c>
      <c r="EZ121" s="27" t="s">
        <v>166</v>
      </c>
      <c r="FA121" s="26" t="s">
        <v>166</v>
      </c>
      <c r="FB121" s="26" t="s">
        <v>166</v>
      </c>
      <c r="FC121" s="26" t="s">
        <v>166</v>
      </c>
      <c r="FD121" s="26" t="s">
        <v>166</v>
      </c>
      <c r="FE121" s="26" t="s">
        <v>166</v>
      </c>
      <c r="FF121" s="26" t="s">
        <v>166</v>
      </c>
      <c r="FG121" s="25" t="s">
        <v>166</v>
      </c>
      <c r="FH121" s="4">
        <f>HYPERLINK("https://my.pitchbook.com?c=257908-87T","View Company Online")</f>
      </c>
    </row>
    <row r="122">
      <c r="A122" s="14" t="s">
        <v>2523</v>
      </c>
      <c r="B122" s="14" t="s">
        <v>2524</v>
      </c>
      <c r="C122" s="14" t="s">
        <v>2525</v>
      </c>
      <c r="D122" s="14" t="s">
        <v>166</v>
      </c>
      <c r="E122" s="23" t="s">
        <v>2526</v>
      </c>
      <c r="F122" s="21">
        <v>7</v>
      </c>
      <c r="G122" s="14" t="s">
        <v>2527</v>
      </c>
      <c r="H122" s="14" t="s">
        <v>166</v>
      </c>
      <c r="I122" s="14" t="s">
        <v>2528</v>
      </c>
      <c r="J122" s="14" t="s">
        <v>2529</v>
      </c>
      <c r="K122" s="14" t="s">
        <v>207</v>
      </c>
      <c r="L122" s="14" t="s">
        <v>208</v>
      </c>
      <c r="M122" s="14" t="s">
        <v>209</v>
      </c>
      <c r="N122" s="14" t="s">
        <v>2530</v>
      </c>
      <c r="O122" s="14" t="s">
        <v>2531</v>
      </c>
      <c r="P122" s="14" t="s">
        <v>2532</v>
      </c>
      <c r="Q122" s="14" t="s">
        <v>166</v>
      </c>
      <c r="R122" s="14" t="s">
        <v>177</v>
      </c>
      <c r="S122" s="14" t="s">
        <v>178</v>
      </c>
      <c r="T122" s="14" t="s">
        <v>179</v>
      </c>
      <c r="U122" s="14" t="s">
        <v>2533</v>
      </c>
      <c r="V122" s="14" t="s">
        <v>2534</v>
      </c>
      <c r="W122" s="21" t="s">
        <v>2535</v>
      </c>
      <c r="X122" s="14" t="s">
        <v>2536</v>
      </c>
      <c r="Y122" s="14" t="s">
        <v>2537</v>
      </c>
      <c r="Z122" s="14" t="s">
        <v>166</v>
      </c>
      <c r="AA122" s="14" t="s">
        <v>242</v>
      </c>
      <c r="AB122" s="14" t="s">
        <v>243</v>
      </c>
      <c r="AC122" s="14" t="s">
        <v>244</v>
      </c>
      <c r="AD122" s="14" t="s">
        <v>243</v>
      </c>
      <c r="AE122" s="14" t="s">
        <v>243</v>
      </c>
      <c r="AF122" s="14" t="s">
        <v>166</v>
      </c>
      <c r="AG122" s="14" t="s">
        <v>246</v>
      </c>
      <c r="AH122" s="21">
        <v>4</v>
      </c>
      <c r="AI122" s="3">
        <f>HYPERLINK("https://my.pitchbook.com/?d=133376-68T","133376-68T")</f>
      </c>
      <c r="AJ122" s="19">
        <v>43857</v>
      </c>
      <c r="AK122" s="19">
        <v>44279</v>
      </c>
      <c r="AL122" s="18">
        <v>1.44</v>
      </c>
      <c r="AM122" s="14" t="s">
        <v>185</v>
      </c>
      <c r="AN122" s="18">
        <v>3.9</v>
      </c>
      <c r="AO122" s="18">
        <v>5.34</v>
      </c>
      <c r="AP122" s="14" t="s">
        <v>185</v>
      </c>
      <c r="AQ122" s="21" t="s">
        <v>166</v>
      </c>
      <c r="AR122" s="21" t="s">
        <v>166</v>
      </c>
      <c r="AS122" s="17">
        <v>32.86</v>
      </c>
      <c r="AT122" s="18">
        <v>1.69</v>
      </c>
      <c r="AU122" s="21" t="s">
        <v>186</v>
      </c>
      <c r="AV122" s="21" t="s">
        <v>166</v>
      </c>
      <c r="AW122" s="18">
        <v>0.56</v>
      </c>
      <c r="AX122" s="21" t="s">
        <v>166</v>
      </c>
      <c r="AY122" s="14" t="s">
        <v>217</v>
      </c>
      <c r="AZ122" s="14" t="s">
        <v>217</v>
      </c>
      <c r="BA122" s="14" t="s">
        <v>166</v>
      </c>
      <c r="BB122" s="21" t="s">
        <v>166</v>
      </c>
      <c r="BC122" s="14" t="s">
        <v>179</v>
      </c>
      <c r="BD122" s="14" t="s">
        <v>2538</v>
      </c>
      <c r="BE122" s="14" t="s">
        <v>189</v>
      </c>
      <c r="BF122" s="18">
        <v>1.44</v>
      </c>
      <c r="BG122" s="14" t="s">
        <v>190</v>
      </c>
      <c r="BH122" s="14" t="s">
        <v>166</v>
      </c>
      <c r="BI122" s="14" t="s">
        <v>166</v>
      </c>
      <c r="BJ122" s="18" t="s">
        <v>166</v>
      </c>
      <c r="BK122" s="18" t="s">
        <v>166</v>
      </c>
      <c r="BL122" s="14" t="s">
        <v>191</v>
      </c>
      <c r="BM122" s="14" t="s">
        <v>178</v>
      </c>
      <c r="BN122" s="14" t="s">
        <v>177</v>
      </c>
      <c r="BO122" s="22">
        <v>5</v>
      </c>
      <c r="BP122" s="14" t="s">
        <v>2539</v>
      </c>
      <c r="BQ122" s="21">
        <v>7</v>
      </c>
      <c r="BR122" s="14" t="s">
        <v>166</v>
      </c>
      <c r="BS122" s="21" t="s">
        <v>166</v>
      </c>
      <c r="BT122" s="14" t="s">
        <v>2540</v>
      </c>
      <c r="BU122" s="14" t="s">
        <v>166</v>
      </c>
      <c r="BV122" s="14" t="s">
        <v>166</v>
      </c>
      <c r="BW122" s="14" t="s">
        <v>166</v>
      </c>
      <c r="BX122" s="14" t="s">
        <v>166</v>
      </c>
      <c r="BY122" s="14" t="s">
        <v>166</v>
      </c>
      <c r="BZ122" s="14" t="s">
        <v>166</v>
      </c>
      <c r="CA122" s="14" t="s">
        <v>166</v>
      </c>
      <c r="CB122" s="14" t="s">
        <v>166</v>
      </c>
      <c r="CC122" s="14" t="s">
        <v>166</v>
      </c>
      <c r="CD122" s="14" t="s">
        <v>166</v>
      </c>
      <c r="CE122" s="18" t="s">
        <v>166</v>
      </c>
      <c r="CF122" s="16" t="s">
        <v>166</v>
      </c>
      <c r="CG122" s="17" t="s">
        <v>166</v>
      </c>
      <c r="CH122" s="16" t="s">
        <v>166</v>
      </c>
      <c r="CI122" s="16" t="s">
        <v>166</v>
      </c>
      <c r="CJ122" s="16" t="s">
        <v>166</v>
      </c>
      <c r="CK122" s="16" t="s">
        <v>166</v>
      </c>
      <c r="CL122" s="16" t="s">
        <v>166</v>
      </c>
      <c r="CM122" s="20" t="s">
        <v>166</v>
      </c>
      <c r="CN122" s="16" t="s">
        <v>166</v>
      </c>
      <c r="CO122" s="16" t="s">
        <v>166</v>
      </c>
      <c r="CP122" s="16" t="s">
        <v>166</v>
      </c>
      <c r="CQ122" s="16" t="s">
        <v>166</v>
      </c>
      <c r="CR122" s="16" t="s">
        <v>166</v>
      </c>
      <c r="CS122" s="16" t="s">
        <v>166</v>
      </c>
      <c r="CT122" s="16" t="s">
        <v>166</v>
      </c>
      <c r="CU122" s="16" t="s">
        <v>166</v>
      </c>
      <c r="CV122" s="16" t="s">
        <v>166</v>
      </c>
      <c r="CW122" s="16" t="s">
        <v>166</v>
      </c>
      <c r="CX122" s="16" t="s">
        <v>166</v>
      </c>
      <c r="CY122" s="16" t="s">
        <v>166</v>
      </c>
      <c r="CZ122" s="16" t="s">
        <v>166</v>
      </c>
      <c r="DA122" s="16" t="s">
        <v>166</v>
      </c>
      <c r="DB122" s="16" t="s">
        <v>166</v>
      </c>
      <c r="DC122" s="16" t="s">
        <v>166</v>
      </c>
      <c r="DD122" s="16" t="s">
        <v>166</v>
      </c>
      <c r="DE122" s="17" t="s">
        <v>166</v>
      </c>
      <c r="DF122" s="22">
        <v>14</v>
      </c>
      <c r="DG122" s="14" t="s">
        <v>2541</v>
      </c>
      <c r="DH122" s="14" t="s">
        <v>193</v>
      </c>
      <c r="DI122" s="14" t="s">
        <v>194</v>
      </c>
      <c r="DJ122" s="14" t="s">
        <v>2542</v>
      </c>
      <c r="DK122" s="14" t="s">
        <v>196</v>
      </c>
      <c r="DL122" s="21" t="s">
        <v>2543</v>
      </c>
      <c r="DM122" s="14" t="s">
        <v>198</v>
      </c>
      <c r="DN122" s="13" t="s">
        <v>2544</v>
      </c>
      <c r="DO122" s="20">
        <v>2017</v>
      </c>
      <c r="DP122" s="14" t="s">
        <v>166</v>
      </c>
      <c r="DQ122" s="14" t="s">
        <v>166</v>
      </c>
      <c r="DR122" s="18" t="s">
        <v>166</v>
      </c>
      <c r="DS122" s="16" t="s">
        <v>166</v>
      </c>
      <c r="DT122" s="19" t="s">
        <v>166</v>
      </c>
      <c r="DU122" s="14" t="s">
        <v>166</v>
      </c>
      <c r="DV122" s="18" t="s">
        <v>166</v>
      </c>
      <c r="DW122" s="18" t="s">
        <v>166</v>
      </c>
      <c r="DX122" s="16" t="s">
        <v>166</v>
      </c>
      <c r="DY122" s="16" t="s">
        <v>166</v>
      </c>
      <c r="DZ122" s="17" t="s">
        <v>166</v>
      </c>
      <c r="EA122" s="16" t="s">
        <v>166</v>
      </c>
      <c r="EB122" s="16" t="s">
        <v>166</v>
      </c>
      <c r="EC122" s="16" t="s">
        <v>166</v>
      </c>
      <c r="ED122" s="17" t="s">
        <v>166</v>
      </c>
      <c r="EE122" s="17" t="s">
        <v>166</v>
      </c>
      <c r="EF122" s="17" t="s">
        <v>166</v>
      </c>
      <c r="EG122" s="17" t="s">
        <v>166</v>
      </c>
      <c r="EH122" s="16" t="s">
        <v>166</v>
      </c>
      <c r="EI122" s="16" t="s">
        <v>166</v>
      </c>
      <c r="EJ122" s="16" t="s">
        <v>166</v>
      </c>
      <c r="EK122" s="16" t="s">
        <v>166</v>
      </c>
      <c r="EL122" s="16" t="s">
        <v>166</v>
      </c>
      <c r="EM122" s="16" t="s">
        <v>166</v>
      </c>
      <c r="EN122" s="16" t="s">
        <v>166</v>
      </c>
      <c r="EO122" s="16" t="s">
        <v>166</v>
      </c>
      <c r="EP122" s="16" t="s">
        <v>166</v>
      </c>
      <c r="EQ122" s="16" t="s">
        <v>166</v>
      </c>
      <c r="ER122" s="16" t="s">
        <v>166</v>
      </c>
      <c r="ES122" s="16" t="s">
        <v>166</v>
      </c>
      <c r="ET122" s="14" t="s">
        <v>166</v>
      </c>
      <c r="EU122" s="16" t="s">
        <v>166</v>
      </c>
      <c r="EV122" s="16" t="s">
        <v>166</v>
      </c>
      <c r="EW122" s="16" t="s">
        <v>166</v>
      </c>
      <c r="EX122" s="14" t="s">
        <v>190</v>
      </c>
      <c r="EY122" s="14" t="s">
        <v>166</v>
      </c>
      <c r="EZ122" s="16" t="s">
        <v>166</v>
      </c>
      <c r="FA122" s="15" t="s">
        <v>166</v>
      </c>
      <c r="FB122" s="15" t="s">
        <v>166</v>
      </c>
      <c r="FC122" s="15" t="s">
        <v>166</v>
      </c>
      <c r="FD122" s="15" t="s">
        <v>166</v>
      </c>
      <c r="FE122" s="15" t="s">
        <v>166</v>
      </c>
      <c r="FF122" s="15" t="s">
        <v>166</v>
      </c>
      <c r="FG122" s="14" t="s">
        <v>166</v>
      </c>
      <c r="FH122" s="3">
        <f>HYPERLINK("https://my.pitchbook.com?c=133376-68T","View Company Online")</f>
      </c>
    </row>
    <row r="123">
      <c r="A123" s="25" t="s">
        <v>2545</v>
      </c>
      <c r="B123" s="25" t="s">
        <v>2546</v>
      </c>
      <c r="C123" s="25" t="s">
        <v>2547</v>
      </c>
      <c r="D123" s="25" t="s">
        <v>166</v>
      </c>
      <c r="E123" s="34" t="s">
        <v>2548</v>
      </c>
      <c r="F123" s="32">
        <v>16</v>
      </c>
      <c r="G123" s="25" t="s">
        <v>2549</v>
      </c>
      <c r="H123" s="25" t="s">
        <v>166</v>
      </c>
      <c r="I123" s="25" t="s">
        <v>2550</v>
      </c>
      <c r="J123" s="25" t="s">
        <v>2551</v>
      </c>
      <c r="K123" s="25" t="s">
        <v>321</v>
      </c>
      <c r="L123" s="25" t="s">
        <v>322</v>
      </c>
      <c r="M123" s="25" t="s">
        <v>322</v>
      </c>
      <c r="N123" s="25" t="s">
        <v>2552</v>
      </c>
      <c r="O123" s="25" t="s">
        <v>2553</v>
      </c>
      <c r="P123" s="25" t="s">
        <v>2554</v>
      </c>
      <c r="Q123" s="25" t="s">
        <v>2555</v>
      </c>
      <c r="R123" s="25" t="s">
        <v>177</v>
      </c>
      <c r="S123" s="25" t="s">
        <v>178</v>
      </c>
      <c r="T123" s="25" t="s">
        <v>179</v>
      </c>
      <c r="U123" s="25" t="s">
        <v>2556</v>
      </c>
      <c r="V123" s="25" t="s">
        <v>2557</v>
      </c>
      <c r="W123" s="32" t="s">
        <v>2558</v>
      </c>
      <c r="X123" s="25" t="s">
        <v>2559</v>
      </c>
      <c r="Y123" s="25" t="s">
        <v>2560</v>
      </c>
      <c r="Z123" s="25" t="s">
        <v>166</v>
      </c>
      <c r="AA123" s="25" t="s">
        <v>166</v>
      </c>
      <c r="AB123" s="25" t="s">
        <v>166</v>
      </c>
      <c r="AC123" s="25" t="s">
        <v>166</v>
      </c>
      <c r="AD123" s="25" t="s">
        <v>166</v>
      </c>
      <c r="AE123" s="25" t="s">
        <v>166</v>
      </c>
      <c r="AF123" s="25" t="s">
        <v>166</v>
      </c>
      <c r="AG123" s="25" t="s">
        <v>166</v>
      </c>
      <c r="AH123" s="32">
        <v>2</v>
      </c>
      <c r="AI123" s="4">
        <f>HYPERLINK("https://my.pitchbook.com/?d=228550-78T","228550-78T")</f>
      </c>
      <c r="AJ123" s="30">
        <v>45035</v>
      </c>
      <c r="AK123" s="30">
        <v>45362</v>
      </c>
      <c r="AL123" s="29">
        <v>4</v>
      </c>
      <c r="AM123" s="25" t="s">
        <v>185</v>
      </c>
      <c r="AN123" s="29" t="s">
        <v>166</v>
      </c>
      <c r="AO123" s="29" t="s">
        <v>166</v>
      </c>
      <c r="AP123" s="25" t="s">
        <v>166</v>
      </c>
      <c r="AQ123" s="32" t="s">
        <v>166</v>
      </c>
      <c r="AR123" s="32" t="s">
        <v>166</v>
      </c>
      <c r="AS123" s="28" t="s">
        <v>166</v>
      </c>
      <c r="AT123" s="29">
        <v>4.5</v>
      </c>
      <c r="AU123" s="32" t="s">
        <v>186</v>
      </c>
      <c r="AV123" s="32" t="s">
        <v>166</v>
      </c>
      <c r="AW123" s="29" t="s">
        <v>166</v>
      </c>
      <c r="AX123" s="32" t="s">
        <v>166</v>
      </c>
      <c r="AY123" s="25" t="s">
        <v>217</v>
      </c>
      <c r="AZ123" s="25" t="s">
        <v>217</v>
      </c>
      <c r="BA123" s="25" t="s">
        <v>166</v>
      </c>
      <c r="BB123" s="32" t="s">
        <v>166</v>
      </c>
      <c r="BC123" s="25" t="s">
        <v>179</v>
      </c>
      <c r="BD123" s="25" t="s">
        <v>2561</v>
      </c>
      <c r="BE123" s="25" t="s">
        <v>189</v>
      </c>
      <c r="BF123" s="29">
        <v>4</v>
      </c>
      <c r="BG123" s="25" t="s">
        <v>190</v>
      </c>
      <c r="BH123" s="25" t="s">
        <v>166</v>
      </c>
      <c r="BI123" s="25" t="s">
        <v>166</v>
      </c>
      <c r="BJ123" s="29" t="s">
        <v>166</v>
      </c>
      <c r="BK123" s="29" t="s">
        <v>166</v>
      </c>
      <c r="BL123" s="25" t="s">
        <v>191</v>
      </c>
      <c r="BM123" s="25" t="s">
        <v>178</v>
      </c>
      <c r="BN123" s="25" t="s">
        <v>177</v>
      </c>
      <c r="BO123" s="33" t="s">
        <v>166</v>
      </c>
      <c r="BP123" s="25" t="s">
        <v>2562</v>
      </c>
      <c r="BQ123" s="32">
        <v>16</v>
      </c>
      <c r="BR123" s="25" t="s">
        <v>166</v>
      </c>
      <c r="BS123" s="32" t="s">
        <v>166</v>
      </c>
      <c r="BT123" s="25" t="s">
        <v>2563</v>
      </c>
      <c r="BU123" s="25" t="s">
        <v>166</v>
      </c>
      <c r="BV123" s="25" t="s">
        <v>166</v>
      </c>
      <c r="BW123" s="25" t="s">
        <v>166</v>
      </c>
      <c r="BX123" s="25" t="s">
        <v>166</v>
      </c>
      <c r="BY123" s="25" t="s">
        <v>166</v>
      </c>
      <c r="BZ123" s="25" t="s">
        <v>166</v>
      </c>
      <c r="CA123" s="25" t="s">
        <v>166</v>
      </c>
      <c r="CB123" s="25" t="s">
        <v>166</v>
      </c>
      <c r="CC123" s="25" t="s">
        <v>166</v>
      </c>
      <c r="CD123" s="25" t="s">
        <v>166</v>
      </c>
      <c r="CE123" s="29" t="s">
        <v>166</v>
      </c>
      <c r="CF123" s="27" t="s">
        <v>166</v>
      </c>
      <c r="CG123" s="28" t="s">
        <v>166</v>
      </c>
      <c r="CH123" s="27" t="s">
        <v>166</v>
      </c>
      <c r="CI123" s="27" t="s">
        <v>166</v>
      </c>
      <c r="CJ123" s="27" t="s">
        <v>166</v>
      </c>
      <c r="CK123" s="27" t="s">
        <v>166</v>
      </c>
      <c r="CL123" s="27" t="s">
        <v>166</v>
      </c>
      <c r="CM123" s="31" t="s">
        <v>166</v>
      </c>
      <c r="CN123" s="27" t="s">
        <v>166</v>
      </c>
      <c r="CO123" s="27" t="s">
        <v>166</v>
      </c>
      <c r="CP123" s="27" t="s">
        <v>166</v>
      </c>
      <c r="CQ123" s="27" t="s">
        <v>166</v>
      </c>
      <c r="CR123" s="27" t="s">
        <v>166</v>
      </c>
      <c r="CS123" s="27" t="s">
        <v>166</v>
      </c>
      <c r="CT123" s="27" t="s">
        <v>166</v>
      </c>
      <c r="CU123" s="27" t="s">
        <v>166</v>
      </c>
      <c r="CV123" s="27" t="s">
        <v>166</v>
      </c>
      <c r="CW123" s="27" t="s">
        <v>166</v>
      </c>
      <c r="CX123" s="27" t="s">
        <v>166</v>
      </c>
      <c r="CY123" s="27" t="s">
        <v>166</v>
      </c>
      <c r="CZ123" s="27" t="s">
        <v>166</v>
      </c>
      <c r="DA123" s="27" t="s">
        <v>166</v>
      </c>
      <c r="DB123" s="27" t="s">
        <v>166</v>
      </c>
      <c r="DC123" s="27" t="s">
        <v>166</v>
      </c>
      <c r="DD123" s="27" t="s">
        <v>166</v>
      </c>
      <c r="DE123" s="28" t="s">
        <v>166</v>
      </c>
      <c r="DF123" s="33">
        <v>10</v>
      </c>
      <c r="DG123" s="25" t="s">
        <v>360</v>
      </c>
      <c r="DH123" s="25" t="s">
        <v>193</v>
      </c>
      <c r="DI123" s="25" t="s">
        <v>194</v>
      </c>
      <c r="DJ123" s="25" t="s">
        <v>361</v>
      </c>
      <c r="DK123" s="25" t="s">
        <v>196</v>
      </c>
      <c r="DL123" s="32" t="s">
        <v>2564</v>
      </c>
      <c r="DM123" s="25" t="s">
        <v>198</v>
      </c>
      <c r="DN123" s="24" t="s">
        <v>2565</v>
      </c>
      <c r="DO123" s="31">
        <v>2022</v>
      </c>
      <c r="DP123" s="25" t="s">
        <v>166</v>
      </c>
      <c r="DQ123" s="25" t="s">
        <v>166</v>
      </c>
      <c r="DR123" s="29" t="s">
        <v>166</v>
      </c>
      <c r="DS123" s="27" t="s">
        <v>166</v>
      </c>
      <c r="DT123" s="30" t="s">
        <v>166</v>
      </c>
      <c r="DU123" s="25" t="s">
        <v>166</v>
      </c>
      <c r="DV123" s="29" t="s">
        <v>166</v>
      </c>
      <c r="DW123" s="29" t="s">
        <v>166</v>
      </c>
      <c r="DX123" s="27" t="s">
        <v>166</v>
      </c>
      <c r="DY123" s="27" t="s">
        <v>166</v>
      </c>
      <c r="DZ123" s="28" t="s">
        <v>166</v>
      </c>
      <c r="EA123" s="27" t="s">
        <v>166</v>
      </c>
      <c r="EB123" s="27" t="s">
        <v>166</v>
      </c>
      <c r="EC123" s="27" t="s">
        <v>166</v>
      </c>
      <c r="ED123" s="28" t="s">
        <v>166</v>
      </c>
      <c r="EE123" s="28" t="s">
        <v>166</v>
      </c>
      <c r="EF123" s="28" t="s">
        <v>166</v>
      </c>
      <c r="EG123" s="28" t="s">
        <v>166</v>
      </c>
      <c r="EH123" s="27" t="s">
        <v>166</v>
      </c>
      <c r="EI123" s="27" t="s">
        <v>166</v>
      </c>
      <c r="EJ123" s="27" t="s">
        <v>166</v>
      </c>
      <c r="EK123" s="27" t="s">
        <v>166</v>
      </c>
      <c r="EL123" s="27" t="s">
        <v>166</v>
      </c>
      <c r="EM123" s="27" t="s">
        <v>166</v>
      </c>
      <c r="EN123" s="27" t="s">
        <v>166</v>
      </c>
      <c r="EO123" s="27" t="s">
        <v>166</v>
      </c>
      <c r="EP123" s="27" t="s">
        <v>166</v>
      </c>
      <c r="EQ123" s="27" t="s">
        <v>166</v>
      </c>
      <c r="ER123" s="27" t="s">
        <v>166</v>
      </c>
      <c r="ES123" s="27" t="s">
        <v>166</v>
      </c>
      <c r="ET123" s="25" t="s">
        <v>166</v>
      </c>
      <c r="EU123" s="27" t="s">
        <v>166</v>
      </c>
      <c r="EV123" s="27" t="s">
        <v>166</v>
      </c>
      <c r="EW123" s="27" t="s">
        <v>166</v>
      </c>
      <c r="EX123" s="25" t="s">
        <v>190</v>
      </c>
      <c r="EY123" s="25" t="s">
        <v>166</v>
      </c>
      <c r="EZ123" s="27" t="s">
        <v>166</v>
      </c>
      <c r="FA123" s="26" t="s">
        <v>166</v>
      </c>
      <c r="FB123" s="26" t="s">
        <v>166</v>
      </c>
      <c r="FC123" s="26" t="s">
        <v>166</v>
      </c>
      <c r="FD123" s="26" t="s">
        <v>166</v>
      </c>
      <c r="FE123" s="26" t="s">
        <v>166</v>
      </c>
      <c r="FF123" s="26" t="s">
        <v>166</v>
      </c>
      <c r="FG123" s="25" t="s">
        <v>166</v>
      </c>
      <c r="FH123" s="4">
        <f>HYPERLINK("https://my.pitchbook.com?c=228550-78T","View Company Online")</f>
      </c>
    </row>
    <row r="124">
      <c r="A124" s="14" t="s">
        <v>2566</v>
      </c>
      <c r="B124" s="14" t="s">
        <v>2567</v>
      </c>
      <c r="C124" s="14" t="s">
        <v>2568</v>
      </c>
      <c r="D124" s="14" t="s">
        <v>166</v>
      </c>
      <c r="E124" s="23" t="s">
        <v>2569</v>
      </c>
      <c r="F124" s="21">
        <v>3</v>
      </c>
      <c r="G124" s="14" t="s">
        <v>2570</v>
      </c>
      <c r="H124" s="14" t="s">
        <v>166</v>
      </c>
      <c r="I124" s="14" t="s">
        <v>2571</v>
      </c>
      <c r="J124" s="14" t="s">
        <v>2572</v>
      </c>
      <c r="K124" s="14" t="s">
        <v>171</v>
      </c>
      <c r="L124" s="14" t="s">
        <v>172</v>
      </c>
      <c r="M124" s="14" t="s">
        <v>173</v>
      </c>
      <c r="N124" s="14" t="s">
        <v>2573</v>
      </c>
      <c r="O124" s="14" t="s">
        <v>2574</v>
      </c>
      <c r="P124" s="14" t="s">
        <v>2575</v>
      </c>
      <c r="Q124" s="14" t="s">
        <v>166</v>
      </c>
      <c r="R124" s="14" t="s">
        <v>177</v>
      </c>
      <c r="S124" s="14" t="s">
        <v>178</v>
      </c>
      <c r="T124" s="14" t="s">
        <v>179</v>
      </c>
      <c r="U124" s="14" t="s">
        <v>2576</v>
      </c>
      <c r="V124" s="14" t="s">
        <v>2577</v>
      </c>
      <c r="W124" s="21" t="s">
        <v>2578</v>
      </c>
      <c r="X124" s="14" t="s">
        <v>2579</v>
      </c>
      <c r="Y124" s="14" t="s">
        <v>2580</v>
      </c>
      <c r="Z124" s="14" t="s">
        <v>166</v>
      </c>
      <c r="AA124" s="14" t="s">
        <v>166</v>
      </c>
      <c r="AB124" s="14" t="s">
        <v>166</v>
      </c>
      <c r="AC124" s="14" t="s">
        <v>166</v>
      </c>
      <c r="AD124" s="14" t="s">
        <v>166</v>
      </c>
      <c r="AE124" s="14" t="s">
        <v>166</v>
      </c>
      <c r="AF124" s="14" t="s">
        <v>166</v>
      </c>
      <c r="AG124" s="14" t="s">
        <v>166</v>
      </c>
      <c r="AH124" s="21">
        <v>1</v>
      </c>
      <c r="AI124" s="3">
        <f>HYPERLINK("https://my.pitchbook.com/?d=164751-67T","164751-67T")</f>
      </c>
      <c r="AJ124" s="19">
        <v>44196</v>
      </c>
      <c r="AK124" s="19">
        <v>44306</v>
      </c>
      <c r="AL124" s="18">
        <v>6</v>
      </c>
      <c r="AM124" s="14" t="s">
        <v>185</v>
      </c>
      <c r="AN124" s="18" t="s">
        <v>166</v>
      </c>
      <c r="AO124" s="18" t="s">
        <v>166</v>
      </c>
      <c r="AP124" s="14" t="s">
        <v>166</v>
      </c>
      <c r="AQ124" s="21" t="s">
        <v>166</v>
      </c>
      <c r="AR124" s="21" t="s">
        <v>166</v>
      </c>
      <c r="AS124" s="17" t="s">
        <v>166</v>
      </c>
      <c r="AT124" s="18">
        <v>6</v>
      </c>
      <c r="AU124" s="21" t="s">
        <v>186</v>
      </c>
      <c r="AV124" s="21" t="s">
        <v>166</v>
      </c>
      <c r="AW124" s="18" t="s">
        <v>166</v>
      </c>
      <c r="AX124" s="21" t="s">
        <v>248</v>
      </c>
      <c r="AY124" s="14" t="s">
        <v>249</v>
      </c>
      <c r="AZ124" s="14" t="s">
        <v>248</v>
      </c>
      <c r="BA124" s="14" t="s">
        <v>166</v>
      </c>
      <c r="BB124" s="21" t="s">
        <v>166</v>
      </c>
      <c r="BC124" s="14" t="s">
        <v>179</v>
      </c>
      <c r="BD124" s="14" t="s">
        <v>2572</v>
      </c>
      <c r="BE124" s="14" t="s">
        <v>189</v>
      </c>
      <c r="BF124" s="18">
        <v>6</v>
      </c>
      <c r="BG124" s="14" t="s">
        <v>190</v>
      </c>
      <c r="BH124" s="14" t="s">
        <v>166</v>
      </c>
      <c r="BI124" s="14" t="s">
        <v>166</v>
      </c>
      <c r="BJ124" s="18" t="s">
        <v>166</v>
      </c>
      <c r="BK124" s="18" t="s">
        <v>166</v>
      </c>
      <c r="BL124" s="14" t="s">
        <v>191</v>
      </c>
      <c r="BM124" s="14" t="s">
        <v>178</v>
      </c>
      <c r="BN124" s="14" t="s">
        <v>177</v>
      </c>
      <c r="BO124" s="22" t="s">
        <v>166</v>
      </c>
      <c r="BP124" s="14" t="s">
        <v>2581</v>
      </c>
      <c r="BQ124" s="21">
        <v>3</v>
      </c>
      <c r="BR124" s="14" t="s">
        <v>166</v>
      </c>
      <c r="BS124" s="21" t="s">
        <v>166</v>
      </c>
      <c r="BT124" s="14" t="s">
        <v>2582</v>
      </c>
      <c r="BU124" s="14" t="s">
        <v>166</v>
      </c>
      <c r="BV124" s="14" t="s">
        <v>166</v>
      </c>
      <c r="BW124" s="14" t="s">
        <v>166</v>
      </c>
      <c r="BX124" s="14" t="s">
        <v>166</v>
      </c>
      <c r="BY124" s="14" t="s">
        <v>166</v>
      </c>
      <c r="BZ124" s="14" t="s">
        <v>2583</v>
      </c>
      <c r="CA124" s="14" t="s">
        <v>2583</v>
      </c>
      <c r="CB124" s="14" t="s">
        <v>2583</v>
      </c>
      <c r="CC124" s="14" t="s">
        <v>166</v>
      </c>
      <c r="CD124" s="14" t="s">
        <v>166</v>
      </c>
      <c r="CE124" s="18" t="s">
        <v>166</v>
      </c>
      <c r="CF124" s="16" t="s">
        <v>166</v>
      </c>
      <c r="CG124" s="17" t="s">
        <v>166</v>
      </c>
      <c r="CH124" s="16" t="s">
        <v>166</v>
      </c>
      <c r="CI124" s="16" t="s">
        <v>166</v>
      </c>
      <c r="CJ124" s="16" t="s">
        <v>166</v>
      </c>
      <c r="CK124" s="16" t="s">
        <v>166</v>
      </c>
      <c r="CL124" s="16" t="s">
        <v>166</v>
      </c>
      <c r="CM124" s="20" t="s">
        <v>166</v>
      </c>
      <c r="CN124" s="16" t="s">
        <v>166</v>
      </c>
      <c r="CO124" s="16" t="s">
        <v>166</v>
      </c>
      <c r="CP124" s="16" t="s">
        <v>166</v>
      </c>
      <c r="CQ124" s="16" t="s">
        <v>166</v>
      </c>
      <c r="CR124" s="16" t="s">
        <v>166</v>
      </c>
      <c r="CS124" s="16" t="s">
        <v>166</v>
      </c>
      <c r="CT124" s="16" t="s">
        <v>166</v>
      </c>
      <c r="CU124" s="16" t="s">
        <v>166</v>
      </c>
      <c r="CV124" s="16" t="s">
        <v>166</v>
      </c>
      <c r="CW124" s="16" t="s">
        <v>166</v>
      </c>
      <c r="CX124" s="16" t="s">
        <v>166</v>
      </c>
      <c r="CY124" s="16" t="s">
        <v>166</v>
      </c>
      <c r="CZ124" s="16" t="s">
        <v>166</v>
      </c>
      <c r="DA124" s="16" t="s">
        <v>166</v>
      </c>
      <c r="DB124" s="16" t="s">
        <v>166</v>
      </c>
      <c r="DC124" s="16" t="s">
        <v>166</v>
      </c>
      <c r="DD124" s="16" t="s">
        <v>166</v>
      </c>
      <c r="DE124" s="17" t="s">
        <v>166</v>
      </c>
      <c r="DF124" s="22">
        <v>119</v>
      </c>
      <c r="DG124" s="14" t="s">
        <v>2584</v>
      </c>
      <c r="DH124" s="14" t="s">
        <v>193</v>
      </c>
      <c r="DI124" s="14" t="s">
        <v>194</v>
      </c>
      <c r="DJ124" s="14" t="s">
        <v>2585</v>
      </c>
      <c r="DK124" s="14" t="s">
        <v>257</v>
      </c>
      <c r="DL124" s="21" t="s">
        <v>2586</v>
      </c>
      <c r="DM124" s="14" t="s">
        <v>198</v>
      </c>
      <c r="DN124" s="13" t="s">
        <v>2587</v>
      </c>
      <c r="DO124" s="20">
        <v>2007</v>
      </c>
      <c r="DP124" s="14" t="s">
        <v>166</v>
      </c>
      <c r="DQ124" s="14" t="s">
        <v>166</v>
      </c>
      <c r="DR124" s="18" t="s">
        <v>166</v>
      </c>
      <c r="DS124" s="16" t="s">
        <v>166</v>
      </c>
      <c r="DT124" s="19" t="s">
        <v>166</v>
      </c>
      <c r="DU124" s="14" t="s">
        <v>166</v>
      </c>
      <c r="DV124" s="18" t="s">
        <v>166</v>
      </c>
      <c r="DW124" s="18" t="s">
        <v>166</v>
      </c>
      <c r="DX124" s="16" t="s">
        <v>166</v>
      </c>
      <c r="DY124" s="16" t="s">
        <v>166</v>
      </c>
      <c r="DZ124" s="17" t="s">
        <v>166</v>
      </c>
      <c r="EA124" s="16" t="s">
        <v>166</v>
      </c>
      <c r="EB124" s="16" t="s">
        <v>166</v>
      </c>
      <c r="EC124" s="16" t="s">
        <v>166</v>
      </c>
      <c r="ED124" s="17" t="s">
        <v>166</v>
      </c>
      <c r="EE124" s="17" t="s">
        <v>166</v>
      </c>
      <c r="EF124" s="17" t="s">
        <v>166</v>
      </c>
      <c r="EG124" s="17" t="s">
        <v>166</v>
      </c>
      <c r="EH124" s="16" t="s">
        <v>166</v>
      </c>
      <c r="EI124" s="16" t="s">
        <v>166</v>
      </c>
      <c r="EJ124" s="16" t="s">
        <v>166</v>
      </c>
      <c r="EK124" s="16" t="s">
        <v>166</v>
      </c>
      <c r="EL124" s="16" t="s">
        <v>166</v>
      </c>
      <c r="EM124" s="16" t="s">
        <v>166</v>
      </c>
      <c r="EN124" s="16" t="s">
        <v>166</v>
      </c>
      <c r="EO124" s="16" t="s">
        <v>166</v>
      </c>
      <c r="EP124" s="16" t="s">
        <v>166</v>
      </c>
      <c r="EQ124" s="16" t="s">
        <v>166</v>
      </c>
      <c r="ER124" s="16" t="s">
        <v>166</v>
      </c>
      <c r="ES124" s="16" t="s">
        <v>166</v>
      </c>
      <c r="ET124" s="14" t="s">
        <v>166</v>
      </c>
      <c r="EU124" s="16" t="s">
        <v>166</v>
      </c>
      <c r="EV124" s="16" t="s">
        <v>166</v>
      </c>
      <c r="EW124" s="16" t="s">
        <v>166</v>
      </c>
      <c r="EX124" s="14" t="s">
        <v>190</v>
      </c>
      <c r="EY124" s="14" t="s">
        <v>166</v>
      </c>
      <c r="EZ124" s="16" t="s">
        <v>166</v>
      </c>
      <c r="FA124" s="15">
        <v>3</v>
      </c>
      <c r="FB124" s="15">
        <v>2</v>
      </c>
      <c r="FC124" s="15">
        <v>2</v>
      </c>
      <c r="FD124" s="15" t="s">
        <v>166</v>
      </c>
      <c r="FE124" s="15" t="s">
        <v>166</v>
      </c>
      <c r="FF124" s="15">
        <v>1</v>
      </c>
      <c r="FG124" s="14" t="s">
        <v>775</v>
      </c>
      <c r="FH124" s="3">
        <f>HYPERLINK("https://my.pitchbook.com?c=164751-67T","View Company Online")</f>
      </c>
    </row>
    <row r="125">
      <c r="A125" s="25" t="s">
        <v>2588</v>
      </c>
      <c r="B125" s="25" t="s">
        <v>2589</v>
      </c>
      <c r="C125" s="25" t="s">
        <v>2590</v>
      </c>
      <c r="D125" s="25" t="s">
        <v>166</v>
      </c>
      <c r="E125" s="34" t="s">
        <v>2591</v>
      </c>
      <c r="F125" s="32">
        <v>10</v>
      </c>
      <c r="G125" s="25" t="s">
        <v>2592</v>
      </c>
      <c r="H125" s="25" t="s">
        <v>166</v>
      </c>
      <c r="I125" s="25" t="s">
        <v>2593</v>
      </c>
      <c r="J125" s="25" t="s">
        <v>2594</v>
      </c>
      <c r="K125" s="25" t="s">
        <v>207</v>
      </c>
      <c r="L125" s="25" t="s">
        <v>418</v>
      </c>
      <c r="M125" s="25" t="s">
        <v>419</v>
      </c>
      <c r="N125" s="25" t="s">
        <v>2595</v>
      </c>
      <c r="O125" s="25" t="s">
        <v>2596</v>
      </c>
      <c r="P125" s="25" t="s">
        <v>2597</v>
      </c>
      <c r="Q125" s="25" t="s">
        <v>2598</v>
      </c>
      <c r="R125" s="25" t="s">
        <v>177</v>
      </c>
      <c r="S125" s="25" t="s">
        <v>178</v>
      </c>
      <c r="T125" s="25" t="s">
        <v>179</v>
      </c>
      <c r="U125" s="25" t="s">
        <v>2599</v>
      </c>
      <c r="V125" s="25" t="s">
        <v>2600</v>
      </c>
      <c r="W125" s="32" t="s">
        <v>2601</v>
      </c>
      <c r="X125" s="25" t="s">
        <v>2602</v>
      </c>
      <c r="Y125" s="25" t="s">
        <v>2603</v>
      </c>
      <c r="Z125" s="25" t="s">
        <v>2604</v>
      </c>
      <c r="AA125" s="25" t="s">
        <v>242</v>
      </c>
      <c r="AB125" s="25" t="s">
        <v>243</v>
      </c>
      <c r="AC125" s="25" t="s">
        <v>244</v>
      </c>
      <c r="AD125" s="25" t="s">
        <v>243</v>
      </c>
      <c r="AE125" s="25" t="s">
        <v>243</v>
      </c>
      <c r="AF125" s="25" t="s">
        <v>166</v>
      </c>
      <c r="AG125" s="25" t="s">
        <v>246</v>
      </c>
      <c r="AH125" s="32">
        <v>6</v>
      </c>
      <c r="AI125" s="4">
        <f>HYPERLINK("https://my.pitchbook.com/?d=171710-65T","171710-65T")</f>
      </c>
      <c r="AJ125" s="30" t="s">
        <v>166</v>
      </c>
      <c r="AK125" s="30">
        <v>44284</v>
      </c>
      <c r="AL125" s="29">
        <v>2.2</v>
      </c>
      <c r="AM125" s="25" t="s">
        <v>185</v>
      </c>
      <c r="AN125" s="29">
        <v>5.5</v>
      </c>
      <c r="AO125" s="29">
        <v>7.7</v>
      </c>
      <c r="AP125" s="25" t="s">
        <v>185</v>
      </c>
      <c r="AQ125" s="32" t="s">
        <v>166</v>
      </c>
      <c r="AR125" s="32" t="s">
        <v>166</v>
      </c>
      <c r="AS125" s="28">
        <v>40.39</v>
      </c>
      <c r="AT125" s="29">
        <v>2.73</v>
      </c>
      <c r="AU125" s="32" t="s">
        <v>186</v>
      </c>
      <c r="AV125" s="32" t="s">
        <v>166</v>
      </c>
      <c r="AW125" s="29">
        <v>0.66</v>
      </c>
      <c r="AX125" s="32" t="s">
        <v>166</v>
      </c>
      <c r="AY125" s="25" t="s">
        <v>217</v>
      </c>
      <c r="AZ125" s="25" t="s">
        <v>217</v>
      </c>
      <c r="BA125" s="25" t="s">
        <v>166</v>
      </c>
      <c r="BB125" s="32" t="s">
        <v>166</v>
      </c>
      <c r="BC125" s="25" t="s">
        <v>179</v>
      </c>
      <c r="BD125" s="25" t="s">
        <v>2605</v>
      </c>
      <c r="BE125" s="25" t="s">
        <v>189</v>
      </c>
      <c r="BF125" s="29">
        <v>2.2</v>
      </c>
      <c r="BG125" s="25" t="s">
        <v>190</v>
      </c>
      <c r="BH125" s="25" t="s">
        <v>166</v>
      </c>
      <c r="BI125" s="25" t="s">
        <v>166</v>
      </c>
      <c r="BJ125" s="29" t="s">
        <v>166</v>
      </c>
      <c r="BK125" s="29" t="s">
        <v>166</v>
      </c>
      <c r="BL125" s="25" t="s">
        <v>191</v>
      </c>
      <c r="BM125" s="25" t="s">
        <v>178</v>
      </c>
      <c r="BN125" s="25" t="s">
        <v>177</v>
      </c>
      <c r="BO125" s="33" t="s">
        <v>166</v>
      </c>
      <c r="BP125" s="25" t="s">
        <v>2606</v>
      </c>
      <c r="BQ125" s="32">
        <v>9</v>
      </c>
      <c r="BR125" s="25" t="s">
        <v>2607</v>
      </c>
      <c r="BS125" s="32">
        <v>1</v>
      </c>
      <c r="BT125" s="25" t="s">
        <v>2053</v>
      </c>
      <c r="BU125" s="25" t="s">
        <v>166</v>
      </c>
      <c r="BV125" s="25" t="s">
        <v>2608</v>
      </c>
      <c r="BW125" s="25" t="s">
        <v>166</v>
      </c>
      <c r="BX125" s="25" t="s">
        <v>166</v>
      </c>
      <c r="BY125" s="25" t="s">
        <v>166</v>
      </c>
      <c r="BZ125" s="25" t="s">
        <v>166</v>
      </c>
      <c r="CA125" s="25" t="s">
        <v>166</v>
      </c>
      <c r="CB125" s="25" t="s">
        <v>166</v>
      </c>
      <c r="CC125" s="25" t="s">
        <v>166</v>
      </c>
      <c r="CD125" s="25" t="s">
        <v>166</v>
      </c>
      <c r="CE125" s="29" t="s">
        <v>166</v>
      </c>
      <c r="CF125" s="27" t="s">
        <v>166</v>
      </c>
      <c r="CG125" s="28" t="s">
        <v>166</v>
      </c>
      <c r="CH125" s="27" t="s">
        <v>166</v>
      </c>
      <c r="CI125" s="27" t="s">
        <v>166</v>
      </c>
      <c r="CJ125" s="27" t="s">
        <v>166</v>
      </c>
      <c r="CK125" s="27" t="s">
        <v>166</v>
      </c>
      <c r="CL125" s="27" t="s">
        <v>166</v>
      </c>
      <c r="CM125" s="31" t="s">
        <v>166</v>
      </c>
      <c r="CN125" s="27" t="s">
        <v>166</v>
      </c>
      <c r="CO125" s="27" t="s">
        <v>166</v>
      </c>
      <c r="CP125" s="27" t="s">
        <v>166</v>
      </c>
      <c r="CQ125" s="27" t="s">
        <v>166</v>
      </c>
      <c r="CR125" s="27" t="s">
        <v>166</v>
      </c>
      <c r="CS125" s="27" t="s">
        <v>166</v>
      </c>
      <c r="CT125" s="27" t="s">
        <v>166</v>
      </c>
      <c r="CU125" s="27" t="s">
        <v>166</v>
      </c>
      <c r="CV125" s="27" t="s">
        <v>166</v>
      </c>
      <c r="CW125" s="27" t="s">
        <v>166</v>
      </c>
      <c r="CX125" s="27" t="s">
        <v>166</v>
      </c>
      <c r="CY125" s="27" t="s">
        <v>166</v>
      </c>
      <c r="CZ125" s="27" t="s">
        <v>166</v>
      </c>
      <c r="DA125" s="27" t="s">
        <v>166</v>
      </c>
      <c r="DB125" s="27" t="s">
        <v>166</v>
      </c>
      <c r="DC125" s="27" t="s">
        <v>166</v>
      </c>
      <c r="DD125" s="27" t="s">
        <v>166</v>
      </c>
      <c r="DE125" s="28" t="s">
        <v>166</v>
      </c>
      <c r="DF125" s="33">
        <v>15</v>
      </c>
      <c r="DG125" s="25" t="s">
        <v>2609</v>
      </c>
      <c r="DH125" s="25" t="s">
        <v>193</v>
      </c>
      <c r="DI125" s="25" t="s">
        <v>194</v>
      </c>
      <c r="DJ125" s="25" t="s">
        <v>2610</v>
      </c>
      <c r="DK125" s="25" t="s">
        <v>257</v>
      </c>
      <c r="DL125" s="32" t="s">
        <v>2611</v>
      </c>
      <c r="DM125" s="25" t="s">
        <v>198</v>
      </c>
      <c r="DN125" s="24" t="s">
        <v>2612</v>
      </c>
      <c r="DO125" s="31">
        <v>2015</v>
      </c>
      <c r="DP125" s="25" t="s">
        <v>166</v>
      </c>
      <c r="DQ125" s="25" t="s">
        <v>166</v>
      </c>
      <c r="DR125" s="29" t="s">
        <v>166</v>
      </c>
      <c r="DS125" s="27" t="s">
        <v>166</v>
      </c>
      <c r="DT125" s="30" t="s">
        <v>166</v>
      </c>
      <c r="DU125" s="25" t="s">
        <v>166</v>
      </c>
      <c r="DV125" s="29" t="s">
        <v>166</v>
      </c>
      <c r="DW125" s="29" t="s">
        <v>166</v>
      </c>
      <c r="DX125" s="27" t="s">
        <v>166</v>
      </c>
      <c r="DY125" s="27" t="s">
        <v>166</v>
      </c>
      <c r="DZ125" s="28" t="s">
        <v>166</v>
      </c>
      <c r="EA125" s="27" t="s">
        <v>166</v>
      </c>
      <c r="EB125" s="27" t="s">
        <v>166</v>
      </c>
      <c r="EC125" s="27" t="s">
        <v>166</v>
      </c>
      <c r="ED125" s="28" t="s">
        <v>166</v>
      </c>
      <c r="EE125" s="28" t="s">
        <v>166</v>
      </c>
      <c r="EF125" s="28" t="s">
        <v>166</v>
      </c>
      <c r="EG125" s="28" t="s">
        <v>166</v>
      </c>
      <c r="EH125" s="27" t="s">
        <v>166</v>
      </c>
      <c r="EI125" s="27" t="s">
        <v>166</v>
      </c>
      <c r="EJ125" s="27" t="s">
        <v>166</v>
      </c>
      <c r="EK125" s="27" t="s">
        <v>166</v>
      </c>
      <c r="EL125" s="27" t="s">
        <v>166</v>
      </c>
      <c r="EM125" s="27" t="s">
        <v>166</v>
      </c>
      <c r="EN125" s="27" t="s">
        <v>166</v>
      </c>
      <c r="EO125" s="27" t="s">
        <v>166</v>
      </c>
      <c r="EP125" s="27" t="s">
        <v>166</v>
      </c>
      <c r="EQ125" s="27" t="s">
        <v>166</v>
      </c>
      <c r="ER125" s="27" t="s">
        <v>166</v>
      </c>
      <c r="ES125" s="27" t="s">
        <v>166</v>
      </c>
      <c r="ET125" s="25" t="s">
        <v>166</v>
      </c>
      <c r="EU125" s="27" t="s">
        <v>166</v>
      </c>
      <c r="EV125" s="27" t="s">
        <v>166</v>
      </c>
      <c r="EW125" s="27" t="s">
        <v>166</v>
      </c>
      <c r="EX125" s="25" t="s">
        <v>190</v>
      </c>
      <c r="EY125" s="25" t="s">
        <v>166</v>
      </c>
      <c r="EZ125" s="27" t="s">
        <v>166</v>
      </c>
      <c r="FA125" s="26">
        <v>14</v>
      </c>
      <c r="FB125" s="26">
        <v>3</v>
      </c>
      <c r="FC125" s="26">
        <v>10</v>
      </c>
      <c r="FD125" s="26">
        <v>4</v>
      </c>
      <c r="FE125" s="26" t="s">
        <v>166</v>
      </c>
      <c r="FF125" s="26" t="s">
        <v>166</v>
      </c>
      <c r="FG125" s="25" t="s">
        <v>2613</v>
      </c>
      <c r="FH125" s="4">
        <f>HYPERLINK("https://my.pitchbook.com?c=171710-65T","View Company Online")</f>
      </c>
    </row>
    <row r="126">
      <c r="A126" s="14" t="s">
        <v>2614</v>
      </c>
      <c r="B126" s="14" t="s">
        <v>2615</v>
      </c>
      <c r="C126" s="14" t="s">
        <v>2616</v>
      </c>
      <c r="D126" s="14" t="s">
        <v>166</v>
      </c>
      <c r="E126" s="23" t="s">
        <v>2617</v>
      </c>
      <c r="F126" s="21">
        <v>8</v>
      </c>
      <c r="G126" s="14" t="s">
        <v>2618</v>
      </c>
      <c r="H126" s="14" t="s">
        <v>166</v>
      </c>
      <c r="I126" s="14" t="s">
        <v>2619</v>
      </c>
      <c r="J126" s="14" t="s">
        <v>2620</v>
      </c>
      <c r="K126" s="14" t="s">
        <v>207</v>
      </c>
      <c r="L126" s="14" t="s">
        <v>208</v>
      </c>
      <c r="M126" s="14" t="s">
        <v>296</v>
      </c>
      <c r="N126" s="14" t="s">
        <v>2621</v>
      </c>
      <c r="O126" s="14" t="s">
        <v>2531</v>
      </c>
      <c r="P126" s="14" t="s">
        <v>2622</v>
      </c>
      <c r="Q126" s="14" t="s">
        <v>166</v>
      </c>
      <c r="R126" s="14" t="s">
        <v>177</v>
      </c>
      <c r="S126" s="14" t="s">
        <v>178</v>
      </c>
      <c r="T126" s="14" t="s">
        <v>179</v>
      </c>
      <c r="U126" s="14" t="s">
        <v>2623</v>
      </c>
      <c r="V126" s="14" t="s">
        <v>2624</v>
      </c>
      <c r="W126" s="21" t="s">
        <v>2625</v>
      </c>
      <c r="X126" s="14" t="s">
        <v>2626</v>
      </c>
      <c r="Y126" s="14" t="s">
        <v>2627</v>
      </c>
      <c r="Z126" s="14" t="s">
        <v>2628</v>
      </c>
      <c r="AA126" s="14" t="s">
        <v>379</v>
      </c>
      <c r="AB126" s="14" t="s">
        <v>243</v>
      </c>
      <c r="AC126" s="14" t="s">
        <v>244</v>
      </c>
      <c r="AD126" s="14" t="s">
        <v>243</v>
      </c>
      <c r="AE126" s="14" t="s">
        <v>243</v>
      </c>
      <c r="AF126" s="14" t="s">
        <v>166</v>
      </c>
      <c r="AG126" s="14" t="s">
        <v>807</v>
      </c>
      <c r="AH126" s="21">
        <v>4</v>
      </c>
      <c r="AI126" s="3">
        <f>HYPERLINK("https://my.pitchbook.com/?d=138439-00T","138439-00T")</f>
      </c>
      <c r="AJ126" s="19">
        <v>43709</v>
      </c>
      <c r="AK126" s="19">
        <v>44126</v>
      </c>
      <c r="AL126" s="18">
        <v>1.5</v>
      </c>
      <c r="AM126" s="14" t="s">
        <v>185</v>
      </c>
      <c r="AN126" s="18">
        <v>9</v>
      </c>
      <c r="AO126" s="18">
        <v>10.5</v>
      </c>
      <c r="AP126" s="14" t="s">
        <v>185</v>
      </c>
      <c r="AQ126" s="21" t="s">
        <v>166</v>
      </c>
      <c r="AR126" s="21" t="s">
        <v>166</v>
      </c>
      <c r="AS126" s="17" t="s">
        <v>166</v>
      </c>
      <c r="AT126" s="18">
        <v>1.67</v>
      </c>
      <c r="AU126" s="21" t="s">
        <v>186</v>
      </c>
      <c r="AV126" s="21" t="s">
        <v>166</v>
      </c>
      <c r="AW126" s="18">
        <v>0.75</v>
      </c>
      <c r="AX126" s="21" t="s">
        <v>166</v>
      </c>
      <c r="AY126" s="14" t="s">
        <v>217</v>
      </c>
      <c r="AZ126" s="14" t="s">
        <v>217</v>
      </c>
      <c r="BA126" s="14" t="s">
        <v>166</v>
      </c>
      <c r="BB126" s="21" t="s">
        <v>166</v>
      </c>
      <c r="BC126" s="14" t="s">
        <v>179</v>
      </c>
      <c r="BD126" s="14" t="s">
        <v>2629</v>
      </c>
      <c r="BE126" s="14" t="s">
        <v>189</v>
      </c>
      <c r="BF126" s="18">
        <v>1.5</v>
      </c>
      <c r="BG126" s="14" t="s">
        <v>190</v>
      </c>
      <c r="BH126" s="14" t="s">
        <v>166</v>
      </c>
      <c r="BI126" s="14" t="s">
        <v>166</v>
      </c>
      <c r="BJ126" s="18" t="s">
        <v>166</v>
      </c>
      <c r="BK126" s="18" t="s">
        <v>166</v>
      </c>
      <c r="BL126" s="14" t="s">
        <v>191</v>
      </c>
      <c r="BM126" s="14" t="s">
        <v>178</v>
      </c>
      <c r="BN126" s="14" t="s">
        <v>177</v>
      </c>
      <c r="BO126" s="22" t="s">
        <v>166</v>
      </c>
      <c r="BP126" s="14" t="s">
        <v>2630</v>
      </c>
      <c r="BQ126" s="21">
        <v>7</v>
      </c>
      <c r="BR126" s="14" t="s">
        <v>2631</v>
      </c>
      <c r="BS126" s="21">
        <v>1</v>
      </c>
      <c r="BT126" s="14" t="s">
        <v>166</v>
      </c>
      <c r="BU126" s="14" t="s">
        <v>166</v>
      </c>
      <c r="BV126" s="14" t="s">
        <v>2632</v>
      </c>
      <c r="BW126" s="14" t="s">
        <v>166</v>
      </c>
      <c r="BX126" s="14" t="s">
        <v>166</v>
      </c>
      <c r="BY126" s="14" t="s">
        <v>166</v>
      </c>
      <c r="BZ126" s="14" t="s">
        <v>166</v>
      </c>
      <c r="CA126" s="14" t="s">
        <v>166</v>
      </c>
      <c r="CB126" s="14" t="s">
        <v>166</v>
      </c>
      <c r="CC126" s="14" t="s">
        <v>166</v>
      </c>
      <c r="CD126" s="14" t="s">
        <v>166</v>
      </c>
      <c r="CE126" s="18" t="s">
        <v>166</v>
      </c>
      <c r="CF126" s="16" t="s">
        <v>166</v>
      </c>
      <c r="CG126" s="17" t="s">
        <v>166</v>
      </c>
      <c r="CH126" s="16" t="s">
        <v>166</v>
      </c>
      <c r="CI126" s="16" t="s">
        <v>166</v>
      </c>
      <c r="CJ126" s="16" t="s">
        <v>166</v>
      </c>
      <c r="CK126" s="16" t="s">
        <v>166</v>
      </c>
      <c r="CL126" s="16" t="s">
        <v>166</v>
      </c>
      <c r="CM126" s="20" t="s">
        <v>166</v>
      </c>
      <c r="CN126" s="16" t="s">
        <v>166</v>
      </c>
      <c r="CO126" s="16" t="s">
        <v>166</v>
      </c>
      <c r="CP126" s="16" t="s">
        <v>166</v>
      </c>
      <c r="CQ126" s="16" t="s">
        <v>166</v>
      </c>
      <c r="CR126" s="16" t="s">
        <v>166</v>
      </c>
      <c r="CS126" s="16" t="s">
        <v>166</v>
      </c>
      <c r="CT126" s="16" t="s">
        <v>166</v>
      </c>
      <c r="CU126" s="16" t="s">
        <v>166</v>
      </c>
      <c r="CV126" s="16" t="s">
        <v>166</v>
      </c>
      <c r="CW126" s="16" t="s">
        <v>166</v>
      </c>
      <c r="CX126" s="16" t="s">
        <v>166</v>
      </c>
      <c r="CY126" s="16" t="s">
        <v>166</v>
      </c>
      <c r="CZ126" s="16" t="s">
        <v>166</v>
      </c>
      <c r="DA126" s="16" t="s">
        <v>166</v>
      </c>
      <c r="DB126" s="16" t="s">
        <v>166</v>
      </c>
      <c r="DC126" s="16" t="s">
        <v>166</v>
      </c>
      <c r="DD126" s="16" t="s">
        <v>166</v>
      </c>
      <c r="DE126" s="17" t="s">
        <v>166</v>
      </c>
      <c r="DF126" s="22">
        <v>15</v>
      </c>
      <c r="DG126" s="14" t="s">
        <v>309</v>
      </c>
      <c r="DH126" s="14" t="s">
        <v>193</v>
      </c>
      <c r="DI126" s="14" t="s">
        <v>194</v>
      </c>
      <c r="DJ126" s="14" t="s">
        <v>310</v>
      </c>
      <c r="DK126" s="14" t="s">
        <v>310</v>
      </c>
      <c r="DL126" s="21" t="s">
        <v>2633</v>
      </c>
      <c r="DM126" s="14" t="s">
        <v>198</v>
      </c>
      <c r="DN126" s="13" t="s">
        <v>2634</v>
      </c>
      <c r="DO126" s="20">
        <v>2019</v>
      </c>
      <c r="DP126" s="14" t="s">
        <v>166</v>
      </c>
      <c r="DQ126" s="14" t="s">
        <v>166</v>
      </c>
      <c r="DR126" s="18" t="s">
        <v>166</v>
      </c>
      <c r="DS126" s="16" t="s">
        <v>166</v>
      </c>
      <c r="DT126" s="19" t="s">
        <v>166</v>
      </c>
      <c r="DU126" s="14" t="s">
        <v>166</v>
      </c>
      <c r="DV126" s="18" t="s">
        <v>166</v>
      </c>
      <c r="DW126" s="18" t="s">
        <v>166</v>
      </c>
      <c r="DX126" s="16" t="s">
        <v>166</v>
      </c>
      <c r="DY126" s="16" t="s">
        <v>166</v>
      </c>
      <c r="DZ126" s="17" t="s">
        <v>166</v>
      </c>
      <c r="EA126" s="16" t="s">
        <v>166</v>
      </c>
      <c r="EB126" s="16" t="s">
        <v>166</v>
      </c>
      <c r="EC126" s="16" t="s">
        <v>166</v>
      </c>
      <c r="ED126" s="17" t="s">
        <v>166</v>
      </c>
      <c r="EE126" s="17" t="s">
        <v>166</v>
      </c>
      <c r="EF126" s="17" t="s">
        <v>166</v>
      </c>
      <c r="EG126" s="17" t="s">
        <v>166</v>
      </c>
      <c r="EH126" s="16" t="s">
        <v>166</v>
      </c>
      <c r="EI126" s="16" t="s">
        <v>166</v>
      </c>
      <c r="EJ126" s="16" t="s">
        <v>166</v>
      </c>
      <c r="EK126" s="16" t="s">
        <v>166</v>
      </c>
      <c r="EL126" s="16" t="s">
        <v>166</v>
      </c>
      <c r="EM126" s="16" t="s">
        <v>166</v>
      </c>
      <c r="EN126" s="16" t="s">
        <v>166</v>
      </c>
      <c r="EO126" s="16" t="s">
        <v>166</v>
      </c>
      <c r="EP126" s="16" t="s">
        <v>166</v>
      </c>
      <c r="EQ126" s="16" t="s">
        <v>166</v>
      </c>
      <c r="ER126" s="16" t="s">
        <v>166</v>
      </c>
      <c r="ES126" s="16" t="s">
        <v>166</v>
      </c>
      <c r="ET126" s="14" t="s">
        <v>166</v>
      </c>
      <c r="EU126" s="16" t="s">
        <v>166</v>
      </c>
      <c r="EV126" s="16" t="s">
        <v>166</v>
      </c>
      <c r="EW126" s="16" t="s">
        <v>166</v>
      </c>
      <c r="EX126" s="14" t="s">
        <v>190</v>
      </c>
      <c r="EY126" s="14" t="s">
        <v>166</v>
      </c>
      <c r="EZ126" s="16" t="s">
        <v>166</v>
      </c>
      <c r="FA126" s="15" t="s">
        <v>166</v>
      </c>
      <c r="FB126" s="15" t="s">
        <v>166</v>
      </c>
      <c r="FC126" s="15" t="s">
        <v>166</v>
      </c>
      <c r="FD126" s="15" t="s">
        <v>166</v>
      </c>
      <c r="FE126" s="15" t="s">
        <v>166</v>
      </c>
      <c r="FF126" s="15" t="s">
        <v>166</v>
      </c>
      <c r="FG126" s="14" t="s">
        <v>166</v>
      </c>
      <c r="FH126" s="3">
        <f>HYPERLINK("https://my.pitchbook.com?c=138439-00T","View Company Online")</f>
      </c>
    </row>
    <row r="127">
      <c r="A127" s="25" t="s">
        <v>2635</v>
      </c>
      <c r="B127" s="25" t="s">
        <v>2636</v>
      </c>
      <c r="C127" s="25" t="s">
        <v>2637</v>
      </c>
      <c r="D127" s="25" t="s">
        <v>166</v>
      </c>
      <c r="E127" s="34" t="s">
        <v>2638</v>
      </c>
      <c r="F127" s="32">
        <v>10</v>
      </c>
      <c r="G127" s="25" t="s">
        <v>2639</v>
      </c>
      <c r="H127" s="25" t="s">
        <v>166</v>
      </c>
      <c r="I127" s="25" t="s">
        <v>2640</v>
      </c>
      <c r="J127" s="25" t="s">
        <v>2641</v>
      </c>
      <c r="K127" s="25" t="s">
        <v>207</v>
      </c>
      <c r="L127" s="25" t="s">
        <v>208</v>
      </c>
      <c r="M127" s="25" t="s">
        <v>965</v>
      </c>
      <c r="N127" s="25" t="s">
        <v>966</v>
      </c>
      <c r="O127" s="25" t="s">
        <v>665</v>
      </c>
      <c r="P127" s="25" t="s">
        <v>2642</v>
      </c>
      <c r="Q127" s="25" t="s">
        <v>166</v>
      </c>
      <c r="R127" s="25" t="s">
        <v>177</v>
      </c>
      <c r="S127" s="25" t="s">
        <v>178</v>
      </c>
      <c r="T127" s="25" t="s">
        <v>179</v>
      </c>
      <c r="U127" s="25" t="s">
        <v>2643</v>
      </c>
      <c r="V127" s="25" t="s">
        <v>2644</v>
      </c>
      <c r="W127" s="32" t="s">
        <v>166</v>
      </c>
      <c r="X127" s="25" t="s">
        <v>2645</v>
      </c>
      <c r="Y127" s="25" t="s">
        <v>2646</v>
      </c>
      <c r="Z127" s="25" t="s">
        <v>2647</v>
      </c>
      <c r="AA127" s="25" t="s">
        <v>166</v>
      </c>
      <c r="AB127" s="25" t="s">
        <v>166</v>
      </c>
      <c r="AC127" s="25" t="s">
        <v>166</v>
      </c>
      <c r="AD127" s="25" t="s">
        <v>166</v>
      </c>
      <c r="AE127" s="25" t="s">
        <v>166</v>
      </c>
      <c r="AF127" s="25" t="s">
        <v>166</v>
      </c>
      <c r="AG127" s="25" t="s">
        <v>166</v>
      </c>
      <c r="AH127" s="32">
        <v>1</v>
      </c>
      <c r="AI127" s="4">
        <f>HYPERLINK("https://my.pitchbook.com/?d=191155-60T","191155-60T")</f>
      </c>
      <c r="AJ127" s="30">
        <v>44463</v>
      </c>
      <c r="AK127" s="30">
        <v>44588</v>
      </c>
      <c r="AL127" s="29">
        <v>5.6</v>
      </c>
      <c r="AM127" s="25" t="s">
        <v>185</v>
      </c>
      <c r="AN127" s="29" t="s">
        <v>166</v>
      </c>
      <c r="AO127" s="29" t="s">
        <v>166</v>
      </c>
      <c r="AP127" s="25" t="s">
        <v>166</v>
      </c>
      <c r="AQ127" s="32" t="s">
        <v>166</v>
      </c>
      <c r="AR127" s="32" t="s">
        <v>166</v>
      </c>
      <c r="AS127" s="28" t="s">
        <v>166</v>
      </c>
      <c r="AT127" s="29">
        <v>5.6</v>
      </c>
      <c r="AU127" s="32" t="s">
        <v>186</v>
      </c>
      <c r="AV127" s="32" t="s">
        <v>166</v>
      </c>
      <c r="AW127" s="29" t="s">
        <v>166</v>
      </c>
      <c r="AX127" s="32" t="s">
        <v>166</v>
      </c>
      <c r="AY127" s="25" t="s">
        <v>217</v>
      </c>
      <c r="AZ127" s="25" t="s">
        <v>217</v>
      </c>
      <c r="BA127" s="25" t="s">
        <v>166</v>
      </c>
      <c r="BB127" s="32" t="s">
        <v>166</v>
      </c>
      <c r="BC127" s="25" t="s">
        <v>179</v>
      </c>
      <c r="BD127" s="25" t="s">
        <v>2648</v>
      </c>
      <c r="BE127" s="25" t="s">
        <v>189</v>
      </c>
      <c r="BF127" s="29">
        <v>5.6</v>
      </c>
      <c r="BG127" s="25" t="s">
        <v>190</v>
      </c>
      <c r="BH127" s="25" t="s">
        <v>166</v>
      </c>
      <c r="BI127" s="25" t="s">
        <v>166</v>
      </c>
      <c r="BJ127" s="29" t="s">
        <v>166</v>
      </c>
      <c r="BK127" s="29" t="s">
        <v>166</v>
      </c>
      <c r="BL127" s="25" t="s">
        <v>191</v>
      </c>
      <c r="BM127" s="25" t="s">
        <v>178</v>
      </c>
      <c r="BN127" s="25" t="s">
        <v>177</v>
      </c>
      <c r="BO127" s="33" t="s">
        <v>166</v>
      </c>
      <c r="BP127" s="25" t="s">
        <v>2649</v>
      </c>
      <c r="BQ127" s="32">
        <v>10</v>
      </c>
      <c r="BR127" s="25" t="s">
        <v>166</v>
      </c>
      <c r="BS127" s="32" t="s">
        <v>166</v>
      </c>
      <c r="BT127" s="25" t="s">
        <v>2650</v>
      </c>
      <c r="BU127" s="25" t="s">
        <v>166</v>
      </c>
      <c r="BV127" s="25" t="s">
        <v>166</v>
      </c>
      <c r="BW127" s="25" t="s">
        <v>166</v>
      </c>
      <c r="BX127" s="25" t="s">
        <v>166</v>
      </c>
      <c r="BY127" s="25" t="s">
        <v>166</v>
      </c>
      <c r="BZ127" s="25" t="s">
        <v>2651</v>
      </c>
      <c r="CA127" s="25" t="s">
        <v>2651</v>
      </c>
      <c r="CB127" s="25" t="s">
        <v>166</v>
      </c>
      <c r="CC127" s="25" t="s">
        <v>166</v>
      </c>
      <c r="CD127" s="25" t="s">
        <v>166</v>
      </c>
      <c r="CE127" s="29" t="s">
        <v>166</v>
      </c>
      <c r="CF127" s="27" t="s">
        <v>166</v>
      </c>
      <c r="CG127" s="28" t="s">
        <v>166</v>
      </c>
      <c r="CH127" s="27" t="s">
        <v>166</v>
      </c>
      <c r="CI127" s="27" t="s">
        <v>166</v>
      </c>
      <c r="CJ127" s="27" t="s">
        <v>166</v>
      </c>
      <c r="CK127" s="27" t="s">
        <v>166</v>
      </c>
      <c r="CL127" s="27" t="s">
        <v>166</v>
      </c>
      <c r="CM127" s="31" t="s">
        <v>166</v>
      </c>
      <c r="CN127" s="27" t="s">
        <v>166</v>
      </c>
      <c r="CO127" s="27" t="s">
        <v>166</v>
      </c>
      <c r="CP127" s="27" t="s">
        <v>166</v>
      </c>
      <c r="CQ127" s="27" t="s">
        <v>166</v>
      </c>
      <c r="CR127" s="27" t="s">
        <v>166</v>
      </c>
      <c r="CS127" s="27" t="s">
        <v>166</v>
      </c>
      <c r="CT127" s="27" t="s">
        <v>166</v>
      </c>
      <c r="CU127" s="27" t="s">
        <v>166</v>
      </c>
      <c r="CV127" s="27" t="s">
        <v>166</v>
      </c>
      <c r="CW127" s="27" t="s">
        <v>166</v>
      </c>
      <c r="CX127" s="27" t="s">
        <v>166</v>
      </c>
      <c r="CY127" s="27" t="s">
        <v>166</v>
      </c>
      <c r="CZ127" s="27" t="s">
        <v>166</v>
      </c>
      <c r="DA127" s="27" t="s">
        <v>166</v>
      </c>
      <c r="DB127" s="27" t="s">
        <v>166</v>
      </c>
      <c r="DC127" s="27" t="s">
        <v>166</v>
      </c>
      <c r="DD127" s="27" t="s">
        <v>166</v>
      </c>
      <c r="DE127" s="28" t="s">
        <v>166</v>
      </c>
      <c r="DF127" s="33">
        <v>10</v>
      </c>
      <c r="DG127" s="25" t="s">
        <v>1540</v>
      </c>
      <c r="DH127" s="25" t="s">
        <v>193</v>
      </c>
      <c r="DI127" s="25" t="s">
        <v>194</v>
      </c>
      <c r="DJ127" s="25" t="s">
        <v>1541</v>
      </c>
      <c r="DK127" s="25" t="s">
        <v>257</v>
      </c>
      <c r="DL127" s="32" t="s">
        <v>2652</v>
      </c>
      <c r="DM127" s="25" t="s">
        <v>198</v>
      </c>
      <c r="DN127" s="24" t="s">
        <v>2653</v>
      </c>
      <c r="DO127" s="31">
        <v>2020</v>
      </c>
      <c r="DP127" s="25" t="s">
        <v>166</v>
      </c>
      <c r="DQ127" s="25" t="s">
        <v>166</v>
      </c>
      <c r="DR127" s="29" t="s">
        <v>166</v>
      </c>
      <c r="DS127" s="27" t="s">
        <v>166</v>
      </c>
      <c r="DT127" s="30" t="s">
        <v>166</v>
      </c>
      <c r="DU127" s="25" t="s">
        <v>166</v>
      </c>
      <c r="DV127" s="29" t="s">
        <v>166</v>
      </c>
      <c r="DW127" s="29" t="s">
        <v>166</v>
      </c>
      <c r="DX127" s="27" t="s">
        <v>166</v>
      </c>
      <c r="DY127" s="27" t="s">
        <v>166</v>
      </c>
      <c r="DZ127" s="28" t="s">
        <v>166</v>
      </c>
      <c r="EA127" s="27" t="s">
        <v>166</v>
      </c>
      <c r="EB127" s="27" t="s">
        <v>166</v>
      </c>
      <c r="EC127" s="27" t="s">
        <v>166</v>
      </c>
      <c r="ED127" s="28" t="s">
        <v>166</v>
      </c>
      <c r="EE127" s="28" t="s">
        <v>166</v>
      </c>
      <c r="EF127" s="28" t="s">
        <v>166</v>
      </c>
      <c r="EG127" s="28" t="s">
        <v>166</v>
      </c>
      <c r="EH127" s="27" t="s">
        <v>166</v>
      </c>
      <c r="EI127" s="27" t="s">
        <v>166</v>
      </c>
      <c r="EJ127" s="27" t="s">
        <v>166</v>
      </c>
      <c r="EK127" s="27" t="s">
        <v>166</v>
      </c>
      <c r="EL127" s="27" t="s">
        <v>166</v>
      </c>
      <c r="EM127" s="27" t="s">
        <v>166</v>
      </c>
      <c r="EN127" s="27" t="s">
        <v>166</v>
      </c>
      <c r="EO127" s="27" t="s">
        <v>166</v>
      </c>
      <c r="EP127" s="27" t="s">
        <v>166</v>
      </c>
      <c r="EQ127" s="27" t="s">
        <v>166</v>
      </c>
      <c r="ER127" s="27" t="s">
        <v>166</v>
      </c>
      <c r="ES127" s="27" t="s">
        <v>166</v>
      </c>
      <c r="ET127" s="25" t="s">
        <v>166</v>
      </c>
      <c r="EU127" s="27" t="s">
        <v>166</v>
      </c>
      <c r="EV127" s="27" t="s">
        <v>166</v>
      </c>
      <c r="EW127" s="27" t="s">
        <v>166</v>
      </c>
      <c r="EX127" s="25" t="s">
        <v>190</v>
      </c>
      <c r="EY127" s="25" t="s">
        <v>166</v>
      </c>
      <c r="EZ127" s="27" t="s">
        <v>166</v>
      </c>
      <c r="FA127" s="26" t="s">
        <v>166</v>
      </c>
      <c r="FB127" s="26" t="s">
        <v>166</v>
      </c>
      <c r="FC127" s="26" t="s">
        <v>166</v>
      </c>
      <c r="FD127" s="26" t="s">
        <v>166</v>
      </c>
      <c r="FE127" s="26" t="s">
        <v>166</v>
      </c>
      <c r="FF127" s="26" t="s">
        <v>166</v>
      </c>
      <c r="FG127" s="25" t="s">
        <v>166</v>
      </c>
      <c r="FH127" s="4">
        <f>HYPERLINK("https://my.pitchbook.com?c=191155-60T","View Company Online")</f>
      </c>
    </row>
    <row r="128">
      <c r="A128" s="14" t="s">
        <v>2654</v>
      </c>
      <c r="B128" s="14" t="s">
        <v>2655</v>
      </c>
      <c r="C128" s="14" t="s">
        <v>2656</v>
      </c>
      <c r="D128" s="14" t="s">
        <v>166</v>
      </c>
      <c r="E128" s="23" t="s">
        <v>2657</v>
      </c>
      <c r="F128" s="21">
        <v>1</v>
      </c>
      <c r="G128" s="14" t="s">
        <v>2658</v>
      </c>
      <c r="H128" s="14" t="s">
        <v>166</v>
      </c>
      <c r="I128" s="14" t="s">
        <v>2659</v>
      </c>
      <c r="J128" s="14" t="s">
        <v>2660</v>
      </c>
      <c r="K128" s="14" t="s">
        <v>1455</v>
      </c>
      <c r="L128" s="14" t="s">
        <v>1984</v>
      </c>
      <c r="M128" s="14" t="s">
        <v>1985</v>
      </c>
      <c r="N128" s="14" t="s">
        <v>2661</v>
      </c>
      <c r="O128" s="14" t="s">
        <v>2662</v>
      </c>
      <c r="P128" s="14" t="s">
        <v>2663</v>
      </c>
      <c r="Q128" s="14" t="s">
        <v>166</v>
      </c>
      <c r="R128" s="14" t="s">
        <v>177</v>
      </c>
      <c r="S128" s="14" t="s">
        <v>178</v>
      </c>
      <c r="T128" s="14" t="s">
        <v>179</v>
      </c>
      <c r="U128" s="14" t="s">
        <v>2664</v>
      </c>
      <c r="V128" s="14" t="s">
        <v>2665</v>
      </c>
      <c r="W128" s="21" t="s">
        <v>2666</v>
      </c>
      <c r="X128" s="14" t="s">
        <v>2667</v>
      </c>
      <c r="Y128" s="14" t="s">
        <v>2668</v>
      </c>
      <c r="Z128" s="14" t="s">
        <v>2669</v>
      </c>
      <c r="AA128" s="14" t="s">
        <v>242</v>
      </c>
      <c r="AB128" s="14" t="s">
        <v>243</v>
      </c>
      <c r="AC128" s="14" t="s">
        <v>244</v>
      </c>
      <c r="AD128" s="14" t="s">
        <v>243</v>
      </c>
      <c r="AE128" s="14" t="s">
        <v>243</v>
      </c>
      <c r="AF128" s="14" t="s">
        <v>245</v>
      </c>
      <c r="AG128" s="14" t="s">
        <v>246</v>
      </c>
      <c r="AH128" s="21">
        <v>1</v>
      </c>
      <c r="AI128" s="3">
        <f>HYPERLINK("https://my.pitchbook.com/?d=153803-26T","153803-26T")</f>
      </c>
      <c r="AJ128" s="19" t="s">
        <v>166</v>
      </c>
      <c r="AK128" s="19">
        <v>43831</v>
      </c>
      <c r="AL128" s="18">
        <v>1.85</v>
      </c>
      <c r="AM128" s="14" t="s">
        <v>247</v>
      </c>
      <c r="AN128" s="18">
        <v>4</v>
      </c>
      <c r="AO128" s="18">
        <v>5.85</v>
      </c>
      <c r="AP128" s="14" t="s">
        <v>185</v>
      </c>
      <c r="AQ128" s="21" t="s">
        <v>166</v>
      </c>
      <c r="AR128" s="21" t="s">
        <v>166</v>
      </c>
      <c r="AS128" s="17">
        <v>31.62</v>
      </c>
      <c r="AT128" s="18">
        <v>1.85</v>
      </c>
      <c r="AU128" s="21" t="s">
        <v>186</v>
      </c>
      <c r="AV128" s="21" t="s">
        <v>166</v>
      </c>
      <c r="AW128" s="18">
        <v>1.43</v>
      </c>
      <c r="AX128" s="21" t="s">
        <v>166</v>
      </c>
      <c r="AY128" s="14" t="s">
        <v>217</v>
      </c>
      <c r="AZ128" s="14" t="s">
        <v>217</v>
      </c>
      <c r="BA128" s="14" t="s">
        <v>166</v>
      </c>
      <c r="BB128" s="21" t="s">
        <v>166</v>
      </c>
      <c r="BC128" s="14" t="s">
        <v>179</v>
      </c>
      <c r="BD128" s="14" t="s">
        <v>2670</v>
      </c>
      <c r="BE128" s="14" t="s">
        <v>189</v>
      </c>
      <c r="BF128" s="18">
        <v>1.85</v>
      </c>
      <c r="BG128" s="14" t="s">
        <v>190</v>
      </c>
      <c r="BH128" s="14" t="s">
        <v>166</v>
      </c>
      <c r="BI128" s="14" t="s">
        <v>166</v>
      </c>
      <c r="BJ128" s="18" t="s">
        <v>166</v>
      </c>
      <c r="BK128" s="18" t="s">
        <v>166</v>
      </c>
      <c r="BL128" s="14" t="s">
        <v>191</v>
      </c>
      <c r="BM128" s="14" t="s">
        <v>358</v>
      </c>
      <c r="BN128" s="14" t="s">
        <v>177</v>
      </c>
      <c r="BO128" s="22" t="s">
        <v>166</v>
      </c>
      <c r="BP128" s="14" t="s">
        <v>2657</v>
      </c>
      <c r="BQ128" s="21">
        <v>1</v>
      </c>
      <c r="BR128" s="14" t="s">
        <v>166</v>
      </c>
      <c r="BS128" s="21" t="s">
        <v>166</v>
      </c>
      <c r="BT128" s="14" t="s">
        <v>166</v>
      </c>
      <c r="BU128" s="14" t="s">
        <v>166</v>
      </c>
      <c r="BV128" s="14" t="s">
        <v>2671</v>
      </c>
      <c r="BW128" s="14" t="s">
        <v>166</v>
      </c>
      <c r="BX128" s="14" t="s">
        <v>166</v>
      </c>
      <c r="BY128" s="14" t="s">
        <v>166</v>
      </c>
      <c r="BZ128" s="14" t="s">
        <v>166</v>
      </c>
      <c r="CA128" s="14" t="s">
        <v>166</v>
      </c>
      <c r="CB128" s="14" t="s">
        <v>166</v>
      </c>
      <c r="CC128" s="14" t="s">
        <v>166</v>
      </c>
      <c r="CD128" s="14" t="s">
        <v>166</v>
      </c>
      <c r="CE128" s="18" t="s">
        <v>166</v>
      </c>
      <c r="CF128" s="16" t="s">
        <v>166</v>
      </c>
      <c r="CG128" s="17" t="s">
        <v>166</v>
      </c>
      <c r="CH128" s="16" t="s">
        <v>166</v>
      </c>
      <c r="CI128" s="16" t="s">
        <v>166</v>
      </c>
      <c r="CJ128" s="16" t="s">
        <v>166</v>
      </c>
      <c r="CK128" s="16" t="s">
        <v>166</v>
      </c>
      <c r="CL128" s="16" t="s">
        <v>166</v>
      </c>
      <c r="CM128" s="20" t="s">
        <v>166</v>
      </c>
      <c r="CN128" s="16" t="s">
        <v>166</v>
      </c>
      <c r="CO128" s="16" t="s">
        <v>166</v>
      </c>
      <c r="CP128" s="16" t="s">
        <v>166</v>
      </c>
      <c r="CQ128" s="16" t="s">
        <v>166</v>
      </c>
      <c r="CR128" s="16" t="s">
        <v>166</v>
      </c>
      <c r="CS128" s="16" t="s">
        <v>166</v>
      </c>
      <c r="CT128" s="16" t="s">
        <v>166</v>
      </c>
      <c r="CU128" s="16" t="s">
        <v>166</v>
      </c>
      <c r="CV128" s="16" t="s">
        <v>166</v>
      </c>
      <c r="CW128" s="16" t="s">
        <v>166</v>
      </c>
      <c r="CX128" s="16" t="s">
        <v>166</v>
      </c>
      <c r="CY128" s="16" t="s">
        <v>166</v>
      </c>
      <c r="CZ128" s="16" t="s">
        <v>166</v>
      </c>
      <c r="DA128" s="16" t="s">
        <v>166</v>
      </c>
      <c r="DB128" s="16" t="s">
        <v>166</v>
      </c>
      <c r="DC128" s="16" t="s">
        <v>166</v>
      </c>
      <c r="DD128" s="16" t="s">
        <v>166</v>
      </c>
      <c r="DE128" s="17" t="s">
        <v>166</v>
      </c>
      <c r="DF128" s="22">
        <v>38</v>
      </c>
      <c r="DG128" s="14" t="s">
        <v>2672</v>
      </c>
      <c r="DH128" s="14" t="s">
        <v>193</v>
      </c>
      <c r="DI128" s="14" t="s">
        <v>194</v>
      </c>
      <c r="DJ128" s="14" t="s">
        <v>2673</v>
      </c>
      <c r="DK128" s="14" t="s">
        <v>257</v>
      </c>
      <c r="DL128" s="21" t="s">
        <v>2674</v>
      </c>
      <c r="DM128" s="14" t="s">
        <v>198</v>
      </c>
      <c r="DN128" s="13" t="s">
        <v>2675</v>
      </c>
      <c r="DO128" s="20">
        <v>2019</v>
      </c>
      <c r="DP128" s="14" t="s">
        <v>166</v>
      </c>
      <c r="DQ128" s="14" t="s">
        <v>166</v>
      </c>
      <c r="DR128" s="18" t="s">
        <v>166</v>
      </c>
      <c r="DS128" s="16" t="s">
        <v>166</v>
      </c>
      <c r="DT128" s="19" t="s">
        <v>166</v>
      </c>
      <c r="DU128" s="14" t="s">
        <v>166</v>
      </c>
      <c r="DV128" s="18" t="s">
        <v>166</v>
      </c>
      <c r="DW128" s="18" t="s">
        <v>166</v>
      </c>
      <c r="DX128" s="16" t="s">
        <v>166</v>
      </c>
      <c r="DY128" s="16" t="s">
        <v>166</v>
      </c>
      <c r="DZ128" s="17" t="s">
        <v>166</v>
      </c>
      <c r="EA128" s="16" t="s">
        <v>166</v>
      </c>
      <c r="EB128" s="16" t="s">
        <v>166</v>
      </c>
      <c r="EC128" s="16" t="s">
        <v>166</v>
      </c>
      <c r="ED128" s="17" t="s">
        <v>166</v>
      </c>
      <c r="EE128" s="17" t="s">
        <v>166</v>
      </c>
      <c r="EF128" s="17" t="s">
        <v>166</v>
      </c>
      <c r="EG128" s="17" t="s">
        <v>166</v>
      </c>
      <c r="EH128" s="16" t="s">
        <v>166</v>
      </c>
      <c r="EI128" s="16" t="s">
        <v>166</v>
      </c>
      <c r="EJ128" s="16" t="s">
        <v>166</v>
      </c>
      <c r="EK128" s="16" t="s">
        <v>166</v>
      </c>
      <c r="EL128" s="16" t="s">
        <v>166</v>
      </c>
      <c r="EM128" s="16" t="s">
        <v>166</v>
      </c>
      <c r="EN128" s="16" t="s">
        <v>166</v>
      </c>
      <c r="EO128" s="16" t="s">
        <v>166</v>
      </c>
      <c r="EP128" s="16" t="s">
        <v>166</v>
      </c>
      <c r="EQ128" s="16" t="s">
        <v>166</v>
      </c>
      <c r="ER128" s="16" t="s">
        <v>166</v>
      </c>
      <c r="ES128" s="16" t="s">
        <v>166</v>
      </c>
      <c r="ET128" s="14" t="s">
        <v>166</v>
      </c>
      <c r="EU128" s="16" t="s">
        <v>166</v>
      </c>
      <c r="EV128" s="16" t="s">
        <v>166</v>
      </c>
      <c r="EW128" s="16" t="s">
        <v>166</v>
      </c>
      <c r="EX128" s="14" t="s">
        <v>190</v>
      </c>
      <c r="EY128" s="14" t="s">
        <v>166</v>
      </c>
      <c r="EZ128" s="16" t="s">
        <v>166</v>
      </c>
      <c r="FA128" s="15" t="s">
        <v>166</v>
      </c>
      <c r="FB128" s="15" t="s">
        <v>166</v>
      </c>
      <c r="FC128" s="15" t="s">
        <v>166</v>
      </c>
      <c r="FD128" s="15" t="s">
        <v>166</v>
      </c>
      <c r="FE128" s="15" t="s">
        <v>166</v>
      </c>
      <c r="FF128" s="15" t="s">
        <v>166</v>
      </c>
      <c r="FG128" s="14" t="s">
        <v>166</v>
      </c>
      <c r="FH128" s="3">
        <f>HYPERLINK("https://my.pitchbook.com?c=153803-26T","View Company Online")</f>
      </c>
    </row>
    <row r="129">
      <c r="A129" s="25" t="s">
        <v>2676</v>
      </c>
      <c r="B129" s="25" t="s">
        <v>2677</v>
      </c>
      <c r="C129" s="25" t="s">
        <v>2678</v>
      </c>
      <c r="D129" s="25" t="s">
        <v>166</v>
      </c>
      <c r="E129" s="34" t="s">
        <v>2679</v>
      </c>
      <c r="F129" s="32">
        <v>7</v>
      </c>
      <c r="G129" s="25" t="s">
        <v>2680</v>
      </c>
      <c r="H129" s="25" t="s">
        <v>166</v>
      </c>
      <c r="I129" s="25" t="s">
        <v>2681</v>
      </c>
      <c r="J129" s="25" t="s">
        <v>2682</v>
      </c>
      <c r="K129" s="25" t="s">
        <v>207</v>
      </c>
      <c r="L129" s="25" t="s">
        <v>208</v>
      </c>
      <c r="M129" s="25" t="s">
        <v>1766</v>
      </c>
      <c r="N129" s="25" t="s">
        <v>2393</v>
      </c>
      <c r="O129" s="25" t="s">
        <v>2683</v>
      </c>
      <c r="P129" s="25" t="s">
        <v>2684</v>
      </c>
      <c r="Q129" s="25" t="s">
        <v>166</v>
      </c>
      <c r="R129" s="25" t="s">
        <v>177</v>
      </c>
      <c r="S129" s="25" t="s">
        <v>178</v>
      </c>
      <c r="T129" s="25" t="s">
        <v>179</v>
      </c>
      <c r="U129" s="25" t="s">
        <v>2685</v>
      </c>
      <c r="V129" s="25" t="s">
        <v>2686</v>
      </c>
      <c r="W129" s="32" t="s">
        <v>2687</v>
      </c>
      <c r="X129" s="25" t="s">
        <v>2688</v>
      </c>
      <c r="Y129" s="25" t="s">
        <v>2689</v>
      </c>
      <c r="Z129" s="25" t="s">
        <v>166</v>
      </c>
      <c r="AA129" s="25" t="s">
        <v>166</v>
      </c>
      <c r="AB129" s="25" t="s">
        <v>166</v>
      </c>
      <c r="AC129" s="25" t="s">
        <v>166</v>
      </c>
      <c r="AD129" s="25" t="s">
        <v>166</v>
      </c>
      <c r="AE129" s="25" t="s">
        <v>166</v>
      </c>
      <c r="AF129" s="25" t="s">
        <v>166</v>
      </c>
      <c r="AG129" s="25" t="s">
        <v>166</v>
      </c>
      <c r="AH129" s="32">
        <v>2</v>
      </c>
      <c r="AI129" s="4">
        <f>HYPERLINK("https://my.pitchbook.com/?d=172175-95T","172175-95T")</f>
      </c>
      <c r="AJ129" s="30">
        <v>44315</v>
      </c>
      <c r="AK129" s="30">
        <v>44447</v>
      </c>
      <c r="AL129" s="29">
        <v>2.63</v>
      </c>
      <c r="AM129" s="25" t="s">
        <v>185</v>
      </c>
      <c r="AN129" s="29" t="s">
        <v>166</v>
      </c>
      <c r="AO129" s="29" t="s">
        <v>166</v>
      </c>
      <c r="AP129" s="25" t="s">
        <v>166</v>
      </c>
      <c r="AQ129" s="32" t="s">
        <v>166</v>
      </c>
      <c r="AR129" s="32" t="s">
        <v>166</v>
      </c>
      <c r="AS129" s="28" t="s">
        <v>166</v>
      </c>
      <c r="AT129" s="29">
        <v>2.76</v>
      </c>
      <c r="AU129" s="32" t="s">
        <v>186</v>
      </c>
      <c r="AV129" s="32" t="s">
        <v>166</v>
      </c>
      <c r="AW129" s="29" t="s">
        <v>166</v>
      </c>
      <c r="AX129" s="32" t="s">
        <v>166</v>
      </c>
      <c r="AY129" s="25" t="s">
        <v>217</v>
      </c>
      <c r="AZ129" s="25" t="s">
        <v>217</v>
      </c>
      <c r="BA129" s="25" t="s">
        <v>166</v>
      </c>
      <c r="BB129" s="32" t="s">
        <v>166</v>
      </c>
      <c r="BC129" s="25" t="s">
        <v>179</v>
      </c>
      <c r="BD129" s="25" t="s">
        <v>2690</v>
      </c>
      <c r="BE129" s="25" t="s">
        <v>189</v>
      </c>
      <c r="BF129" s="29">
        <v>2.63</v>
      </c>
      <c r="BG129" s="25" t="s">
        <v>190</v>
      </c>
      <c r="BH129" s="25" t="s">
        <v>166</v>
      </c>
      <c r="BI129" s="25" t="s">
        <v>166</v>
      </c>
      <c r="BJ129" s="29" t="s">
        <v>166</v>
      </c>
      <c r="BK129" s="29" t="s">
        <v>166</v>
      </c>
      <c r="BL129" s="25" t="s">
        <v>191</v>
      </c>
      <c r="BM129" s="25" t="s">
        <v>178</v>
      </c>
      <c r="BN129" s="25" t="s">
        <v>177</v>
      </c>
      <c r="BO129" s="33" t="s">
        <v>166</v>
      </c>
      <c r="BP129" s="25" t="s">
        <v>2691</v>
      </c>
      <c r="BQ129" s="32">
        <v>6</v>
      </c>
      <c r="BR129" s="25" t="s">
        <v>914</v>
      </c>
      <c r="BS129" s="32">
        <v>1</v>
      </c>
      <c r="BT129" s="25" t="s">
        <v>166</v>
      </c>
      <c r="BU129" s="25" t="s">
        <v>166</v>
      </c>
      <c r="BV129" s="25" t="s">
        <v>2692</v>
      </c>
      <c r="BW129" s="25" t="s">
        <v>166</v>
      </c>
      <c r="BX129" s="25" t="s">
        <v>166</v>
      </c>
      <c r="BY129" s="25" t="s">
        <v>166</v>
      </c>
      <c r="BZ129" s="25" t="s">
        <v>166</v>
      </c>
      <c r="CA129" s="25" t="s">
        <v>166</v>
      </c>
      <c r="CB129" s="25" t="s">
        <v>166</v>
      </c>
      <c r="CC129" s="25" t="s">
        <v>166</v>
      </c>
      <c r="CD129" s="25" t="s">
        <v>166</v>
      </c>
      <c r="CE129" s="29" t="s">
        <v>166</v>
      </c>
      <c r="CF129" s="27" t="s">
        <v>166</v>
      </c>
      <c r="CG129" s="28" t="s">
        <v>166</v>
      </c>
      <c r="CH129" s="27" t="s">
        <v>166</v>
      </c>
      <c r="CI129" s="27" t="s">
        <v>166</v>
      </c>
      <c r="CJ129" s="27" t="s">
        <v>166</v>
      </c>
      <c r="CK129" s="27" t="s">
        <v>166</v>
      </c>
      <c r="CL129" s="27" t="s">
        <v>166</v>
      </c>
      <c r="CM129" s="31" t="s">
        <v>166</v>
      </c>
      <c r="CN129" s="27" t="s">
        <v>166</v>
      </c>
      <c r="CO129" s="27" t="s">
        <v>166</v>
      </c>
      <c r="CP129" s="27" t="s">
        <v>166</v>
      </c>
      <c r="CQ129" s="27" t="s">
        <v>166</v>
      </c>
      <c r="CR129" s="27" t="s">
        <v>166</v>
      </c>
      <c r="CS129" s="27" t="s">
        <v>166</v>
      </c>
      <c r="CT129" s="27" t="s">
        <v>166</v>
      </c>
      <c r="CU129" s="27" t="s">
        <v>166</v>
      </c>
      <c r="CV129" s="27" t="s">
        <v>166</v>
      </c>
      <c r="CW129" s="27" t="s">
        <v>166</v>
      </c>
      <c r="CX129" s="27" t="s">
        <v>166</v>
      </c>
      <c r="CY129" s="27" t="s">
        <v>166</v>
      </c>
      <c r="CZ129" s="27" t="s">
        <v>166</v>
      </c>
      <c r="DA129" s="27" t="s">
        <v>166</v>
      </c>
      <c r="DB129" s="27" t="s">
        <v>166</v>
      </c>
      <c r="DC129" s="27" t="s">
        <v>166</v>
      </c>
      <c r="DD129" s="27" t="s">
        <v>166</v>
      </c>
      <c r="DE129" s="28" t="s">
        <v>166</v>
      </c>
      <c r="DF129" s="33">
        <v>9</v>
      </c>
      <c r="DG129" s="25" t="s">
        <v>309</v>
      </c>
      <c r="DH129" s="25" t="s">
        <v>193</v>
      </c>
      <c r="DI129" s="25" t="s">
        <v>194</v>
      </c>
      <c r="DJ129" s="25" t="s">
        <v>310</v>
      </c>
      <c r="DK129" s="25" t="s">
        <v>310</v>
      </c>
      <c r="DL129" s="32" t="s">
        <v>873</v>
      </c>
      <c r="DM129" s="25" t="s">
        <v>198</v>
      </c>
      <c r="DN129" s="24" t="s">
        <v>2693</v>
      </c>
      <c r="DO129" s="31">
        <v>2021</v>
      </c>
      <c r="DP129" s="25" t="s">
        <v>166</v>
      </c>
      <c r="DQ129" s="25" t="s">
        <v>166</v>
      </c>
      <c r="DR129" s="29" t="s">
        <v>166</v>
      </c>
      <c r="DS129" s="27" t="s">
        <v>166</v>
      </c>
      <c r="DT129" s="30" t="s">
        <v>166</v>
      </c>
      <c r="DU129" s="25" t="s">
        <v>166</v>
      </c>
      <c r="DV129" s="29" t="s">
        <v>166</v>
      </c>
      <c r="DW129" s="29" t="s">
        <v>166</v>
      </c>
      <c r="DX129" s="27" t="s">
        <v>166</v>
      </c>
      <c r="DY129" s="27" t="s">
        <v>166</v>
      </c>
      <c r="DZ129" s="28" t="s">
        <v>166</v>
      </c>
      <c r="EA129" s="27" t="s">
        <v>166</v>
      </c>
      <c r="EB129" s="27" t="s">
        <v>166</v>
      </c>
      <c r="EC129" s="27" t="s">
        <v>166</v>
      </c>
      <c r="ED129" s="28" t="s">
        <v>166</v>
      </c>
      <c r="EE129" s="28" t="s">
        <v>166</v>
      </c>
      <c r="EF129" s="28" t="s">
        <v>166</v>
      </c>
      <c r="EG129" s="28" t="s">
        <v>166</v>
      </c>
      <c r="EH129" s="27" t="s">
        <v>166</v>
      </c>
      <c r="EI129" s="27" t="s">
        <v>166</v>
      </c>
      <c r="EJ129" s="27" t="s">
        <v>166</v>
      </c>
      <c r="EK129" s="27" t="s">
        <v>166</v>
      </c>
      <c r="EL129" s="27" t="s">
        <v>166</v>
      </c>
      <c r="EM129" s="27" t="s">
        <v>166</v>
      </c>
      <c r="EN129" s="27" t="s">
        <v>166</v>
      </c>
      <c r="EO129" s="27" t="s">
        <v>166</v>
      </c>
      <c r="EP129" s="27" t="s">
        <v>166</v>
      </c>
      <c r="EQ129" s="27" t="s">
        <v>166</v>
      </c>
      <c r="ER129" s="27" t="s">
        <v>166</v>
      </c>
      <c r="ES129" s="27" t="s">
        <v>166</v>
      </c>
      <c r="ET129" s="25" t="s">
        <v>166</v>
      </c>
      <c r="EU129" s="27" t="s">
        <v>166</v>
      </c>
      <c r="EV129" s="27" t="s">
        <v>166</v>
      </c>
      <c r="EW129" s="27" t="s">
        <v>166</v>
      </c>
      <c r="EX129" s="25" t="s">
        <v>190</v>
      </c>
      <c r="EY129" s="25" t="s">
        <v>166</v>
      </c>
      <c r="EZ129" s="27" t="s">
        <v>166</v>
      </c>
      <c r="FA129" s="26" t="s">
        <v>166</v>
      </c>
      <c r="FB129" s="26" t="s">
        <v>166</v>
      </c>
      <c r="FC129" s="26" t="s">
        <v>166</v>
      </c>
      <c r="FD129" s="26" t="s">
        <v>166</v>
      </c>
      <c r="FE129" s="26" t="s">
        <v>166</v>
      </c>
      <c r="FF129" s="26" t="s">
        <v>166</v>
      </c>
      <c r="FG129" s="25" t="s">
        <v>166</v>
      </c>
      <c r="FH129" s="4">
        <f>HYPERLINK("https://my.pitchbook.com?c=172175-95T","View Company Online")</f>
      </c>
    </row>
    <row r="130">
      <c r="A130" s="14" t="s">
        <v>2694</v>
      </c>
      <c r="B130" s="14" t="s">
        <v>2695</v>
      </c>
      <c r="C130" s="14" t="s">
        <v>2696</v>
      </c>
      <c r="D130" s="14" t="s">
        <v>166</v>
      </c>
      <c r="E130" s="23" t="s">
        <v>2697</v>
      </c>
      <c r="F130" s="21">
        <v>5</v>
      </c>
      <c r="G130" s="14" t="s">
        <v>2698</v>
      </c>
      <c r="H130" s="14" t="s">
        <v>166</v>
      </c>
      <c r="I130" s="14" t="s">
        <v>2699</v>
      </c>
      <c r="J130" s="14" t="s">
        <v>2700</v>
      </c>
      <c r="K130" s="14" t="s">
        <v>171</v>
      </c>
      <c r="L130" s="14" t="s">
        <v>172</v>
      </c>
      <c r="M130" s="14" t="s">
        <v>1689</v>
      </c>
      <c r="N130" s="14" t="s">
        <v>2701</v>
      </c>
      <c r="O130" s="14" t="s">
        <v>2702</v>
      </c>
      <c r="P130" s="14" t="s">
        <v>2703</v>
      </c>
      <c r="Q130" s="14" t="s">
        <v>166</v>
      </c>
      <c r="R130" s="14" t="s">
        <v>177</v>
      </c>
      <c r="S130" s="14" t="s">
        <v>178</v>
      </c>
      <c r="T130" s="14" t="s">
        <v>179</v>
      </c>
      <c r="U130" s="14" t="s">
        <v>2704</v>
      </c>
      <c r="V130" s="14" t="s">
        <v>2705</v>
      </c>
      <c r="W130" s="21" t="s">
        <v>2706</v>
      </c>
      <c r="X130" s="14" t="s">
        <v>166</v>
      </c>
      <c r="Y130" s="14" t="s">
        <v>2707</v>
      </c>
      <c r="Z130" s="14" t="s">
        <v>2708</v>
      </c>
      <c r="AA130" s="14" t="s">
        <v>166</v>
      </c>
      <c r="AB130" s="14" t="s">
        <v>166</v>
      </c>
      <c r="AC130" s="14" t="s">
        <v>244</v>
      </c>
      <c r="AD130" s="14" t="s">
        <v>190</v>
      </c>
      <c r="AE130" s="14" t="s">
        <v>190</v>
      </c>
      <c r="AF130" s="14" t="s">
        <v>166</v>
      </c>
      <c r="AG130" s="14" t="s">
        <v>166</v>
      </c>
      <c r="AH130" s="21">
        <v>1</v>
      </c>
      <c r="AI130" s="3">
        <f>HYPERLINK("https://my.pitchbook.com/?d=155991-61T","155991-61T")</f>
      </c>
      <c r="AJ130" s="19">
        <v>44033</v>
      </c>
      <c r="AK130" s="19">
        <v>44060</v>
      </c>
      <c r="AL130" s="18">
        <v>6</v>
      </c>
      <c r="AM130" s="14" t="s">
        <v>185</v>
      </c>
      <c r="AN130" s="18">
        <v>13</v>
      </c>
      <c r="AO130" s="18">
        <v>19</v>
      </c>
      <c r="AP130" s="14" t="s">
        <v>185</v>
      </c>
      <c r="AQ130" s="21" t="s">
        <v>166</v>
      </c>
      <c r="AR130" s="21" t="s">
        <v>166</v>
      </c>
      <c r="AS130" s="17">
        <v>44.73</v>
      </c>
      <c r="AT130" s="18">
        <v>6</v>
      </c>
      <c r="AU130" s="21" t="s">
        <v>186</v>
      </c>
      <c r="AV130" s="21" t="s">
        <v>166</v>
      </c>
      <c r="AW130" s="18">
        <v>10.5</v>
      </c>
      <c r="AX130" s="21" t="s">
        <v>248</v>
      </c>
      <c r="AY130" s="14" t="s">
        <v>187</v>
      </c>
      <c r="AZ130" s="14" t="s">
        <v>248</v>
      </c>
      <c r="BA130" s="14" t="s">
        <v>166</v>
      </c>
      <c r="BB130" s="21" t="s">
        <v>166</v>
      </c>
      <c r="BC130" s="14" t="s">
        <v>179</v>
      </c>
      <c r="BD130" s="14" t="s">
        <v>2709</v>
      </c>
      <c r="BE130" s="14" t="s">
        <v>189</v>
      </c>
      <c r="BF130" s="18">
        <v>6</v>
      </c>
      <c r="BG130" s="14" t="s">
        <v>190</v>
      </c>
      <c r="BH130" s="14" t="s">
        <v>166</v>
      </c>
      <c r="BI130" s="14" t="s">
        <v>166</v>
      </c>
      <c r="BJ130" s="18" t="s">
        <v>166</v>
      </c>
      <c r="BK130" s="18" t="s">
        <v>166</v>
      </c>
      <c r="BL130" s="14" t="s">
        <v>191</v>
      </c>
      <c r="BM130" s="14" t="s">
        <v>178</v>
      </c>
      <c r="BN130" s="14" t="s">
        <v>177</v>
      </c>
      <c r="BO130" s="22" t="s">
        <v>166</v>
      </c>
      <c r="BP130" s="14" t="s">
        <v>2710</v>
      </c>
      <c r="BQ130" s="21">
        <v>5</v>
      </c>
      <c r="BR130" s="14" t="s">
        <v>166</v>
      </c>
      <c r="BS130" s="21" t="s">
        <v>166</v>
      </c>
      <c r="BT130" s="14" t="s">
        <v>166</v>
      </c>
      <c r="BU130" s="14" t="s">
        <v>166</v>
      </c>
      <c r="BV130" s="14" t="s">
        <v>2711</v>
      </c>
      <c r="BW130" s="14" t="s">
        <v>166</v>
      </c>
      <c r="BX130" s="14" t="s">
        <v>166</v>
      </c>
      <c r="BY130" s="14" t="s">
        <v>166</v>
      </c>
      <c r="BZ130" s="14" t="s">
        <v>166</v>
      </c>
      <c r="CA130" s="14" t="s">
        <v>166</v>
      </c>
      <c r="CB130" s="14" t="s">
        <v>166</v>
      </c>
      <c r="CC130" s="14" t="s">
        <v>166</v>
      </c>
      <c r="CD130" s="14" t="s">
        <v>166</v>
      </c>
      <c r="CE130" s="18" t="s">
        <v>166</v>
      </c>
      <c r="CF130" s="16" t="s">
        <v>166</v>
      </c>
      <c r="CG130" s="17" t="s">
        <v>166</v>
      </c>
      <c r="CH130" s="16" t="s">
        <v>166</v>
      </c>
      <c r="CI130" s="16" t="s">
        <v>166</v>
      </c>
      <c r="CJ130" s="16" t="s">
        <v>166</v>
      </c>
      <c r="CK130" s="16" t="s">
        <v>166</v>
      </c>
      <c r="CL130" s="16" t="s">
        <v>166</v>
      </c>
      <c r="CM130" s="20" t="s">
        <v>166</v>
      </c>
      <c r="CN130" s="16" t="s">
        <v>166</v>
      </c>
      <c r="CO130" s="16" t="s">
        <v>166</v>
      </c>
      <c r="CP130" s="16" t="s">
        <v>166</v>
      </c>
      <c r="CQ130" s="16" t="s">
        <v>166</v>
      </c>
      <c r="CR130" s="16" t="s">
        <v>166</v>
      </c>
      <c r="CS130" s="16" t="s">
        <v>166</v>
      </c>
      <c r="CT130" s="16" t="s">
        <v>166</v>
      </c>
      <c r="CU130" s="16" t="s">
        <v>166</v>
      </c>
      <c r="CV130" s="16" t="s">
        <v>166</v>
      </c>
      <c r="CW130" s="16" t="s">
        <v>166</v>
      </c>
      <c r="CX130" s="16" t="s">
        <v>166</v>
      </c>
      <c r="CY130" s="16" t="s">
        <v>166</v>
      </c>
      <c r="CZ130" s="16" t="s">
        <v>166</v>
      </c>
      <c r="DA130" s="16" t="s">
        <v>166</v>
      </c>
      <c r="DB130" s="16" t="s">
        <v>166</v>
      </c>
      <c r="DC130" s="16" t="s">
        <v>166</v>
      </c>
      <c r="DD130" s="16" t="s">
        <v>166</v>
      </c>
      <c r="DE130" s="17" t="s">
        <v>166</v>
      </c>
      <c r="DF130" s="22">
        <v>50</v>
      </c>
      <c r="DG130" s="14" t="s">
        <v>309</v>
      </c>
      <c r="DH130" s="14" t="s">
        <v>193</v>
      </c>
      <c r="DI130" s="14" t="s">
        <v>194</v>
      </c>
      <c r="DJ130" s="14" t="s">
        <v>310</v>
      </c>
      <c r="DK130" s="14" t="s">
        <v>310</v>
      </c>
      <c r="DL130" s="21" t="s">
        <v>499</v>
      </c>
      <c r="DM130" s="14" t="s">
        <v>198</v>
      </c>
      <c r="DN130" s="13" t="s">
        <v>2712</v>
      </c>
      <c r="DO130" s="20">
        <v>2020</v>
      </c>
      <c r="DP130" s="14" t="s">
        <v>166</v>
      </c>
      <c r="DQ130" s="14" t="s">
        <v>166</v>
      </c>
      <c r="DR130" s="18" t="s">
        <v>166</v>
      </c>
      <c r="DS130" s="16" t="s">
        <v>166</v>
      </c>
      <c r="DT130" s="19" t="s">
        <v>166</v>
      </c>
      <c r="DU130" s="14" t="s">
        <v>166</v>
      </c>
      <c r="DV130" s="18" t="s">
        <v>166</v>
      </c>
      <c r="DW130" s="18" t="s">
        <v>166</v>
      </c>
      <c r="DX130" s="16" t="s">
        <v>166</v>
      </c>
      <c r="DY130" s="16" t="s">
        <v>166</v>
      </c>
      <c r="DZ130" s="17" t="s">
        <v>166</v>
      </c>
      <c r="EA130" s="16" t="s">
        <v>166</v>
      </c>
      <c r="EB130" s="16" t="s">
        <v>166</v>
      </c>
      <c r="EC130" s="16" t="s">
        <v>166</v>
      </c>
      <c r="ED130" s="17" t="s">
        <v>166</v>
      </c>
      <c r="EE130" s="17" t="s">
        <v>166</v>
      </c>
      <c r="EF130" s="17" t="s">
        <v>166</v>
      </c>
      <c r="EG130" s="17" t="s">
        <v>166</v>
      </c>
      <c r="EH130" s="16" t="s">
        <v>166</v>
      </c>
      <c r="EI130" s="16" t="s">
        <v>166</v>
      </c>
      <c r="EJ130" s="16" t="s">
        <v>166</v>
      </c>
      <c r="EK130" s="16" t="s">
        <v>166</v>
      </c>
      <c r="EL130" s="16" t="s">
        <v>166</v>
      </c>
      <c r="EM130" s="16" t="s">
        <v>166</v>
      </c>
      <c r="EN130" s="16" t="s">
        <v>166</v>
      </c>
      <c r="EO130" s="16" t="s">
        <v>166</v>
      </c>
      <c r="EP130" s="16" t="s">
        <v>166</v>
      </c>
      <c r="EQ130" s="16" t="s">
        <v>166</v>
      </c>
      <c r="ER130" s="16" t="s">
        <v>166</v>
      </c>
      <c r="ES130" s="16" t="s">
        <v>166</v>
      </c>
      <c r="ET130" s="14" t="s">
        <v>166</v>
      </c>
      <c r="EU130" s="16" t="s">
        <v>166</v>
      </c>
      <c r="EV130" s="16" t="s">
        <v>166</v>
      </c>
      <c r="EW130" s="16" t="s">
        <v>166</v>
      </c>
      <c r="EX130" s="14" t="s">
        <v>190</v>
      </c>
      <c r="EY130" s="14" t="s">
        <v>166</v>
      </c>
      <c r="EZ130" s="16" t="s">
        <v>166</v>
      </c>
      <c r="FA130" s="15" t="s">
        <v>166</v>
      </c>
      <c r="FB130" s="15" t="s">
        <v>166</v>
      </c>
      <c r="FC130" s="15" t="s">
        <v>166</v>
      </c>
      <c r="FD130" s="15" t="s">
        <v>166</v>
      </c>
      <c r="FE130" s="15" t="s">
        <v>166</v>
      </c>
      <c r="FF130" s="15" t="s">
        <v>166</v>
      </c>
      <c r="FG130" s="14" t="s">
        <v>166</v>
      </c>
      <c r="FH130" s="3">
        <f>HYPERLINK("https://my.pitchbook.com?c=155991-61T","View Company Online")</f>
      </c>
    </row>
    <row r="131">
      <c r="A131" s="25" t="s">
        <v>2713</v>
      </c>
      <c r="B131" s="25" t="s">
        <v>2714</v>
      </c>
      <c r="C131" s="25" t="s">
        <v>2715</v>
      </c>
      <c r="D131" s="25" t="s">
        <v>166</v>
      </c>
      <c r="E131" s="34" t="s">
        <v>2716</v>
      </c>
      <c r="F131" s="32">
        <v>1</v>
      </c>
      <c r="G131" s="25" t="s">
        <v>166</v>
      </c>
      <c r="H131" s="25" t="s">
        <v>166</v>
      </c>
      <c r="I131" s="25" t="s">
        <v>2717</v>
      </c>
      <c r="J131" s="25" t="s">
        <v>2718</v>
      </c>
      <c r="K131" s="25" t="s">
        <v>207</v>
      </c>
      <c r="L131" s="25" t="s">
        <v>208</v>
      </c>
      <c r="M131" s="25" t="s">
        <v>639</v>
      </c>
      <c r="N131" s="25" t="s">
        <v>2719</v>
      </c>
      <c r="O131" s="25" t="s">
        <v>166</v>
      </c>
      <c r="P131" s="25" t="s">
        <v>2720</v>
      </c>
      <c r="Q131" s="25" t="s">
        <v>166</v>
      </c>
      <c r="R131" s="25" t="s">
        <v>177</v>
      </c>
      <c r="S131" s="25" t="s">
        <v>178</v>
      </c>
      <c r="T131" s="25" t="s">
        <v>179</v>
      </c>
      <c r="U131" s="25" t="s">
        <v>2721</v>
      </c>
      <c r="V131" s="25" t="s">
        <v>2722</v>
      </c>
      <c r="W131" s="32" t="s">
        <v>166</v>
      </c>
      <c r="X131" s="25" t="s">
        <v>2723</v>
      </c>
      <c r="Y131" s="25" t="s">
        <v>2724</v>
      </c>
      <c r="Z131" s="25" t="s">
        <v>2725</v>
      </c>
      <c r="AA131" s="25" t="s">
        <v>242</v>
      </c>
      <c r="AB131" s="25" t="s">
        <v>243</v>
      </c>
      <c r="AC131" s="25" t="s">
        <v>244</v>
      </c>
      <c r="AD131" s="25" t="s">
        <v>243</v>
      </c>
      <c r="AE131" s="25" t="s">
        <v>243</v>
      </c>
      <c r="AF131" s="25" t="s">
        <v>166</v>
      </c>
      <c r="AG131" s="25" t="s">
        <v>246</v>
      </c>
      <c r="AH131" s="32">
        <v>3</v>
      </c>
      <c r="AI131" s="4">
        <f>HYPERLINK("https://my.pitchbook.com/?d=167142-70T","167142-70T")</f>
      </c>
      <c r="AJ131" s="30">
        <v>43763</v>
      </c>
      <c r="AK131" s="30">
        <v>43963</v>
      </c>
      <c r="AL131" s="29">
        <v>0.12</v>
      </c>
      <c r="AM131" s="25" t="s">
        <v>185</v>
      </c>
      <c r="AN131" s="29">
        <v>5</v>
      </c>
      <c r="AO131" s="29">
        <v>5.13</v>
      </c>
      <c r="AP131" s="25" t="s">
        <v>185</v>
      </c>
      <c r="AQ131" s="32" t="s">
        <v>166</v>
      </c>
      <c r="AR131" s="32" t="s">
        <v>166</v>
      </c>
      <c r="AS131" s="28" t="s">
        <v>166</v>
      </c>
      <c r="AT131" s="29">
        <v>0.14</v>
      </c>
      <c r="AU131" s="32" t="s">
        <v>186</v>
      </c>
      <c r="AV131" s="32" t="s">
        <v>166</v>
      </c>
      <c r="AW131" s="29">
        <v>0.74</v>
      </c>
      <c r="AX131" s="32" t="s">
        <v>166</v>
      </c>
      <c r="AY131" s="25" t="s">
        <v>217</v>
      </c>
      <c r="AZ131" s="25" t="s">
        <v>217</v>
      </c>
      <c r="BA131" s="25" t="s">
        <v>166</v>
      </c>
      <c r="BB131" s="32" t="s">
        <v>166</v>
      </c>
      <c r="BC131" s="25" t="s">
        <v>179</v>
      </c>
      <c r="BD131" s="25" t="s">
        <v>2726</v>
      </c>
      <c r="BE131" s="25" t="s">
        <v>189</v>
      </c>
      <c r="BF131" s="29">
        <v>0.12</v>
      </c>
      <c r="BG131" s="25" t="s">
        <v>190</v>
      </c>
      <c r="BH131" s="25" t="s">
        <v>166</v>
      </c>
      <c r="BI131" s="25" t="s">
        <v>166</v>
      </c>
      <c r="BJ131" s="29" t="s">
        <v>166</v>
      </c>
      <c r="BK131" s="29" t="s">
        <v>166</v>
      </c>
      <c r="BL131" s="25" t="s">
        <v>191</v>
      </c>
      <c r="BM131" s="25" t="s">
        <v>178</v>
      </c>
      <c r="BN131" s="25" t="s">
        <v>2727</v>
      </c>
      <c r="BO131" s="33" t="s">
        <v>166</v>
      </c>
      <c r="BP131" s="25" t="s">
        <v>2728</v>
      </c>
      <c r="BQ131" s="32">
        <v>1</v>
      </c>
      <c r="BR131" s="25" t="s">
        <v>166</v>
      </c>
      <c r="BS131" s="32" t="s">
        <v>166</v>
      </c>
      <c r="BT131" s="25" t="s">
        <v>166</v>
      </c>
      <c r="BU131" s="25" t="s">
        <v>166</v>
      </c>
      <c r="BV131" s="25" t="s">
        <v>166</v>
      </c>
      <c r="BW131" s="25" t="s">
        <v>166</v>
      </c>
      <c r="BX131" s="25" t="s">
        <v>166</v>
      </c>
      <c r="BY131" s="25" t="s">
        <v>166</v>
      </c>
      <c r="BZ131" s="25" t="s">
        <v>166</v>
      </c>
      <c r="CA131" s="25" t="s">
        <v>166</v>
      </c>
      <c r="CB131" s="25" t="s">
        <v>166</v>
      </c>
      <c r="CC131" s="25" t="s">
        <v>166</v>
      </c>
      <c r="CD131" s="25" t="s">
        <v>166</v>
      </c>
      <c r="CE131" s="29" t="s">
        <v>166</v>
      </c>
      <c r="CF131" s="27" t="s">
        <v>166</v>
      </c>
      <c r="CG131" s="28" t="s">
        <v>166</v>
      </c>
      <c r="CH131" s="27" t="s">
        <v>166</v>
      </c>
      <c r="CI131" s="27" t="s">
        <v>166</v>
      </c>
      <c r="CJ131" s="27" t="s">
        <v>166</v>
      </c>
      <c r="CK131" s="27" t="s">
        <v>166</v>
      </c>
      <c r="CL131" s="27" t="s">
        <v>166</v>
      </c>
      <c r="CM131" s="31" t="s">
        <v>166</v>
      </c>
      <c r="CN131" s="27" t="s">
        <v>166</v>
      </c>
      <c r="CO131" s="27" t="s">
        <v>166</v>
      </c>
      <c r="CP131" s="27" t="s">
        <v>166</v>
      </c>
      <c r="CQ131" s="27" t="s">
        <v>166</v>
      </c>
      <c r="CR131" s="27" t="s">
        <v>166</v>
      </c>
      <c r="CS131" s="27" t="s">
        <v>166</v>
      </c>
      <c r="CT131" s="27" t="s">
        <v>166</v>
      </c>
      <c r="CU131" s="27" t="s">
        <v>166</v>
      </c>
      <c r="CV131" s="27" t="s">
        <v>166</v>
      </c>
      <c r="CW131" s="27" t="s">
        <v>166</v>
      </c>
      <c r="CX131" s="27" t="s">
        <v>166</v>
      </c>
      <c r="CY131" s="27" t="s">
        <v>166</v>
      </c>
      <c r="CZ131" s="27" t="s">
        <v>166</v>
      </c>
      <c r="DA131" s="27" t="s">
        <v>166</v>
      </c>
      <c r="DB131" s="27" t="s">
        <v>166</v>
      </c>
      <c r="DC131" s="27" t="s">
        <v>166</v>
      </c>
      <c r="DD131" s="27" t="s">
        <v>166</v>
      </c>
      <c r="DE131" s="28" t="s">
        <v>166</v>
      </c>
      <c r="DF131" s="33">
        <v>10</v>
      </c>
      <c r="DG131" s="25" t="s">
        <v>2729</v>
      </c>
      <c r="DH131" s="25" t="s">
        <v>193</v>
      </c>
      <c r="DI131" s="25" t="s">
        <v>194</v>
      </c>
      <c r="DJ131" s="25" t="s">
        <v>2730</v>
      </c>
      <c r="DK131" s="25" t="s">
        <v>2731</v>
      </c>
      <c r="DL131" s="32" t="s">
        <v>2732</v>
      </c>
      <c r="DM131" s="25" t="s">
        <v>198</v>
      </c>
      <c r="DN131" s="24" t="s">
        <v>2733</v>
      </c>
      <c r="DO131" s="31">
        <v>2019</v>
      </c>
      <c r="DP131" s="25" t="s">
        <v>166</v>
      </c>
      <c r="DQ131" s="25" t="s">
        <v>166</v>
      </c>
      <c r="DR131" s="29" t="s">
        <v>166</v>
      </c>
      <c r="DS131" s="27" t="s">
        <v>166</v>
      </c>
      <c r="DT131" s="30" t="s">
        <v>166</v>
      </c>
      <c r="DU131" s="25" t="s">
        <v>166</v>
      </c>
      <c r="DV131" s="29" t="s">
        <v>166</v>
      </c>
      <c r="DW131" s="29" t="s">
        <v>166</v>
      </c>
      <c r="DX131" s="27" t="s">
        <v>166</v>
      </c>
      <c r="DY131" s="27" t="s">
        <v>166</v>
      </c>
      <c r="DZ131" s="28" t="s">
        <v>166</v>
      </c>
      <c r="EA131" s="27" t="s">
        <v>166</v>
      </c>
      <c r="EB131" s="27" t="s">
        <v>166</v>
      </c>
      <c r="EC131" s="27" t="s">
        <v>166</v>
      </c>
      <c r="ED131" s="28" t="s">
        <v>166</v>
      </c>
      <c r="EE131" s="28" t="s">
        <v>166</v>
      </c>
      <c r="EF131" s="28" t="s">
        <v>166</v>
      </c>
      <c r="EG131" s="28" t="s">
        <v>166</v>
      </c>
      <c r="EH131" s="27" t="s">
        <v>166</v>
      </c>
      <c r="EI131" s="27" t="s">
        <v>166</v>
      </c>
      <c r="EJ131" s="27" t="s">
        <v>166</v>
      </c>
      <c r="EK131" s="27" t="s">
        <v>166</v>
      </c>
      <c r="EL131" s="27" t="s">
        <v>166</v>
      </c>
      <c r="EM131" s="27" t="s">
        <v>166</v>
      </c>
      <c r="EN131" s="27" t="s">
        <v>166</v>
      </c>
      <c r="EO131" s="27" t="s">
        <v>166</v>
      </c>
      <c r="EP131" s="27" t="s">
        <v>166</v>
      </c>
      <c r="EQ131" s="27" t="s">
        <v>166</v>
      </c>
      <c r="ER131" s="27" t="s">
        <v>166</v>
      </c>
      <c r="ES131" s="27" t="s">
        <v>166</v>
      </c>
      <c r="ET131" s="25" t="s">
        <v>166</v>
      </c>
      <c r="EU131" s="27" t="s">
        <v>166</v>
      </c>
      <c r="EV131" s="27" t="s">
        <v>166</v>
      </c>
      <c r="EW131" s="27" t="s">
        <v>166</v>
      </c>
      <c r="EX131" s="25" t="s">
        <v>190</v>
      </c>
      <c r="EY131" s="25" t="s">
        <v>166</v>
      </c>
      <c r="EZ131" s="27" t="s">
        <v>166</v>
      </c>
      <c r="FA131" s="26" t="s">
        <v>166</v>
      </c>
      <c r="FB131" s="26" t="s">
        <v>166</v>
      </c>
      <c r="FC131" s="26" t="s">
        <v>166</v>
      </c>
      <c r="FD131" s="26" t="s">
        <v>166</v>
      </c>
      <c r="FE131" s="26" t="s">
        <v>166</v>
      </c>
      <c r="FF131" s="26" t="s">
        <v>166</v>
      </c>
      <c r="FG131" s="25" t="s">
        <v>166</v>
      </c>
      <c r="FH131" s="4">
        <f>HYPERLINK("https://my.pitchbook.com?c=167142-70T","View Company Online")</f>
      </c>
    </row>
    <row r="132">
      <c r="A132" s="14" t="s">
        <v>2734</v>
      </c>
      <c r="B132" s="14" t="s">
        <v>2735</v>
      </c>
      <c r="C132" s="14" t="s">
        <v>2736</v>
      </c>
      <c r="D132" s="14" t="s">
        <v>166</v>
      </c>
      <c r="E132" s="23" t="s">
        <v>2737</v>
      </c>
      <c r="F132" s="21">
        <v>4</v>
      </c>
      <c r="G132" s="14" t="s">
        <v>2738</v>
      </c>
      <c r="H132" s="14" t="s">
        <v>166</v>
      </c>
      <c r="I132" s="14" t="s">
        <v>2739</v>
      </c>
      <c r="J132" s="14" t="s">
        <v>2740</v>
      </c>
      <c r="K132" s="14" t="s">
        <v>207</v>
      </c>
      <c r="L132" s="14" t="s">
        <v>208</v>
      </c>
      <c r="M132" s="14" t="s">
        <v>1766</v>
      </c>
      <c r="N132" s="14" t="s">
        <v>2741</v>
      </c>
      <c r="O132" s="14" t="s">
        <v>2742</v>
      </c>
      <c r="P132" s="14" t="s">
        <v>2743</v>
      </c>
      <c r="Q132" s="14" t="s">
        <v>166</v>
      </c>
      <c r="R132" s="14" t="s">
        <v>177</v>
      </c>
      <c r="S132" s="14" t="s">
        <v>178</v>
      </c>
      <c r="T132" s="14" t="s">
        <v>179</v>
      </c>
      <c r="U132" s="14" t="s">
        <v>2744</v>
      </c>
      <c r="V132" s="14" t="s">
        <v>2745</v>
      </c>
      <c r="W132" s="21" t="s">
        <v>2746</v>
      </c>
      <c r="X132" s="14" t="s">
        <v>2747</v>
      </c>
      <c r="Y132" s="14" t="s">
        <v>2748</v>
      </c>
      <c r="Z132" s="14" t="s">
        <v>2749</v>
      </c>
      <c r="AA132" s="14" t="s">
        <v>166</v>
      </c>
      <c r="AB132" s="14" t="s">
        <v>166</v>
      </c>
      <c r="AC132" s="14" t="s">
        <v>166</v>
      </c>
      <c r="AD132" s="14" t="s">
        <v>166</v>
      </c>
      <c r="AE132" s="14" t="s">
        <v>166</v>
      </c>
      <c r="AF132" s="14" t="s">
        <v>166</v>
      </c>
      <c r="AG132" s="14" t="s">
        <v>166</v>
      </c>
      <c r="AH132" s="21">
        <v>2</v>
      </c>
      <c r="AI132" s="3">
        <f>HYPERLINK("https://my.pitchbook.com/?d=165254-77T","165254-77T")</f>
      </c>
      <c r="AJ132" s="19">
        <v>44215</v>
      </c>
      <c r="AK132" s="19">
        <v>44462</v>
      </c>
      <c r="AL132" s="18">
        <v>1.75</v>
      </c>
      <c r="AM132" s="14" t="s">
        <v>185</v>
      </c>
      <c r="AN132" s="18" t="s">
        <v>166</v>
      </c>
      <c r="AO132" s="18" t="s">
        <v>166</v>
      </c>
      <c r="AP132" s="14" t="s">
        <v>166</v>
      </c>
      <c r="AQ132" s="21" t="s">
        <v>166</v>
      </c>
      <c r="AR132" s="21" t="s">
        <v>166</v>
      </c>
      <c r="AS132" s="17" t="s">
        <v>166</v>
      </c>
      <c r="AT132" s="18">
        <v>1.8</v>
      </c>
      <c r="AU132" s="21" t="s">
        <v>186</v>
      </c>
      <c r="AV132" s="21" t="s">
        <v>166</v>
      </c>
      <c r="AW132" s="18" t="s">
        <v>166</v>
      </c>
      <c r="AX132" s="21" t="s">
        <v>166</v>
      </c>
      <c r="AY132" s="14" t="s">
        <v>217</v>
      </c>
      <c r="AZ132" s="14" t="s">
        <v>217</v>
      </c>
      <c r="BA132" s="14" t="s">
        <v>166</v>
      </c>
      <c r="BB132" s="21" t="s">
        <v>166</v>
      </c>
      <c r="BC132" s="14" t="s">
        <v>179</v>
      </c>
      <c r="BD132" s="14" t="s">
        <v>2750</v>
      </c>
      <c r="BE132" s="14" t="s">
        <v>189</v>
      </c>
      <c r="BF132" s="18">
        <v>1.75</v>
      </c>
      <c r="BG132" s="14" t="s">
        <v>190</v>
      </c>
      <c r="BH132" s="14" t="s">
        <v>166</v>
      </c>
      <c r="BI132" s="14" t="s">
        <v>166</v>
      </c>
      <c r="BJ132" s="18" t="s">
        <v>166</v>
      </c>
      <c r="BK132" s="18" t="s">
        <v>166</v>
      </c>
      <c r="BL132" s="14" t="s">
        <v>191</v>
      </c>
      <c r="BM132" s="14" t="s">
        <v>178</v>
      </c>
      <c r="BN132" s="14" t="s">
        <v>177</v>
      </c>
      <c r="BO132" s="22" t="s">
        <v>166</v>
      </c>
      <c r="BP132" s="14" t="s">
        <v>2737</v>
      </c>
      <c r="BQ132" s="21">
        <v>4</v>
      </c>
      <c r="BR132" s="14" t="s">
        <v>166</v>
      </c>
      <c r="BS132" s="21" t="s">
        <v>166</v>
      </c>
      <c r="BT132" s="14" t="s">
        <v>166</v>
      </c>
      <c r="BU132" s="14" t="s">
        <v>166</v>
      </c>
      <c r="BV132" s="14" t="s">
        <v>2751</v>
      </c>
      <c r="BW132" s="14" t="s">
        <v>166</v>
      </c>
      <c r="BX132" s="14" t="s">
        <v>166</v>
      </c>
      <c r="BY132" s="14" t="s">
        <v>166</v>
      </c>
      <c r="BZ132" s="14" t="s">
        <v>166</v>
      </c>
      <c r="CA132" s="14" t="s">
        <v>166</v>
      </c>
      <c r="CB132" s="14" t="s">
        <v>166</v>
      </c>
      <c r="CC132" s="14" t="s">
        <v>166</v>
      </c>
      <c r="CD132" s="14" t="s">
        <v>166</v>
      </c>
      <c r="CE132" s="18" t="s">
        <v>166</v>
      </c>
      <c r="CF132" s="16" t="s">
        <v>166</v>
      </c>
      <c r="CG132" s="17" t="s">
        <v>166</v>
      </c>
      <c r="CH132" s="16" t="s">
        <v>166</v>
      </c>
      <c r="CI132" s="16" t="s">
        <v>166</v>
      </c>
      <c r="CJ132" s="16" t="s">
        <v>166</v>
      </c>
      <c r="CK132" s="16" t="s">
        <v>166</v>
      </c>
      <c r="CL132" s="16" t="s">
        <v>166</v>
      </c>
      <c r="CM132" s="20" t="s">
        <v>166</v>
      </c>
      <c r="CN132" s="16" t="s">
        <v>166</v>
      </c>
      <c r="CO132" s="16" t="s">
        <v>166</v>
      </c>
      <c r="CP132" s="16" t="s">
        <v>166</v>
      </c>
      <c r="CQ132" s="16" t="s">
        <v>166</v>
      </c>
      <c r="CR132" s="16" t="s">
        <v>166</v>
      </c>
      <c r="CS132" s="16" t="s">
        <v>166</v>
      </c>
      <c r="CT132" s="16" t="s">
        <v>166</v>
      </c>
      <c r="CU132" s="16" t="s">
        <v>166</v>
      </c>
      <c r="CV132" s="16" t="s">
        <v>166</v>
      </c>
      <c r="CW132" s="16" t="s">
        <v>166</v>
      </c>
      <c r="CX132" s="16" t="s">
        <v>166</v>
      </c>
      <c r="CY132" s="16" t="s">
        <v>166</v>
      </c>
      <c r="CZ132" s="16" t="s">
        <v>166</v>
      </c>
      <c r="DA132" s="16" t="s">
        <v>166</v>
      </c>
      <c r="DB132" s="16" t="s">
        <v>166</v>
      </c>
      <c r="DC132" s="16" t="s">
        <v>166</v>
      </c>
      <c r="DD132" s="16" t="s">
        <v>166</v>
      </c>
      <c r="DE132" s="17" t="s">
        <v>166</v>
      </c>
      <c r="DF132" s="22">
        <v>22</v>
      </c>
      <c r="DG132" s="14" t="s">
        <v>1077</v>
      </c>
      <c r="DH132" s="14" t="s">
        <v>193</v>
      </c>
      <c r="DI132" s="14" t="s">
        <v>194</v>
      </c>
      <c r="DJ132" s="14" t="s">
        <v>1078</v>
      </c>
      <c r="DK132" s="14" t="s">
        <v>257</v>
      </c>
      <c r="DL132" s="21" t="s">
        <v>1079</v>
      </c>
      <c r="DM132" s="14" t="s">
        <v>198</v>
      </c>
      <c r="DN132" s="13" t="s">
        <v>2752</v>
      </c>
      <c r="DO132" s="20">
        <v>2017</v>
      </c>
      <c r="DP132" s="14" t="s">
        <v>166</v>
      </c>
      <c r="DQ132" s="14" t="s">
        <v>166</v>
      </c>
      <c r="DR132" s="18" t="s">
        <v>166</v>
      </c>
      <c r="DS132" s="16" t="s">
        <v>166</v>
      </c>
      <c r="DT132" s="19" t="s">
        <v>166</v>
      </c>
      <c r="DU132" s="14" t="s">
        <v>166</v>
      </c>
      <c r="DV132" s="18" t="s">
        <v>166</v>
      </c>
      <c r="DW132" s="18" t="s">
        <v>166</v>
      </c>
      <c r="DX132" s="16" t="s">
        <v>166</v>
      </c>
      <c r="DY132" s="16" t="s">
        <v>166</v>
      </c>
      <c r="DZ132" s="17" t="s">
        <v>166</v>
      </c>
      <c r="EA132" s="16" t="s">
        <v>166</v>
      </c>
      <c r="EB132" s="16" t="s">
        <v>166</v>
      </c>
      <c r="EC132" s="16" t="s">
        <v>166</v>
      </c>
      <c r="ED132" s="17" t="s">
        <v>166</v>
      </c>
      <c r="EE132" s="17" t="s">
        <v>166</v>
      </c>
      <c r="EF132" s="17" t="s">
        <v>166</v>
      </c>
      <c r="EG132" s="17" t="s">
        <v>166</v>
      </c>
      <c r="EH132" s="16" t="s">
        <v>166</v>
      </c>
      <c r="EI132" s="16" t="s">
        <v>166</v>
      </c>
      <c r="EJ132" s="16" t="s">
        <v>166</v>
      </c>
      <c r="EK132" s="16" t="s">
        <v>166</v>
      </c>
      <c r="EL132" s="16" t="s">
        <v>166</v>
      </c>
      <c r="EM132" s="16" t="s">
        <v>166</v>
      </c>
      <c r="EN132" s="16" t="s">
        <v>166</v>
      </c>
      <c r="EO132" s="16" t="s">
        <v>166</v>
      </c>
      <c r="EP132" s="16" t="s">
        <v>166</v>
      </c>
      <c r="EQ132" s="16" t="s">
        <v>166</v>
      </c>
      <c r="ER132" s="16" t="s">
        <v>166</v>
      </c>
      <c r="ES132" s="16" t="s">
        <v>166</v>
      </c>
      <c r="ET132" s="14" t="s">
        <v>166</v>
      </c>
      <c r="EU132" s="16" t="s">
        <v>166</v>
      </c>
      <c r="EV132" s="16" t="s">
        <v>166</v>
      </c>
      <c r="EW132" s="16" t="s">
        <v>166</v>
      </c>
      <c r="EX132" s="14" t="s">
        <v>190</v>
      </c>
      <c r="EY132" s="14" t="s">
        <v>166</v>
      </c>
      <c r="EZ132" s="16" t="s">
        <v>166</v>
      </c>
      <c r="FA132" s="15" t="s">
        <v>166</v>
      </c>
      <c r="FB132" s="15" t="s">
        <v>166</v>
      </c>
      <c r="FC132" s="15" t="s">
        <v>166</v>
      </c>
      <c r="FD132" s="15" t="s">
        <v>166</v>
      </c>
      <c r="FE132" s="15" t="s">
        <v>166</v>
      </c>
      <c r="FF132" s="15" t="s">
        <v>166</v>
      </c>
      <c r="FG132" s="14" t="s">
        <v>166</v>
      </c>
      <c r="FH132" s="3">
        <f>HYPERLINK("https://my.pitchbook.com?c=165254-77T","View Company Online")</f>
      </c>
    </row>
    <row r="133">
      <c r="A133" s="25" t="s">
        <v>2753</v>
      </c>
      <c r="B133" s="25" t="s">
        <v>2754</v>
      </c>
      <c r="C133" s="25" t="s">
        <v>2755</v>
      </c>
      <c r="D133" s="25" t="s">
        <v>166</v>
      </c>
      <c r="E133" s="34" t="s">
        <v>2756</v>
      </c>
      <c r="F133" s="32">
        <v>6</v>
      </c>
      <c r="G133" s="25" t="s">
        <v>2757</v>
      </c>
      <c r="H133" s="25" t="s">
        <v>166</v>
      </c>
      <c r="I133" s="25" t="s">
        <v>2758</v>
      </c>
      <c r="J133" s="25" t="s">
        <v>2759</v>
      </c>
      <c r="K133" s="25" t="s">
        <v>1455</v>
      </c>
      <c r="L133" s="25" t="s">
        <v>1456</v>
      </c>
      <c r="M133" s="25" t="s">
        <v>2760</v>
      </c>
      <c r="N133" s="25" t="s">
        <v>2761</v>
      </c>
      <c r="O133" s="25" t="s">
        <v>509</v>
      </c>
      <c r="P133" s="25" t="s">
        <v>2762</v>
      </c>
      <c r="Q133" s="25" t="s">
        <v>2555</v>
      </c>
      <c r="R133" s="25" t="s">
        <v>177</v>
      </c>
      <c r="S133" s="25" t="s">
        <v>178</v>
      </c>
      <c r="T133" s="25" t="s">
        <v>179</v>
      </c>
      <c r="U133" s="25" t="s">
        <v>2763</v>
      </c>
      <c r="V133" s="25" t="s">
        <v>2764</v>
      </c>
      <c r="W133" s="32" t="s">
        <v>2765</v>
      </c>
      <c r="X133" s="25" t="s">
        <v>2766</v>
      </c>
      <c r="Y133" s="25" t="s">
        <v>2767</v>
      </c>
      <c r="Z133" s="25" t="s">
        <v>166</v>
      </c>
      <c r="AA133" s="25" t="s">
        <v>242</v>
      </c>
      <c r="AB133" s="25" t="s">
        <v>243</v>
      </c>
      <c r="AC133" s="25" t="s">
        <v>244</v>
      </c>
      <c r="AD133" s="25" t="s">
        <v>243</v>
      </c>
      <c r="AE133" s="25" t="s">
        <v>243</v>
      </c>
      <c r="AF133" s="25" t="s">
        <v>245</v>
      </c>
      <c r="AG133" s="25" t="s">
        <v>246</v>
      </c>
      <c r="AH133" s="32">
        <v>1</v>
      </c>
      <c r="AI133" s="4">
        <f>HYPERLINK("https://my.pitchbook.com/?d=192569-68T","192569-68T")</f>
      </c>
      <c r="AJ133" s="30" t="s">
        <v>166</v>
      </c>
      <c r="AK133" s="30">
        <v>44669</v>
      </c>
      <c r="AL133" s="29">
        <v>4.4</v>
      </c>
      <c r="AM133" s="25" t="s">
        <v>185</v>
      </c>
      <c r="AN133" s="29">
        <v>25.6</v>
      </c>
      <c r="AO133" s="29">
        <v>30</v>
      </c>
      <c r="AP133" s="25" t="s">
        <v>185</v>
      </c>
      <c r="AQ133" s="32" t="s">
        <v>166</v>
      </c>
      <c r="AR133" s="32" t="s">
        <v>166</v>
      </c>
      <c r="AS133" s="28">
        <v>14.68</v>
      </c>
      <c r="AT133" s="29">
        <v>4.4</v>
      </c>
      <c r="AU133" s="32" t="s">
        <v>186</v>
      </c>
      <c r="AV133" s="32" t="s">
        <v>166</v>
      </c>
      <c r="AW133" s="29">
        <v>11.3</v>
      </c>
      <c r="AX133" s="32" t="s">
        <v>166</v>
      </c>
      <c r="AY133" s="25" t="s">
        <v>217</v>
      </c>
      <c r="AZ133" s="25" t="s">
        <v>217</v>
      </c>
      <c r="BA133" s="25" t="s">
        <v>166</v>
      </c>
      <c r="BB133" s="32" t="s">
        <v>166</v>
      </c>
      <c r="BC133" s="25" t="s">
        <v>179</v>
      </c>
      <c r="BD133" s="25" t="s">
        <v>2768</v>
      </c>
      <c r="BE133" s="25" t="s">
        <v>189</v>
      </c>
      <c r="BF133" s="29">
        <v>4.4</v>
      </c>
      <c r="BG133" s="25" t="s">
        <v>190</v>
      </c>
      <c r="BH133" s="25" t="s">
        <v>166</v>
      </c>
      <c r="BI133" s="25" t="s">
        <v>166</v>
      </c>
      <c r="BJ133" s="29" t="s">
        <v>166</v>
      </c>
      <c r="BK133" s="29" t="s">
        <v>166</v>
      </c>
      <c r="BL133" s="25" t="s">
        <v>191</v>
      </c>
      <c r="BM133" s="25" t="s">
        <v>178</v>
      </c>
      <c r="BN133" s="25" t="s">
        <v>177</v>
      </c>
      <c r="BO133" s="33" t="s">
        <v>166</v>
      </c>
      <c r="BP133" s="25" t="s">
        <v>2769</v>
      </c>
      <c r="BQ133" s="32">
        <v>6</v>
      </c>
      <c r="BR133" s="25" t="s">
        <v>166</v>
      </c>
      <c r="BS133" s="32" t="s">
        <v>166</v>
      </c>
      <c r="BT133" s="25" t="s">
        <v>2770</v>
      </c>
      <c r="BU133" s="25" t="s">
        <v>166</v>
      </c>
      <c r="BV133" s="25" t="s">
        <v>2771</v>
      </c>
      <c r="BW133" s="25" t="s">
        <v>166</v>
      </c>
      <c r="BX133" s="25" t="s">
        <v>166</v>
      </c>
      <c r="BY133" s="25" t="s">
        <v>166</v>
      </c>
      <c r="BZ133" s="25" t="s">
        <v>2772</v>
      </c>
      <c r="CA133" s="25" t="s">
        <v>166</v>
      </c>
      <c r="CB133" s="25" t="s">
        <v>166</v>
      </c>
      <c r="CC133" s="25" t="s">
        <v>2772</v>
      </c>
      <c r="CD133" s="25" t="s">
        <v>166</v>
      </c>
      <c r="CE133" s="29" t="s">
        <v>166</v>
      </c>
      <c r="CF133" s="27" t="s">
        <v>166</v>
      </c>
      <c r="CG133" s="28" t="s">
        <v>166</v>
      </c>
      <c r="CH133" s="27" t="s">
        <v>166</v>
      </c>
      <c r="CI133" s="27" t="s">
        <v>166</v>
      </c>
      <c r="CJ133" s="27" t="s">
        <v>166</v>
      </c>
      <c r="CK133" s="27" t="s">
        <v>166</v>
      </c>
      <c r="CL133" s="27" t="s">
        <v>166</v>
      </c>
      <c r="CM133" s="31" t="s">
        <v>166</v>
      </c>
      <c r="CN133" s="27" t="s">
        <v>166</v>
      </c>
      <c r="CO133" s="27" t="s">
        <v>166</v>
      </c>
      <c r="CP133" s="27" t="s">
        <v>166</v>
      </c>
      <c r="CQ133" s="27" t="s">
        <v>166</v>
      </c>
      <c r="CR133" s="27" t="s">
        <v>166</v>
      </c>
      <c r="CS133" s="27" t="s">
        <v>166</v>
      </c>
      <c r="CT133" s="27" t="s">
        <v>166</v>
      </c>
      <c r="CU133" s="27" t="s">
        <v>166</v>
      </c>
      <c r="CV133" s="27" t="s">
        <v>166</v>
      </c>
      <c r="CW133" s="27" t="s">
        <v>166</v>
      </c>
      <c r="CX133" s="27" t="s">
        <v>166</v>
      </c>
      <c r="CY133" s="27" t="s">
        <v>166</v>
      </c>
      <c r="CZ133" s="27" t="s">
        <v>166</v>
      </c>
      <c r="DA133" s="27" t="s">
        <v>166</v>
      </c>
      <c r="DB133" s="27" t="s">
        <v>166</v>
      </c>
      <c r="DC133" s="27" t="s">
        <v>166</v>
      </c>
      <c r="DD133" s="27" t="s">
        <v>166</v>
      </c>
      <c r="DE133" s="28" t="s">
        <v>166</v>
      </c>
      <c r="DF133" s="33">
        <v>9</v>
      </c>
      <c r="DG133" s="25" t="s">
        <v>2773</v>
      </c>
      <c r="DH133" s="25" t="s">
        <v>193</v>
      </c>
      <c r="DI133" s="25" t="s">
        <v>194</v>
      </c>
      <c r="DJ133" s="25" t="s">
        <v>2774</v>
      </c>
      <c r="DK133" s="25" t="s">
        <v>2775</v>
      </c>
      <c r="DL133" s="32" t="s">
        <v>2776</v>
      </c>
      <c r="DM133" s="25" t="s">
        <v>198</v>
      </c>
      <c r="DN133" s="24" t="s">
        <v>2777</v>
      </c>
      <c r="DO133" s="31">
        <v>2021</v>
      </c>
      <c r="DP133" s="25" t="s">
        <v>166</v>
      </c>
      <c r="DQ133" s="25" t="s">
        <v>166</v>
      </c>
      <c r="DR133" s="29" t="s">
        <v>166</v>
      </c>
      <c r="DS133" s="27" t="s">
        <v>166</v>
      </c>
      <c r="DT133" s="30" t="s">
        <v>166</v>
      </c>
      <c r="DU133" s="25" t="s">
        <v>166</v>
      </c>
      <c r="DV133" s="29" t="s">
        <v>166</v>
      </c>
      <c r="DW133" s="29" t="s">
        <v>166</v>
      </c>
      <c r="DX133" s="27" t="s">
        <v>166</v>
      </c>
      <c r="DY133" s="27" t="s">
        <v>166</v>
      </c>
      <c r="DZ133" s="28" t="s">
        <v>166</v>
      </c>
      <c r="EA133" s="27" t="s">
        <v>166</v>
      </c>
      <c r="EB133" s="27" t="s">
        <v>166</v>
      </c>
      <c r="EC133" s="27" t="s">
        <v>166</v>
      </c>
      <c r="ED133" s="28" t="s">
        <v>166</v>
      </c>
      <c r="EE133" s="28" t="s">
        <v>166</v>
      </c>
      <c r="EF133" s="28" t="s">
        <v>166</v>
      </c>
      <c r="EG133" s="28" t="s">
        <v>166</v>
      </c>
      <c r="EH133" s="27" t="s">
        <v>166</v>
      </c>
      <c r="EI133" s="27" t="s">
        <v>166</v>
      </c>
      <c r="EJ133" s="27" t="s">
        <v>166</v>
      </c>
      <c r="EK133" s="27" t="s">
        <v>166</v>
      </c>
      <c r="EL133" s="27" t="s">
        <v>166</v>
      </c>
      <c r="EM133" s="27" t="s">
        <v>166</v>
      </c>
      <c r="EN133" s="27" t="s">
        <v>166</v>
      </c>
      <c r="EO133" s="27" t="s">
        <v>166</v>
      </c>
      <c r="EP133" s="27" t="s">
        <v>166</v>
      </c>
      <c r="EQ133" s="27" t="s">
        <v>166</v>
      </c>
      <c r="ER133" s="27" t="s">
        <v>166</v>
      </c>
      <c r="ES133" s="27" t="s">
        <v>166</v>
      </c>
      <c r="ET133" s="25" t="s">
        <v>166</v>
      </c>
      <c r="EU133" s="27" t="s">
        <v>166</v>
      </c>
      <c r="EV133" s="27" t="s">
        <v>166</v>
      </c>
      <c r="EW133" s="27" t="s">
        <v>166</v>
      </c>
      <c r="EX133" s="25" t="s">
        <v>190</v>
      </c>
      <c r="EY133" s="25" t="s">
        <v>166</v>
      </c>
      <c r="EZ133" s="27" t="s">
        <v>166</v>
      </c>
      <c r="FA133" s="26" t="s">
        <v>166</v>
      </c>
      <c r="FB133" s="26" t="s">
        <v>166</v>
      </c>
      <c r="FC133" s="26" t="s">
        <v>166</v>
      </c>
      <c r="FD133" s="26" t="s">
        <v>166</v>
      </c>
      <c r="FE133" s="26" t="s">
        <v>166</v>
      </c>
      <c r="FF133" s="26" t="s">
        <v>166</v>
      </c>
      <c r="FG133" s="25" t="s">
        <v>166</v>
      </c>
      <c r="FH133" s="4">
        <f>HYPERLINK("https://my.pitchbook.com?c=192569-68T","View Company Online")</f>
      </c>
    </row>
    <row r="134">
      <c r="A134" s="14" t="s">
        <v>2778</v>
      </c>
      <c r="B134" s="14" t="s">
        <v>2779</v>
      </c>
      <c r="C134" s="14" t="s">
        <v>2780</v>
      </c>
      <c r="D134" s="14" t="s">
        <v>166</v>
      </c>
      <c r="E134" s="23" t="s">
        <v>2781</v>
      </c>
      <c r="F134" s="21">
        <v>2</v>
      </c>
      <c r="G134" s="14" t="s">
        <v>2782</v>
      </c>
      <c r="H134" s="14" t="s">
        <v>166</v>
      </c>
      <c r="I134" s="14" t="s">
        <v>2783</v>
      </c>
      <c r="J134" s="14" t="s">
        <v>2784</v>
      </c>
      <c r="K134" s="14" t="s">
        <v>207</v>
      </c>
      <c r="L134" s="14" t="s">
        <v>208</v>
      </c>
      <c r="M134" s="14" t="s">
        <v>296</v>
      </c>
      <c r="N134" s="14" t="s">
        <v>1052</v>
      </c>
      <c r="O134" s="14" t="s">
        <v>2785</v>
      </c>
      <c r="P134" s="14" t="s">
        <v>2786</v>
      </c>
      <c r="Q134" s="14" t="s">
        <v>166</v>
      </c>
      <c r="R134" s="14" t="s">
        <v>177</v>
      </c>
      <c r="S134" s="14" t="s">
        <v>178</v>
      </c>
      <c r="T134" s="14" t="s">
        <v>179</v>
      </c>
      <c r="U134" s="14" t="s">
        <v>2787</v>
      </c>
      <c r="V134" s="14" t="s">
        <v>2788</v>
      </c>
      <c r="W134" s="21" t="s">
        <v>2789</v>
      </c>
      <c r="X134" s="14" t="s">
        <v>2790</v>
      </c>
      <c r="Y134" s="14" t="s">
        <v>2791</v>
      </c>
      <c r="Z134" s="14" t="s">
        <v>2792</v>
      </c>
      <c r="AA134" s="14" t="s">
        <v>166</v>
      </c>
      <c r="AB134" s="14" t="s">
        <v>166</v>
      </c>
      <c r="AC134" s="14" t="s">
        <v>166</v>
      </c>
      <c r="AD134" s="14" t="s">
        <v>166</v>
      </c>
      <c r="AE134" s="14" t="s">
        <v>166</v>
      </c>
      <c r="AF134" s="14" t="s">
        <v>166</v>
      </c>
      <c r="AG134" s="14" t="s">
        <v>166</v>
      </c>
      <c r="AH134" s="21">
        <v>1</v>
      </c>
      <c r="AI134" s="3">
        <f>HYPERLINK("https://my.pitchbook.com/?d=193851-19T","193851-19T")</f>
      </c>
      <c r="AJ134" s="19">
        <v>44666</v>
      </c>
      <c r="AK134" s="19">
        <v>44684</v>
      </c>
      <c r="AL134" s="18">
        <v>1.5</v>
      </c>
      <c r="AM134" s="14" t="s">
        <v>185</v>
      </c>
      <c r="AN134" s="18" t="s">
        <v>166</v>
      </c>
      <c r="AO134" s="18" t="s">
        <v>166</v>
      </c>
      <c r="AP134" s="14" t="s">
        <v>166</v>
      </c>
      <c r="AQ134" s="21" t="s">
        <v>166</v>
      </c>
      <c r="AR134" s="21" t="s">
        <v>166</v>
      </c>
      <c r="AS134" s="17" t="s">
        <v>166</v>
      </c>
      <c r="AT134" s="18">
        <v>1.5</v>
      </c>
      <c r="AU134" s="21" t="s">
        <v>186</v>
      </c>
      <c r="AV134" s="21" t="s">
        <v>166</v>
      </c>
      <c r="AW134" s="18" t="s">
        <v>166</v>
      </c>
      <c r="AX134" s="21" t="s">
        <v>166</v>
      </c>
      <c r="AY134" s="14" t="s">
        <v>217</v>
      </c>
      <c r="AZ134" s="14" t="s">
        <v>217</v>
      </c>
      <c r="BA134" s="14" t="s">
        <v>166</v>
      </c>
      <c r="BB134" s="21" t="s">
        <v>166</v>
      </c>
      <c r="BC134" s="14" t="s">
        <v>179</v>
      </c>
      <c r="BD134" s="14" t="s">
        <v>2784</v>
      </c>
      <c r="BE134" s="14" t="s">
        <v>189</v>
      </c>
      <c r="BF134" s="18" t="s">
        <v>166</v>
      </c>
      <c r="BG134" s="14" t="s">
        <v>190</v>
      </c>
      <c r="BH134" s="14" t="s">
        <v>166</v>
      </c>
      <c r="BI134" s="14" t="s">
        <v>166</v>
      </c>
      <c r="BJ134" s="18" t="s">
        <v>166</v>
      </c>
      <c r="BK134" s="18" t="s">
        <v>166</v>
      </c>
      <c r="BL134" s="14" t="s">
        <v>191</v>
      </c>
      <c r="BM134" s="14" t="s">
        <v>178</v>
      </c>
      <c r="BN134" s="14" t="s">
        <v>177</v>
      </c>
      <c r="BO134" s="22" t="s">
        <v>166</v>
      </c>
      <c r="BP134" s="14" t="s">
        <v>2781</v>
      </c>
      <c r="BQ134" s="21">
        <v>2</v>
      </c>
      <c r="BR134" s="14" t="s">
        <v>166</v>
      </c>
      <c r="BS134" s="21" t="s">
        <v>166</v>
      </c>
      <c r="BT134" s="14" t="s">
        <v>166</v>
      </c>
      <c r="BU134" s="14" t="s">
        <v>166</v>
      </c>
      <c r="BV134" s="14" t="s">
        <v>2793</v>
      </c>
      <c r="BW134" s="14" t="s">
        <v>166</v>
      </c>
      <c r="BX134" s="14" t="s">
        <v>166</v>
      </c>
      <c r="BY134" s="14" t="s">
        <v>166</v>
      </c>
      <c r="BZ134" s="14" t="s">
        <v>166</v>
      </c>
      <c r="CA134" s="14" t="s">
        <v>166</v>
      </c>
      <c r="CB134" s="14" t="s">
        <v>166</v>
      </c>
      <c r="CC134" s="14" t="s">
        <v>166</v>
      </c>
      <c r="CD134" s="14" t="s">
        <v>166</v>
      </c>
      <c r="CE134" s="18" t="s">
        <v>166</v>
      </c>
      <c r="CF134" s="16" t="s">
        <v>166</v>
      </c>
      <c r="CG134" s="17" t="s">
        <v>166</v>
      </c>
      <c r="CH134" s="16" t="s">
        <v>166</v>
      </c>
      <c r="CI134" s="16" t="s">
        <v>166</v>
      </c>
      <c r="CJ134" s="16" t="s">
        <v>166</v>
      </c>
      <c r="CK134" s="16" t="s">
        <v>166</v>
      </c>
      <c r="CL134" s="16" t="s">
        <v>166</v>
      </c>
      <c r="CM134" s="20" t="s">
        <v>166</v>
      </c>
      <c r="CN134" s="16" t="s">
        <v>166</v>
      </c>
      <c r="CO134" s="16" t="s">
        <v>166</v>
      </c>
      <c r="CP134" s="16" t="s">
        <v>166</v>
      </c>
      <c r="CQ134" s="16" t="s">
        <v>166</v>
      </c>
      <c r="CR134" s="16" t="s">
        <v>166</v>
      </c>
      <c r="CS134" s="16" t="s">
        <v>166</v>
      </c>
      <c r="CT134" s="16" t="s">
        <v>166</v>
      </c>
      <c r="CU134" s="16" t="s">
        <v>166</v>
      </c>
      <c r="CV134" s="16" t="s">
        <v>166</v>
      </c>
      <c r="CW134" s="16" t="s">
        <v>166</v>
      </c>
      <c r="CX134" s="16" t="s">
        <v>166</v>
      </c>
      <c r="CY134" s="16" t="s">
        <v>166</v>
      </c>
      <c r="CZ134" s="16" t="s">
        <v>166</v>
      </c>
      <c r="DA134" s="16" t="s">
        <v>166</v>
      </c>
      <c r="DB134" s="16" t="s">
        <v>166</v>
      </c>
      <c r="DC134" s="16" t="s">
        <v>166</v>
      </c>
      <c r="DD134" s="16" t="s">
        <v>166</v>
      </c>
      <c r="DE134" s="17" t="s">
        <v>166</v>
      </c>
      <c r="DF134" s="22">
        <v>7</v>
      </c>
      <c r="DG134" s="14" t="s">
        <v>2794</v>
      </c>
      <c r="DH134" s="14" t="s">
        <v>193</v>
      </c>
      <c r="DI134" s="14" t="s">
        <v>194</v>
      </c>
      <c r="DJ134" s="14" t="s">
        <v>2795</v>
      </c>
      <c r="DK134" s="14" t="s">
        <v>2775</v>
      </c>
      <c r="DL134" s="21" t="s">
        <v>2796</v>
      </c>
      <c r="DM134" s="14" t="s">
        <v>198</v>
      </c>
      <c r="DN134" s="13" t="s">
        <v>2797</v>
      </c>
      <c r="DO134" s="20">
        <v>2021</v>
      </c>
      <c r="DP134" s="14" t="s">
        <v>166</v>
      </c>
      <c r="DQ134" s="14" t="s">
        <v>166</v>
      </c>
      <c r="DR134" s="18" t="s">
        <v>166</v>
      </c>
      <c r="DS134" s="16" t="s">
        <v>166</v>
      </c>
      <c r="DT134" s="19" t="s">
        <v>166</v>
      </c>
      <c r="DU134" s="14" t="s">
        <v>166</v>
      </c>
      <c r="DV134" s="18" t="s">
        <v>166</v>
      </c>
      <c r="DW134" s="18" t="s">
        <v>166</v>
      </c>
      <c r="DX134" s="16" t="s">
        <v>166</v>
      </c>
      <c r="DY134" s="16" t="s">
        <v>166</v>
      </c>
      <c r="DZ134" s="17" t="s">
        <v>166</v>
      </c>
      <c r="EA134" s="16" t="s">
        <v>166</v>
      </c>
      <c r="EB134" s="16" t="s">
        <v>166</v>
      </c>
      <c r="EC134" s="16" t="s">
        <v>166</v>
      </c>
      <c r="ED134" s="17" t="s">
        <v>166</v>
      </c>
      <c r="EE134" s="17" t="s">
        <v>166</v>
      </c>
      <c r="EF134" s="17" t="s">
        <v>166</v>
      </c>
      <c r="EG134" s="17" t="s">
        <v>166</v>
      </c>
      <c r="EH134" s="16" t="s">
        <v>166</v>
      </c>
      <c r="EI134" s="16" t="s">
        <v>166</v>
      </c>
      <c r="EJ134" s="16" t="s">
        <v>166</v>
      </c>
      <c r="EK134" s="16" t="s">
        <v>166</v>
      </c>
      <c r="EL134" s="16" t="s">
        <v>166</v>
      </c>
      <c r="EM134" s="16" t="s">
        <v>166</v>
      </c>
      <c r="EN134" s="16" t="s">
        <v>166</v>
      </c>
      <c r="EO134" s="16" t="s">
        <v>166</v>
      </c>
      <c r="EP134" s="16" t="s">
        <v>166</v>
      </c>
      <c r="EQ134" s="16" t="s">
        <v>166</v>
      </c>
      <c r="ER134" s="16" t="s">
        <v>166</v>
      </c>
      <c r="ES134" s="16" t="s">
        <v>166</v>
      </c>
      <c r="ET134" s="14" t="s">
        <v>166</v>
      </c>
      <c r="EU134" s="16" t="s">
        <v>166</v>
      </c>
      <c r="EV134" s="16" t="s">
        <v>166</v>
      </c>
      <c r="EW134" s="16" t="s">
        <v>166</v>
      </c>
      <c r="EX134" s="14" t="s">
        <v>190</v>
      </c>
      <c r="EY134" s="14" t="s">
        <v>166</v>
      </c>
      <c r="EZ134" s="16" t="s">
        <v>166</v>
      </c>
      <c r="FA134" s="15" t="s">
        <v>166</v>
      </c>
      <c r="FB134" s="15" t="s">
        <v>166</v>
      </c>
      <c r="FC134" s="15" t="s">
        <v>166</v>
      </c>
      <c r="FD134" s="15" t="s">
        <v>166</v>
      </c>
      <c r="FE134" s="15" t="s">
        <v>166</v>
      </c>
      <c r="FF134" s="15" t="s">
        <v>166</v>
      </c>
      <c r="FG134" s="14" t="s">
        <v>166</v>
      </c>
      <c r="FH134" s="3">
        <f>HYPERLINK("https://my.pitchbook.com?c=193851-19T","View Company Online")</f>
      </c>
    </row>
    <row r="135">
      <c r="A135" s="25" t="s">
        <v>2798</v>
      </c>
      <c r="B135" s="25" t="s">
        <v>2799</v>
      </c>
      <c r="C135" s="25" t="s">
        <v>2800</v>
      </c>
      <c r="D135" s="25" t="s">
        <v>166</v>
      </c>
      <c r="E135" s="34" t="s">
        <v>2801</v>
      </c>
      <c r="F135" s="32">
        <v>10</v>
      </c>
      <c r="G135" s="25" t="s">
        <v>2802</v>
      </c>
      <c r="H135" s="25" t="s">
        <v>166</v>
      </c>
      <c r="I135" s="25" t="s">
        <v>2803</v>
      </c>
      <c r="J135" s="25" t="s">
        <v>2804</v>
      </c>
      <c r="K135" s="25" t="s">
        <v>171</v>
      </c>
      <c r="L135" s="25" t="s">
        <v>172</v>
      </c>
      <c r="M135" s="25" t="s">
        <v>173</v>
      </c>
      <c r="N135" s="25" t="s">
        <v>2805</v>
      </c>
      <c r="O135" s="25" t="s">
        <v>2806</v>
      </c>
      <c r="P135" s="25" t="s">
        <v>2807</v>
      </c>
      <c r="Q135" s="25" t="s">
        <v>926</v>
      </c>
      <c r="R135" s="25" t="s">
        <v>177</v>
      </c>
      <c r="S135" s="25" t="s">
        <v>178</v>
      </c>
      <c r="T135" s="25" t="s">
        <v>179</v>
      </c>
      <c r="U135" s="25" t="s">
        <v>2808</v>
      </c>
      <c r="V135" s="25" t="s">
        <v>2809</v>
      </c>
      <c r="W135" s="32" t="s">
        <v>2810</v>
      </c>
      <c r="X135" s="25" t="s">
        <v>2811</v>
      </c>
      <c r="Y135" s="25" t="s">
        <v>2812</v>
      </c>
      <c r="Z135" s="25" t="s">
        <v>2813</v>
      </c>
      <c r="AA135" s="25" t="s">
        <v>242</v>
      </c>
      <c r="AB135" s="25" t="s">
        <v>243</v>
      </c>
      <c r="AC135" s="25" t="s">
        <v>244</v>
      </c>
      <c r="AD135" s="25" t="s">
        <v>243</v>
      </c>
      <c r="AE135" s="25" t="s">
        <v>243</v>
      </c>
      <c r="AF135" s="25" t="s">
        <v>166</v>
      </c>
      <c r="AG135" s="25" t="s">
        <v>166</v>
      </c>
      <c r="AH135" s="32">
        <v>4</v>
      </c>
      <c r="AI135" s="4">
        <f>HYPERLINK("https://my.pitchbook.com/?d=166876-84T","166876-84T")</f>
      </c>
      <c r="AJ135" s="30">
        <v>44243</v>
      </c>
      <c r="AK135" s="30">
        <v>44715</v>
      </c>
      <c r="AL135" s="29">
        <v>3.6</v>
      </c>
      <c r="AM135" s="25" t="s">
        <v>185</v>
      </c>
      <c r="AN135" s="29">
        <v>10</v>
      </c>
      <c r="AO135" s="29">
        <v>13.6</v>
      </c>
      <c r="AP135" s="25" t="s">
        <v>185</v>
      </c>
      <c r="AQ135" s="32" t="s">
        <v>166</v>
      </c>
      <c r="AR135" s="32" t="s">
        <v>166</v>
      </c>
      <c r="AS135" s="28">
        <v>26.47</v>
      </c>
      <c r="AT135" s="29">
        <v>3.62</v>
      </c>
      <c r="AU135" s="32" t="s">
        <v>186</v>
      </c>
      <c r="AV135" s="32" t="s">
        <v>166</v>
      </c>
      <c r="AW135" s="29" t="s">
        <v>166</v>
      </c>
      <c r="AX135" s="32" t="s">
        <v>166</v>
      </c>
      <c r="AY135" s="25" t="s">
        <v>217</v>
      </c>
      <c r="AZ135" s="25" t="s">
        <v>217</v>
      </c>
      <c r="BA135" s="25" t="s">
        <v>166</v>
      </c>
      <c r="BB135" s="32" t="s">
        <v>166</v>
      </c>
      <c r="BC135" s="25" t="s">
        <v>179</v>
      </c>
      <c r="BD135" s="25" t="s">
        <v>2814</v>
      </c>
      <c r="BE135" s="25" t="s">
        <v>189</v>
      </c>
      <c r="BF135" s="29">
        <v>3.6</v>
      </c>
      <c r="BG135" s="25" t="s">
        <v>190</v>
      </c>
      <c r="BH135" s="25" t="s">
        <v>166</v>
      </c>
      <c r="BI135" s="25" t="s">
        <v>166</v>
      </c>
      <c r="BJ135" s="29" t="s">
        <v>166</v>
      </c>
      <c r="BK135" s="29" t="s">
        <v>166</v>
      </c>
      <c r="BL135" s="25" t="s">
        <v>191</v>
      </c>
      <c r="BM135" s="25" t="s">
        <v>178</v>
      </c>
      <c r="BN135" s="25" t="s">
        <v>177</v>
      </c>
      <c r="BO135" s="33" t="s">
        <v>166</v>
      </c>
      <c r="BP135" s="25" t="s">
        <v>2815</v>
      </c>
      <c r="BQ135" s="32">
        <v>10</v>
      </c>
      <c r="BR135" s="25" t="s">
        <v>166</v>
      </c>
      <c r="BS135" s="32" t="s">
        <v>166</v>
      </c>
      <c r="BT135" s="25" t="s">
        <v>2816</v>
      </c>
      <c r="BU135" s="25" t="s">
        <v>166</v>
      </c>
      <c r="BV135" s="25" t="s">
        <v>2817</v>
      </c>
      <c r="BW135" s="25" t="s">
        <v>166</v>
      </c>
      <c r="BX135" s="25" t="s">
        <v>166</v>
      </c>
      <c r="BY135" s="25" t="s">
        <v>166</v>
      </c>
      <c r="BZ135" s="25" t="s">
        <v>166</v>
      </c>
      <c r="CA135" s="25" t="s">
        <v>166</v>
      </c>
      <c r="CB135" s="25" t="s">
        <v>166</v>
      </c>
      <c r="CC135" s="25" t="s">
        <v>166</v>
      </c>
      <c r="CD135" s="25" t="s">
        <v>166</v>
      </c>
      <c r="CE135" s="29" t="s">
        <v>166</v>
      </c>
      <c r="CF135" s="27" t="s">
        <v>166</v>
      </c>
      <c r="CG135" s="28" t="s">
        <v>166</v>
      </c>
      <c r="CH135" s="27" t="s">
        <v>166</v>
      </c>
      <c r="CI135" s="27" t="s">
        <v>166</v>
      </c>
      <c r="CJ135" s="27" t="s">
        <v>166</v>
      </c>
      <c r="CK135" s="27" t="s">
        <v>166</v>
      </c>
      <c r="CL135" s="27" t="s">
        <v>166</v>
      </c>
      <c r="CM135" s="31" t="s">
        <v>166</v>
      </c>
      <c r="CN135" s="27" t="s">
        <v>166</v>
      </c>
      <c r="CO135" s="27" t="s">
        <v>166</v>
      </c>
      <c r="CP135" s="27" t="s">
        <v>166</v>
      </c>
      <c r="CQ135" s="27" t="s">
        <v>166</v>
      </c>
      <c r="CR135" s="27" t="s">
        <v>166</v>
      </c>
      <c r="CS135" s="27" t="s">
        <v>166</v>
      </c>
      <c r="CT135" s="27" t="s">
        <v>166</v>
      </c>
      <c r="CU135" s="27" t="s">
        <v>166</v>
      </c>
      <c r="CV135" s="27" t="s">
        <v>166</v>
      </c>
      <c r="CW135" s="27" t="s">
        <v>166</v>
      </c>
      <c r="CX135" s="27" t="s">
        <v>166</v>
      </c>
      <c r="CY135" s="27" t="s">
        <v>166</v>
      </c>
      <c r="CZ135" s="27" t="s">
        <v>166</v>
      </c>
      <c r="DA135" s="27" t="s">
        <v>166</v>
      </c>
      <c r="DB135" s="27" t="s">
        <v>166</v>
      </c>
      <c r="DC135" s="27" t="s">
        <v>166</v>
      </c>
      <c r="DD135" s="27" t="s">
        <v>166</v>
      </c>
      <c r="DE135" s="28" t="s">
        <v>166</v>
      </c>
      <c r="DF135" s="33">
        <v>26</v>
      </c>
      <c r="DG135" s="25" t="s">
        <v>2818</v>
      </c>
      <c r="DH135" s="25" t="s">
        <v>193</v>
      </c>
      <c r="DI135" s="25" t="s">
        <v>194</v>
      </c>
      <c r="DJ135" s="25" t="s">
        <v>2819</v>
      </c>
      <c r="DK135" s="25" t="s">
        <v>2102</v>
      </c>
      <c r="DL135" s="32" t="s">
        <v>2820</v>
      </c>
      <c r="DM135" s="25" t="s">
        <v>198</v>
      </c>
      <c r="DN135" s="24" t="s">
        <v>2821</v>
      </c>
      <c r="DO135" s="31">
        <v>2016</v>
      </c>
      <c r="DP135" s="25" t="s">
        <v>166</v>
      </c>
      <c r="DQ135" s="25" t="s">
        <v>166</v>
      </c>
      <c r="DR135" s="29" t="s">
        <v>166</v>
      </c>
      <c r="DS135" s="27" t="s">
        <v>166</v>
      </c>
      <c r="DT135" s="30" t="s">
        <v>166</v>
      </c>
      <c r="DU135" s="25" t="s">
        <v>166</v>
      </c>
      <c r="DV135" s="29" t="s">
        <v>166</v>
      </c>
      <c r="DW135" s="29" t="s">
        <v>166</v>
      </c>
      <c r="DX135" s="27" t="s">
        <v>166</v>
      </c>
      <c r="DY135" s="27" t="s">
        <v>166</v>
      </c>
      <c r="DZ135" s="28" t="s">
        <v>166</v>
      </c>
      <c r="EA135" s="27" t="s">
        <v>166</v>
      </c>
      <c r="EB135" s="27" t="s">
        <v>166</v>
      </c>
      <c r="EC135" s="27" t="s">
        <v>166</v>
      </c>
      <c r="ED135" s="28" t="s">
        <v>166</v>
      </c>
      <c r="EE135" s="28" t="s">
        <v>166</v>
      </c>
      <c r="EF135" s="28" t="s">
        <v>166</v>
      </c>
      <c r="EG135" s="28" t="s">
        <v>166</v>
      </c>
      <c r="EH135" s="27" t="s">
        <v>166</v>
      </c>
      <c r="EI135" s="27" t="s">
        <v>166</v>
      </c>
      <c r="EJ135" s="27" t="s">
        <v>166</v>
      </c>
      <c r="EK135" s="27" t="s">
        <v>166</v>
      </c>
      <c r="EL135" s="27" t="s">
        <v>166</v>
      </c>
      <c r="EM135" s="27" t="s">
        <v>166</v>
      </c>
      <c r="EN135" s="27" t="s">
        <v>166</v>
      </c>
      <c r="EO135" s="27" t="s">
        <v>166</v>
      </c>
      <c r="EP135" s="27" t="s">
        <v>166</v>
      </c>
      <c r="EQ135" s="27" t="s">
        <v>166</v>
      </c>
      <c r="ER135" s="27" t="s">
        <v>166</v>
      </c>
      <c r="ES135" s="27" t="s">
        <v>166</v>
      </c>
      <c r="ET135" s="25" t="s">
        <v>166</v>
      </c>
      <c r="EU135" s="27" t="s">
        <v>166</v>
      </c>
      <c r="EV135" s="27" t="s">
        <v>166</v>
      </c>
      <c r="EW135" s="27" t="s">
        <v>166</v>
      </c>
      <c r="EX135" s="25" t="s">
        <v>190</v>
      </c>
      <c r="EY135" s="25" t="s">
        <v>166</v>
      </c>
      <c r="EZ135" s="27" t="s">
        <v>166</v>
      </c>
      <c r="FA135" s="26" t="s">
        <v>166</v>
      </c>
      <c r="FB135" s="26" t="s">
        <v>166</v>
      </c>
      <c r="FC135" s="26" t="s">
        <v>166</v>
      </c>
      <c r="FD135" s="26" t="s">
        <v>166</v>
      </c>
      <c r="FE135" s="26" t="s">
        <v>166</v>
      </c>
      <c r="FF135" s="26" t="s">
        <v>166</v>
      </c>
      <c r="FG135" s="25" t="s">
        <v>166</v>
      </c>
      <c r="FH135" s="4">
        <f>HYPERLINK("https://my.pitchbook.com?c=166876-84T","View Company Online")</f>
      </c>
    </row>
    <row r="136">
      <c r="A136" s="14" t="s">
        <v>2822</v>
      </c>
      <c r="B136" s="14" t="s">
        <v>2823</v>
      </c>
      <c r="C136" s="14" t="s">
        <v>2824</v>
      </c>
      <c r="D136" s="14" t="s">
        <v>166</v>
      </c>
      <c r="E136" s="23" t="s">
        <v>2825</v>
      </c>
      <c r="F136" s="21">
        <v>14</v>
      </c>
      <c r="G136" s="14" t="s">
        <v>166</v>
      </c>
      <c r="H136" s="14" t="s">
        <v>166</v>
      </c>
      <c r="I136" s="14" t="s">
        <v>2826</v>
      </c>
      <c r="J136" s="14" t="s">
        <v>2827</v>
      </c>
      <c r="K136" s="14" t="s">
        <v>171</v>
      </c>
      <c r="L136" s="14" t="s">
        <v>172</v>
      </c>
      <c r="M136" s="14" t="s">
        <v>1689</v>
      </c>
      <c r="N136" s="14" t="s">
        <v>2828</v>
      </c>
      <c r="O136" s="14" t="s">
        <v>2829</v>
      </c>
      <c r="P136" s="14" t="s">
        <v>2830</v>
      </c>
      <c r="Q136" s="14" t="s">
        <v>166</v>
      </c>
      <c r="R136" s="14" t="s">
        <v>177</v>
      </c>
      <c r="S136" s="14" t="s">
        <v>1859</v>
      </c>
      <c r="T136" s="14" t="s">
        <v>179</v>
      </c>
      <c r="U136" s="14" t="s">
        <v>2831</v>
      </c>
      <c r="V136" s="14" t="s">
        <v>2832</v>
      </c>
      <c r="W136" s="21" t="s">
        <v>2833</v>
      </c>
      <c r="X136" s="14" t="s">
        <v>2834</v>
      </c>
      <c r="Y136" s="14" t="s">
        <v>2835</v>
      </c>
      <c r="Z136" s="14" t="s">
        <v>166</v>
      </c>
      <c r="AA136" s="14" t="s">
        <v>166</v>
      </c>
      <c r="AB136" s="14" t="s">
        <v>166</v>
      </c>
      <c r="AC136" s="14" t="s">
        <v>166</v>
      </c>
      <c r="AD136" s="14" t="s">
        <v>166</v>
      </c>
      <c r="AE136" s="14" t="s">
        <v>166</v>
      </c>
      <c r="AF136" s="14" t="s">
        <v>166</v>
      </c>
      <c r="AG136" s="14" t="s">
        <v>166</v>
      </c>
      <c r="AH136" s="21">
        <v>1</v>
      </c>
      <c r="AI136" s="3">
        <f>HYPERLINK("https://my.pitchbook.com/?d=177809-05T","177809-05T")</f>
      </c>
      <c r="AJ136" s="19" t="s">
        <v>166</v>
      </c>
      <c r="AK136" s="19">
        <v>44221</v>
      </c>
      <c r="AL136" s="18">
        <v>0.5</v>
      </c>
      <c r="AM136" s="14" t="s">
        <v>185</v>
      </c>
      <c r="AN136" s="18" t="s">
        <v>166</v>
      </c>
      <c r="AO136" s="18" t="s">
        <v>166</v>
      </c>
      <c r="AP136" s="14" t="s">
        <v>166</v>
      </c>
      <c r="AQ136" s="21" t="s">
        <v>166</v>
      </c>
      <c r="AR136" s="21" t="s">
        <v>166</v>
      </c>
      <c r="AS136" s="17" t="s">
        <v>166</v>
      </c>
      <c r="AT136" s="18">
        <v>0.5</v>
      </c>
      <c r="AU136" s="21" t="s">
        <v>186</v>
      </c>
      <c r="AV136" s="21" t="s">
        <v>166</v>
      </c>
      <c r="AW136" s="18" t="s">
        <v>166</v>
      </c>
      <c r="AX136" s="21" t="s">
        <v>166</v>
      </c>
      <c r="AY136" s="14" t="s">
        <v>217</v>
      </c>
      <c r="AZ136" s="14" t="s">
        <v>217</v>
      </c>
      <c r="BA136" s="14" t="s">
        <v>166</v>
      </c>
      <c r="BB136" s="21" t="s">
        <v>166</v>
      </c>
      <c r="BC136" s="14" t="s">
        <v>179</v>
      </c>
      <c r="BD136" s="14" t="s">
        <v>2836</v>
      </c>
      <c r="BE136" s="14" t="s">
        <v>189</v>
      </c>
      <c r="BF136" s="18">
        <v>0.5</v>
      </c>
      <c r="BG136" s="14" t="s">
        <v>190</v>
      </c>
      <c r="BH136" s="14" t="s">
        <v>166</v>
      </c>
      <c r="BI136" s="14" t="s">
        <v>166</v>
      </c>
      <c r="BJ136" s="18" t="s">
        <v>166</v>
      </c>
      <c r="BK136" s="18" t="s">
        <v>166</v>
      </c>
      <c r="BL136" s="14" t="s">
        <v>191</v>
      </c>
      <c r="BM136" s="14" t="s">
        <v>178</v>
      </c>
      <c r="BN136" s="14" t="s">
        <v>177</v>
      </c>
      <c r="BO136" s="22">
        <v>3</v>
      </c>
      <c r="BP136" s="14" t="s">
        <v>2837</v>
      </c>
      <c r="BQ136" s="21">
        <v>14</v>
      </c>
      <c r="BR136" s="14" t="s">
        <v>166</v>
      </c>
      <c r="BS136" s="21" t="s">
        <v>166</v>
      </c>
      <c r="BT136" s="14" t="s">
        <v>166</v>
      </c>
      <c r="BU136" s="14" t="s">
        <v>166</v>
      </c>
      <c r="BV136" s="14" t="s">
        <v>166</v>
      </c>
      <c r="BW136" s="14" t="s">
        <v>166</v>
      </c>
      <c r="BX136" s="14" t="s">
        <v>166</v>
      </c>
      <c r="BY136" s="14" t="s">
        <v>166</v>
      </c>
      <c r="BZ136" s="14" t="s">
        <v>166</v>
      </c>
      <c r="CA136" s="14" t="s">
        <v>166</v>
      </c>
      <c r="CB136" s="14" t="s">
        <v>166</v>
      </c>
      <c r="CC136" s="14" t="s">
        <v>166</v>
      </c>
      <c r="CD136" s="14" t="s">
        <v>166</v>
      </c>
      <c r="CE136" s="18" t="s">
        <v>166</v>
      </c>
      <c r="CF136" s="16">
        <v>0.81</v>
      </c>
      <c r="CG136" s="17" t="s">
        <v>166</v>
      </c>
      <c r="CH136" s="16" t="s">
        <v>166</v>
      </c>
      <c r="CI136" s="16" t="s">
        <v>166</v>
      </c>
      <c r="CJ136" s="16" t="s">
        <v>166</v>
      </c>
      <c r="CK136" s="16" t="s">
        <v>166</v>
      </c>
      <c r="CL136" s="16" t="s">
        <v>166</v>
      </c>
      <c r="CM136" s="20">
        <v>2020</v>
      </c>
      <c r="CN136" s="16" t="s">
        <v>166</v>
      </c>
      <c r="CO136" s="16" t="s">
        <v>166</v>
      </c>
      <c r="CP136" s="16" t="s">
        <v>166</v>
      </c>
      <c r="CQ136" s="16" t="s">
        <v>166</v>
      </c>
      <c r="CR136" s="16" t="s">
        <v>166</v>
      </c>
      <c r="CS136" s="16" t="s">
        <v>166</v>
      </c>
      <c r="CT136" s="16" t="s">
        <v>166</v>
      </c>
      <c r="CU136" s="16" t="s">
        <v>166</v>
      </c>
      <c r="CV136" s="16">
        <v>0.62</v>
      </c>
      <c r="CW136" s="16" t="s">
        <v>166</v>
      </c>
      <c r="CX136" s="16" t="s">
        <v>166</v>
      </c>
      <c r="CY136" s="16" t="s">
        <v>166</v>
      </c>
      <c r="CZ136" s="16" t="s">
        <v>166</v>
      </c>
      <c r="DA136" s="16" t="s">
        <v>166</v>
      </c>
      <c r="DB136" s="16" t="s">
        <v>166</v>
      </c>
      <c r="DC136" s="16" t="s">
        <v>166</v>
      </c>
      <c r="DD136" s="16" t="s">
        <v>166</v>
      </c>
      <c r="DE136" s="17" t="s">
        <v>166</v>
      </c>
      <c r="DF136" s="22">
        <v>25</v>
      </c>
      <c r="DG136" s="14" t="s">
        <v>2838</v>
      </c>
      <c r="DH136" s="14" t="s">
        <v>193</v>
      </c>
      <c r="DI136" s="14" t="s">
        <v>194</v>
      </c>
      <c r="DJ136" s="14" t="s">
        <v>2839</v>
      </c>
      <c r="DK136" s="14" t="s">
        <v>2840</v>
      </c>
      <c r="DL136" s="21" t="s">
        <v>2841</v>
      </c>
      <c r="DM136" s="14" t="s">
        <v>198</v>
      </c>
      <c r="DN136" s="13" t="s">
        <v>2842</v>
      </c>
      <c r="DO136" s="20">
        <v>2018</v>
      </c>
      <c r="DP136" s="14" t="s">
        <v>166</v>
      </c>
      <c r="DQ136" s="14" t="s">
        <v>166</v>
      </c>
      <c r="DR136" s="18" t="s">
        <v>166</v>
      </c>
      <c r="DS136" s="16" t="s">
        <v>166</v>
      </c>
      <c r="DT136" s="19" t="s">
        <v>166</v>
      </c>
      <c r="DU136" s="14" t="s">
        <v>166</v>
      </c>
      <c r="DV136" s="18" t="s">
        <v>166</v>
      </c>
      <c r="DW136" s="18" t="s">
        <v>166</v>
      </c>
      <c r="DX136" s="16" t="s">
        <v>166</v>
      </c>
      <c r="DY136" s="16" t="s">
        <v>166</v>
      </c>
      <c r="DZ136" s="17" t="s">
        <v>166</v>
      </c>
      <c r="EA136" s="16" t="s">
        <v>166</v>
      </c>
      <c r="EB136" s="16" t="s">
        <v>166</v>
      </c>
      <c r="EC136" s="16" t="s">
        <v>166</v>
      </c>
      <c r="ED136" s="17" t="s">
        <v>166</v>
      </c>
      <c r="EE136" s="17" t="s">
        <v>166</v>
      </c>
      <c r="EF136" s="17" t="s">
        <v>166</v>
      </c>
      <c r="EG136" s="17" t="s">
        <v>166</v>
      </c>
      <c r="EH136" s="16" t="s">
        <v>166</v>
      </c>
      <c r="EI136" s="16" t="s">
        <v>166</v>
      </c>
      <c r="EJ136" s="16" t="s">
        <v>166</v>
      </c>
      <c r="EK136" s="16" t="s">
        <v>166</v>
      </c>
      <c r="EL136" s="16" t="s">
        <v>166</v>
      </c>
      <c r="EM136" s="16" t="s">
        <v>166</v>
      </c>
      <c r="EN136" s="16" t="s">
        <v>166</v>
      </c>
      <c r="EO136" s="16" t="s">
        <v>166</v>
      </c>
      <c r="EP136" s="16" t="s">
        <v>166</v>
      </c>
      <c r="EQ136" s="16" t="s">
        <v>166</v>
      </c>
      <c r="ER136" s="16" t="s">
        <v>166</v>
      </c>
      <c r="ES136" s="16" t="s">
        <v>166</v>
      </c>
      <c r="ET136" s="14" t="s">
        <v>166</v>
      </c>
      <c r="EU136" s="16" t="s">
        <v>166</v>
      </c>
      <c r="EV136" s="16" t="s">
        <v>166</v>
      </c>
      <c r="EW136" s="16" t="s">
        <v>166</v>
      </c>
      <c r="EX136" s="14" t="s">
        <v>190</v>
      </c>
      <c r="EY136" s="14" t="s">
        <v>166</v>
      </c>
      <c r="EZ136" s="16" t="s">
        <v>166</v>
      </c>
      <c r="FA136" s="15" t="s">
        <v>166</v>
      </c>
      <c r="FB136" s="15" t="s">
        <v>166</v>
      </c>
      <c r="FC136" s="15" t="s">
        <v>166</v>
      </c>
      <c r="FD136" s="15" t="s">
        <v>166</v>
      </c>
      <c r="FE136" s="15" t="s">
        <v>166</v>
      </c>
      <c r="FF136" s="15" t="s">
        <v>166</v>
      </c>
      <c r="FG136" s="14" t="s">
        <v>166</v>
      </c>
      <c r="FH136" s="3">
        <f>HYPERLINK("https://my.pitchbook.com?c=177809-05T","View Company Online")</f>
      </c>
    </row>
    <row r="137">
      <c r="A137" s="25" t="s">
        <v>2843</v>
      </c>
      <c r="B137" s="25" t="s">
        <v>2844</v>
      </c>
      <c r="C137" s="25" t="s">
        <v>2845</v>
      </c>
      <c r="D137" s="25" t="s">
        <v>166</v>
      </c>
      <c r="E137" s="34" t="s">
        <v>2846</v>
      </c>
      <c r="F137" s="32">
        <v>1</v>
      </c>
      <c r="G137" s="25" t="s">
        <v>2847</v>
      </c>
      <c r="H137" s="25" t="s">
        <v>166</v>
      </c>
      <c r="I137" s="25" t="s">
        <v>2848</v>
      </c>
      <c r="J137" s="25" t="s">
        <v>2849</v>
      </c>
      <c r="K137" s="25" t="s">
        <v>1455</v>
      </c>
      <c r="L137" s="25" t="s">
        <v>1984</v>
      </c>
      <c r="M137" s="25" t="s">
        <v>1985</v>
      </c>
      <c r="N137" s="25" t="s">
        <v>2850</v>
      </c>
      <c r="O137" s="25" t="s">
        <v>211</v>
      </c>
      <c r="P137" s="25" t="s">
        <v>2851</v>
      </c>
      <c r="Q137" s="25" t="s">
        <v>166</v>
      </c>
      <c r="R137" s="25" t="s">
        <v>177</v>
      </c>
      <c r="S137" s="25" t="s">
        <v>178</v>
      </c>
      <c r="T137" s="25" t="s">
        <v>179</v>
      </c>
      <c r="U137" s="25" t="s">
        <v>2852</v>
      </c>
      <c r="V137" s="25" t="s">
        <v>2853</v>
      </c>
      <c r="W137" s="32" t="s">
        <v>2854</v>
      </c>
      <c r="X137" s="25" t="s">
        <v>2855</v>
      </c>
      <c r="Y137" s="25" t="s">
        <v>2856</v>
      </c>
      <c r="Z137" s="25" t="s">
        <v>2857</v>
      </c>
      <c r="AA137" s="25" t="s">
        <v>166</v>
      </c>
      <c r="AB137" s="25" t="s">
        <v>166</v>
      </c>
      <c r="AC137" s="25" t="s">
        <v>166</v>
      </c>
      <c r="AD137" s="25" t="s">
        <v>166</v>
      </c>
      <c r="AE137" s="25" t="s">
        <v>166</v>
      </c>
      <c r="AF137" s="25" t="s">
        <v>166</v>
      </c>
      <c r="AG137" s="25" t="s">
        <v>166</v>
      </c>
      <c r="AH137" s="32">
        <v>1</v>
      </c>
      <c r="AI137" s="4">
        <f>HYPERLINK("https://my.pitchbook.com/?d=219921-85T","219921-85T")</f>
      </c>
      <c r="AJ137" s="30" t="s">
        <v>166</v>
      </c>
      <c r="AK137" s="30">
        <v>45020</v>
      </c>
      <c r="AL137" s="29">
        <v>0.05</v>
      </c>
      <c r="AM137" s="25" t="s">
        <v>185</v>
      </c>
      <c r="AN137" s="29" t="s">
        <v>166</v>
      </c>
      <c r="AO137" s="29" t="s">
        <v>166</v>
      </c>
      <c r="AP137" s="25" t="s">
        <v>166</v>
      </c>
      <c r="AQ137" s="32" t="s">
        <v>166</v>
      </c>
      <c r="AR137" s="32" t="s">
        <v>166</v>
      </c>
      <c r="AS137" s="28" t="s">
        <v>166</v>
      </c>
      <c r="AT137" s="29">
        <v>0.05</v>
      </c>
      <c r="AU137" s="32" t="s">
        <v>186</v>
      </c>
      <c r="AV137" s="32" t="s">
        <v>166</v>
      </c>
      <c r="AW137" s="29" t="s">
        <v>166</v>
      </c>
      <c r="AX137" s="32" t="s">
        <v>166</v>
      </c>
      <c r="AY137" s="25" t="s">
        <v>217</v>
      </c>
      <c r="AZ137" s="25" t="s">
        <v>217</v>
      </c>
      <c r="BA137" s="25" t="s">
        <v>166</v>
      </c>
      <c r="BB137" s="32" t="s">
        <v>166</v>
      </c>
      <c r="BC137" s="25" t="s">
        <v>179</v>
      </c>
      <c r="BD137" s="25" t="s">
        <v>2858</v>
      </c>
      <c r="BE137" s="25" t="s">
        <v>189</v>
      </c>
      <c r="BF137" s="29">
        <v>0.05</v>
      </c>
      <c r="BG137" s="25" t="s">
        <v>190</v>
      </c>
      <c r="BH137" s="25" t="s">
        <v>166</v>
      </c>
      <c r="BI137" s="25" t="s">
        <v>166</v>
      </c>
      <c r="BJ137" s="29" t="s">
        <v>166</v>
      </c>
      <c r="BK137" s="29" t="s">
        <v>166</v>
      </c>
      <c r="BL137" s="25" t="s">
        <v>191</v>
      </c>
      <c r="BM137" s="25" t="s">
        <v>178</v>
      </c>
      <c r="BN137" s="25" t="s">
        <v>177</v>
      </c>
      <c r="BO137" s="33" t="s">
        <v>166</v>
      </c>
      <c r="BP137" s="25" t="s">
        <v>2846</v>
      </c>
      <c r="BQ137" s="32">
        <v>1</v>
      </c>
      <c r="BR137" s="25" t="s">
        <v>166</v>
      </c>
      <c r="BS137" s="32" t="s">
        <v>166</v>
      </c>
      <c r="BT137" s="25" t="s">
        <v>166</v>
      </c>
      <c r="BU137" s="25" t="s">
        <v>166</v>
      </c>
      <c r="BV137" s="25" t="s">
        <v>166</v>
      </c>
      <c r="BW137" s="25" t="s">
        <v>166</v>
      </c>
      <c r="BX137" s="25" t="s">
        <v>166</v>
      </c>
      <c r="BY137" s="25" t="s">
        <v>166</v>
      </c>
      <c r="BZ137" s="25" t="s">
        <v>166</v>
      </c>
      <c r="CA137" s="25" t="s">
        <v>166</v>
      </c>
      <c r="CB137" s="25" t="s">
        <v>166</v>
      </c>
      <c r="CC137" s="25" t="s">
        <v>166</v>
      </c>
      <c r="CD137" s="25" t="s">
        <v>166</v>
      </c>
      <c r="CE137" s="29" t="s">
        <v>166</v>
      </c>
      <c r="CF137" s="27" t="s">
        <v>166</v>
      </c>
      <c r="CG137" s="28" t="s">
        <v>166</v>
      </c>
      <c r="CH137" s="27" t="s">
        <v>166</v>
      </c>
      <c r="CI137" s="27" t="s">
        <v>166</v>
      </c>
      <c r="CJ137" s="27" t="s">
        <v>166</v>
      </c>
      <c r="CK137" s="27" t="s">
        <v>166</v>
      </c>
      <c r="CL137" s="27" t="s">
        <v>166</v>
      </c>
      <c r="CM137" s="31" t="s">
        <v>166</v>
      </c>
      <c r="CN137" s="27" t="s">
        <v>166</v>
      </c>
      <c r="CO137" s="27" t="s">
        <v>166</v>
      </c>
      <c r="CP137" s="27" t="s">
        <v>166</v>
      </c>
      <c r="CQ137" s="27" t="s">
        <v>166</v>
      </c>
      <c r="CR137" s="27" t="s">
        <v>166</v>
      </c>
      <c r="CS137" s="27" t="s">
        <v>166</v>
      </c>
      <c r="CT137" s="27" t="s">
        <v>166</v>
      </c>
      <c r="CU137" s="27" t="s">
        <v>166</v>
      </c>
      <c r="CV137" s="27" t="s">
        <v>166</v>
      </c>
      <c r="CW137" s="27" t="s">
        <v>166</v>
      </c>
      <c r="CX137" s="27" t="s">
        <v>166</v>
      </c>
      <c r="CY137" s="27" t="s">
        <v>166</v>
      </c>
      <c r="CZ137" s="27" t="s">
        <v>166</v>
      </c>
      <c r="DA137" s="27" t="s">
        <v>166</v>
      </c>
      <c r="DB137" s="27" t="s">
        <v>166</v>
      </c>
      <c r="DC137" s="27" t="s">
        <v>166</v>
      </c>
      <c r="DD137" s="27" t="s">
        <v>166</v>
      </c>
      <c r="DE137" s="28" t="s">
        <v>166</v>
      </c>
      <c r="DF137" s="33" t="s">
        <v>166</v>
      </c>
      <c r="DG137" s="25" t="s">
        <v>2859</v>
      </c>
      <c r="DH137" s="25" t="s">
        <v>193</v>
      </c>
      <c r="DI137" s="25" t="s">
        <v>194</v>
      </c>
      <c r="DJ137" s="25" t="s">
        <v>2860</v>
      </c>
      <c r="DK137" s="25" t="s">
        <v>2861</v>
      </c>
      <c r="DL137" s="32" t="s">
        <v>2862</v>
      </c>
      <c r="DM137" s="25" t="s">
        <v>198</v>
      </c>
      <c r="DN137" s="24" t="s">
        <v>2863</v>
      </c>
      <c r="DO137" s="31">
        <v>2019</v>
      </c>
      <c r="DP137" s="25" t="s">
        <v>166</v>
      </c>
      <c r="DQ137" s="25" t="s">
        <v>166</v>
      </c>
      <c r="DR137" s="29" t="s">
        <v>166</v>
      </c>
      <c r="DS137" s="27" t="s">
        <v>166</v>
      </c>
      <c r="DT137" s="30" t="s">
        <v>166</v>
      </c>
      <c r="DU137" s="25" t="s">
        <v>166</v>
      </c>
      <c r="DV137" s="29" t="s">
        <v>166</v>
      </c>
      <c r="DW137" s="29" t="s">
        <v>166</v>
      </c>
      <c r="DX137" s="27" t="s">
        <v>166</v>
      </c>
      <c r="DY137" s="27" t="s">
        <v>166</v>
      </c>
      <c r="DZ137" s="28" t="s">
        <v>166</v>
      </c>
      <c r="EA137" s="27" t="s">
        <v>166</v>
      </c>
      <c r="EB137" s="27" t="s">
        <v>166</v>
      </c>
      <c r="EC137" s="27" t="s">
        <v>166</v>
      </c>
      <c r="ED137" s="28" t="s">
        <v>166</v>
      </c>
      <c r="EE137" s="28" t="s">
        <v>166</v>
      </c>
      <c r="EF137" s="28" t="s">
        <v>166</v>
      </c>
      <c r="EG137" s="28" t="s">
        <v>166</v>
      </c>
      <c r="EH137" s="27" t="s">
        <v>166</v>
      </c>
      <c r="EI137" s="27" t="s">
        <v>166</v>
      </c>
      <c r="EJ137" s="27" t="s">
        <v>166</v>
      </c>
      <c r="EK137" s="27" t="s">
        <v>166</v>
      </c>
      <c r="EL137" s="27" t="s">
        <v>166</v>
      </c>
      <c r="EM137" s="27" t="s">
        <v>166</v>
      </c>
      <c r="EN137" s="27" t="s">
        <v>166</v>
      </c>
      <c r="EO137" s="27" t="s">
        <v>166</v>
      </c>
      <c r="EP137" s="27" t="s">
        <v>166</v>
      </c>
      <c r="EQ137" s="27" t="s">
        <v>166</v>
      </c>
      <c r="ER137" s="27" t="s">
        <v>166</v>
      </c>
      <c r="ES137" s="27" t="s">
        <v>166</v>
      </c>
      <c r="ET137" s="25" t="s">
        <v>166</v>
      </c>
      <c r="EU137" s="27" t="s">
        <v>166</v>
      </c>
      <c r="EV137" s="27" t="s">
        <v>166</v>
      </c>
      <c r="EW137" s="27" t="s">
        <v>166</v>
      </c>
      <c r="EX137" s="25" t="s">
        <v>190</v>
      </c>
      <c r="EY137" s="25" t="s">
        <v>166</v>
      </c>
      <c r="EZ137" s="27" t="s">
        <v>166</v>
      </c>
      <c r="FA137" s="26" t="s">
        <v>166</v>
      </c>
      <c r="FB137" s="26" t="s">
        <v>166</v>
      </c>
      <c r="FC137" s="26" t="s">
        <v>166</v>
      </c>
      <c r="FD137" s="26" t="s">
        <v>166</v>
      </c>
      <c r="FE137" s="26" t="s">
        <v>166</v>
      </c>
      <c r="FF137" s="26" t="s">
        <v>166</v>
      </c>
      <c r="FG137" s="25" t="s">
        <v>166</v>
      </c>
      <c r="FH137" s="4">
        <f>HYPERLINK("https://my.pitchbook.com?c=219921-85T","View Company Online")</f>
      </c>
    </row>
    <row r="138">
      <c r="A138" s="14" t="s">
        <v>2864</v>
      </c>
      <c r="B138" s="14" t="s">
        <v>2865</v>
      </c>
      <c r="C138" s="14" t="s">
        <v>2866</v>
      </c>
      <c r="D138" s="14" t="s">
        <v>166</v>
      </c>
      <c r="E138" s="23" t="s">
        <v>2867</v>
      </c>
      <c r="F138" s="21">
        <v>4</v>
      </c>
      <c r="G138" s="14" t="s">
        <v>2868</v>
      </c>
      <c r="H138" s="14" t="s">
        <v>166</v>
      </c>
      <c r="I138" s="14" t="s">
        <v>2869</v>
      </c>
      <c r="J138" s="14" t="s">
        <v>2870</v>
      </c>
      <c r="K138" s="14" t="s">
        <v>207</v>
      </c>
      <c r="L138" s="14" t="s">
        <v>208</v>
      </c>
      <c r="M138" s="14" t="s">
        <v>1766</v>
      </c>
      <c r="N138" s="14" t="s">
        <v>2393</v>
      </c>
      <c r="O138" s="14" t="s">
        <v>2394</v>
      </c>
      <c r="P138" s="14" t="s">
        <v>2871</v>
      </c>
      <c r="Q138" s="14" t="s">
        <v>166</v>
      </c>
      <c r="R138" s="14" t="s">
        <v>177</v>
      </c>
      <c r="S138" s="14" t="s">
        <v>178</v>
      </c>
      <c r="T138" s="14" t="s">
        <v>179</v>
      </c>
      <c r="U138" s="14" t="s">
        <v>2872</v>
      </c>
      <c r="V138" s="14" t="s">
        <v>2873</v>
      </c>
      <c r="W138" s="21" t="s">
        <v>2874</v>
      </c>
      <c r="X138" s="14" t="s">
        <v>2875</v>
      </c>
      <c r="Y138" s="14" t="s">
        <v>2876</v>
      </c>
      <c r="Z138" s="14" t="s">
        <v>2877</v>
      </c>
      <c r="AA138" s="14" t="s">
        <v>166</v>
      </c>
      <c r="AB138" s="14" t="s">
        <v>166</v>
      </c>
      <c r="AC138" s="14" t="s">
        <v>166</v>
      </c>
      <c r="AD138" s="14" t="s">
        <v>166</v>
      </c>
      <c r="AE138" s="14" t="s">
        <v>166</v>
      </c>
      <c r="AF138" s="14" t="s">
        <v>166</v>
      </c>
      <c r="AG138" s="14" t="s">
        <v>166</v>
      </c>
      <c r="AH138" s="21">
        <v>2</v>
      </c>
      <c r="AI138" s="3">
        <f>HYPERLINK("https://my.pitchbook.com/?d=228789-46T","228789-46T")</f>
      </c>
      <c r="AJ138" s="19" t="s">
        <v>166</v>
      </c>
      <c r="AK138" s="19">
        <v>45126</v>
      </c>
      <c r="AL138" s="18">
        <v>2.5</v>
      </c>
      <c r="AM138" s="14" t="s">
        <v>185</v>
      </c>
      <c r="AN138" s="18" t="s">
        <v>166</v>
      </c>
      <c r="AO138" s="18" t="s">
        <v>166</v>
      </c>
      <c r="AP138" s="14" t="s">
        <v>166</v>
      </c>
      <c r="AQ138" s="21" t="s">
        <v>166</v>
      </c>
      <c r="AR138" s="21" t="s">
        <v>166</v>
      </c>
      <c r="AS138" s="17" t="s">
        <v>166</v>
      </c>
      <c r="AT138" s="18">
        <v>2.5</v>
      </c>
      <c r="AU138" s="21" t="s">
        <v>186</v>
      </c>
      <c r="AV138" s="21" t="s">
        <v>166</v>
      </c>
      <c r="AW138" s="18" t="s">
        <v>166</v>
      </c>
      <c r="AX138" s="21" t="s">
        <v>166</v>
      </c>
      <c r="AY138" s="14" t="s">
        <v>217</v>
      </c>
      <c r="AZ138" s="14" t="s">
        <v>217</v>
      </c>
      <c r="BA138" s="14" t="s">
        <v>166</v>
      </c>
      <c r="BB138" s="21" t="s">
        <v>166</v>
      </c>
      <c r="BC138" s="14" t="s">
        <v>179</v>
      </c>
      <c r="BD138" s="14" t="s">
        <v>2870</v>
      </c>
      <c r="BE138" s="14" t="s">
        <v>189</v>
      </c>
      <c r="BF138" s="18">
        <v>2.5</v>
      </c>
      <c r="BG138" s="14" t="s">
        <v>190</v>
      </c>
      <c r="BH138" s="14" t="s">
        <v>166</v>
      </c>
      <c r="BI138" s="14" t="s">
        <v>166</v>
      </c>
      <c r="BJ138" s="18" t="s">
        <v>166</v>
      </c>
      <c r="BK138" s="18" t="s">
        <v>166</v>
      </c>
      <c r="BL138" s="14" t="s">
        <v>191</v>
      </c>
      <c r="BM138" s="14" t="s">
        <v>178</v>
      </c>
      <c r="BN138" s="14" t="s">
        <v>177</v>
      </c>
      <c r="BO138" s="22" t="s">
        <v>166</v>
      </c>
      <c r="BP138" s="14" t="s">
        <v>2878</v>
      </c>
      <c r="BQ138" s="21">
        <v>2</v>
      </c>
      <c r="BR138" s="14" t="s">
        <v>2879</v>
      </c>
      <c r="BS138" s="21">
        <v>2</v>
      </c>
      <c r="BT138" s="14" t="s">
        <v>2880</v>
      </c>
      <c r="BU138" s="14" t="s">
        <v>166</v>
      </c>
      <c r="BV138" s="14" t="s">
        <v>166</v>
      </c>
      <c r="BW138" s="14" t="s">
        <v>166</v>
      </c>
      <c r="BX138" s="14" t="s">
        <v>166</v>
      </c>
      <c r="BY138" s="14" t="s">
        <v>166</v>
      </c>
      <c r="BZ138" s="14" t="s">
        <v>1327</v>
      </c>
      <c r="CA138" s="14" t="s">
        <v>1327</v>
      </c>
      <c r="CB138" s="14" t="s">
        <v>166</v>
      </c>
      <c r="CC138" s="14" t="s">
        <v>166</v>
      </c>
      <c r="CD138" s="14" t="s">
        <v>166</v>
      </c>
      <c r="CE138" s="18" t="s">
        <v>166</v>
      </c>
      <c r="CF138" s="16" t="s">
        <v>166</v>
      </c>
      <c r="CG138" s="17" t="s">
        <v>166</v>
      </c>
      <c r="CH138" s="16" t="s">
        <v>166</v>
      </c>
      <c r="CI138" s="16" t="s">
        <v>166</v>
      </c>
      <c r="CJ138" s="16" t="s">
        <v>166</v>
      </c>
      <c r="CK138" s="16" t="s">
        <v>166</v>
      </c>
      <c r="CL138" s="16" t="s">
        <v>166</v>
      </c>
      <c r="CM138" s="20" t="s">
        <v>166</v>
      </c>
      <c r="CN138" s="16" t="s">
        <v>166</v>
      </c>
      <c r="CO138" s="16" t="s">
        <v>166</v>
      </c>
      <c r="CP138" s="16" t="s">
        <v>166</v>
      </c>
      <c r="CQ138" s="16" t="s">
        <v>166</v>
      </c>
      <c r="CR138" s="16" t="s">
        <v>166</v>
      </c>
      <c r="CS138" s="16" t="s">
        <v>166</v>
      </c>
      <c r="CT138" s="16" t="s">
        <v>166</v>
      </c>
      <c r="CU138" s="16" t="s">
        <v>166</v>
      </c>
      <c r="CV138" s="16" t="s">
        <v>166</v>
      </c>
      <c r="CW138" s="16" t="s">
        <v>166</v>
      </c>
      <c r="CX138" s="16" t="s">
        <v>166</v>
      </c>
      <c r="CY138" s="16" t="s">
        <v>166</v>
      </c>
      <c r="CZ138" s="16" t="s">
        <v>166</v>
      </c>
      <c r="DA138" s="16" t="s">
        <v>166</v>
      </c>
      <c r="DB138" s="16" t="s">
        <v>166</v>
      </c>
      <c r="DC138" s="16" t="s">
        <v>166</v>
      </c>
      <c r="DD138" s="16" t="s">
        <v>166</v>
      </c>
      <c r="DE138" s="17" t="s">
        <v>166</v>
      </c>
      <c r="DF138" s="22">
        <v>25</v>
      </c>
      <c r="DG138" s="14" t="s">
        <v>309</v>
      </c>
      <c r="DH138" s="14" t="s">
        <v>193</v>
      </c>
      <c r="DI138" s="14" t="s">
        <v>194</v>
      </c>
      <c r="DJ138" s="14" t="s">
        <v>310</v>
      </c>
      <c r="DK138" s="14" t="s">
        <v>310</v>
      </c>
      <c r="DL138" s="21" t="s">
        <v>2881</v>
      </c>
      <c r="DM138" s="14" t="s">
        <v>198</v>
      </c>
      <c r="DN138" s="13" t="s">
        <v>2882</v>
      </c>
      <c r="DO138" s="20">
        <v>2019</v>
      </c>
      <c r="DP138" s="14" t="s">
        <v>166</v>
      </c>
      <c r="DQ138" s="14" t="s">
        <v>166</v>
      </c>
      <c r="DR138" s="18" t="s">
        <v>166</v>
      </c>
      <c r="DS138" s="16" t="s">
        <v>166</v>
      </c>
      <c r="DT138" s="19" t="s">
        <v>166</v>
      </c>
      <c r="DU138" s="14" t="s">
        <v>166</v>
      </c>
      <c r="DV138" s="18" t="s">
        <v>166</v>
      </c>
      <c r="DW138" s="18" t="s">
        <v>166</v>
      </c>
      <c r="DX138" s="16" t="s">
        <v>166</v>
      </c>
      <c r="DY138" s="16" t="s">
        <v>166</v>
      </c>
      <c r="DZ138" s="17" t="s">
        <v>166</v>
      </c>
      <c r="EA138" s="16" t="s">
        <v>166</v>
      </c>
      <c r="EB138" s="16" t="s">
        <v>166</v>
      </c>
      <c r="EC138" s="16" t="s">
        <v>166</v>
      </c>
      <c r="ED138" s="17" t="s">
        <v>166</v>
      </c>
      <c r="EE138" s="17" t="s">
        <v>166</v>
      </c>
      <c r="EF138" s="17" t="s">
        <v>166</v>
      </c>
      <c r="EG138" s="17" t="s">
        <v>166</v>
      </c>
      <c r="EH138" s="16" t="s">
        <v>166</v>
      </c>
      <c r="EI138" s="16" t="s">
        <v>166</v>
      </c>
      <c r="EJ138" s="16" t="s">
        <v>166</v>
      </c>
      <c r="EK138" s="16" t="s">
        <v>166</v>
      </c>
      <c r="EL138" s="16" t="s">
        <v>166</v>
      </c>
      <c r="EM138" s="16" t="s">
        <v>166</v>
      </c>
      <c r="EN138" s="16" t="s">
        <v>166</v>
      </c>
      <c r="EO138" s="16" t="s">
        <v>166</v>
      </c>
      <c r="EP138" s="16" t="s">
        <v>166</v>
      </c>
      <c r="EQ138" s="16" t="s">
        <v>166</v>
      </c>
      <c r="ER138" s="16" t="s">
        <v>166</v>
      </c>
      <c r="ES138" s="16" t="s">
        <v>166</v>
      </c>
      <c r="ET138" s="14" t="s">
        <v>166</v>
      </c>
      <c r="EU138" s="16" t="s">
        <v>166</v>
      </c>
      <c r="EV138" s="16" t="s">
        <v>166</v>
      </c>
      <c r="EW138" s="16" t="s">
        <v>166</v>
      </c>
      <c r="EX138" s="14" t="s">
        <v>190</v>
      </c>
      <c r="EY138" s="14" t="s">
        <v>166</v>
      </c>
      <c r="EZ138" s="16" t="s">
        <v>166</v>
      </c>
      <c r="FA138" s="15" t="s">
        <v>166</v>
      </c>
      <c r="FB138" s="15" t="s">
        <v>166</v>
      </c>
      <c r="FC138" s="15" t="s">
        <v>166</v>
      </c>
      <c r="FD138" s="15" t="s">
        <v>166</v>
      </c>
      <c r="FE138" s="15" t="s">
        <v>166</v>
      </c>
      <c r="FF138" s="15" t="s">
        <v>166</v>
      </c>
      <c r="FG138" s="14" t="s">
        <v>166</v>
      </c>
      <c r="FH138" s="3">
        <f>HYPERLINK("https://my.pitchbook.com?c=228789-46T","View Company Online")</f>
      </c>
    </row>
    <row r="139">
      <c r="A139" s="25" t="s">
        <v>2883</v>
      </c>
      <c r="B139" s="25" t="s">
        <v>2884</v>
      </c>
      <c r="C139" s="25" t="s">
        <v>2885</v>
      </c>
      <c r="D139" s="25" t="s">
        <v>166</v>
      </c>
      <c r="E139" s="34" t="s">
        <v>2886</v>
      </c>
      <c r="F139" s="32">
        <v>2</v>
      </c>
      <c r="G139" s="25" t="s">
        <v>2887</v>
      </c>
      <c r="H139" s="25" t="s">
        <v>166</v>
      </c>
      <c r="I139" s="25" t="s">
        <v>2888</v>
      </c>
      <c r="J139" s="25" t="s">
        <v>2889</v>
      </c>
      <c r="K139" s="25" t="s">
        <v>171</v>
      </c>
      <c r="L139" s="25" t="s">
        <v>172</v>
      </c>
      <c r="M139" s="25" t="s">
        <v>173</v>
      </c>
      <c r="N139" s="25" t="s">
        <v>2890</v>
      </c>
      <c r="O139" s="25" t="s">
        <v>2891</v>
      </c>
      <c r="P139" s="25" t="s">
        <v>2892</v>
      </c>
      <c r="Q139" s="25" t="s">
        <v>166</v>
      </c>
      <c r="R139" s="25" t="s">
        <v>177</v>
      </c>
      <c r="S139" s="25" t="s">
        <v>178</v>
      </c>
      <c r="T139" s="25" t="s">
        <v>179</v>
      </c>
      <c r="U139" s="25" t="s">
        <v>2893</v>
      </c>
      <c r="V139" s="25" t="s">
        <v>2894</v>
      </c>
      <c r="W139" s="32" t="s">
        <v>2895</v>
      </c>
      <c r="X139" s="25" t="s">
        <v>2896</v>
      </c>
      <c r="Y139" s="25" t="s">
        <v>2897</v>
      </c>
      <c r="Z139" s="25" t="s">
        <v>2898</v>
      </c>
      <c r="AA139" s="25" t="s">
        <v>166</v>
      </c>
      <c r="AB139" s="25" t="s">
        <v>166</v>
      </c>
      <c r="AC139" s="25" t="s">
        <v>166</v>
      </c>
      <c r="AD139" s="25" t="s">
        <v>166</v>
      </c>
      <c r="AE139" s="25" t="s">
        <v>166</v>
      </c>
      <c r="AF139" s="25" t="s">
        <v>166</v>
      </c>
      <c r="AG139" s="25" t="s">
        <v>166</v>
      </c>
      <c r="AH139" s="32">
        <v>1</v>
      </c>
      <c r="AI139" s="4">
        <f>HYPERLINK("https://my.pitchbook.com/?d=50860-72T","50860-72T")</f>
      </c>
      <c r="AJ139" s="30">
        <v>42005</v>
      </c>
      <c r="AK139" s="30">
        <v>44916</v>
      </c>
      <c r="AL139" s="29">
        <v>0.66</v>
      </c>
      <c r="AM139" s="25" t="s">
        <v>185</v>
      </c>
      <c r="AN139" s="29">
        <v>9.37</v>
      </c>
      <c r="AO139" s="29">
        <v>10</v>
      </c>
      <c r="AP139" s="25" t="s">
        <v>185</v>
      </c>
      <c r="AQ139" s="32" t="s">
        <v>166</v>
      </c>
      <c r="AR139" s="32" t="s">
        <v>166</v>
      </c>
      <c r="AS139" s="28" t="s">
        <v>166</v>
      </c>
      <c r="AT139" s="29">
        <v>0.66</v>
      </c>
      <c r="AU139" s="32" t="s">
        <v>186</v>
      </c>
      <c r="AV139" s="32" t="s">
        <v>166</v>
      </c>
      <c r="AW139" s="29" t="s">
        <v>166</v>
      </c>
      <c r="AX139" s="32" t="s">
        <v>166</v>
      </c>
      <c r="AY139" s="25" t="s">
        <v>217</v>
      </c>
      <c r="AZ139" s="25" t="s">
        <v>217</v>
      </c>
      <c r="BA139" s="25" t="s">
        <v>166</v>
      </c>
      <c r="BB139" s="32" t="s">
        <v>166</v>
      </c>
      <c r="BC139" s="25" t="s">
        <v>179</v>
      </c>
      <c r="BD139" s="25" t="s">
        <v>2899</v>
      </c>
      <c r="BE139" s="25" t="s">
        <v>189</v>
      </c>
      <c r="BF139" s="29">
        <v>0.63</v>
      </c>
      <c r="BG139" s="25" t="s">
        <v>190</v>
      </c>
      <c r="BH139" s="25" t="s">
        <v>166</v>
      </c>
      <c r="BI139" s="25" t="s">
        <v>166</v>
      </c>
      <c r="BJ139" s="29">
        <v>0.03</v>
      </c>
      <c r="BK139" s="29" t="s">
        <v>166</v>
      </c>
      <c r="BL139" s="25" t="s">
        <v>191</v>
      </c>
      <c r="BM139" s="25" t="s">
        <v>178</v>
      </c>
      <c r="BN139" s="25" t="s">
        <v>177</v>
      </c>
      <c r="BO139" s="33" t="s">
        <v>166</v>
      </c>
      <c r="BP139" s="25" t="s">
        <v>2886</v>
      </c>
      <c r="BQ139" s="32">
        <v>2</v>
      </c>
      <c r="BR139" s="25" t="s">
        <v>166</v>
      </c>
      <c r="BS139" s="32" t="s">
        <v>166</v>
      </c>
      <c r="BT139" s="25" t="s">
        <v>2900</v>
      </c>
      <c r="BU139" s="25" t="s">
        <v>166</v>
      </c>
      <c r="BV139" s="25" t="s">
        <v>166</v>
      </c>
      <c r="BW139" s="25" t="s">
        <v>166</v>
      </c>
      <c r="BX139" s="25" t="s">
        <v>166</v>
      </c>
      <c r="BY139" s="25" t="s">
        <v>166</v>
      </c>
      <c r="BZ139" s="25" t="s">
        <v>2901</v>
      </c>
      <c r="CA139" s="25" t="s">
        <v>2901</v>
      </c>
      <c r="CB139" s="25" t="s">
        <v>166</v>
      </c>
      <c r="CC139" s="25" t="s">
        <v>166</v>
      </c>
      <c r="CD139" s="25" t="s">
        <v>166</v>
      </c>
      <c r="CE139" s="29" t="s">
        <v>166</v>
      </c>
      <c r="CF139" s="27" t="s">
        <v>166</v>
      </c>
      <c r="CG139" s="28" t="s">
        <v>166</v>
      </c>
      <c r="CH139" s="27" t="s">
        <v>166</v>
      </c>
      <c r="CI139" s="27" t="s">
        <v>166</v>
      </c>
      <c r="CJ139" s="27" t="s">
        <v>166</v>
      </c>
      <c r="CK139" s="27" t="s">
        <v>166</v>
      </c>
      <c r="CL139" s="27" t="s">
        <v>166</v>
      </c>
      <c r="CM139" s="31" t="s">
        <v>166</v>
      </c>
      <c r="CN139" s="27" t="s">
        <v>166</v>
      </c>
      <c r="CO139" s="27" t="s">
        <v>166</v>
      </c>
      <c r="CP139" s="27" t="s">
        <v>166</v>
      </c>
      <c r="CQ139" s="27" t="s">
        <v>166</v>
      </c>
      <c r="CR139" s="27" t="s">
        <v>166</v>
      </c>
      <c r="CS139" s="27" t="s">
        <v>166</v>
      </c>
      <c r="CT139" s="27" t="s">
        <v>166</v>
      </c>
      <c r="CU139" s="27" t="s">
        <v>166</v>
      </c>
      <c r="CV139" s="27" t="s">
        <v>166</v>
      </c>
      <c r="CW139" s="27" t="s">
        <v>166</v>
      </c>
      <c r="CX139" s="27" t="s">
        <v>166</v>
      </c>
      <c r="CY139" s="27">
        <v>0.04</v>
      </c>
      <c r="CZ139" s="27" t="s">
        <v>166</v>
      </c>
      <c r="DA139" s="27" t="s">
        <v>166</v>
      </c>
      <c r="DB139" s="27" t="s">
        <v>166</v>
      </c>
      <c r="DC139" s="27" t="s">
        <v>166</v>
      </c>
      <c r="DD139" s="27" t="s">
        <v>166</v>
      </c>
      <c r="DE139" s="28" t="s">
        <v>166</v>
      </c>
      <c r="DF139" s="33">
        <v>6</v>
      </c>
      <c r="DG139" s="25" t="s">
        <v>2902</v>
      </c>
      <c r="DH139" s="25" t="s">
        <v>193</v>
      </c>
      <c r="DI139" s="25" t="s">
        <v>194</v>
      </c>
      <c r="DJ139" s="25" t="s">
        <v>2903</v>
      </c>
      <c r="DK139" s="25" t="s">
        <v>257</v>
      </c>
      <c r="DL139" s="32" t="s">
        <v>2904</v>
      </c>
      <c r="DM139" s="25" t="s">
        <v>198</v>
      </c>
      <c r="DN139" s="24" t="s">
        <v>2905</v>
      </c>
      <c r="DO139" s="31">
        <v>2014</v>
      </c>
      <c r="DP139" s="25" t="s">
        <v>166</v>
      </c>
      <c r="DQ139" s="25" t="s">
        <v>2906</v>
      </c>
      <c r="DR139" s="29">
        <v>0.03</v>
      </c>
      <c r="DS139" s="27" t="s">
        <v>166</v>
      </c>
      <c r="DT139" s="30" t="s">
        <v>166</v>
      </c>
      <c r="DU139" s="25" t="s">
        <v>166</v>
      </c>
      <c r="DV139" s="29" t="s">
        <v>166</v>
      </c>
      <c r="DW139" s="29" t="s">
        <v>166</v>
      </c>
      <c r="DX139" s="27" t="s">
        <v>166</v>
      </c>
      <c r="DY139" s="27" t="s">
        <v>166</v>
      </c>
      <c r="DZ139" s="28" t="s">
        <v>166</v>
      </c>
      <c r="EA139" s="27" t="s">
        <v>166</v>
      </c>
      <c r="EB139" s="27" t="s">
        <v>166</v>
      </c>
      <c r="EC139" s="27" t="s">
        <v>166</v>
      </c>
      <c r="ED139" s="28" t="s">
        <v>166</v>
      </c>
      <c r="EE139" s="28" t="s">
        <v>166</v>
      </c>
      <c r="EF139" s="28" t="s">
        <v>166</v>
      </c>
      <c r="EG139" s="28" t="s">
        <v>166</v>
      </c>
      <c r="EH139" s="27" t="s">
        <v>166</v>
      </c>
      <c r="EI139" s="27" t="s">
        <v>166</v>
      </c>
      <c r="EJ139" s="27" t="s">
        <v>166</v>
      </c>
      <c r="EK139" s="27" t="s">
        <v>166</v>
      </c>
      <c r="EL139" s="27" t="s">
        <v>166</v>
      </c>
      <c r="EM139" s="27" t="s">
        <v>166</v>
      </c>
      <c r="EN139" s="27" t="s">
        <v>166</v>
      </c>
      <c r="EO139" s="27" t="s">
        <v>166</v>
      </c>
      <c r="EP139" s="27" t="s">
        <v>166</v>
      </c>
      <c r="EQ139" s="27" t="s">
        <v>166</v>
      </c>
      <c r="ER139" s="27" t="s">
        <v>166</v>
      </c>
      <c r="ES139" s="27" t="s">
        <v>166</v>
      </c>
      <c r="ET139" s="25" t="s">
        <v>166</v>
      </c>
      <c r="EU139" s="27" t="s">
        <v>166</v>
      </c>
      <c r="EV139" s="27" t="s">
        <v>166</v>
      </c>
      <c r="EW139" s="27" t="s">
        <v>166</v>
      </c>
      <c r="EX139" s="25" t="s">
        <v>190</v>
      </c>
      <c r="EY139" s="25" t="s">
        <v>190</v>
      </c>
      <c r="EZ139" s="27" t="s">
        <v>166</v>
      </c>
      <c r="FA139" s="26" t="s">
        <v>166</v>
      </c>
      <c r="FB139" s="26" t="s">
        <v>166</v>
      </c>
      <c r="FC139" s="26" t="s">
        <v>166</v>
      </c>
      <c r="FD139" s="26" t="s">
        <v>166</v>
      </c>
      <c r="FE139" s="26" t="s">
        <v>166</v>
      </c>
      <c r="FF139" s="26" t="s">
        <v>166</v>
      </c>
      <c r="FG139" s="25" t="s">
        <v>166</v>
      </c>
      <c r="FH139" s="4">
        <f>HYPERLINK("https://my.pitchbook.com?c=50860-72T","View Company Online")</f>
      </c>
    </row>
    <row r="140">
      <c r="A140" s="14" t="s">
        <v>2907</v>
      </c>
      <c r="B140" s="14" t="s">
        <v>2908</v>
      </c>
      <c r="C140" s="14" t="s">
        <v>2909</v>
      </c>
      <c r="D140" s="14" t="s">
        <v>166</v>
      </c>
      <c r="E140" s="23" t="s">
        <v>2910</v>
      </c>
      <c r="F140" s="21">
        <v>1</v>
      </c>
      <c r="G140" s="14" t="s">
        <v>2911</v>
      </c>
      <c r="H140" s="14" t="s">
        <v>166</v>
      </c>
      <c r="I140" s="14" t="s">
        <v>2912</v>
      </c>
      <c r="J140" s="14" t="s">
        <v>2913</v>
      </c>
      <c r="K140" s="14" t="s">
        <v>207</v>
      </c>
      <c r="L140" s="14" t="s">
        <v>208</v>
      </c>
      <c r="M140" s="14" t="s">
        <v>639</v>
      </c>
      <c r="N140" s="14" t="s">
        <v>2914</v>
      </c>
      <c r="O140" s="14" t="s">
        <v>397</v>
      </c>
      <c r="P140" s="14" t="s">
        <v>2915</v>
      </c>
      <c r="Q140" s="14" t="s">
        <v>166</v>
      </c>
      <c r="R140" s="14" t="s">
        <v>177</v>
      </c>
      <c r="S140" s="14" t="s">
        <v>178</v>
      </c>
      <c r="T140" s="14" t="s">
        <v>179</v>
      </c>
      <c r="U140" s="14" t="s">
        <v>2916</v>
      </c>
      <c r="V140" s="14" t="s">
        <v>2917</v>
      </c>
      <c r="W140" s="21" t="s">
        <v>2918</v>
      </c>
      <c r="X140" s="14" t="s">
        <v>166</v>
      </c>
      <c r="Y140" s="14" t="s">
        <v>2919</v>
      </c>
      <c r="Z140" s="14" t="s">
        <v>166</v>
      </c>
      <c r="AA140" s="14" t="s">
        <v>166</v>
      </c>
      <c r="AB140" s="14" t="s">
        <v>166</v>
      </c>
      <c r="AC140" s="14" t="s">
        <v>166</v>
      </c>
      <c r="AD140" s="14" t="s">
        <v>166</v>
      </c>
      <c r="AE140" s="14" t="s">
        <v>166</v>
      </c>
      <c r="AF140" s="14" t="s">
        <v>166</v>
      </c>
      <c r="AG140" s="14" t="s">
        <v>166</v>
      </c>
      <c r="AH140" s="21">
        <v>1</v>
      </c>
      <c r="AI140" s="3">
        <f>HYPERLINK("https://my.pitchbook.com/?d=168138-28T","168138-28T")</f>
      </c>
      <c r="AJ140" s="19">
        <v>44229</v>
      </c>
      <c r="AK140" s="19">
        <v>44264</v>
      </c>
      <c r="AL140" s="18">
        <v>0.1</v>
      </c>
      <c r="AM140" s="14" t="s">
        <v>185</v>
      </c>
      <c r="AN140" s="18" t="s">
        <v>166</v>
      </c>
      <c r="AO140" s="18" t="s">
        <v>166</v>
      </c>
      <c r="AP140" s="14" t="s">
        <v>166</v>
      </c>
      <c r="AQ140" s="21" t="s">
        <v>166</v>
      </c>
      <c r="AR140" s="21" t="s">
        <v>166</v>
      </c>
      <c r="AS140" s="17" t="s">
        <v>166</v>
      </c>
      <c r="AT140" s="18">
        <v>0.1</v>
      </c>
      <c r="AU140" s="21" t="s">
        <v>186</v>
      </c>
      <c r="AV140" s="21" t="s">
        <v>166</v>
      </c>
      <c r="AW140" s="18" t="s">
        <v>166</v>
      </c>
      <c r="AX140" s="21" t="s">
        <v>166</v>
      </c>
      <c r="AY140" s="14" t="s">
        <v>217</v>
      </c>
      <c r="AZ140" s="14" t="s">
        <v>217</v>
      </c>
      <c r="BA140" s="14" t="s">
        <v>166</v>
      </c>
      <c r="BB140" s="21" t="s">
        <v>166</v>
      </c>
      <c r="BC140" s="14" t="s">
        <v>179</v>
      </c>
      <c r="BD140" s="14" t="s">
        <v>2913</v>
      </c>
      <c r="BE140" s="14" t="s">
        <v>189</v>
      </c>
      <c r="BF140" s="18">
        <v>0.1</v>
      </c>
      <c r="BG140" s="14" t="s">
        <v>190</v>
      </c>
      <c r="BH140" s="14" t="s">
        <v>166</v>
      </c>
      <c r="BI140" s="14" t="s">
        <v>166</v>
      </c>
      <c r="BJ140" s="18" t="s">
        <v>166</v>
      </c>
      <c r="BK140" s="18" t="s">
        <v>166</v>
      </c>
      <c r="BL140" s="14" t="s">
        <v>191</v>
      </c>
      <c r="BM140" s="14" t="s">
        <v>178</v>
      </c>
      <c r="BN140" s="14" t="s">
        <v>177</v>
      </c>
      <c r="BO140" s="22" t="s">
        <v>166</v>
      </c>
      <c r="BP140" s="14" t="s">
        <v>2910</v>
      </c>
      <c r="BQ140" s="21">
        <v>1</v>
      </c>
      <c r="BR140" s="14" t="s">
        <v>166</v>
      </c>
      <c r="BS140" s="21" t="s">
        <v>166</v>
      </c>
      <c r="BT140" s="14" t="s">
        <v>166</v>
      </c>
      <c r="BU140" s="14" t="s">
        <v>166</v>
      </c>
      <c r="BV140" s="14" t="s">
        <v>2920</v>
      </c>
      <c r="BW140" s="14" t="s">
        <v>166</v>
      </c>
      <c r="BX140" s="14" t="s">
        <v>166</v>
      </c>
      <c r="BY140" s="14" t="s">
        <v>166</v>
      </c>
      <c r="BZ140" s="14" t="s">
        <v>2921</v>
      </c>
      <c r="CA140" s="14" t="s">
        <v>2921</v>
      </c>
      <c r="CB140" s="14" t="s">
        <v>166</v>
      </c>
      <c r="CC140" s="14" t="s">
        <v>166</v>
      </c>
      <c r="CD140" s="14" t="s">
        <v>166</v>
      </c>
      <c r="CE140" s="18" t="s">
        <v>166</v>
      </c>
      <c r="CF140" s="16" t="s">
        <v>166</v>
      </c>
      <c r="CG140" s="17" t="s">
        <v>166</v>
      </c>
      <c r="CH140" s="16" t="s">
        <v>166</v>
      </c>
      <c r="CI140" s="16" t="s">
        <v>166</v>
      </c>
      <c r="CJ140" s="16" t="s">
        <v>166</v>
      </c>
      <c r="CK140" s="16" t="s">
        <v>166</v>
      </c>
      <c r="CL140" s="16" t="s">
        <v>166</v>
      </c>
      <c r="CM140" s="20" t="s">
        <v>166</v>
      </c>
      <c r="CN140" s="16" t="s">
        <v>166</v>
      </c>
      <c r="CO140" s="16" t="s">
        <v>166</v>
      </c>
      <c r="CP140" s="16" t="s">
        <v>166</v>
      </c>
      <c r="CQ140" s="16" t="s">
        <v>166</v>
      </c>
      <c r="CR140" s="16" t="s">
        <v>166</v>
      </c>
      <c r="CS140" s="16" t="s">
        <v>166</v>
      </c>
      <c r="CT140" s="16" t="s">
        <v>166</v>
      </c>
      <c r="CU140" s="16" t="s">
        <v>166</v>
      </c>
      <c r="CV140" s="16" t="s">
        <v>166</v>
      </c>
      <c r="CW140" s="16" t="s">
        <v>166</v>
      </c>
      <c r="CX140" s="16" t="s">
        <v>166</v>
      </c>
      <c r="CY140" s="16" t="s">
        <v>166</v>
      </c>
      <c r="CZ140" s="16" t="s">
        <v>166</v>
      </c>
      <c r="DA140" s="16" t="s">
        <v>166</v>
      </c>
      <c r="DB140" s="16" t="s">
        <v>166</v>
      </c>
      <c r="DC140" s="16" t="s">
        <v>166</v>
      </c>
      <c r="DD140" s="16" t="s">
        <v>166</v>
      </c>
      <c r="DE140" s="17" t="s">
        <v>166</v>
      </c>
      <c r="DF140" s="22">
        <v>7</v>
      </c>
      <c r="DG140" s="14" t="s">
        <v>2367</v>
      </c>
      <c r="DH140" s="14" t="s">
        <v>193</v>
      </c>
      <c r="DI140" s="14" t="s">
        <v>194</v>
      </c>
      <c r="DJ140" s="14" t="s">
        <v>2368</v>
      </c>
      <c r="DK140" s="14" t="s">
        <v>2369</v>
      </c>
      <c r="DL140" s="21" t="s">
        <v>2922</v>
      </c>
      <c r="DM140" s="14" t="s">
        <v>198</v>
      </c>
      <c r="DN140" s="13" t="s">
        <v>2923</v>
      </c>
      <c r="DO140" s="20">
        <v>2018</v>
      </c>
      <c r="DP140" s="14" t="s">
        <v>166</v>
      </c>
      <c r="DQ140" s="14" t="s">
        <v>166</v>
      </c>
      <c r="DR140" s="18" t="s">
        <v>166</v>
      </c>
      <c r="DS140" s="16" t="s">
        <v>166</v>
      </c>
      <c r="DT140" s="19" t="s">
        <v>166</v>
      </c>
      <c r="DU140" s="14" t="s">
        <v>166</v>
      </c>
      <c r="DV140" s="18" t="s">
        <v>166</v>
      </c>
      <c r="DW140" s="18" t="s">
        <v>166</v>
      </c>
      <c r="DX140" s="16" t="s">
        <v>166</v>
      </c>
      <c r="DY140" s="16" t="s">
        <v>166</v>
      </c>
      <c r="DZ140" s="17" t="s">
        <v>166</v>
      </c>
      <c r="EA140" s="16" t="s">
        <v>166</v>
      </c>
      <c r="EB140" s="16" t="s">
        <v>166</v>
      </c>
      <c r="EC140" s="16" t="s">
        <v>166</v>
      </c>
      <c r="ED140" s="17" t="s">
        <v>166</v>
      </c>
      <c r="EE140" s="17" t="s">
        <v>166</v>
      </c>
      <c r="EF140" s="17" t="s">
        <v>166</v>
      </c>
      <c r="EG140" s="17" t="s">
        <v>166</v>
      </c>
      <c r="EH140" s="16" t="s">
        <v>166</v>
      </c>
      <c r="EI140" s="16" t="s">
        <v>166</v>
      </c>
      <c r="EJ140" s="16" t="s">
        <v>166</v>
      </c>
      <c r="EK140" s="16" t="s">
        <v>166</v>
      </c>
      <c r="EL140" s="16" t="s">
        <v>166</v>
      </c>
      <c r="EM140" s="16" t="s">
        <v>166</v>
      </c>
      <c r="EN140" s="16" t="s">
        <v>166</v>
      </c>
      <c r="EO140" s="16" t="s">
        <v>166</v>
      </c>
      <c r="EP140" s="16" t="s">
        <v>166</v>
      </c>
      <c r="EQ140" s="16" t="s">
        <v>166</v>
      </c>
      <c r="ER140" s="16" t="s">
        <v>166</v>
      </c>
      <c r="ES140" s="16" t="s">
        <v>166</v>
      </c>
      <c r="ET140" s="14" t="s">
        <v>166</v>
      </c>
      <c r="EU140" s="16" t="s">
        <v>166</v>
      </c>
      <c r="EV140" s="16" t="s">
        <v>166</v>
      </c>
      <c r="EW140" s="16" t="s">
        <v>166</v>
      </c>
      <c r="EX140" s="14" t="s">
        <v>190</v>
      </c>
      <c r="EY140" s="14" t="s">
        <v>166</v>
      </c>
      <c r="EZ140" s="16" t="s">
        <v>166</v>
      </c>
      <c r="FA140" s="15" t="s">
        <v>166</v>
      </c>
      <c r="FB140" s="15" t="s">
        <v>166</v>
      </c>
      <c r="FC140" s="15" t="s">
        <v>166</v>
      </c>
      <c r="FD140" s="15" t="s">
        <v>166</v>
      </c>
      <c r="FE140" s="15" t="s">
        <v>166</v>
      </c>
      <c r="FF140" s="15" t="s">
        <v>166</v>
      </c>
      <c r="FG140" s="14" t="s">
        <v>166</v>
      </c>
      <c r="FH140" s="3">
        <f>HYPERLINK("https://my.pitchbook.com?c=168138-28T","View Company Online")</f>
      </c>
    </row>
    <row r="141">
      <c r="A141" s="25" t="s">
        <v>2924</v>
      </c>
      <c r="B141" s="25" t="s">
        <v>2925</v>
      </c>
      <c r="C141" s="25" t="s">
        <v>2926</v>
      </c>
      <c r="D141" s="25" t="s">
        <v>166</v>
      </c>
      <c r="E141" s="34" t="s">
        <v>2927</v>
      </c>
      <c r="F141" s="32">
        <v>6</v>
      </c>
      <c r="G141" s="25" t="s">
        <v>2928</v>
      </c>
      <c r="H141" s="25" t="s">
        <v>166</v>
      </c>
      <c r="I141" s="25" t="s">
        <v>2929</v>
      </c>
      <c r="J141" s="25" t="s">
        <v>2930</v>
      </c>
      <c r="K141" s="25" t="s">
        <v>207</v>
      </c>
      <c r="L141" s="25" t="s">
        <v>208</v>
      </c>
      <c r="M141" s="25" t="s">
        <v>296</v>
      </c>
      <c r="N141" s="25" t="s">
        <v>944</v>
      </c>
      <c r="O141" s="25" t="s">
        <v>2931</v>
      </c>
      <c r="P141" s="25" t="s">
        <v>2932</v>
      </c>
      <c r="Q141" s="25" t="s">
        <v>166</v>
      </c>
      <c r="R141" s="25" t="s">
        <v>177</v>
      </c>
      <c r="S141" s="25" t="s">
        <v>178</v>
      </c>
      <c r="T141" s="25" t="s">
        <v>179</v>
      </c>
      <c r="U141" s="25" t="s">
        <v>2933</v>
      </c>
      <c r="V141" s="25" t="s">
        <v>2934</v>
      </c>
      <c r="W141" s="32" t="s">
        <v>166</v>
      </c>
      <c r="X141" s="25" t="s">
        <v>166</v>
      </c>
      <c r="Y141" s="25" t="s">
        <v>2935</v>
      </c>
      <c r="Z141" s="25" t="s">
        <v>166</v>
      </c>
      <c r="AA141" s="25" t="s">
        <v>242</v>
      </c>
      <c r="AB141" s="25" t="s">
        <v>243</v>
      </c>
      <c r="AC141" s="25" t="s">
        <v>244</v>
      </c>
      <c r="AD141" s="25" t="s">
        <v>243</v>
      </c>
      <c r="AE141" s="25" t="s">
        <v>243</v>
      </c>
      <c r="AF141" s="25" t="s">
        <v>245</v>
      </c>
      <c r="AG141" s="25" t="s">
        <v>807</v>
      </c>
      <c r="AH141" s="32">
        <v>2</v>
      </c>
      <c r="AI141" s="4">
        <f>HYPERLINK("https://my.pitchbook.com/?d=221409-01T","221409-01T")</f>
      </c>
      <c r="AJ141" s="30" t="s">
        <v>166</v>
      </c>
      <c r="AK141" s="30">
        <v>44795</v>
      </c>
      <c r="AL141" s="29">
        <v>2.8</v>
      </c>
      <c r="AM141" s="25" t="s">
        <v>247</v>
      </c>
      <c r="AN141" s="29">
        <v>9.7</v>
      </c>
      <c r="AO141" s="29">
        <v>12.5</v>
      </c>
      <c r="AP141" s="25" t="s">
        <v>185</v>
      </c>
      <c r="AQ141" s="32" t="s">
        <v>166</v>
      </c>
      <c r="AR141" s="32" t="s">
        <v>166</v>
      </c>
      <c r="AS141" s="28">
        <v>22.4</v>
      </c>
      <c r="AT141" s="29">
        <v>2.8</v>
      </c>
      <c r="AU141" s="32" t="s">
        <v>186</v>
      </c>
      <c r="AV141" s="32" t="s">
        <v>166</v>
      </c>
      <c r="AW141" s="29">
        <v>1.25</v>
      </c>
      <c r="AX141" s="32" t="s">
        <v>166</v>
      </c>
      <c r="AY141" s="25" t="s">
        <v>217</v>
      </c>
      <c r="AZ141" s="25" t="s">
        <v>217</v>
      </c>
      <c r="BA141" s="25" t="s">
        <v>166</v>
      </c>
      <c r="BB141" s="32" t="s">
        <v>166</v>
      </c>
      <c r="BC141" s="25" t="s">
        <v>179</v>
      </c>
      <c r="BD141" s="25" t="s">
        <v>2930</v>
      </c>
      <c r="BE141" s="25" t="s">
        <v>189</v>
      </c>
      <c r="BF141" s="29">
        <v>2.8</v>
      </c>
      <c r="BG141" s="25" t="s">
        <v>190</v>
      </c>
      <c r="BH141" s="25" t="s">
        <v>166</v>
      </c>
      <c r="BI141" s="25" t="s">
        <v>166</v>
      </c>
      <c r="BJ141" s="29" t="s">
        <v>166</v>
      </c>
      <c r="BK141" s="29" t="s">
        <v>166</v>
      </c>
      <c r="BL141" s="25" t="s">
        <v>191</v>
      </c>
      <c r="BM141" s="25" t="s">
        <v>178</v>
      </c>
      <c r="BN141" s="25" t="s">
        <v>177</v>
      </c>
      <c r="BO141" s="33" t="s">
        <v>166</v>
      </c>
      <c r="BP141" s="25" t="s">
        <v>2927</v>
      </c>
      <c r="BQ141" s="32">
        <v>6</v>
      </c>
      <c r="BR141" s="25" t="s">
        <v>166</v>
      </c>
      <c r="BS141" s="32" t="s">
        <v>166</v>
      </c>
      <c r="BT141" s="25" t="s">
        <v>166</v>
      </c>
      <c r="BU141" s="25" t="s">
        <v>166</v>
      </c>
      <c r="BV141" s="25" t="s">
        <v>166</v>
      </c>
      <c r="BW141" s="25" t="s">
        <v>166</v>
      </c>
      <c r="BX141" s="25" t="s">
        <v>166</v>
      </c>
      <c r="BY141" s="25" t="s">
        <v>166</v>
      </c>
      <c r="BZ141" s="25" t="s">
        <v>166</v>
      </c>
      <c r="CA141" s="25" t="s">
        <v>166</v>
      </c>
      <c r="CB141" s="25" t="s">
        <v>166</v>
      </c>
      <c r="CC141" s="25" t="s">
        <v>166</v>
      </c>
      <c r="CD141" s="25" t="s">
        <v>166</v>
      </c>
      <c r="CE141" s="29" t="s">
        <v>166</v>
      </c>
      <c r="CF141" s="27" t="s">
        <v>166</v>
      </c>
      <c r="CG141" s="28" t="s">
        <v>166</v>
      </c>
      <c r="CH141" s="27" t="s">
        <v>166</v>
      </c>
      <c r="CI141" s="27" t="s">
        <v>166</v>
      </c>
      <c r="CJ141" s="27" t="s">
        <v>166</v>
      </c>
      <c r="CK141" s="27" t="s">
        <v>166</v>
      </c>
      <c r="CL141" s="27" t="s">
        <v>166</v>
      </c>
      <c r="CM141" s="31" t="s">
        <v>166</v>
      </c>
      <c r="CN141" s="27" t="s">
        <v>166</v>
      </c>
      <c r="CO141" s="27" t="s">
        <v>166</v>
      </c>
      <c r="CP141" s="27" t="s">
        <v>166</v>
      </c>
      <c r="CQ141" s="27" t="s">
        <v>166</v>
      </c>
      <c r="CR141" s="27" t="s">
        <v>166</v>
      </c>
      <c r="CS141" s="27" t="s">
        <v>166</v>
      </c>
      <c r="CT141" s="27" t="s">
        <v>166</v>
      </c>
      <c r="CU141" s="27" t="s">
        <v>166</v>
      </c>
      <c r="CV141" s="27" t="s">
        <v>166</v>
      </c>
      <c r="CW141" s="27" t="s">
        <v>166</v>
      </c>
      <c r="CX141" s="27" t="s">
        <v>166</v>
      </c>
      <c r="CY141" s="27" t="s">
        <v>166</v>
      </c>
      <c r="CZ141" s="27" t="s">
        <v>166</v>
      </c>
      <c r="DA141" s="27" t="s">
        <v>166</v>
      </c>
      <c r="DB141" s="27" t="s">
        <v>166</v>
      </c>
      <c r="DC141" s="27" t="s">
        <v>166</v>
      </c>
      <c r="DD141" s="27" t="s">
        <v>166</v>
      </c>
      <c r="DE141" s="28" t="s">
        <v>166</v>
      </c>
      <c r="DF141" s="33">
        <v>10</v>
      </c>
      <c r="DG141" s="25" t="s">
        <v>518</v>
      </c>
      <c r="DH141" s="25" t="s">
        <v>193</v>
      </c>
      <c r="DI141" s="25" t="s">
        <v>194</v>
      </c>
      <c r="DJ141" s="25" t="s">
        <v>519</v>
      </c>
      <c r="DK141" s="25" t="s">
        <v>257</v>
      </c>
      <c r="DL141" s="32" t="s">
        <v>166</v>
      </c>
      <c r="DM141" s="25" t="s">
        <v>198</v>
      </c>
      <c r="DN141" s="24" t="s">
        <v>2936</v>
      </c>
      <c r="DO141" s="31">
        <v>2022</v>
      </c>
      <c r="DP141" s="25" t="s">
        <v>166</v>
      </c>
      <c r="DQ141" s="25" t="s">
        <v>166</v>
      </c>
      <c r="DR141" s="29" t="s">
        <v>166</v>
      </c>
      <c r="DS141" s="27" t="s">
        <v>166</v>
      </c>
      <c r="DT141" s="30" t="s">
        <v>166</v>
      </c>
      <c r="DU141" s="25" t="s">
        <v>166</v>
      </c>
      <c r="DV141" s="29" t="s">
        <v>166</v>
      </c>
      <c r="DW141" s="29" t="s">
        <v>166</v>
      </c>
      <c r="DX141" s="27" t="s">
        <v>166</v>
      </c>
      <c r="DY141" s="27" t="s">
        <v>166</v>
      </c>
      <c r="DZ141" s="28" t="s">
        <v>166</v>
      </c>
      <c r="EA141" s="27" t="s">
        <v>166</v>
      </c>
      <c r="EB141" s="27" t="s">
        <v>166</v>
      </c>
      <c r="EC141" s="27" t="s">
        <v>166</v>
      </c>
      <c r="ED141" s="28" t="s">
        <v>166</v>
      </c>
      <c r="EE141" s="28" t="s">
        <v>166</v>
      </c>
      <c r="EF141" s="28" t="s">
        <v>166</v>
      </c>
      <c r="EG141" s="28" t="s">
        <v>166</v>
      </c>
      <c r="EH141" s="27" t="s">
        <v>166</v>
      </c>
      <c r="EI141" s="27" t="s">
        <v>166</v>
      </c>
      <c r="EJ141" s="27" t="s">
        <v>166</v>
      </c>
      <c r="EK141" s="27" t="s">
        <v>166</v>
      </c>
      <c r="EL141" s="27" t="s">
        <v>166</v>
      </c>
      <c r="EM141" s="27" t="s">
        <v>166</v>
      </c>
      <c r="EN141" s="27" t="s">
        <v>166</v>
      </c>
      <c r="EO141" s="27" t="s">
        <v>166</v>
      </c>
      <c r="EP141" s="27" t="s">
        <v>166</v>
      </c>
      <c r="EQ141" s="27" t="s">
        <v>166</v>
      </c>
      <c r="ER141" s="27" t="s">
        <v>166</v>
      </c>
      <c r="ES141" s="27" t="s">
        <v>166</v>
      </c>
      <c r="ET141" s="25" t="s">
        <v>166</v>
      </c>
      <c r="EU141" s="27" t="s">
        <v>166</v>
      </c>
      <c r="EV141" s="27" t="s">
        <v>166</v>
      </c>
      <c r="EW141" s="27" t="s">
        <v>166</v>
      </c>
      <c r="EX141" s="25" t="s">
        <v>190</v>
      </c>
      <c r="EY141" s="25" t="s">
        <v>166</v>
      </c>
      <c r="EZ141" s="27" t="s">
        <v>166</v>
      </c>
      <c r="FA141" s="26" t="s">
        <v>166</v>
      </c>
      <c r="FB141" s="26" t="s">
        <v>166</v>
      </c>
      <c r="FC141" s="26" t="s">
        <v>166</v>
      </c>
      <c r="FD141" s="26" t="s">
        <v>166</v>
      </c>
      <c r="FE141" s="26" t="s">
        <v>166</v>
      </c>
      <c r="FF141" s="26" t="s">
        <v>166</v>
      </c>
      <c r="FG141" s="25" t="s">
        <v>166</v>
      </c>
      <c r="FH141" s="4">
        <f>HYPERLINK("https://my.pitchbook.com?c=221409-01T","View Company Online")</f>
      </c>
    </row>
    <row r="142">
      <c r="A142" s="14" t="s">
        <v>2937</v>
      </c>
      <c r="B142" s="14" t="s">
        <v>2938</v>
      </c>
      <c r="C142" s="14" t="s">
        <v>2939</v>
      </c>
      <c r="D142" s="14" t="s">
        <v>166</v>
      </c>
      <c r="E142" s="23" t="s">
        <v>2940</v>
      </c>
      <c r="F142" s="21">
        <v>14</v>
      </c>
      <c r="G142" s="14" t="s">
        <v>2941</v>
      </c>
      <c r="H142" s="14" t="s">
        <v>166</v>
      </c>
      <c r="I142" s="14" t="s">
        <v>2942</v>
      </c>
      <c r="J142" s="14" t="s">
        <v>2943</v>
      </c>
      <c r="K142" s="14" t="s">
        <v>207</v>
      </c>
      <c r="L142" s="14" t="s">
        <v>208</v>
      </c>
      <c r="M142" s="14" t="s">
        <v>1940</v>
      </c>
      <c r="N142" s="14" t="s">
        <v>2944</v>
      </c>
      <c r="O142" s="14" t="s">
        <v>2945</v>
      </c>
      <c r="P142" s="14" t="s">
        <v>2946</v>
      </c>
      <c r="Q142" s="14" t="s">
        <v>166</v>
      </c>
      <c r="R142" s="14" t="s">
        <v>177</v>
      </c>
      <c r="S142" s="14" t="s">
        <v>2947</v>
      </c>
      <c r="T142" s="14" t="s">
        <v>179</v>
      </c>
      <c r="U142" s="14" t="s">
        <v>2948</v>
      </c>
      <c r="V142" s="14" t="s">
        <v>2949</v>
      </c>
      <c r="W142" s="21" t="s">
        <v>2950</v>
      </c>
      <c r="X142" s="14" t="s">
        <v>2951</v>
      </c>
      <c r="Y142" s="14" t="s">
        <v>2952</v>
      </c>
      <c r="Z142" s="14" t="s">
        <v>166</v>
      </c>
      <c r="AA142" s="14" t="s">
        <v>166</v>
      </c>
      <c r="AB142" s="14" t="s">
        <v>166</v>
      </c>
      <c r="AC142" s="14" t="s">
        <v>166</v>
      </c>
      <c r="AD142" s="14" t="s">
        <v>166</v>
      </c>
      <c r="AE142" s="14" t="s">
        <v>166</v>
      </c>
      <c r="AF142" s="14" t="s">
        <v>166</v>
      </c>
      <c r="AG142" s="14" t="s">
        <v>166</v>
      </c>
      <c r="AH142" s="21">
        <v>3</v>
      </c>
      <c r="AI142" s="3">
        <f>HYPERLINK("https://my.pitchbook.com/?d=186699-88T","186699-88T")</f>
      </c>
      <c r="AJ142" s="19">
        <v>44575</v>
      </c>
      <c r="AK142" s="19">
        <v>44718</v>
      </c>
      <c r="AL142" s="18">
        <v>2.3</v>
      </c>
      <c r="AM142" s="14" t="s">
        <v>185</v>
      </c>
      <c r="AN142" s="18">
        <v>37.7</v>
      </c>
      <c r="AO142" s="18">
        <v>40</v>
      </c>
      <c r="AP142" s="14" t="s">
        <v>185</v>
      </c>
      <c r="AQ142" s="21" t="s">
        <v>166</v>
      </c>
      <c r="AR142" s="21" t="s">
        <v>166</v>
      </c>
      <c r="AS142" s="17">
        <v>5.75</v>
      </c>
      <c r="AT142" s="18">
        <v>2.55</v>
      </c>
      <c r="AU142" s="21" t="s">
        <v>186</v>
      </c>
      <c r="AV142" s="21" t="s">
        <v>166</v>
      </c>
      <c r="AW142" s="18" t="s">
        <v>166</v>
      </c>
      <c r="AX142" s="21" t="s">
        <v>166</v>
      </c>
      <c r="AY142" s="14" t="s">
        <v>217</v>
      </c>
      <c r="AZ142" s="14" t="s">
        <v>217</v>
      </c>
      <c r="BA142" s="14" t="s">
        <v>166</v>
      </c>
      <c r="BB142" s="21" t="s">
        <v>166</v>
      </c>
      <c r="BC142" s="14" t="s">
        <v>179</v>
      </c>
      <c r="BD142" s="14" t="s">
        <v>2953</v>
      </c>
      <c r="BE142" s="14" t="s">
        <v>189</v>
      </c>
      <c r="BF142" s="18">
        <v>2.3</v>
      </c>
      <c r="BG142" s="14" t="s">
        <v>190</v>
      </c>
      <c r="BH142" s="14" t="s">
        <v>166</v>
      </c>
      <c r="BI142" s="14" t="s">
        <v>166</v>
      </c>
      <c r="BJ142" s="18" t="s">
        <v>166</v>
      </c>
      <c r="BK142" s="18" t="s">
        <v>166</v>
      </c>
      <c r="BL142" s="14" t="s">
        <v>191</v>
      </c>
      <c r="BM142" s="14" t="s">
        <v>178</v>
      </c>
      <c r="BN142" s="14" t="s">
        <v>177</v>
      </c>
      <c r="BO142" s="22" t="s">
        <v>166</v>
      </c>
      <c r="BP142" s="14" t="s">
        <v>2954</v>
      </c>
      <c r="BQ142" s="21">
        <v>14</v>
      </c>
      <c r="BR142" s="14" t="s">
        <v>166</v>
      </c>
      <c r="BS142" s="21" t="s">
        <v>166</v>
      </c>
      <c r="BT142" s="14" t="s">
        <v>2955</v>
      </c>
      <c r="BU142" s="14" t="s">
        <v>166</v>
      </c>
      <c r="BV142" s="14" t="s">
        <v>2956</v>
      </c>
      <c r="BW142" s="14" t="s">
        <v>166</v>
      </c>
      <c r="BX142" s="14" t="s">
        <v>166</v>
      </c>
      <c r="BY142" s="14" t="s">
        <v>166</v>
      </c>
      <c r="BZ142" s="14" t="s">
        <v>166</v>
      </c>
      <c r="CA142" s="14" t="s">
        <v>166</v>
      </c>
      <c r="CB142" s="14" t="s">
        <v>166</v>
      </c>
      <c r="CC142" s="14" t="s">
        <v>166</v>
      </c>
      <c r="CD142" s="14" t="s">
        <v>166</v>
      </c>
      <c r="CE142" s="18" t="s">
        <v>166</v>
      </c>
      <c r="CF142" s="16" t="s">
        <v>166</v>
      </c>
      <c r="CG142" s="17" t="s">
        <v>166</v>
      </c>
      <c r="CH142" s="16" t="s">
        <v>166</v>
      </c>
      <c r="CI142" s="16">
        <v>-0.11</v>
      </c>
      <c r="CJ142" s="16" t="s">
        <v>166</v>
      </c>
      <c r="CK142" s="16" t="s">
        <v>166</v>
      </c>
      <c r="CL142" s="16" t="s">
        <v>166</v>
      </c>
      <c r="CM142" s="20">
        <v>2021</v>
      </c>
      <c r="CN142" s="16" t="s">
        <v>166</v>
      </c>
      <c r="CO142" s="16" t="s">
        <v>166</v>
      </c>
      <c r="CP142" s="16">
        <v>-360.1</v>
      </c>
      <c r="CQ142" s="16" t="s">
        <v>166</v>
      </c>
      <c r="CR142" s="16" t="s">
        <v>166</v>
      </c>
      <c r="CS142" s="16" t="s">
        <v>166</v>
      </c>
      <c r="CT142" s="16" t="s">
        <v>166</v>
      </c>
      <c r="CU142" s="16">
        <v>-20.71</v>
      </c>
      <c r="CV142" s="16" t="s">
        <v>166</v>
      </c>
      <c r="CW142" s="16" t="s">
        <v>166</v>
      </c>
      <c r="CX142" s="16" t="s">
        <v>166</v>
      </c>
      <c r="CY142" s="16" t="s">
        <v>166</v>
      </c>
      <c r="CZ142" s="16" t="s">
        <v>166</v>
      </c>
      <c r="DA142" s="16" t="s">
        <v>166</v>
      </c>
      <c r="DB142" s="16" t="s">
        <v>166</v>
      </c>
      <c r="DC142" s="16" t="s">
        <v>166</v>
      </c>
      <c r="DD142" s="16" t="s">
        <v>166</v>
      </c>
      <c r="DE142" s="17" t="s">
        <v>166</v>
      </c>
      <c r="DF142" s="22">
        <v>18</v>
      </c>
      <c r="DG142" s="14" t="s">
        <v>2957</v>
      </c>
      <c r="DH142" s="14" t="s">
        <v>193</v>
      </c>
      <c r="DI142" s="14" t="s">
        <v>194</v>
      </c>
      <c r="DJ142" s="14" t="s">
        <v>2958</v>
      </c>
      <c r="DK142" s="14" t="s">
        <v>1251</v>
      </c>
      <c r="DL142" s="21" t="s">
        <v>2959</v>
      </c>
      <c r="DM142" s="14" t="s">
        <v>198</v>
      </c>
      <c r="DN142" s="13" t="s">
        <v>2960</v>
      </c>
      <c r="DO142" s="20">
        <v>2021</v>
      </c>
      <c r="DP142" s="14" t="s">
        <v>166</v>
      </c>
      <c r="DQ142" s="14" t="s">
        <v>166</v>
      </c>
      <c r="DR142" s="18" t="s">
        <v>166</v>
      </c>
      <c r="DS142" s="16" t="s">
        <v>166</v>
      </c>
      <c r="DT142" s="19" t="s">
        <v>166</v>
      </c>
      <c r="DU142" s="14" t="s">
        <v>166</v>
      </c>
      <c r="DV142" s="18" t="s">
        <v>166</v>
      </c>
      <c r="DW142" s="18" t="s">
        <v>166</v>
      </c>
      <c r="DX142" s="16" t="s">
        <v>166</v>
      </c>
      <c r="DY142" s="16" t="s">
        <v>166</v>
      </c>
      <c r="DZ142" s="17" t="s">
        <v>166</v>
      </c>
      <c r="EA142" s="16" t="s">
        <v>166</v>
      </c>
      <c r="EB142" s="16" t="s">
        <v>166</v>
      </c>
      <c r="EC142" s="16" t="s">
        <v>166</v>
      </c>
      <c r="ED142" s="17" t="s">
        <v>166</v>
      </c>
      <c r="EE142" s="17" t="s">
        <v>166</v>
      </c>
      <c r="EF142" s="17" t="s">
        <v>166</v>
      </c>
      <c r="EG142" s="17" t="s">
        <v>166</v>
      </c>
      <c r="EH142" s="16" t="s">
        <v>166</v>
      </c>
      <c r="EI142" s="16" t="s">
        <v>166</v>
      </c>
      <c r="EJ142" s="16" t="s">
        <v>166</v>
      </c>
      <c r="EK142" s="16" t="s">
        <v>166</v>
      </c>
      <c r="EL142" s="16" t="s">
        <v>166</v>
      </c>
      <c r="EM142" s="16" t="s">
        <v>166</v>
      </c>
      <c r="EN142" s="16" t="s">
        <v>166</v>
      </c>
      <c r="EO142" s="16" t="s">
        <v>166</v>
      </c>
      <c r="EP142" s="16" t="s">
        <v>166</v>
      </c>
      <c r="EQ142" s="16" t="s">
        <v>166</v>
      </c>
      <c r="ER142" s="16" t="s">
        <v>166</v>
      </c>
      <c r="ES142" s="16" t="s">
        <v>166</v>
      </c>
      <c r="ET142" s="14" t="s">
        <v>166</v>
      </c>
      <c r="EU142" s="16" t="s">
        <v>166</v>
      </c>
      <c r="EV142" s="16" t="s">
        <v>166</v>
      </c>
      <c r="EW142" s="16" t="s">
        <v>166</v>
      </c>
      <c r="EX142" s="14" t="s">
        <v>190</v>
      </c>
      <c r="EY142" s="14" t="s">
        <v>166</v>
      </c>
      <c r="EZ142" s="16" t="s">
        <v>166</v>
      </c>
      <c r="FA142" s="15">
        <v>3</v>
      </c>
      <c r="FB142" s="15">
        <v>1</v>
      </c>
      <c r="FC142" s="15">
        <v>2</v>
      </c>
      <c r="FD142" s="15">
        <v>1</v>
      </c>
      <c r="FE142" s="15" t="s">
        <v>166</v>
      </c>
      <c r="FF142" s="15" t="s">
        <v>166</v>
      </c>
      <c r="FG142" s="14" t="s">
        <v>2961</v>
      </c>
      <c r="FH142" s="3">
        <f>HYPERLINK("https://my.pitchbook.com?c=186699-88T","View Company Online")</f>
      </c>
    </row>
    <row r="143">
      <c r="A143" s="25" t="s">
        <v>2962</v>
      </c>
      <c r="B143" s="25" t="s">
        <v>2963</v>
      </c>
      <c r="C143" s="25" t="s">
        <v>2964</v>
      </c>
      <c r="D143" s="25" t="s">
        <v>166</v>
      </c>
      <c r="E143" s="34" t="s">
        <v>2965</v>
      </c>
      <c r="F143" s="32">
        <v>4</v>
      </c>
      <c r="G143" s="25" t="s">
        <v>2966</v>
      </c>
      <c r="H143" s="25" t="s">
        <v>166</v>
      </c>
      <c r="I143" s="25" t="s">
        <v>2967</v>
      </c>
      <c r="J143" s="25" t="s">
        <v>2968</v>
      </c>
      <c r="K143" s="25" t="s">
        <v>207</v>
      </c>
      <c r="L143" s="25" t="s">
        <v>208</v>
      </c>
      <c r="M143" s="25" t="s">
        <v>209</v>
      </c>
      <c r="N143" s="25" t="s">
        <v>684</v>
      </c>
      <c r="O143" s="25" t="s">
        <v>2969</v>
      </c>
      <c r="P143" s="25" t="s">
        <v>2970</v>
      </c>
      <c r="Q143" s="25" t="s">
        <v>166</v>
      </c>
      <c r="R143" s="25" t="s">
        <v>177</v>
      </c>
      <c r="S143" s="25" t="s">
        <v>178</v>
      </c>
      <c r="T143" s="25" t="s">
        <v>179</v>
      </c>
      <c r="U143" s="25" t="s">
        <v>2971</v>
      </c>
      <c r="V143" s="25" t="s">
        <v>2972</v>
      </c>
      <c r="W143" s="32" t="s">
        <v>166</v>
      </c>
      <c r="X143" s="25" t="s">
        <v>2973</v>
      </c>
      <c r="Y143" s="25" t="s">
        <v>2974</v>
      </c>
      <c r="Z143" s="25" t="s">
        <v>166</v>
      </c>
      <c r="AA143" s="25" t="s">
        <v>166</v>
      </c>
      <c r="AB143" s="25" t="s">
        <v>166</v>
      </c>
      <c r="AC143" s="25" t="s">
        <v>166</v>
      </c>
      <c r="AD143" s="25" t="s">
        <v>166</v>
      </c>
      <c r="AE143" s="25" t="s">
        <v>166</v>
      </c>
      <c r="AF143" s="25" t="s">
        <v>166</v>
      </c>
      <c r="AG143" s="25" t="s">
        <v>166</v>
      </c>
      <c r="AH143" s="32">
        <v>1</v>
      </c>
      <c r="AI143" s="4">
        <f>HYPERLINK("https://my.pitchbook.com/?d=260468-56T","260468-56T")</f>
      </c>
      <c r="AJ143" s="30" t="s">
        <v>166</v>
      </c>
      <c r="AK143" s="30">
        <v>45546</v>
      </c>
      <c r="AL143" s="29">
        <v>8.1</v>
      </c>
      <c r="AM143" s="25" t="s">
        <v>185</v>
      </c>
      <c r="AN143" s="29" t="s">
        <v>166</v>
      </c>
      <c r="AO143" s="29" t="s">
        <v>166</v>
      </c>
      <c r="AP143" s="25" t="s">
        <v>166</v>
      </c>
      <c r="AQ143" s="32" t="s">
        <v>166</v>
      </c>
      <c r="AR143" s="32" t="s">
        <v>166</v>
      </c>
      <c r="AS143" s="28" t="s">
        <v>166</v>
      </c>
      <c r="AT143" s="29">
        <v>8.1</v>
      </c>
      <c r="AU143" s="32" t="s">
        <v>186</v>
      </c>
      <c r="AV143" s="32" t="s">
        <v>166</v>
      </c>
      <c r="AW143" s="29" t="s">
        <v>166</v>
      </c>
      <c r="AX143" s="32" t="s">
        <v>166</v>
      </c>
      <c r="AY143" s="25" t="s">
        <v>217</v>
      </c>
      <c r="AZ143" s="25" t="s">
        <v>217</v>
      </c>
      <c r="BA143" s="25" t="s">
        <v>166</v>
      </c>
      <c r="BB143" s="32" t="s">
        <v>166</v>
      </c>
      <c r="BC143" s="25" t="s">
        <v>179</v>
      </c>
      <c r="BD143" s="25" t="s">
        <v>2968</v>
      </c>
      <c r="BE143" s="25" t="s">
        <v>189</v>
      </c>
      <c r="BF143" s="29">
        <v>8.1</v>
      </c>
      <c r="BG143" s="25" t="s">
        <v>190</v>
      </c>
      <c r="BH143" s="25" t="s">
        <v>166</v>
      </c>
      <c r="BI143" s="25" t="s">
        <v>166</v>
      </c>
      <c r="BJ143" s="29" t="s">
        <v>166</v>
      </c>
      <c r="BK143" s="29" t="s">
        <v>166</v>
      </c>
      <c r="BL143" s="25" t="s">
        <v>191</v>
      </c>
      <c r="BM143" s="25" t="s">
        <v>178</v>
      </c>
      <c r="BN143" s="25" t="s">
        <v>177</v>
      </c>
      <c r="BO143" s="33" t="s">
        <v>166</v>
      </c>
      <c r="BP143" s="25" t="s">
        <v>2965</v>
      </c>
      <c r="BQ143" s="32">
        <v>4</v>
      </c>
      <c r="BR143" s="25" t="s">
        <v>166</v>
      </c>
      <c r="BS143" s="32" t="s">
        <v>166</v>
      </c>
      <c r="BT143" s="25" t="s">
        <v>2975</v>
      </c>
      <c r="BU143" s="25" t="s">
        <v>166</v>
      </c>
      <c r="BV143" s="25" t="s">
        <v>166</v>
      </c>
      <c r="BW143" s="25" t="s">
        <v>166</v>
      </c>
      <c r="BX143" s="25" t="s">
        <v>166</v>
      </c>
      <c r="BY143" s="25" t="s">
        <v>166</v>
      </c>
      <c r="BZ143" s="25" t="s">
        <v>2976</v>
      </c>
      <c r="CA143" s="25" t="s">
        <v>2976</v>
      </c>
      <c r="CB143" s="25" t="s">
        <v>166</v>
      </c>
      <c r="CC143" s="25" t="s">
        <v>166</v>
      </c>
      <c r="CD143" s="25" t="s">
        <v>166</v>
      </c>
      <c r="CE143" s="29" t="s">
        <v>166</v>
      </c>
      <c r="CF143" s="27" t="s">
        <v>166</v>
      </c>
      <c r="CG143" s="28" t="s">
        <v>166</v>
      </c>
      <c r="CH143" s="27" t="s">
        <v>166</v>
      </c>
      <c r="CI143" s="27" t="s">
        <v>166</v>
      </c>
      <c r="CJ143" s="27" t="s">
        <v>166</v>
      </c>
      <c r="CK143" s="27" t="s">
        <v>166</v>
      </c>
      <c r="CL143" s="27" t="s">
        <v>166</v>
      </c>
      <c r="CM143" s="31" t="s">
        <v>166</v>
      </c>
      <c r="CN143" s="27" t="s">
        <v>166</v>
      </c>
      <c r="CO143" s="27" t="s">
        <v>166</v>
      </c>
      <c r="CP143" s="27" t="s">
        <v>166</v>
      </c>
      <c r="CQ143" s="27" t="s">
        <v>166</v>
      </c>
      <c r="CR143" s="27" t="s">
        <v>166</v>
      </c>
      <c r="CS143" s="27" t="s">
        <v>166</v>
      </c>
      <c r="CT143" s="27" t="s">
        <v>166</v>
      </c>
      <c r="CU143" s="27" t="s">
        <v>166</v>
      </c>
      <c r="CV143" s="27" t="s">
        <v>166</v>
      </c>
      <c r="CW143" s="27" t="s">
        <v>166</v>
      </c>
      <c r="CX143" s="27" t="s">
        <v>166</v>
      </c>
      <c r="CY143" s="27" t="s">
        <v>166</v>
      </c>
      <c r="CZ143" s="27" t="s">
        <v>166</v>
      </c>
      <c r="DA143" s="27" t="s">
        <v>166</v>
      </c>
      <c r="DB143" s="27" t="s">
        <v>166</v>
      </c>
      <c r="DC143" s="27" t="s">
        <v>166</v>
      </c>
      <c r="DD143" s="27" t="s">
        <v>166</v>
      </c>
      <c r="DE143" s="28" t="s">
        <v>166</v>
      </c>
      <c r="DF143" s="33">
        <v>10</v>
      </c>
      <c r="DG143" s="25" t="s">
        <v>673</v>
      </c>
      <c r="DH143" s="25" t="s">
        <v>193</v>
      </c>
      <c r="DI143" s="25" t="s">
        <v>194</v>
      </c>
      <c r="DJ143" s="25" t="s">
        <v>674</v>
      </c>
      <c r="DK143" s="25" t="s">
        <v>257</v>
      </c>
      <c r="DL143" s="32" t="s">
        <v>166</v>
      </c>
      <c r="DM143" s="25" t="s">
        <v>198</v>
      </c>
      <c r="DN143" s="24" t="s">
        <v>2977</v>
      </c>
      <c r="DO143" s="31">
        <v>2023</v>
      </c>
      <c r="DP143" s="25" t="s">
        <v>166</v>
      </c>
      <c r="DQ143" s="25" t="s">
        <v>166</v>
      </c>
      <c r="DR143" s="29" t="s">
        <v>166</v>
      </c>
      <c r="DS143" s="27" t="s">
        <v>166</v>
      </c>
      <c r="DT143" s="30" t="s">
        <v>166</v>
      </c>
      <c r="DU143" s="25" t="s">
        <v>166</v>
      </c>
      <c r="DV143" s="29" t="s">
        <v>166</v>
      </c>
      <c r="DW143" s="29" t="s">
        <v>166</v>
      </c>
      <c r="DX143" s="27" t="s">
        <v>166</v>
      </c>
      <c r="DY143" s="27" t="s">
        <v>166</v>
      </c>
      <c r="DZ143" s="28" t="s">
        <v>166</v>
      </c>
      <c r="EA143" s="27" t="s">
        <v>166</v>
      </c>
      <c r="EB143" s="27" t="s">
        <v>166</v>
      </c>
      <c r="EC143" s="27" t="s">
        <v>166</v>
      </c>
      <c r="ED143" s="28" t="s">
        <v>166</v>
      </c>
      <c r="EE143" s="28" t="s">
        <v>166</v>
      </c>
      <c r="EF143" s="28" t="s">
        <v>166</v>
      </c>
      <c r="EG143" s="28" t="s">
        <v>166</v>
      </c>
      <c r="EH143" s="27" t="s">
        <v>166</v>
      </c>
      <c r="EI143" s="27" t="s">
        <v>166</v>
      </c>
      <c r="EJ143" s="27" t="s">
        <v>166</v>
      </c>
      <c r="EK143" s="27" t="s">
        <v>166</v>
      </c>
      <c r="EL143" s="27" t="s">
        <v>166</v>
      </c>
      <c r="EM143" s="27" t="s">
        <v>166</v>
      </c>
      <c r="EN143" s="27" t="s">
        <v>166</v>
      </c>
      <c r="EO143" s="27" t="s">
        <v>166</v>
      </c>
      <c r="EP143" s="27" t="s">
        <v>166</v>
      </c>
      <c r="EQ143" s="27" t="s">
        <v>166</v>
      </c>
      <c r="ER143" s="27" t="s">
        <v>166</v>
      </c>
      <c r="ES143" s="27" t="s">
        <v>166</v>
      </c>
      <c r="ET143" s="25" t="s">
        <v>166</v>
      </c>
      <c r="EU143" s="27" t="s">
        <v>166</v>
      </c>
      <c r="EV143" s="27" t="s">
        <v>166</v>
      </c>
      <c r="EW143" s="27" t="s">
        <v>166</v>
      </c>
      <c r="EX143" s="25" t="s">
        <v>190</v>
      </c>
      <c r="EY143" s="25" t="s">
        <v>166</v>
      </c>
      <c r="EZ143" s="27" t="s">
        <v>166</v>
      </c>
      <c r="FA143" s="26" t="s">
        <v>166</v>
      </c>
      <c r="FB143" s="26" t="s">
        <v>166</v>
      </c>
      <c r="FC143" s="26" t="s">
        <v>166</v>
      </c>
      <c r="FD143" s="26" t="s">
        <v>166</v>
      </c>
      <c r="FE143" s="26" t="s">
        <v>166</v>
      </c>
      <c r="FF143" s="26" t="s">
        <v>166</v>
      </c>
      <c r="FG143" s="25" t="s">
        <v>166</v>
      </c>
      <c r="FH143" s="4">
        <f>HYPERLINK("https://my.pitchbook.com?c=260468-56T","View Company Online")</f>
      </c>
    </row>
    <row r="144">
      <c r="A144" s="14" t="s">
        <v>2978</v>
      </c>
      <c r="B144" s="14" t="s">
        <v>2979</v>
      </c>
      <c r="C144" s="14" t="s">
        <v>2980</v>
      </c>
      <c r="D144" s="14" t="s">
        <v>166</v>
      </c>
      <c r="E144" s="23" t="s">
        <v>2981</v>
      </c>
      <c r="F144" s="21">
        <v>2</v>
      </c>
      <c r="G144" s="14" t="s">
        <v>2982</v>
      </c>
      <c r="H144" s="14" t="s">
        <v>166</v>
      </c>
      <c r="I144" s="14" t="s">
        <v>2983</v>
      </c>
      <c r="J144" s="14" t="s">
        <v>2984</v>
      </c>
      <c r="K144" s="14" t="s">
        <v>171</v>
      </c>
      <c r="L144" s="14" t="s">
        <v>172</v>
      </c>
      <c r="M144" s="14" t="s">
        <v>1033</v>
      </c>
      <c r="N144" s="14" t="s">
        <v>2985</v>
      </c>
      <c r="O144" s="14" t="s">
        <v>1035</v>
      </c>
      <c r="P144" s="14" t="s">
        <v>2986</v>
      </c>
      <c r="Q144" s="14" t="s">
        <v>166</v>
      </c>
      <c r="R144" s="14" t="s">
        <v>177</v>
      </c>
      <c r="S144" s="14" t="s">
        <v>178</v>
      </c>
      <c r="T144" s="14" t="s">
        <v>179</v>
      </c>
      <c r="U144" s="14" t="s">
        <v>2987</v>
      </c>
      <c r="V144" s="14" t="s">
        <v>2988</v>
      </c>
      <c r="W144" s="21" t="s">
        <v>2989</v>
      </c>
      <c r="X144" s="14" t="s">
        <v>166</v>
      </c>
      <c r="Y144" s="14" t="s">
        <v>2990</v>
      </c>
      <c r="Z144" s="14" t="s">
        <v>725</v>
      </c>
      <c r="AA144" s="14" t="s">
        <v>166</v>
      </c>
      <c r="AB144" s="14" t="s">
        <v>166</v>
      </c>
      <c r="AC144" s="14" t="s">
        <v>166</v>
      </c>
      <c r="AD144" s="14" t="s">
        <v>166</v>
      </c>
      <c r="AE144" s="14" t="s">
        <v>166</v>
      </c>
      <c r="AF144" s="14" t="s">
        <v>166</v>
      </c>
      <c r="AG144" s="14" t="s">
        <v>166</v>
      </c>
      <c r="AH144" s="21">
        <v>3</v>
      </c>
      <c r="AI144" s="3">
        <f>HYPERLINK("https://my.pitchbook.com/?d=140733-91T","140733-91T")</f>
      </c>
      <c r="AJ144" s="19" t="s">
        <v>166</v>
      </c>
      <c r="AK144" s="19">
        <v>43983</v>
      </c>
      <c r="AL144" s="18">
        <v>0.23</v>
      </c>
      <c r="AM144" s="14" t="s">
        <v>185</v>
      </c>
      <c r="AN144" s="18" t="s">
        <v>166</v>
      </c>
      <c r="AO144" s="18" t="s">
        <v>166</v>
      </c>
      <c r="AP144" s="14" t="s">
        <v>166</v>
      </c>
      <c r="AQ144" s="21" t="s">
        <v>166</v>
      </c>
      <c r="AR144" s="21" t="s">
        <v>166</v>
      </c>
      <c r="AS144" s="17" t="s">
        <v>166</v>
      </c>
      <c r="AT144" s="18">
        <v>0.49</v>
      </c>
      <c r="AU144" s="21" t="s">
        <v>186</v>
      </c>
      <c r="AV144" s="21" t="s">
        <v>166</v>
      </c>
      <c r="AW144" s="18" t="s">
        <v>166</v>
      </c>
      <c r="AX144" s="21" t="s">
        <v>166</v>
      </c>
      <c r="AY144" s="14" t="s">
        <v>217</v>
      </c>
      <c r="AZ144" s="14" t="s">
        <v>217</v>
      </c>
      <c r="BA144" s="14" t="s">
        <v>166</v>
      </c>
      <c r="BB144" s="21" t="s">
        <v>166</v>
      </c>
      <c r="BC144" s="14" t="s">
        <v>2991</v>
      </c>
      <c r="BD144" s="14" t="s">
        <v>2992</v>
      </c>
      <c r="BE144" s="14" t="s">
        <v>189</v>
      </c>
      <c r="BF144" s="18">
        <v>0.23</v>
      </c>
      <c r="BG144" s="14" t="s">
        <v>190</v>
      </c>
      <c r="BH144" s="14" t="s">
        <v>166</v>
      </c>
      <c r="BI144" s="14" t="s">
        <v>166</v>
      </c>
      <c r="BJ144" s="18" t="s">
        <v>166</v>
      </c>
      <c r="BK144" s="18" t="s">
        <v>166</v>
      </c>
      <c r="BL144" s="14" t="s">
        <v>191</v>
      </c>
      <c r="BM144" s="14" t="s">
        <v>178</v>
      </c>
      <c r="BN144" s="14" t="s">
        <v>2727</v>
      </c>
      <c r="BO144" s="22" t="s">
        <v>166</v>
      </c>
      <c r="BP144" s="14" t="s">
        <v>2993</v>
      </c>
      <c r="BQ144" s="21">
        <v>2</v>
      </c>
      <c r="BR144" s="14" t="s">
        <v>166</v>
      </c>
      <c r="BS144" s="21" t="s">
        <v>166</v>
      </c>
      <c r="BT144" s="14" t="s">
        <v>166</v>
      </c>
      <c r="BU144" s="14" t="s">
        <v>166</v>
      </c>
      <c r="BV144" s="14" t="s">
        <v>2994</v>
      </c>
      <c r="BW144" s="14" t="s">
        <v>166</v>
      </c>
      <c r="BX144" s="14" t="s">
        <v>166</v>
      </c>
      <c r="BY144" s="14" t="s">
        <v>166</v>
      </c>
      <c r="BZ144" s="14" t="s">
        <v>166</v>
      </c>
      <c r="CA144" s="14" t="s">
        <v>166</v>
      </c>
      <c r="CB144" s="14" t="s">
        <v>166</v>
      </c>
      <c r="CC144" s="14" t="s">
        <v>166</v>
      </c>
      <c r="CD144" s="14" t="s">
        <v>166</v>
      </c>
      <c r="CE144" s="18" t="s">
        <v>166</v>
      </c>
      <c r="CF144" s="16" t="s">
        <v>166</v>
      </c>
      <c r="CG144" s="17" t="s">
        <v>166</v>
      </c>
      <c r="CH144" s="16" t="s">
        <v>166</v>
      </c>
      <c r="CI144" s="16" t="s">
        <v>166</v>
      </c>
      <c r="CJ144" s="16" t="s">
        <v>166</v>
      </c>
      <c r="CK144" s="16" t="s">
        <v>166</v>
      </c>
      <c r="CL144" s="16" t="s">
        <v>166</v>
      </c>
      <c r="CM144" s="20" t="s">
        <v>166</v>
      </c>
      <c r="CN144" s="16" t="s">
        <v>166</v>
      </c>
      <c r="CO144" s="16" t="s">
        <v>166</v>
      </c>
      <c r="CP144" s="16" t="s">
        <v>166</v>
      </c>
      <c r="CQ144" s="16" t="s">
        <v>166</v>
      </c>
      <c r="CR144" s="16" t="s">
        <v>166</v>
      </c>
      <c r="CS144" s="16" t="s">
        <v>166</v>
      </c>
      <c r="CT144" s="16" t="s">
        <v>166</v>
      </c>
      <c r="CU144" s="16" t="s">
        <v>166</v>
      </c>
      <c r="CV144" s="16" t="s">
        <v>166</v>
      </c>
      <c r="CW144" s="16" t="s">
        <v>166</v>
      </c>
      <c r="CX144" s="16" t="s">
        <v>166</v>
      </c>
      <c r="CY144" s="16" t="s">
        <v>166</v>
      </c>
      <c r="CZ144" s="16" t="s">
        <v>166</v>
      </c>
      <c r="DA144" s="16" t="s">
        <v>166</v>
      </c>
      <c r="DB144" s="16" t="s">
        <v>166</v>
      </c>
      <c r="DC144" s="16" t="s">
        <v>166</v>
      </c>
      <c r="DD144" s="16" t="s">
        <v>166</v>
      </c>
      <c r="DE144" s="17" t="s">
        <v>166</v>
      </c>
      <c r="DF144" s="22">
        <v>6</v>
      </c>
      <c r="DG144" s="14" t="s">
        <v>2212</v>
      </c>
      <c r="DH144" s="14" t="s">
        <v>193</v>
      </c>
      <c r="DI144" s="14" t="s">
        <v>194</v>
      </c>
      <c r="DJ144" s="14" t="s">
        <v>2213</v>
      </c>
      <c r="DK144" s="14" t="s">
        <v>1000</v>
      </c>
      <c r="DL144" s="21" t="s">
        <v>2995</v>
      </c>
      <c r="DM144" s="14" t="s">
        <v>198</v>
      </c>
      <c r="DN144" s="13" t="s">
        <v>2996</v>
      </c>
      <c r="DO144" s="20">
        <v>2017</v>
      </c>
      <c r="DP144" s="14" t="s">
        <v>166</v>
      </c>
      <c r="DQ144" s="14" t="s">
        <v>166</v>
      </c>
      <c r="DR144" s="18" t="s">
        <v>166</v>
      </c>
      <c r="DS144" s="16" t="s">
        <v>166</v>
      </c>
      <c r="DT144" s="19" t="s">
        <v>166</v>
      </c>
      <c r="DU144" s="14" t="s">
        <v>166</v>
      </c>
      <c r="DV144" s="18" t="s">
        <v>166</v>
      </c>
      <c r="DW144" s="18" t="s">
        <v>166</v>
      </c>
      <c r="DX144" s="16" t="s">
        <v>166</v>
      </c>
      <c r="DY144" s="16" t="s">
        <v>166</v>
      </c>
      <c r="DZ144" s="17" t="s">
        <v>166</v>
      </c>
      <c r="EA144" s="16" t="s">
        <v>166</v>
      </c>
      <c r="EB144" s="16" t="s">
        <v>166</v>
      </c>
      <c r="EC144" s="16" t="s">
        <v>166</v>
      </c>
      <c r="ED144" s="17" t="s">
        <v>166</v>
      </c>
      <c r="EE144" s="17" t="s">
        <v>166</v>
      </c>
      <c r="EF144" s="17" t="s">
        <v>166</v>
      </c>
      <c r="EG144" s="17" t="s">
        <v>166</v>
      </c>
      <c r="EH144" s="16" t="s">
        <v>166</v>
      </c>
      <c r="EI144" s="16" t="s">
        <v>166</v>
      </c>
      <c r="EJ144" s="16" t="s">
        <v>166</v>
      </c>
      <c r="EK144" s="16" t="s">
        <v>166</v>
      </c>
      <c r="EL144" s="16" t="s">
        <v>166</v>
      </c>
      <c r="EM144" s="16" t="s">
        <v>166</v>
      </c>
      <c r="EN144" s="16" t="s">
        <v>166</v>
      </c>
      <c r="EO144" s="16" t="s">
        <v>166</v>
      </c>
      <c r="EP144" s="16" t="s">
        <v>166</v>
      </c>
      <c r="EQ144" s="16" t="s">
        <v>166</v>
      </c>
      <c r="ER144" s="16" t="s">
        <v>166</v>
      </c>
      <c r="ES144" s="16" t="s">
        <v>166</v>
      </c>
      <c r="ET144" s="14" t="s">
        <v>166</v>
      </c>
      <c r="EU144" s="16" t="s">
        <v>166</v>
      </c>
      <c r="EV144" s="16" t="s">
        <v>166</v>
      </c>
      <c r="EW144" s="16" t="s">
        <v>166</v>
      </c>
      <c r="EX144" s="14" t="s">
        <v>190</v>
      </c>
      <c r="EY144" s="14" t="s">
        <v>166</v>
      </c>
      <c r="EZ144" s="16" t="s">
        <v>166</v>
      </c>
      <c r="FA144" s="15" t="s">
        <v>166</v>
      </c>
      <c r="FB144" s="15" t="s">
        <v>166</v>
      </c>
      <c r="FC144" s="15" t="s">
        <v>166</v>
      </c>
      <c r="FD144" s="15" t="s">
        <v>166</v>
      </c>
      <c r="FE144" s="15" t="s">
        <v>166</v>
      </c>
      <c r="FF144" s="15" t="s">
        <v>166</v>
      </c>
      <c r="FG144" s="14" t="s">
        <v>166</v>
      </c>
      <c r="FH144" s="3">
        <f>HYPERLINK("https://my.pitchbook.com?c=140733-91T","View Company Online")</f>
      </c>
    </row>
    <row r="145">
      <c r="A145" s="25" t="s">
        <v>2997</v>
      </c>
      <c r="B145" s="25" t="s">
        <v>2998</v>
      </c>
      <c r="C145" s="25" t="s">
        <v>2999</v>
      </c>
      <c r="D145" s="25" t="s">
        <v>166</v>
      </c>
      <c r="E145" s="34" t="s">
        <v>3000</v>
      </c>
      <c r="F145" s="32">
        <v>4</v>
      </c>
      <c r="G145" s="25" t="s">
        <v>3001</v>
      </c>
      <c r="H145" s="25" t="s">
        <v>166</v>
      </c>
      <c r="I145" s="25" t="s">
        <v>3002</v>
      </c>
      <c r="J145" s="25" t="s">
        <v>3003</v>
      </c>
      <c r="K145" s="25" t="s">
        <v>207</v>
      </c>
      <c r="L145" s="25" t="s">
        <v>208</v>
      </c>
      <c r="M145" s="25" t="s">
        <v>296</v>
      </c>
      <c r="N145" s="25" t="s">
        <v>3004</v>
      </c>
      <c r="O145" s="25" t="s">
        <v>3005</v>
      </c>
      <c r="P145" s="25" t="s">
        <v>3006</v>
      </c>
      <c r="Q145" s="25" t="s">
        <v>166</v>
      </c>
      <c r="R145" s="25" t="s">
        <v>177</v>
      </c>
      <c r="S145" s="25" t="s">
        <v>178</v>
      </c>
      <c r="T145" s="25" t="s">
        <v>179</v>
      </c>
      <c r="U145" s="25" t="s">
        <v>3007</v>
      </c>
      <c r="V145" s="25" t="s">
        <v>3008</v>
      </c>
      <c r="W145" s="32" t="s">
        <v>3009</v>
      </c>
      <c r="X145" s="25" t="s">
        <v>3010</v>
      </c>
      <c r="Y145" s="25" t="s">
        <v>3011</v>
      </c>
      <c r="Z145" s="25" t="s">
        <v>3012</v>
      </c>
      <c r="AA145" s="25" t="s">
        <v>166</v>
      </c>
      <c r="AB145" s="25" t="s">
        <v>166</v>
      </c>
      <c r="AC145" s="25" t="s">
        <v>166</v>
      </c>
      <c r="AD145" s="25" t="s">
        <v>166</v>
      </c>
      <c r="AE145" s="25" t="s">
        <v>166</v>
      </c>
      <c r="AF145" s="25" t="s">
        <v>166</v>
      </c>
      <c r="AG145" s="25" t="s">
        <v>166</v>
      </c>
      <c r="AH145" s="32">
        <v>1</v>
      </c>
      <c r="AI145" s="4">
        <f>HYPERLINK("https://my.pitchbook.com/?d=191456-74T","191456-74T")</f>
      </c>
      <c r="AJ145" s="30" t="s">
        <v>166</v>
      </c>
      <c r="AK145" s="30">
        <v>44524</v>
      </c>
      <c r="AL145" s="29">
        <v>0.1</v>
      </c>
      <c r="AM145" s="25" t="s">
        <v>185</v>
      </c>
      <c r="AN145" s="29">
        <v>2.9</v>
      </c>
      <c r="AO145" s="29">
        <v>3</v>
      </c>
      <c r="AP145" s="25" t="s">
        <v>185</v>
      </c>
      <c r="AQ145" s="32" t="s">
        <v>166</v>
      </c>
      <c r="AR145" s="32" t="s">
        <v>166</v>
      </c>
      <c r="AS145" s="28">
        <v>3.33</v>
      </c>
      <c r="AT145" s="29">
        <v>0.1</v>
      </c>
      <c r="AU145" s="32" t="s">
        <v>186</v>
      </c>
      <c r="AV145" s="32" t="s">
        <v>166</v>
      </c>
      <c r="AW145" s="29" t="s">
        <v>166</v>
      </c>
      <c r="AX145" s="32" t="s">
        <v>166</v>
      </c>
      <c r="AY145" s="25" t="s">
        <v>217</v>
      </c>
      <c r="AZ145" s="25" t="s">
        <v>217</v>
      </c>
      <c r="BA145" s="25" t="s">
        <v>166</v>
      </c>
      <c r="BB145" s="32" t="s">
        <v>166</v>
      </c>
      <c r="BC145" s="25" t="s">
        <v>179</v>
      </c>
      <c r="BD145" s="25" t="s">
        <v>3013</v>
      </c>
      <c r="BE145" s="25" t="s">
        <v>189</v>
      </c>
      <c r="BF145" s="29">
        <v>0.1</v>
      </c>
      <c r="BG145" s="25" t="s">
        <v>190</v>
      </c>
      <c r="BH145" s="25" t="s">
        <v>166</v>
      </c>
      <c r="BI145" s="25" t="s">
        <v>166</v>
      </c>
      <c r="BJ145" s="29" t="s">
        <v>166</v>
      </c>
      <c r="BK145" s="29" t="s">
        <v>166</v>
      </c>
      <c r="BL145" s="25" t="s">
        <v>191</v>
      </c>
      <c r="BM145" s="25" t="s">
        <v>178</v>
      </c>
      <c r="BN145" s="25" t="s">
        <v>177</v>
      </c>
      <c r="BO145" s="33" t="s">
        <v>166</v>
      </c>
      <c r="BP145" s="25" t="s">
        <v>3014</v>
      </c>
      <c r="BQ145" s="32">
        <v>4</v>
      </c>
      <c r="BR145" s="25" t="s">
        <v>166</v>
      </c>
      <c r="BS145" s="32" t="s">
        <v>166</v>
      </c>
      <c r="BT145" s="25" t="s">
        <v>166</v>
      </c>
      <c r="BU145" s="25" t="s">
        <v>166</v>
      </c>
      <c r="BV145" s="25" t="s">
        <v>3015</v>
      </c>
      <c r="BW145" s="25" t="s">
        <v>166</v>
      </c>
      <c r="BX145" s="25" t="s">
        <v>166</v>
      </c>
      <c r="BY145" s="25" t="s">
        <v>166</v>
      </c>
      <c r="BZ145" s="25" t="s">
        <v>166</v>
      </c>
      <c r="CA145" s="25" t="s">
        <v>166</v>
      </c>
      <c r="CB145" s="25" t="s">
        <v>166</v>
      </c>
      <c r="CC145" s="25" t="s">
        <v>166</v>
      </c>
      <c r="CD145" s="25" t="s">
        <v>166</v>
      </c>
      <c r="CE145" s="29" t="s">
        <v>166</v>
      </c>
      <c r="CF145" s="27" t="s">
        <v>166</v>
      </c>
      <c r="CG145" s="28" t="s">
        <v>166</v>
      </c>
      <c r="CH145" s="27" t="s">
        <v>166</v>
      </c>
      <c r="CI145" s="27" t="s">
        <v>166</v>
      </c>
      <c r="CJ145" s="27" t="s">
        <v>166</v>
      </c>
      <c r="CK145" s="27" t="s">
        <v>166</v>
      </c>
      <c r="CL145" s="27" t="s">
        <v>166</v>
      </c>
      <c r="CM145" s="31" t="s">
        <v>166</v>
      </c>
      <c r="CN145" s="27" t="s">
        <v>166</v>
      </c>
      <c r="CO145" s="27" t="s">
        <v>166</v>
      </c>
      <c r="CP145" s="27" t="s">
        <v>166</v>
      </c>
      <c r="CQ145" s="27" t="s">
        <v>166</v>
      </c>
      <c r="CR145" s="27" t="s">
        <v>166</v>
      </c>
      <c r="CS145" s="27" t="s">
        <v>166</v>
      </c>
      <c r="CT145" s="27" t="s">
        <v>166</v>
      </c>
      <c r="CU145" s="27" t="s">
        <v>166</v>
      </c>
      <c r="CV145" s="27" t="s">
        <v>166</v>
      </c>
      <c r="CW145" s="27" t="s">
        <v>166</v>
      </c>
      <c r="CX145" s="27" t="s">
        <v>166</v>
      </c>
      <c r="CY145" s="27" t="s">
        <v>166</v>
      </c>
      <c r="CZ145" s="27" t="s">
        <v>166</v>
      </c>
      <c r="DA145" s="27" t="s">
        <v>166</v>
      </c>
      <c r="DB145" s="27" t="s">
        <v>166</v>
      </c>
      <c r="DC145" s="27" t="s">
        <v>166</v>
      </c>
      <c r="DD145" s="27" t="s">
        <v>166</v>
      </c>
      <c r="DE145" s="28" t="s">
        <v>166</v>
      </c>
      <c r="DF145" s="33">
        <v>2</v>
      </c>
      <c r="DG145" s="25" t="s">
        <v>3016</v>
      </c>
      <c r="DH145" s="25" t="s">
        <v>193</v>
      </c>
      <c r="DI145" s="25" t="s">
        <v>194</v>
      </c>
      <c r="DJ145" s="25" t="s">
        <v>3017</v>
      </c>
      <c r="DK145" s="25" t="s">
        <v>2369</v>
      </c>
      <c r="DL145" s="32" t="s">
        <v>3018</v>
      </c>
      <c r="DM145" s="25" t="s">
        <v>198</v>
      </c>
      <c r="DN145" s="24" t="s">
        <v>3019</v>
      </c>
      <c r="DO145" s="31">
        <v>2021</v>
      </c>
      <c r="DP145" s="25" t="s">
        <v>166</v>
      </c>
      <c r="DQ145" s="25" t="s">
        <v>166</v>
      </c>
      <c r="DR145" s="29" t="s">
        <v>166</v>
      </c>
      <c r="DS145" s="27" t="s">
        <v>166</v>
      </c>
      <c r="DT145" s="30" t="s">
        <v>166</v>
      </c>
      <c r="DU145" s="25" t="s">
        <v>166</v>
      </c>
      <c r="DV145" s="29" t="s">
        <v>166</v>
      </c>
      <c r="DW145" s="29" t="s">
        <v>166</v>
      </c>
      <c r="DX145" s="27" t="s">
        <v>166</v>
      </c>
      <c r="DY145" s="27" t="s">
        <v>166</v>
      </c>
      <c r="DZ145" s="28" t="s">
        <v>166</v>
      </c>
      <c r="EA145" s="27" t="s">
        <v>166</v>
      </c>
      <c r="EB145" s="27" t="s">
        <v>166</v>
      </c>
      <c r="EC145" s="27" t="s">
        <v>166</v>
      </c>
      <c r="ED145" s="28" t="s">
        <v>166</v>
      </c>
      <c r="EE145" s="28" t="s">
        <v>166</v>
      </c>
      <c r="EF145" s="28" t="s">
        <v>166</v>
      </c>
      <c r="EG145" s="28" t="s">
        <v>166</v>
      </c>
      <c r="EH145" s="27" t="s">
        <v>166</v>
      </c>
      <c r="EI145" s="27" t="s">
        <v>166</v>
      </c>
      <c r="EJ145" s="27" t="s">
        <v>166</v>
      </c>
      <c r="EK145" s="27" t="s">
        <v>166</v>
      </c>
      <c r="EL145" s="27" t="s">
        <v>166</v>
      </c>
      <c r="EM145" s="27" t="s">
        <v>166</v>
      </c>
      <c r="EN145" s="27" t="s">
        <v>166</v>
      </c>
      <c r="EO145" s="27" t="s">
        <v>166</v>
      </c>
      <c r="EP145" s="27" t="s">
        <v>166</v>
      </c>
      <c r="EQ145" s="27" t="s">
        <v>166</v>
      </c>
      <c r="ER145" s="27" t="s">
        <v>166</v>
      </c>
      <c r="ES145" s="27" t="s">
        <v>166</v>
      </c>
      <c r="ET145" s="25" t="s">
        <v>166</v>
      </c>
      <c r="EU145" s="27" t="s">
        <v>166</v>
      </c>
      <c r="EV145" s="27" t="s">
        <v>166</v>
      </c>
      <c r="EW145" s="27" t="s">
        <v>166</v>
      </c>
      <c r="EX145" s="25" t="s">
        <v>190</v>
      </c>
      <c r="EY145" s="25" t="s">
        <v>166</v>
      </c>
      <c r="EZ145" s="27" t="s">
        <v>166</v>
      </c>
      <c r="FA145" s="26" t="s">
        <v>166</v>
      </c>
      <c r="FB145" s="26" t="s">
        <v>166</v>
      </c>
      <c r="FC145" s="26" t="s">
        <v>166</v>
      </c>
      <c r="FD145" s="26" t="s">
        <v>166</v>
      </c>
      <c r="FE145" s="26" t="s">
        <v>166</v>
      </c>
      <c r="FF145" s="26" t="s">
        <v>166</v>
      </c>
      <c r="FG145" s="25" t="s">
        <v>166</v>
      </c>
      <c r="FH145" s="4">
        <f>HYPERLINK("https://my.pitchbook.com?c=191456-74T","View Company Online")</f>
      </c>
    </row>
    <row r="146">
      <c r="A146" s="14" t="s">
        <v>3020</v>
      </c>
      <c r="B146" s="14" t="s">
        <v>3021</v>
      </c>
      <c r="C146" s="14" t="s">
        <v>3022</v>
      </c>
      <c r="D146" s="14" t="s">
        <v>166</v>
      </c>
      <c r="E146" s="23" t="s">
        <v>3023</v>
      </c>
      <c r="F146" s="21">
        <v>2</v>
      </c>
      <c r="G146" s="14" t="s">
        <v>3024</v>
      </c>
      <c r="H146" s="14" t="s">
        <v>166</v>
      </c>
      <c r="I146" s="14" t="s">
        <v>3025</v>
      </c>
      <c r="J146" s="14" t="s">
        <v>3026</v>
      </c>
      <c r="K146" s="14" t="s">
        <v>207</v>
      </c>
      <c r="L146" s="14" t="s">
        <v>208</v>
      </c>
      <c r="M146" s="14" t="s">
        <v>209</v>
      </c>
      <c r="N146" s="14" t="s">
        <v>269</v>
      </c>
      <c r="O146" s="14" t="s">
        <v>3027</v>
      </c>
      <c r="P146" s="14" t="s">
        <v>3028</v>
      </c>
      <c r="Q146" s="14" t="s">
        <v>166</v>
      </c>
      <c r="R146" s="14" t="s">
        <v>177</v>
      </c>
      <c r="S146" s="14" t="s">
        <v>178</v>
      </c>
      <c r="T146" s="14" t="s">
        <v>179</v>
      </c>
      <c r="U146" s="14" t="s">
        <v>3029</v>
      </c>
      <c r="V146" s="14" t="s">
        <v>3030</v>
      </c>
      <c r="W146" s="21" t="s">
        <v>3031</v>
      </c>
      <c r="X146" s="14" t="s">
        <v>3032</v>
      </c>
      <c r="Y146" s="14" t="s">
        <v>3033</v>
      </c>
      <c r="Z146" s="14" t="s">
        <v>3034</v>
      </c>
      <c r="AA146" s="14" t="s">
        <v>166</v>
      </c>
      <c r="AB146" s="14" t="s">
        <v>166</v>
      </c>
      <c r="AC146" s="14" t="s">
        <v>166</v>
      </c>
      <c r="AD146" s="14" t="s">
        <v>166</v>
      </c>
      <c r="AE146" s="14" t="s">
        <v>166</v>
      </c>
      <c r="AF146" s="14" t="s">
        <v>166</v>
      </c>
      <c r="AG146" s="14" t="s">
        <v>166</v>
      </c>
      <c r="AH146" s="21">
        <v>1</v>
      </c>
      <c r="AI146" s="3">
        <f>HYPERLINK("https://my.pitchbook.com/?d=164988-10T","164988-10T")</f>
      </c>
      <c r="AJ146" s="19">
        <v>44120</v>
      </c>
      <c r="AK146" s="19">
        <v>44257</v>
      </c>
      <c r="AL146" s="18">
        <v>1.25</v>
      </c>
      <c r="AM146" s="14" t="s">
        <v>185</v>
      </c>
      <c r="AN146" s="18" t="s">
        <v>166</v>
      </c>
      <c r="AO146" s="18" t="s">
        <v>166</v>
      </c>
      <c r="AP146" s="14" t="s">
        <v>166</v>
      </c>
      <c r="AQ146" s="21" t="s">
        <v>166</v>
      </c>
      <c r="AR146" s="21" t="s">
        <v>166</v>
      </c>
      <c r="AS146" s="17" t="s">
        <v>166</v>
      </c>
      <c r="AT146" s="18">
        <v>1.25</v>
      </c>
      <c r="AU146" s="21" t="s">
        <v>186</v>
      </c>
      <c r="AV146" s="21" t="s">
        <v>166</v>
      </c>
      <c r="AW146" s="18" t="s">
        <v>166</v>
      </c>
      <c r="AX146" s="21" t="s">
        <v>166</v>
      </c>
      <c r="AY146" s="14" t="s">
        <v>187</v>
      </c>
      <c r="AZ146" s="14" t="s">
        <v>166</v>
      </c>
      <c r="BA146" s="14" t="s">
        <v>166</v>
      </c>
      <c r="BB146" s="21" t="s">
        <v>166</v>
      </c>
      <c r="BC146" s="14" t="s">
        <v>179</v>
      </c>
      <c r="BD146" s="14" t="s">
        <v>3035</v>
      </c>
      <c r="BE146" s="14" t="s">
        <v>189</v>
      </c>
      <c r="BF146" s="18">
        <v>1.25</v>
      </c>
      <c r="BG146" s="14" t="s">
        <v>190</v>
      </c>
      <c r="BH146" s="14" t="s">
        <v>166</v>
      </c>
      <c r="BI146" s="14" t="s">
        <v>166</v>
      </c>
      <c r="BJ146" s="18" t="s">
        <v>166</v>
      </c>
      <c r="BK146" s="18" t="s">
        <v>166</v>
      </c>
      <c r="BL146" s="14" t="s">
        <v>191</v>
      </c>
      <c r="BM146" s="14" t="s">
        <v>178</v>
      </c>
      <c r="BN146" s="14" t="s">
        <v>177</v>
      </c>
      <c r="BO146" s="22" t="s">
        <v>166</v>
      </c>
      <c r="BP146" s="14" t="s">
        <v>3023</v>
      </c>
      <c r="BQ146" s="21">
        <v>2</v>
      </c>
      <c r="BR146" s="14" t="s">
        <v>166</v>
      </c>
      <c r="BS146" s="21" t="s">
        <v>166</v>
      </c>
      <c r="BT146" s="14" t="s">
        <v>166</v>
      </c>
      <c r="BU146" s="14" t="s">
        <v>166</v>
      </c>
      <c r="BV146" s="14" t="s">
        <v>3036</v>
      </c>
      <c r="BW146" s="14" t="s">
        <v>166</v>
      </c>
      <c r="BX146" s="14" t="s">
        <v>166</v>
      </c>
      <c r="BY146" s="14" t="s">
        <v>166</v>
      </c>
      <c r="BZ146" s="14" t="s">
        <v>166</v>
      </c>
      <c r="CA146" s="14" t="s">
        <v>166</v>
      </c>
      <c r="CB146" s="14" t="s">
        <v>166</v>
      </c>
      <c r="CC146" s="14" t="s">
        <v>166</v>
      </c>
      <c r="CD146" s="14" t="s">
        <v>166</v>
      </c>
      <c r="CE146" s="18" t="s">
        <v>166</v>
      </c>
      <c r="CF146" s="16" t="s">
        <v>166</v>
      </c>
      <c r="CG146" s="17" t="s">
        <v>166</v>
      </c>
      <c r="CH146" s="16" t="s">
        <v>166</v>
      </c>
      <c r="CI146" s="16" t="s">
        <v>166</v>
      </c>
      <c r="CJ146" s="16" t="s">
        <v>166</v>
      </c>
      <c r="CK146" s="16" t="s">
        <v>166</v>
      </c>
      <c r="CL146" s="16" t="s">
        <v>166</v>
      </c>
      <c r="CM146" s="20" t="s">
        <v>166</v>
      </c>
      <c r="CN146" s="16" t="s">
        <v>166</v>
      </c>
      <c r="CO146" s="16" t="s">
        <v>166</v>
      </c>
      <c r="CP146" s="16" t="s">
        <v>166</v>
      </c>
      <c r="CQ146" s="16" t="s">
        <v>166</v>
      </c>
      <c r="CR146" s="16" t="s">
        <v>166</v>
      </c>
      <c r="CS146" s="16" t="s">
        <v>166</v>
      </c>
      <c r="CT146" s="16" t="s">
        <v>166</v>
      </c>
      <c r="CU146" s="16" t="s">
        <v>166</v>
      </c>
      <c r="CV146" s="16" t="s">
        <v>166</v>
      </c>
      <c r="CW146" s="16" t="s">
        <v>166</v>
      </c>
      <c r="CX146" s="16" t="s">
        <v>166</v>
      </c>
      <c r="CY146" s="16" t="s">
        <v>166</v>
      </c>
      <c r="CZ146" s="16" t="s">
        <v>166</v>
      </c>
      <c r="DA146" s="16" t="s">
        <v>166</v>
      </c>
      <c r="DB146" s="16" t="s">
        <v>166</v>
      </c>
      <c r="DC146" s="16" t="s">
        <v>166</v>
      </c>
      <c r="DD146" s="16" t="s">
        <v>166</v>
      </c>
      <c r="DE146" s="17" t="s">
        <v>166</v>
      </c>
      <c r="DF146" s="22">
        <v>31</v>
      </c>
      <c r="DG146" s="14" t="s">
        <v>309</v>
      </c>
      <c r="DH146" s="14" t="s">
        <v>193</v>
      </c>
      <c r="DI146" s="14" t="s">
        <v>194</v>
      </c>
      <c r="DJ146" s="14" t="s">
        <v>310</v>
      </c>
      <c r="DK146" s="14" t="s">
        <v>310</v>
      </c>
      <c r="DL146" s="21" t="s">
        <v>3037</v>
      </c>
      <c r="DM146" s="14" t="s">
        <v>198</v>
      </c>
      <c r="DN146" s="13" t="s">
        <v>3038</v>
      </c>
      <c r="DO146" s="20">
        <v>2019</v>
      </c>
      <c r="DP146" s="14" t="s">
        <v>166</v>
      </c>
      <c r="DQ146" s="14" t="s">
        <v>166</v>
      </c>
      <c r="DR146" s="18" t="s">
        <v>166</v>
      </c>
      <c r="DS146" s="16" t="s">
        <v>166</v>
      </c>
      <c r="DT146" s="19" t="s">
        <v>166</v>
      </c>
      <c r="DU146" s="14" t="s">
        <v>166</v>
      </c>
      <c r="DV146" s="18" t="s">
        <v>166</v>
      </c>
      <c r="DW146" s="18" t="s">
        <v>166</v>
      </c>
      <c r="DX146" s="16" t="s">
        <v>166</v>
      </c>
      <c r="DY146" s="16" t="s">
        <v>166</v>
      </c>
      <c r="DZ146" s="17" t="s">
        <v>166</v>
      </c>
      <c r="EA146" s="16" t="s">
        <v>166</v>
      </c>
      <c r="EB146" s="16" t="s">
        <v>166</v>
      </c>
      <c r="EC146" s="16" t="s">
        <v>166</v>
      </c>
      <c r="ED146" s="17" t="s">
        <v>166</v>
      </c>
      <c r="EE146" s="17" t="s">
        <v>166</v>
      </c>
      <c r="EF146" s="17" t="s">
        <v>166</v>
      </c>
      <c r="EG146" s="17" t="s">
        <v>166</v>
      </c>
      <c r="EH146" s="16" t="s">
        <v>166</v>
      </c>
      <c r="EI146" s="16" t="s">
        <v>166</v>
      </c>
      <c r="EJ146" s="16" t="s">
        <v>166</v>
      </c>
      <c r="EK146" s="16" t="s">
        <v>166</v>
      </c>
      <c r="EL146" s="16" t="s">
        <v>166</v>
      </c>
      <c r="EM146" s="16" t="s">
        <v>166</v>
      </c>
      <c r="EN146" s="16" t="s">
        <v>166</v>
      </c>
      <c r="EO146" s="16" t="s">
        <v>166</v>
      </c>
      <c r="EP146" s="16" t="s">
        <v>166</v>
      </c>
      <c r="EQ146" s="16" t="s">
        <v>166</v>
      </c>
      <c r="ER146" s="16" t="s">
        <v>166</v>
      </c>
      <c r="ES146" s="16" t="s">
        <v>166</v>
      </c>
      <c r="ET146" s="14" t="s">
        <v>166</v>
      </c>
      <c r="EU146" s="16" t="s">
        <v>166</v>
      </c>
      <c r="EV146" s="16" t="s">
        <v>166</v>
      </c>
      <c r="EW146" s="16" t="s">
        <v>166</v>
      </c>
      <c r="EX146" s="14" t="s">
        <v>190</v>
      </c>
      <c r="EY146" s="14" t="s">
        <v>166</v>
      </c>
      <c r="EZ146" s="16" t="s">
        <v>166</v>
      </c>
      <c r="FA146" s="15" t="s">
        <v>166</v>
      </c>
      <c r="FB146" s="15" t="s">
        <v>166</v>
      </c>
      <c r="FC146" s="15" t="s">
        <v>166</v>
      </c>
      <c r="FD146" s="15" t="s">
        <v>166</v>
      </c>
      <c r="FE146" s="15" t="s">
        <v>166</v>
      </c>
      <c r="FF146" s="15" t="s">
        <v>166</v>
      </c>
      <c r="FG146" s="14" t="s">
        <v>166</v>
      </c>
      <c r="FH146" s="3">
        <f>HYPERLINK("https://my.pitchbook.com?c=164988-10T","View Company Online")</f>
      </c>
    </row>
    <row r="147">
      <c r="A147" s="25" t="s">
        <v>3039</v>
      </c>
      <c r="B147" s="25" t="s">
        <v>3040</v>
      </c>
      <c r="C147" s="25" t="s">
        <v>3041</v>
      </c>
      <c r="D147" s="25" t="s">
        <v>166</v>
      </c>
      <c r="E147" s="34" t="s">
        <v>3042</v>
      </c>
      <c r="F147" s="32">
        <v>5</v>
      </c>
      <c r="G147" s="25" t="s">
        <v>3043</v>
      </c>
      <c r="H147" s="25" t="s">
        <v>166</v>
      </c>
      <c r="I147" s="25" t="s">
        <v>3044</v>
      </c>
      <c r="J147" s="25" t="s">
        <v>3045</v>
      </c>
      <c r="K147" s="25" t="s">
        <v>1455</v>
      </c>
      <c r="L147" s="25" t="s">
        <v>1984</v>
      </c>
      <c r="M147" s="25" t="s">
        <v>2112</v>
      </c>
      <c r="N147" s="25" t="s">
        <v>3046</v>
      </c>
      <c r="O147" s="25" t="s">
        <v>623</v>
      </c>
      <c r="P147" s="25" t="s">
        <v>3047</v>
      </c>
      <c r="Q147" s="25" t="s">
        <v>166</v>
      </c>
      <c r="R147" s="25" t="s">
        <v>177</v>
      </c>
      <c r="S147" s="25" t="s">
        <v>178</v>
      </c>
      <c r="T147" s="25" t="s">
        <v>179</v>
      </c>
      <c r="U147" s="25" t="s">
        <v>3048</v>
      </c>
      <c r="V147" s="25" t="s">
        <v>3049</v>
      </c>
      <c r="W147" s="32" t="s">
        <v>3050</v>
      </c>
      <c r="X147" s="25" t="s">
        <v>3051</v>
      </c>
      <c r="Y147" s="25" t="s">
        <v>3052</v>
      </c>
      <c r="Z147" s="25" t="s">
        <v>3053</v>
      </c>
      <c r="AA147" s="25" t="s">
        <v>166</v>
      </c>
      <c r="AB147" s="25" t="s">
        <v>166</v>
      </c>
      <c r="AC147" s="25" t="s">
        <v>166</v>
      </c>
      <c r="AD147" s="25" t="s">
        <v>166</v>
      </c>
      <c r="AE147" s="25" t="s">
        <v>166</v>
      </c>
      <c r="AF147" s="25" t="s">
        <v>166</v>
      </c>
      <c r="AG147" s="25" t="s">
        <v>166</v>
      </c>
      <c r="AH147" s="32">
        <v>3</v>
      </c>
      <c r="AI147" s="4">
        <f>HYPERLINK("https://my.pitchbook.com/?d=156681-55T","156681-55T")</f>
      </c>
      <c r="AJ147" s="30" t="s">
        <v>166</v>
      </c>
      <c r="AK147" s="30">
        <v>44651</v>
      </c>
      <c r="AL147" s="29">
        <v>0.21</v>
      </c>
      <c r="AM147" s="25" t="s">
        <v>185</v>
      </c>
      <c r="AN147" s="29" t="s">
        <v>166</v>
      </c>
      <c r="AO147" s="29" t="s">
        <v>166</v>
      </c>
      <c r="AP147" s="25" t="s">
        <v>166</v>
      </c>
      <c r="AQ147" s="32" t="s">
        <v>166</v>
      </c>
      <c r="AR147" s="32" t="s">
        <v>166</v>
      </c>
      <c r="AS147" s="28" t="s">
        <v>166</v>
      </c>
      <c r="AT147" s="29">
        <v>0.27</v>
      </c>
      <c r="AU147" s="32" t="s">
        <v>186</v>
      </c>
      <c r="AV147" s="32" t="s">
        <v>166</v>
      </c>
      <c r="AW147" s="29" t="s">
        <v>166</v>
      </c>
      <c r="AX147" s="32" t="s">
        <v>166</v>
      </c>
      <c r="AY147" s="25" t="s">
        <v>187</v>
      </c>
      <c r="AZ147" s="25" t="s">
        <v>166</v>
      </c>
      <c r="BA147" s="25" t="s">
        <v>166</v>
      </c>
      <c r="BB147" s="32" t="s">
        <v>166</v>
      </c>
      <c r="BC147" s="25" t="s">
        <v>179</v>
      </c>
      <c r="BD147" s="25" t="s">
        <v>3054</v>
      </c>
      <c r="BE147" s="25" t="s">
        <v>189</v>
      </c>
      <c r="BF147" s="29">
        <v>0.21</v>
      </c>
      <c r="BG147" s="25" t="s">
        <v>190</v>
      </c>
      <c r="BH147" s="25" t="s">
        <v>166</v>
      </c>
      <c r="BI147" s="25" t="s">
        <v>166</v>
      </c>
      <c r="BJ147" s="29" t="s">
        <v>166</v>
      </c>
      <c r="BK147" s="29" t="s">
        <v>166</v>
      </c>
      <c r="BL147" s="25" t="s">
        <v>191</v>
      </c>
      <c r="BM147" s="25" t="s">
        <v>178</v>
      </c>
      <c r="BN147" s="25" t="s">
        <v>177</v>
      </c>
      <c r="BO147" s="33" t="s">
        <v>166</v>
      </c>
      <c r="BP147" s="25" t="s">
        <v>3055</v>
      </c>
      <c r="BQ147" s="32">
        <v>4</v>
      </c>
      <c r="BR147" s="25" t="s">
        <v>252</v>
      </c>
      <c r="BS147" s="32">
        <v>1</v>
      </c>
      <c r="BT147" s="25" t="s">
        <v>3056</v>
      </c>
      <c r="BU147" s="25" t="s">
        <v>166</v>
      </c>
      <c r="BV147" s="25" t="s">
        <v>166</v>
      </c>
      <c r="BW147" s="25" t="s">
        <v>166</v>
      </c>
      <c r="BX147" s="25" t="s">
        <v>166</v>
      </c>
      <c r="BY147" s="25" t="s">
        <v>166</v>
      </c>
      <c r="BZ147" s="25" t="s">
        <v>3057</v>
      </c>
      <c r="CA147" s="25" t="s">
        <v>3057</v>
      </c>
      <c r="CB147" s="25" t="s">
        <v>166</v>
      </c>
      <c r="CC147" s="25" t="s">
        <v>166</v>
      </c>
      <c r="CD147" s="25" t="s">
        <v>166</v>
      </c>
      <c r="CE147" s="29" t="s">
        <v>166</v>
      </c>
      <c r="CF147" s="27" t="s">
        <v>166</v>
      </c>
      <c r="CG147" s="28" t="s">
        <v>166</v>
      </c>
      <c r="CH147" s="27" t="s">
        <v>166</v>
      </c>
      <c r="CI147" s="27" t="s">
        <v>166</v>
      </c>
      <c r="CJ147" s="27" t="s">
        <v>166</v>
      </c>
      <c r="CK147" s="27" t="s">
        <v>166</v>
      </c>
      <c r="CL147" s="27" t="s">
        <v>166</v>
      </c>
      <c r="CM147" s="31" t="s">
        <v>166</v>
      </c>
      <c r="CN147" s="27" t="s">
        <v>166</v>
      </c>
      <c r="CO147" s="27" t="s">
        <v>166</v>
      </c>
      <c r="CP147" s="27" t="s">
        <v>166</v>
      </c>
      <c r="CQ147" s="27" t="s">
        <v>166</v>
      </c>
      <c r="CR147" s="27" t="s">
        <v>166</v>
      </c>
      <c r="CS147" s="27" t="s">
        <v>166</v>
      </c>
      <c r="CT147" s="27" t="s">
        <v>166</v>
      </c>
      <c r="CU147" s="27" t="s">
        <v>166</v>
      </c>
      <c r="CV147" s="27" t="s">
        <v>166</v>
      </c>
      <c r="CW147" s="27" t="s">
        <v>166</v>
      </c>
      <c r="CX147" s="27" t="s">
        <v>166</v>
      </c>
      <c r="CY147" s="27" t="s">
        <v>166</v>
      </c>
      <c r="CZ147" s="27" t="s">
        <v>166</v>
      </c>
      <c r="DA147" s="27" t="s">
        <v>166</v>
      </c>
      <c r="DB147" s="27" t="s">
        <v>166</v>
      </c>
      <c r="DC147" s="27" t="s">
        <v>166</v>
      </c>
      <c r="DD147" s="27" t="s">
        <v>166</v>
      </c>
      <c r="DE147" s="28" t="s">
        <v>166</v>
      </c>
      <c r="DF147" s="33">
        <v>8</v>
      </c>
      <c r="DG147" s="25" t="s">
        <v>309</v>
      </c>
      <c r="DH147" s="25" t="s">
        <v>193</v>
      </c>
      <c r="DI147" s="25" t="s">
        <v>194</v>
      </c>
      <c r="DJ147" s="25" t="s">
        <v>310</v>
      </c>
      <c r="DK147" s="25" t="s">
        <v>310</v>
      </c>
      <c r="DL147" s="32" t="s">
        <v>3058</v>
      </c>
      <c r="DM147" s="25" t="s">
        <v>198</v>
      </c>
      <c r="DN147" s="24" t="s">
        <v>3059</v>
      </c>
      <c r="DO147" s="31">
        <v>2019</v>
      </c>
      <c r="DP147" s="25" t="s">
        <v>166</v>
      </c>
      <c r="DQ147" s="25" t="s">
        <v>166</v>
      </c>
      <c r="DR147" s="29" t="s">
        <v>166</v>
      </c>
      <c r="DS147" s="27" t="s">
        <v>166</v>
      </c>
      <c r="DT147" s="30" t="s">
        <v>166</v>
      </c>
      <c r="DU147" s="25" t="s">
        <v>166</v>
      </c>
      <c r="DV147" s="29" t="s">
        <v>166</v>
      </c>
      <c r="DW147" s="29" t="s">
        <v>166</v>
      </c>
      <c r="DX147" s="27" t="s">
        <v>166</v>
      </c>
      <c r="DY147" s="27" t="s">
        <v>166</v>
      </c>
      <c r="DZ147" s="28" t="s">
        <v>166</v>
      </c>
      <c r="EA147" s="27" t="s">
        <v>166</v>
      </c>
      <c r="EB147" s="27" t="s">
        <v>166</v>
      </c>
      <c r="EC147" s="27" t="s">
        <v>166</v>
      </c>
      <c r="ED147" s="28" t="s">
        <v>166</v>
      </c>
      <c r="EE147" s="28" t="s">
        <v>166</v>
      </c>
      <c r="EF147" s="28" t="s">
        <v>166</v>
      </c>
      <c r="EG147" s="28" t="s">
        <v>166</v>
      </c>
      <c r="EH147" s="27" t="s">
        <v>166</v>
      </c>
      <c r="EI147" s="27" t="s">
        <v>166</v>
      </c>
      <c r="EJ147" s="27" t="s">
        <v>166</v>
      </c>
      <c r="EK147" s="27" t="s">
        <v>166</v>
      </c>
      <c r="EL147" s="27" t="s">
        <v>166</v>
      </c>
      <c r="EM147" s="27" t="s">
        <v>166</v>
      </c>
      <c r="EN147" s="27" t="s">
        <v>166</v>
      </c>
      <c r="EO147" s="27" t="s">
        <v>166</v>
      </c>
      <c r="EP147" s="27" t="s">
        <v>166</v>
      </c>
      <c r="EQ147" s="27" t="s">
        <v>166</v>
      </c>
      <c r="ER147" s="27" t="s">
        <v>166</v>
      </c>
      <c r="ES147" s="27" t="s">
        <v>166</v>
      </c>
      <c r="ET147" s="25" t="s">
        <v>166</v>
      </c>
      <c r="EU147" s="27" t="s">
        <v>166</v>
      </c>
      <c r="EV147" s="27" t="s">
        <v>166</v>
      </c>
      <c r="EW147" s="27" t="s">
        <v>166</v>
      </c>
      <c r="EX147" s="25" t="s">
        <v>190</v>
      </c>
      <c r="EY147" s="25" t="s">
        <v>166</v>
      </c>
      <c r="EZ147" s="27" t="s">
        <v>166</v>
      </c>
      <c r="FA147" s="26" t="s">
        <v>166</v>
      </c>
      <c r="FB147" s="26" t="s">
        <v>166</v>
      </c>
      <c r="FC147" s="26" t="s">
        <v>166</v>
      </c>
      <c r="FD147" s="26" t="s">
        <v>166</v>
      </c>
      <c r="FE147" s="26" t="s">
        <v>166</v>
      </c>
      <c r="FF147" s="26" t="s">
        <v>166</v>
      </c>
      <c r="FG147" s="25" t="s">
        <v>166</v>
      </c>
      <c r="FH147" s="4">
        <f>HYPERLINK("https://my.pitchbook.com?c=156681-55T","View Company Online")</f>
      </c>
    </row>
    <row r="148">
      <c r="A148" s="14" t="s">
        <v>3060</v>
      </c>
      <c r="B148" s="14" t="s">
        <v>3061</v>
      </c>
      <c r="C148" s="14" t="s">
        <v>3062</v>
      </c>
      <c r="D148" s="14" t="s">
        <v>166</v>
      </c>
      <c r="E148" s="23" t="s">
        <v>3063</v>
      </c>
      <c r="F148" s="21">
        <v>9</v>
      </c>
      <c r="G148" s="14" t="s">
        <v>3064</v>
      </c>
      <c r="H148" s="14" t="s">
        <v>166</v>
      </c>
      <c r="I148" s="14" t="s">
        <v>3065</v>
      </c>
      <c r="J148" s="14" t="s">
        <v>3066</v>
      </c>
      <c r="K148" s="14" t="s">
        <v>207</v>
      </c>
      <c r="L148" s="14" t="s">
        <v>208</v>
      </c>
      <c r="M148" s="14" t="s">
        <v>1766</v>
      </c>
      <c r="N148" s="14" t="s">
        <v>2393</v>
      </c>
      <c r="O148" s="14" t="s">
        <v>2742</v>
      </c>
      <c r="P148" s="14" t="s">
        <v>3067</v>
      </c>
      <c r="Q148" s="14" t="s">
        <v>166</v>
      </c>
      <c r="R148" s="14" t="s">
        <v>177</v>
      </c>
      <c r="S148" s="14" t="s">
        <v>178</v>
      </c>
      <c r="T148" s="14" t="s">
        <v>179</v>
      </c>
      <c r="U148" s="14" t="s">
        <v>3068</v>
      </c>
      <c r="V148" s="14" t="s">
        <v>3069</v>
      </c>
      <c r="W148" s="21" t="s">
        <v>3070</v>
      </c>
      <c r="X148" s="14" t="s">
        <v>3071</v>
      </c>
      <c r="Y148" s="14" t="s">
        <v>3072</v>
      </c>
      <c r="Z148" s="14" t="s">
        <v>3073</v>
      </c>
      <c r="AA148" s="14" t="s">
        <v>242</v>
      </c>
      <c r="AB148" s="14" t="s">
        <v>243</v>
      </c>
      <c r="AC148" s="14" t="s">
        <v>244</v>
      </c>
      <c r="AD148" s="14" t="s">
        <v>166</v>
      </c>
      <c r="AE148" s="14" t="s">
        <v>166</v>
      </c>
      <c r="AF148" s="14" t="s">
        <v>166</v>
      </c>
      <c r="AG148" s="14" t="s">
        <v>807</v>
      </c>
      <c r="AH148" s="21">
        <v>1</v>
      </c>
      <c r="AI148" s="3">
        <f>HYPERLINK("https://my.pitchbook.com/?d=132922-18T","132922-18T")</f>
      </c>
      <c r="AJ148" s="19" t="s">
        <v>166</v>
      </c>
      <c r="AK148" s="19">
        <v>43882</v>
      </c>
      <c r="AL148" s="18">
        <v>1.7</v>
      </c>
      <c r="AM148" s="14" t="s">
        <v>185</v>
      </c>
      <c r="AN148" s="18">
        <v>5</v>
      </c>
      <c r="AO148" s="18">
        <v>6.7</v>
      </c>
      <c r="AP148" s="14" t="s">
        <v>185</v>
      </c>
      <c r="AQ148" s="21" t="s">
        <v>166</v>
      </c>
      <c r="AR148" s="21" t="s">
        <v>166</v>
      </c>
      <c r="AS148" s="17">
        <v>29.95</v>
      </c>
      <c r="AT148" s="18">
        <v>1.7</v>
      </c>
      <c r="AU148" s="21" t="s">
        <v>186</v>
      </c>
      <c r="AV148" s="21" t="s">
        <v>166</v>
      </c>
      <c r="AW148" s="18">
        <v>12.01</v>
      </c>
      <c r="AX148" s="21" t="s">
        <v>166</v>
      </c>
      <c r="AY148" s="14" t="s">
        <v>217</v>
      </c>
      <c r="AZ148" s="14" t="s">
        <v>217</v>
      </c>
      <c r="BA148" s="14" t="s">
        <v>166</v>
      </c>
      <c r="BB148" s="21" t="s">
        <v>166</v>
      </c>
      <c r="BC148" s="14" t="s">
        <v>179</v>
      </c>
      <c r="BD148" s="14" t="s">
        <v>3074</v>
      </c>
      <c r="BE148" s="14" t="s">
        <v>189</v>
      </c>
      <c r="BF148" s="18">
        <v>1.7</v>
      </c>
      <c r="BG148" s="14" t="s">
        <v>190</v>
      </c>
      <c r="BH148" s="14" t="s">
        <v>166</v>
      </c>
      <c r="BI148" s="14" t="s">
        <v>166</v>
      </c>
      <c r="BJ148" s="18" t="s">
        <v>166</v>
      </c>
      <c r="BK148" s="18" t="s">
        <v>166</v>
      </c>
      <c r="BL148" s="14" t="s">
        <v>191</v>
      </c>
      <c r="BM148" s="14" t="s">
        <v>178</v>
      </c>
      <c r="BN148" s="14" t="s">
        <v>177</v>
      </c>
      <c r="BO148" s="22" t="s">
        <v>166</v>
      </c>
      <c r="BP148" s="14" t="s">
        <v>3075</v>
      </c>
      <c r="BQ148" s="21">
        <v>9</v>
      </c>
      <c r="BR148" s="14" t="s">
        <v>166</v>
      </c>
      <c r="BS148" s="21" t="s">
        <v>166</v>
      </c>
      <c r="BT148" s="14" t="s">
        <v>3076</v>
      </c>
      <c r="BU148" s="14" t="s">
        <v>166</v>
      </c>
      <c r="BV148" s="14" t="s">
        <v>3077</v>
      </c>
      <c r="BW148" s="14" t="s">
        <v>166</v>
      </c>
      <c r="BX148" s="14" t="s">
        <v>166</v>
      </c>
      <c r="BY148" s="14" t="s">
        <v>166</v>
      </c>
      <c r="BZ148" s="14" t="s">
        <v>166</v>
      </c>
      <c r="CA148" s="14" t="s">
        <v>166</v>
      </c>
      <c r="CB148" s="14" t="s">
        <v>166</v>
      </c>
      <c r="CC148" s="14" t="s">
        <v>166</v>
      </c>
      <c r="CD148" s="14" t="s">
        <v>166</v>
      </c>
      <c r="CE148" s="18" t="s">
        <v>166</v>
      </c>
      <c r="CF148" s="16" t="s">
        <v>166</v>
      </c>
      <c r="CG148" s="17" t="s">
        <v>166</v>
      </c>
      <c r="CH148" s="16" t="s">
        <v>166</v>
      </c>
      <c r="CI148" s="16" t="s">
        <v>166</v>
      </c>
      <c r="CJ148" s="16" t="s">
        <v>166</v>
      </c>
      <c r="CK148" s="16" t="s">
        <v>166</v>
      </c>
      <c r="CL148" s="16" t="s">
        <v>166</v>
      </c>
      <c r="CM148" s="20" t="s">
        <v>166</v>
      </c>
      <c r="CN148" s="16" t="s">
        <v>166</v>
      </c>
      <c r="CO148" s="16" t="s">
        <v>166</v>
      </c>
      <c r="CP148" s="16" t="s">
        <v>166</v>
      </c>
      <c r="CQ148" s="16" t="s">
        <v>166</v>
      </c>
      <c r="CR148" s="16" t="s">
        <v>166</v>
      </c>
      <c r="CS148" s="16" t="s">
        <v>166</v>
      </c>
      <c r="CT148" s="16" t="s">
        <v>166</v>
      </c>
      <c r="CU148" s="16" t="s">
        <v>166</v>
      </c>
      <c r="CV148" s="16" t="s">
        <v>166</v>
      </c>
      <c r="CW148" s="16" t="s">
        <v>166</v>
      </c>
      <c r="CX148" s="16" t="s">
        <v>166</v>
      </c>
      <c r="CY148" s="16" t="s">
        <v>166</v>
      </c>
      <c r="CZ148" s="16" t="s">
        <v>166</v>
      </c>
      <c r="DA148" s="16" t="s">
        <v>166</v>
      </c>
      <c r="DB148" s="16" t="s">
        <v>166</v>
      </c>
      <c r="DC148" s="16" t="s">
        <v>166</v>
      </c>
      <c r="DD148" s="16" t="s">
        <v>166</v>
      </c>
      <c r="DE148" s="17" t="s">
        <v>166</v>
      </c>
      <c r="DF148" s="22">
        <v>30</v>
      </c>
      <c r="DG148" s="14" t="s">
        <v>3078</v>
      </c>
      <c r="DH148" s="14" t="s">
        <v>193</v>
      </c>
      <c r="DI148" s="14" t="s">
        <v>194</v>
      </c>
      <c r="DJ148" s="14" t="s">
        <v>3079</v>
      </c>
      <c r="DK148" s="14" t="s">
        <v>257</v>
      </c>
      <c r="DL148" s="21" t="s">
        <v>3080</v>
      </c>
      <c r="DM148" s="14" t="s">
        <v>198</v>
      </c>
      <c r="DN148" s="13" t="s">
        <v>3081</v>
      </c>
      <c r="DO148" s="20">
        <v>2017</v>
      </c>
      <c r="DP148" s="14" t="s">
        <v>166</v>
      </c>
      <c r="DQ148" s="14" t="s">
        <v>166</v>
      </c>
      <c r="DR148" s="18" t="s">
        <v>166</v>
      </c>
      <c r="DS148" s="16" t="s">
        <v>166</v>
      </c>
      <c r="DT148" s="19" t="s">
        <v>166</v>
      </c>
      <c r="DU148" s="14" t="s">
        <v>166</v>
      </c>
      <c r="DV148" s="18" t="s">
        <v>166</v>
      </c>
      <c r="DW148" s="18" t="s">
        <v>166</v>
      </c>
      <c r="DX148" s="16" t="s">
        <v>166</v>
      </c>
      <c r="DY148" s="16" t="s">
        <v>166</v>
      </c>
      <c r="DZ148" s="17" t="s">
        <v>166</v>
      </c>
      <c r="EA148" s="16" t="s">
        <v>166</v>
      </c>
      <c r="EB148" s="16" t="s">
        <v>166</v>
      </c>
      <c r="EC148" s="16" t="s">
        <v>166</v>
      </c>
      <c r="ED148" s="17" t="s">
        <v>166</v>
      </c>
      <c r="EE148" s="17" t="s">
        <v>166</v>
      </c>
      <c r="EF148" s="17" t="s">
        <v>166</v>
      </c>
      <c r="EG148" s="17" t="s">
        <v>166</v>
      </c>
      <c r="EH148" s="16" t="s">
        <v>166</v>
      </c>
      <c r="EI148" s="16" t="s">
        <v>166</v>
      </c>
      <c r="EJ148" s="16" t="s">
        <v>166</v>
      </c>
      <c r="EK148" s="16" t="s">
        <v>166</v>
      </c>
      <c r="EL148" s="16" t="s">
        <v>166</v>
      </c>
      <c r="EM148" s="16" t="s">
        <v>166</v>
      </c>
      <c r="EN148" s="16" t="s">
        <v>166</v>
      </c>
      <c r="EO148" s="16" t="s">
        <v>166</v>
      </c>
      <c r="EP148" s="16" t="s">
        <v>166</v>
      </c>
      <c r="EQ148" s="16" t="s">
        <v>166</v>
      </c>
      <c r="ER148" s="16" t="s">
        <v>166</v>
      </c>
      <c r="ES148" s="16" t="s">
        <v>166</v>
      </c>
      <c r="ET148" s="14" t="s">
        <v>166</v>
      </c>
      <c r="EU148" s="16" t="s">
        <v>166</v>
      </c>
      <c r="EV148" s="16" t="s">
        <v>166</v>
      </c>
      <c r="EW148" s="16" t="s">
        <v>166</v>
      </c>
      <c r="EX148" s="14" t="s">
        <v>190</v>
      </c>
      <c r="EY148" s="14" t="s">
        <v>166</v>
      </c>
      <c r="EZ148" s="16" t="s">
        <v>166</v>
      </c>
      <c r="FA148" s="15" t="s">
        <v>166</v>
      </c>
      <c r="FB148" s="15" t="s">
        <v>166</v>
      </c>
      <c r="FC148" s="15" t="s">
        <v>166</v>
      </c>
      <c r="FD148" s="15" t="s">
        <v>166</v>
      </c>
      <c r="FE148" s="15" t="s">
        <v>166</v>
      </c>
      <c r="FF148" s="15" t="s">
        <v>166</v>
      </c>
      <c r="FG148" s="14" t="s">
        <v>166</v>
      </c>
      <c r="FH148" s="3">
        <f>HYPERLINK("https://my.pitchbook.com?c=132922-18T","View Company Online")</f>
      </c>
    </row>
    <row r="149">
      <c r="A149" s="25" t="s">
        <v>3082</v>
      </c>
      <c r="B149" s="25" t="s">
        <v>3083</v>
      </c>
      <c r="C149" s="25" t="s">
        <v>3084</v>
      </c>
      <c r="D149" s="25" t="s">
        <v>166</v>
      </c>
      <c r="E149" s="34" t="s">
        <v>3085</v>
      </c>
      <c r="F149" s="32">
        <v>5</v>
      </c>
      <c r="G149" s="25" t="s">
        <v>3086</v>
      </c>
      <c r="H149" s="25" t="s">
        <v>166</v>
      </c>
      <c r="I149" s="25" t="s">
        <v>3087</v>
      </c>
      <c r="J149" s="25" t="s">
        <v>3088</v>
      </c>
      <c r="K149" s="25" t="s">
        <v>207</v>
      </c>
      <c r="L149" s="25" t="s">
        <v>208</v>
      </c>
      <c r="M149" s="25" t="s">
        <v>209</v>
      </c>
      <c r="N149" s="25" t="s">
        <v>3089</v>
      </c>
      <c r="O149" s="25" t="s">
        <v>3090</v>
      </c>
      <c r="P149" s="25" t="s">
        <v>3091</v>
      </c>
      <c r="Q149" s="25" t="s">
        <v>166</v>
      </c>
      <c r="R149" s="25" t="s">
        <v>177</v>
      </c>
      <c r="S149" s="25" t="s">
        <v>178</v>
      </c>
      <c r="T149" s="25" t="s">
        <v>179</v>
      </c>
      <c r="U149" s="25" t="s">
        <v>3092</v>
      </c>
      <c r="V149" s="25" t="s">
        <v>3093</v>
      </c>
      <c r="W149" s="32" t="s">
        <v>3094</v>
      </c>
      <c r="X149" s="25" t="s">
        <v>3095</v>
      </c>
      <c r="Y149" s="25" t="s">
        <v>3096</v>
      </c>
      <c r="Z149" s="25" t="s">
        <v>3097</v>
      </c>
      <c r="AA149" s="25" t="s">
        <v>242</v>
      </c>
      <c r="AB149" s="25" t="s">
        <v>243</v>
      </c>
      <c r="AC149" s="25" t="s">
        <v>244</v>
      </c>
      <c r="AD149" s="25" t="s">
        <v>243</v>
      </c>
      <c r="AE149" s="25" t="s">
        <v>243</v>
      </c>
      <c r="AF149" s="25" t="s">
        <v>245</v>
      </c>
      <c r="AG149" s="25" t="s">
        <v>246</v>
      </c>
      <c r="AH149" s="32">
        <v>2</v>
      </c>
      <c r="AI149" s="4">
        <f>HYPERLINK("https://my.pitchbook.com/?d=180823-96T","180823-96T")</f>
      </c>
      <c r="AJ149" s="30" t="s">
        <v>166</v>
      </c>
      <c r="AK149" s="30">
        <v>44467</v>
      </c>
      <c r="AL149" s="29">
        <v>2.3</v>
      </c>
      <c r="AM149" s="25" t="s">
        <v>185</v>
      </c>
      <c r="AN149" s="29">
        <v>6</v>
      </c>
      <c r="AO149" s="29">
        <v>8.3</v>
      </c>
      <c r="AP149" s="25" t="s">
        <v>185</v>
      </c>
      <c r="AQ149" s="32" t="s">
        <v>166</v>
      </c>
      <c r="AR149" s="32" t="s">
        <v>166</v>
      </c>
      <c r="AS149" s="28">
        <v>30</v>
      </c>
      <c r="AT149" s="29">
        <v>2.3</v>
      </c>
      <c r="AU149" s="32" t="s">
        <v>186</v>
      </c>
      <c r="AV149" s="32" t="s">
        <v>166</v>
      </c>
      <c r="AW149" s="29">
        <v>0.9</v>
      </c>
      <c r="AX149" s="32" t="s">
        <v>166</v>
      </c>
      <c r="AY149" s="25" t="s">
        <v>217</v>
      </c>
      <c r="AZ149" s="25" t="s">
        <v>217</v>
      </c>
      <c r="BA149" s="25" t="s">
        <v>166</v>
      </c>
      <c r="BB149" s="32" t="s">
        <v>166</v>
      </c>
      <c r="BC149" s="25" t="s">
        <v>179</v>
      </c>
      <c r="BD149" s="25" t="s">
        <v>3098</v>
      </c>
      <c r="BE149" s="25" t="s">
        <v>189</v>
      </c>
      <c r="BF149" s="29">
        <v>2.3</v>
      </c>
      <c r="BG149" s="25" t="s">
        <v>190</v>
      </c>
      <c r="BH149" s="25" t="s">
        <v>166</v>
      </c>
      <c r="BI149" s="25" t="s">
        <v>166</v>
      </c>
      <c r="BJ149" s="29" t="s">
        <v>166</v>
      </c>
      <c r="BK149" s="29" t="s">
        <v>166</v>
      </c>
      <c r="BL149" s="25" t="s">
        <v>191</v>
      </c>
      <c r="BM149" s="25" t="s">
        <v>178</v>
      </c>
      <c r="BN149" s="25" t="s">
        <v>177</v>
      </c>
      <c r="BO149" s="33" t="s">
        <v>166</v>
      </c>
      <c r="BP149" s="25" t="s">
        <v>3085</v>
      </c>
      <c r="BQ149" s="32">
        <v>5</v>
      </c>
      <c r="BR149" s="25" t="s">
        <v>166</v>
      </c>
      <c r="BS149" s="32" t="s">
        <v>166</v>
      </c>
      <c r="BT149" s="25" t="s">
        <v>3099</v>
      </c>
      <c r="BU149" s="25" t="s">
        <v>166</v>
      </c>
      <c r="BV149" s="25" t="s">
        <v>3100</v>
      </c>
      <c r="BW149" s="25" t="s">
        <v>166</v>
      </c>
      <c r="BX149" s="25" t="s">
        <v>166</v>
      </c>
      <c r="BY149" s="25" t="s">
        <v>166</v>
      </c>
      <c r="BZ149" s="25" t="s">
        <v>166</v>
      </c>
      <c r="CA149" s="25" t="s">
        <v>166</v>
      </c>
      <c r="CB149" s="25" t="s">
        <v>166</v>
      </c>
      <c r="CC149" s="25" t="s">
        <v>166</v>
      </c>
      <c r="CD149" s="25" t="s">
        <v>166</v>
      </c>
      <c r="CE149" s="29" t="s">
        <v>166</v>
      </c>
      <c r="CF149" s="27" t="s">
        <v>166</v>
      </c>
      <c r="CG149" s="28" t="s">
        <v>166</v>
      </c>
      <c r="CH149" s="27" t="s">
        <v>166</v>
      </c>
      <c r="CI149" s="27" t="s">
        <v>166</v>
      </c>
      <c r="CJ149" s="27" t="s">
        <v>166</v>
      </c>
      <c r="CK149" s="27" t="s">
        <v>166</v>
      </c>
      <c r="CL149" s="27" t="s">
        <v>166</v>
      </c>
      <c r="CM149" s="31" t="s">
        <v>166</v>
      </c>
      <c r="CN149" s="27" t="s">
        <v>166</v>
      </c>
      <c r="CO149" s="27" t="s">
        <v>166</v>
      </c>
      <c r="CP149" s="27" t="s">
        <v>166</v>
      </c>
      <c r="CQ149" s="27" t="s">
        <v>166</v>
      </c>
      <c r="CR149" s="27" t="s">
        <v>166</v>
      </c>
      <c r="CS149" s="27" t="s">
        <v>166</v>
      </c>
      <c r="CT149" s="27" t="s">
        <v>166</v>
      </c>
      <c r="CU149" s="27" t="s">
        <v>166</v>
      </c>
      <c r="CV149" s="27" t="s">
        <v>166</v>
      </c>
      <c r="CW149" s="27" t="s">
        <v>166</v>
      </c>
      <c r="CX149" s="27" t="s">
        <v>166</v>
      </c>
      <c r="CY149" s="27" t="s">
        <v>166</v>
      </c>
      <c r="CZ149" s="27" t="s">
        <v>166</v>
      </c>
      <c r="DA149" s="27" t="s">
        <v>166</v>
      </c>
      <c r="DB149" s="27" t="s">
        <v>166</v>
      </c>
      <c r="DC149" s="27" t="s">
        <v>166</v>
      </c>
      <c r="DD149" s="27" t="s">
        <v>166</v>
      </c>
      <c r="DE149" s="28" t="s">
        <v>166</v>
      </c>
      <c r="DF149" s="33">
        <v>19</v>
      </c>
      <c r="DG149" s="25" t="s">
        <v>2015</v>
      </c>
      <c r="DH149" s="25" t="s">
        <v>193</v>
      </c>
      <c r="DI149" s="25" t="s">
        <v>194</v>
      </c>
      <c r="DJ149" s="25" t="s">
        <v>2016</v>
      </c>
      <c r="DK149" s="25" t="s">
        <v>310</v>
      </c>
      <c r="DL149" s="32" t="s">
        <v>2017</v>
      </c>
      <c r="DM149" s="25" t="s">
        <v>198</v>
      </c>
      <c r="DN149" s="24" t="s">
        <v>3101</v>
      </c>
      <c r="DO149" s="31">
        <v>2017</v>
      </c>
      <c r="DP149" s="25" t="s">
        <v>166</v>
      </c>
      <c r="DQ149" s="25" t="s">
        <v>166</v>
      </c>
      <c r="DR149" s="29" t="s">
        <v>166</v>
      </c>
      <c r="DS149" s="27" t="s">
        <v>166</v>
      </c>
      <c r="DT149" s="30" t="s">
        <v>166</v>
      </c>
      <c r="DU149" s="25" t="s">
        <v>166</v>
      </c>
      <c r="DV149" s="29" t="s">
        <v>166</v>
      </c>
      <c r="DW149" s="29" t="s">
        <v>166</v>
      </c>
      <c r="DX149" s="27" t="s">
        <v>166</v>
      </c>
      <c r="DY149" s="27" t="s">
        <v>166</v>
      </c>
      <c r="DZ149" s="28" t="s">
        <v>166</v>
      </c>
      <c r="EA149" s="27" t="s">
        <v>166</v>
      </c>
      <c r="EB149" s="27" t="s">
        <v>166</v>
      </c>
      <c r="EC149" s="27" t="s">
        <v>166</v>
      </c>
      <c r="ED149" s="28" t="s">
        <v>166</v>
      </c>
      <c r="EE149" s="28" t="s">
        <v>166</v>
      </c>
      <c r="EF149" s="28" t="s">
        <v>166</v>
      </c>
      <c r="EG149" s="28" t="s">
        <v>166</v>
      </c>
      <c r="EH149" s="27" t="s">
        <v>166</v>
      </c>
      <c r="EI149" s="27" t="s">
        <v>166</v>
      </c>
      <c r="EJ149" s="27" t="s">
        <v>166</v>
      </c>
      <c r="EK149" s="27" t="s">
        <v>166</v>
      </c>
      <c r="EL149" s="27" t="s">
        <v>166</v>
      </c>
      <c r="EM149" s="27" t="s">
        <v>166</v>
      </c>
      <c r="EN149" s="27" t="s">
        <v>166</v>
      </c>
      <c r="EO149" s="27" t="s">
        <v>166</v>
      </c>
      <c r="EP149" s="27" t="s">
        <v>166</v>
      </c>
      <c r="EQ149" s="27" t="s">
        <v>166</v>
      </c>
      <c r="ER149" s="27" t="s">
        <v>166</v>
      </c>
      <c r="ES149" s="27" t="s">
        <v>166</v>
      </c>
      <c r="ET149" s="25" t="s">
        <v>166</v>
      </c>
      <c r="EU149" s="27" t="s">
        <v>166</v>
      </c>
      <c r="EV149" s="27" t="s">
        <v>166</v>
      </c>
      <c r="EW149" s="27" t="s">
        <v>166</v>
      </c>
      <c r="EX149" s="25" t="s">
        <v>190</v>
      </c>
      <c r="EY149" s="25" t="s">
        <v>166</v>
      </c>
      <c r="EZ149" s="27" t="s">
        <v>166</v>
      </c>
      <c r="FA149" s="26" t="s">
        <v>166</v>
      </c>
      <c r="FB149" s="26" t="s">
        <v>166</v>
      </c>
      <c r="FC149" s="26" t="s">
        <v>166</v>
      </c>
      <c r="FD149" s="26" t="s">
        <v>166</v>
      </c>
      <c r="FE149" s="26" t="s">
        <v>166</v>
      </c>
      <c r="FF149" s="26" t="s">
        <v>166</v>
      </c>
      <c r="FG149" s="25" t="s">
        <v>166</v>
      </c>
      <c r="FH149" s="4">
        <f>HYPERLINK("https://my.pitchbook.com?c=180823-96T","View Company Online")</f>
      </c>
    </row>
    <row r="150">
      <c r="A150" s="14" t="s">
        <v>3102</v>
      </c>
      <c r="B150" s="14" t="s">
        <v>3103</v>
      </c>
      <c r="C150" s="14" t="s">
        <v>3104</v>
      </c>
      <c r="D150" s="14" t="s">
        <v>166</v>
      </c>
      <c r="E150" s="23" t="s">
        <v>3105</v>
      </c>
      <c r="F150" s="21">
        <v>3</v>
      </c>
      <c r="G150" s="14" t="s">
        <v>3106</v>
      </c>
      <c r="H150" s="14" t="s">
        <v>166</v>
      </c>
      <c r="I150" s="14" t="s">
        <v>3107</v>
      </c>
      <c r="J150" s="14" t="s">
        <v>3108</v>
      </c>
      <c r="K150" s="14" t="s">
        <v>171</v>
      </c>
      <c r="L150" s="14" t="s">
        <v>172</v>
      </c>
      <c r="M150" s="14" t="s">
        <v>1033</v>
      </c>
      <c r="N150" s="14" t="s">
        <v>3109</v>
      </c>
      <c r="O150" s="14" t="s">
        <v>3110</v>
      </c>
      <c r="P150" s="14" t="s">
        <v>3111</v>
      </c>
      <c r="Q150" s="14" t="s">
        <v>166</v>
      </c>
      <c r="R150" s="14" t="s">
        <v>177</v>
      </c>
      <c r="S150" s="14" t="s">
        <v>178</v>
      </c>
      <c r="T150" s="14" t="s">
        <v>179</v>
      </c>
      <c r="U150" s="14" t="s">
        <v>3112</v>
      </c>
      <c r="V150" s="14" t="s">
        <v>3113</v>
      </c>
      <c r="W150" s="21" t="s">
        <v>3114</v>
      </c>
      <c r="X150" s="14" t="s">
        <v>166</v>
      </c>
      <c r="Y150" s="14" t="s">
        <v>3115</v>
      </c>
      <c r="Z150" s="14" t="s">
        <v>3116</v>
      </c>
      <c r="AA150" s="14" t="s">
        <v>166</v>
      </c>
      <c r="AB150" s="14" t="s">
        <v>166</v>
      </c>
      <c r="AC150" s="14" t="s">
        <v>166</v>
      </c>
      <c r="AD150" s="14" t="s">
        <v>166</v>
      </c>
      <c r="AE150" s="14" t="s">
        <v>166</v>
      </c>
      <c r="AF150" s="14" t="s">
        <v>166</v>
      </c>
      <c r="AG150" s="14" t="s">
        <v>166</v>
      </c>
      <c r="AH150" s="21">
        <v>2</v>
      </c>
      <c r="AI150" s="3">
        <f>HYPERLINK("https://my.pitchbook.com/?d=207474-40T","207474-40T")</f>
      </c>
      <c r="AJ150" s="19">
        <v>44823</v>
      </c>
      <c r="AK150" s="19">
        <v>44867</v>
      </c>
      <c r="AL150" s="18">
        <v>2.4</v>
      </c>
      <c r="AM150" s="14" t="s">
        <v>185</v>
      </c>
      <c r="AN150" s="18">
        <v>13.8</v>
      </c>
      <c r="AO150" s="18">
        <v>16.2</v>
      </c>
      <c r="AP150" s="14" t="s">
        <v>185</v>
      </c>
      <c r="AQ150" s="21" t="s">
        <v>166</v>
      </c>
      <c r="AR150" s="21" t="s">
        <v>166</v>
      </c>
      <c r="AS150" s="17">
        <v>14.81</v>
      </c>
      <c r="AT150" s="18">
        <v>2.4</v>
      </c>
      <c r="AU150" s="21" t="s">
        <v>186</v>
      </c>
      <c r="AV150" s="21" t="s">
        <v>166</v>
      </c>
      <c r="AW150" s="18" t="s">
        <v>166</v>
      </c>
      <c r="AX150" s="21" t="s">
        <v>166</v>
      </c>
      <c r="AY150" s="14" t="s">
        <v>217</v>
      </c>
      <c r="AZ150" s="14" t="s">
        <v>217</v>
      </c>
      <c r="BA150" s="14" t="s">
        <v>166</v>
      </c>
      <c r="BB150" s="21" t="s">
        <v>166</v>
      </c>
      <c r="BC150" s="14" t="s">
        <v>179</v>
      </c>
      <c r="BD150" s="14" t="s">
        <v>3117</v>
      </c>
      <c r="BE150" s="14" t="s">
        <v>189</v>
      </c>
      <c r="BF150" s="18">
        <v>2.4</v>
      </c>
      <c r="BG150" s="14" t="s">
        <v>190</v>
      </c>
      <c r="BH150" s="14" t="s">
        <v>166</v>
      </c>
      <c r="BI150" s="14" t="s">
        <v>166</v>
      </c>
      <c r="BJ150" s="18" t="s">
        <v>166</v>
      </c>
      <c r="BK150" s="18" t="s">
        <v>166</v>
      </c>
      <c r="BL150" s="14" t="s">
        <v>191</v>
      </c>
      <c r="BM150" s="14" t="s">
        <v>178</v>
      </c>
      <c r="BN150" s="14" t="s">
        <v>177</v>
      </c>
      <c r="BO150" s="22" t="s">
        <v>166</v>
      </c>
      <c r="BP150" s="14" t="s">
        <v>3105</v>
      </c>
      <c r="BQ150" s="21">
        <v>3</v>
      </c>
      <c r="BR150" s="14" t="s">
        <v>166</v>
      </c>
      <c r="BS150" s="21" t="s">
        <v>166</v>
      </c>
      <c r="BT150" s="14" t="s">
        <v>3118</v>
      </c>
      <c r="BU150" s="14" t="s">
        <v>166</v>
      </c>
      <c r="BV150" s="14" t="s">
        <v>166</v>
      </c>
      <c r="BW150" s="14" t="s">
        <v>166</v>
      </c>
      <c r="BX150" s="14" t="s">
        <v>166</v>
      </c>
      <c r="BY150" s="14" t="s">
        <v>166</v>
      </c>
      <c r="BZ150" s="14" t="s">
        <v>166</v>
      </c>
      <c r="CA150" s="14" t="s">
        <v>166</v>
      </c>
      <c r="CB150" s="14" t="s">
        <v>166</v>
      </c>
      <c r="CC150" s="14" t="s">
        <v>166</v>
      </c>
      <c r="CD150" s="14" t="s">
        <v>166</v>
      </c>
      <c r="CE150" s="18" t="s">
        <v>166</v>
      </c>
      <c r="CF150" s="16" t="s">
        <v>166</v>
      </c>
      <c r="CG150" s="17" t="s">
        <v>166</v>
      </c>
      <c r="CH150" s="16" t="s">
        <v>166</v>
      </c>
      <c r="CI150" s="16" t="s">
        <v>166</v>
      </c>
      <c r="CJ150" s="16" t="s">
        <v>166</v>
      </c>
      <c r="CK150" s="16" t="s">
        <v>166</v>
      </c>
      <c r="CL150" s="16" t="s">
        <v>166</v>
      </c>
      <c r="CM150" s="20" t="s">
        <v>166</v>
      </c>
      <c r="CN150" s="16" t="s">
        <v>166</v>
      </c>
      <c r="CO150" s="16" t="s">
        <v>166</v>
      </c>
      <c r="CP150" s="16" t="s">
        <v>166</v>
      </c>
      <c r="CQ150" s="16" t="s">
        <v>166</v>
      </c>
      <c r="CR150" s="16" t="s">
        <v>166</v>
      </c>
      <c r="CS150" s="16" t="s">
        <v>166</v>
      </c>
      <c r="CT150" s="16" t="s">
        <v>166</v>
      </c>
      <c r="CU150" s="16" t="s">
        <v>166</v>
      </c>
      <c r="CV150" s="16" t="s">
        <v>166</v>
      </c>
      <c r="CW150" s="16" t="s">
        <v>166</v>
      </c>
      <c r="CX150" s="16" t="s">
        <v>166</v>
      </c>
      <c r="CY150" s="16" t="s">
        <v>166</v>
      </c>
      <c r="CZ150" s="16" t="s">
        <v>166</v>
      </c>
      <c r="DA150" s="16" t="s">
        <v>166</v>
      </c>
      <c r="DB150" s="16" t="s">
        <v>166</v>
      </c>
      <c r="DC150" s="16" t="s">
        <v>166</v>
      </c>
      <c r="DD150" s="16" t="s">
        <v>166</v>
      </c>
      <c r="DE150" s="17" t="s">
        <v>166</v>
      </c>
      <c r="DF150" s="22">
        <v>53</v>
      </c>
      <c r="DG150" s="14" t="s">
        <v>1974</v>
      </c>
      <c r="DH150" s="14" t="s">
        <v>193</v>
      </c>
      <c r="DI150" s="14" t="s">
        <v>194</v>
      </c>
      <c r="DJ150" s="14" t="s">
        <v>408</v>
      </c>
      <c r="DK150" s="14" t="s">
        <v>1975</v>
      </c>
      <c r="DL150" s="21" t="s">
        <v>3119</v>
      </c>
      <c r="DM150" s="14" t="s">
        <v>198</v>
      </c>
      <c r="DN150" s="13" t="s">
        <v>3120</v>
      </c>
      <c r="DO150" s="20">
        <v>2021</v>
      </c>
      <c r="DP150" s="14" t="s">
        <v>166</v>
      </c>
      <c r="DQ150" s="14" t="s">
        <v>166</v>
      </c>
      <c r="DR150" s="18" t="s">
        <v>166</v>
      </c>
      <c r="DS150" s="16" t="s">
        <v>166</v>
      </c>
      <c r="DT150" s="19" t="s">
        <v>166</v>
      </c>
      <c r="DU150" s="14" t="s">
        <v>166</v>
      </c>
      <c r="DV150" s="18" t="s">
        <v>166</v>
      </c>
      <c r="DW150" s="18" t="s">
        <v>166</v>
      </c>
      <c r="DX150" s="16" t="s">
        <v>166</v>
      </c>
      <c r="DY150" s="16" t="s">
        <v>166</v>
      </c>
      <c r="DZ150" s="17" t="s">
        <v>166</v>
      </c>
      <c r="EA150" s="16" t="s">
        <v>166</v>
      </c>
      <c r="EB150" s="16" t="s">
        <v>166</v>
      </c>
      <c r="EC150" s="16" t="s">
        <v>166</v>
      </c>
      <c r="ED150" s="17" t="s">
        <v>166</v>
      </c>
      <c r="EE150" s="17" t="s">
        <v>166</v>
      </c>
      <c r="EF150" s="17" t="s">
        <v>166</v>
      </c>
      <c r="EG150" s="17" t="s">
        <v>166</v>
      </c>
      <c r="EH150" s="16" t="s">
        <v>166</v>
      </c>
      <c r="EI150" s="16" t="s">
        <v>166</v>
      </c>
      <c r="EJ150" s="16" t="s">
        <v>166</v>
      </c>
      <c r="EK150" s="16" t="s">
        <v>166</v>
      </c>
      <c r="EL150" s="16" t="s">
        <v>166</v>
      </c>
      <c r="EM150" s="16" t="s">
        <v>166</v>
      </c>
      <c r="EN150" s="16" t="s">
        <v>166</v>
      </c>
      <c r="EO150" s="16" t="s">
        <v>166</v>
      </c>
      <c r="EP150" s="16" t="s">
        <v>166</v>
      </c>
      <c r="EQ150" s="16" t="s">
        <v>166</v>
      </c>
      <c r="ER150" s="16" t="s">
        <v>166</v>
      </c>
      <c r="ES150" s="16" t="s">
        <v>166</v>
      </c>
      <c r="ET150" s="14" t="s">
        <v>166</v>
      </c>
      <c r="EU150" s="16" t="s">
        <v>166</v>
      </c>
      <c r="EV150" s="16" t="s">
        <v>166</v>
      </c>
      <c r="EW150" s="16" t="s">
        <v>166</v>
      </c>
      <c r="EX150" s="14" t="s">
        <v>190</v>
      </c>
      <c r="EY150" s="14" t="s">
        <v>166</v>
      </c>
      <c r="EZ150" s="16" t="s">
        <v>166</v>
      </c>
      <c r="FA150" s="15" t="s">
        <v>166</v>
      </c>
      <c r="FB150" s="15" t="s">
        <v>166</v>
      </c>
      <c r="FC150" s="15" t="s">
        <v>166</v>
      </c>
      <c r="FD150" s="15" t="s">
        <v>166</v>
      </c>
      <c r="FE150" s="15" t="s">
        <v>166</v>
      </c>
      <c r="FF150" s="15" t="s">
        <v>166</v>
      </c>
      <c r="FG150" s="14" t="s">
        <v>166</v>
      </c>
      <c r="FH150" s="3">
        <f>HYPERLINK("https://my.pitchbook.com?c=207474-40T","View Company Online")</f>
      </c>
    </row>
    <row r="151">
      <c r="A151" s="25" t="s">
        <v>3121</v>
      </c>
      <c r="B151" s="25" t="s">
        <v>3122</v>
      </c>
      <c r="C151" s="25" t="s">
        <v>3123</v>
      </c>
      <c r="D151" s="25" t="s">
        <v>166</v>
      </c>
      <c r="E151" s="34" t="s">
        <v>3124</v>
      </c>
      <c r="F151" s="32">
        <v>1</v>
      </c>
      <c r="G151" s="25" t="s">
        <v>3125</v>
      </c>
      <c r="H151" s="25" t="s">
        <v>166</v>
      </c>
      <c r="I151" s="25" t="s">
        <v>3126</v>
      </c>
      <c r="J151" s="25" t="s">
        <v>3127</v>
      </c>
      <c r="K151" s="25" t="s">
        <v>207</v>
      </c>
      <c r="L151" s="25" t="s">
        <v>3128</v>
      </c>
      <c r="M151" s="25" t="s">
        <v>3129</v>
      </c>
      <c r="N151" s="25" t="s">
        <v>3130</v>
      </c>
      <c r="O151" s="25" t="s">
        <v>3131</v>
      </c>
      <c r="P151" s="25" t="s">
        <v>3132</v>
      </c>
      <c r="Q151" s="25" t="s">
        <v>166</v>
      </c>
      <c r="R151" s="25" t="s">
        <v>177</v>
      </c>
      <c r="S151" s="25" t="s">
        <v>178</v>
      </c>
      <c r="T151" s="25" t="s">
        <v>179</v>
      </c>
      <c r="U151" s="25" t="s">
        <v>3133</v>
      </c>
      <c r="V151" s="25" t="s">
        <v>3134</v>
      </c>
      <c r="W151" s="32" t="s">
        <v>3135</v>
      </c>
      <c r="X151" s="25" t="s">
        <v>166</v>
      </c>
      <c r="Y151" s="25" t="s">
        <v>3136</v>
      </c>
      <c r="Z151" s="25" t="s">
        <v>3137</v>
      </c>
      <c r="AA151" s="25" t="s">
        <v>242</v>
      </c>
      <c r="AB151" s="25" t="s">
        <v>243</v>
      </c>
      <c r="AC151" s="25" t="s">
        <v>244</v>
      </c>
      <c r="AD151" s="25" t="s">
        <v>243</v>
      </c>
      <c r="AE151" s="25" t="s">
        <v>243</v>
      </c>
      <c r="AF151" s="25" t="s">
        <v>166</v>
      </c>
      <c r="AG151" s="25" t="s">
        <v>807</v>
      </c>
      <c r="AH151" s="32">
        <v>1</v>
      </c>
      <c r="AI151" s="4">
        <f>HYPERLINK("https://my.pitchbook.com/?d=252448-03T","252448-03T")</f>
      </c>
      <c r="AJ151" s="30" t="s">
        <v>166</v>
      </c>
      <c r="AK151" s="30">
        <v>45278</v>
      </c>
      <c r="AL151" s="29">
        <v>3.43</v>
      </c>
      <c r="AM151" s="25" t="s">
        <v>247</v>
      </c>
      <c r="AN151" s="29">
        <v>10</v>
      </c>
      <c r="AO151" s="29">
        <v>13.43</v>
      </c>
      <c r="AP151" s="25" t="s">
        <v>247</v>
      </c>
      <c r="AQ151" s="32" t="s">
        <v>166</v>
      </c>
      <c r="AR151" s="32" t="s">
        <v>166</v>
      </c>
      <c r="AS151" s="28">
        <v>25.54</v>
      </c>
      <c r="AT151" s="29">
        <v>3.43</v>
      </c>
      <c r="AU151" s="32" t="s">
        <v>186</v>
      </c>
      <c r="AV151" s="32" t="s">
        <v>166</v>
      </c>
      <c r="AW151" s="29">
        <v>0.8</v>
      </c>
      <c r="AX151" s="32" t="s">
        <v>166</v>
      </c>
      <c r="AY151" s="25" t="s">
        <v>217</v>
      </c>
      <c r="AZ151" s="25" t="s">
        <v>217</v>
      </c>
      <c r="BA151" s="25" t="s">
        <v>166</v>
      </c>
      <c r="BB151" s="32" t="s">
        <v>166</v>
      </c>
      <c r="BC151" s="25" t="s">
        <v>179</v>
      </c>
      <c r="BD151" s="25" t="s">
        <v>3127</v>
      </c>
      <c r="BE151" s="25" t="s">
        <v>189</v>
      </c>
      <c r="BF151" s="29">
        <v>3.43</v>
      </c>
      <c r="BG151" s="25" t="s">
        <v>190</v>
      </c>
      <c r="BH151" s="25" t="s">
        <v>166</v>
      </c>
      <c r="BI151" s="25" t="s">
        <v>166</v>
      </c>
      <c r="BJ151" s="29" t="s">
        <v>166</v>
      </c>
      <c r="BK151" s="29" t="s">
        <v>166</v>
      </c>
      <c r="BL151" s="25" t="s">
        <v>191</v>
      </c>
      <c r="BM151" s="25" t="s">
        <v>178</v>
      </c>
      <c r="BN151" s="25" t="s">
        <v>177</v>
      </c>
      <c r="BO151" s="33" t="s">
        <v>166</v>
      </c>
      <c r="BP151" s="25" t="s">
        <v>3124</v>
      </c>
      <c r="BQ151" s="32">
        <v>1</v>
      </c>
      <c r="BR151" s="25" t="s">
        <v>166</v>
      </c>
      <c r="BS151" s="32" t="s">
        <v>166</v>
      </c>
      <c r="BT151" s="25" t="s">
        <v>166</v>
      </c>
      <c r="BU151" s="25" t="s">
        <v>166</v>
      </c>
      <c r="BV151" s="25" t="s">
        <v>166</v>
      </c>
      <c r="BW151" s="25" t="s">
        <v>166</v>
      </c>
      <c r="BX151" s="25" t="s">
        <v>166</v>
      </c>
      <c r="BY151" s="25" t="s">
        <v>166</v>
      </c>
      <c r="BZ151" s="25" t="s">
        <v>996</v>
      </c>
      <c r="CA151" s="25" t="s">
        <v>996</v>
      </c>
      <c r="CB151" s="25" t="s">
        <v>166</v>
      </c>
      <c r="CC151" s="25" t="s">
        <v>166</v>
      </c>
      <c r="CD151" s="25" t="s">
        <v>166</v>
      </c>
      <c r="CE151" s="29" t="s">
        <v>166</v>
      </c>
      <c r="CF151" s="27" t="s">
        <v>166</v>
      </c>
      <c r="CG151" s="28" t="s">
        <v>166</v>
      </c>
      <c r="CH151" s="27" t="s">
        <v>166</v>
      </c>
      <c r="CI151" s="27" t="s">
        <v>166</v>
      </c>
      <c r="CJ151" s="27" t="s">
        <v>166</v>
      </c>
      <c r="CK151" s="27" t="s">
        <v>166</v>
      </c>
      <c r="CL151" s="27" t="s">
        <v>166</v>
      </c>
      <c r="CM151" s="31" t="s">
        <v>166</v>
      </c>
      <c r="CN151" s="27" t="s">
        <v>166</v>
      </c>
      <c r="CO151" s="27" t="s">
        <v>166</v>
      </c>
      <c r="CP151" s="27" t="s">
        <v>166</v>
      </c>
      <c r="CQ151" s="27" t="s">
        <v>166</v>
      </c>
      <c r="CR151" s="27" t="s">
        <v>166</v>
      </c>
      <c r="CS151" s="27" t="s">
        <v>166</v>
      </c>
      <c r="CT151" s="27" t="s">
        <v>166</v>
      </c>
      <c r="CU151" s="27" t="s">
        <v>166</v>
      </c>
      <c r="CV151" s="27" t="s">
        <v>166</v>
      </c>
      <c r="CW151" s="27" t="s">
        <v>166</v>
      </c>
      <c r="CX151" s="27" t="s">
        <v>166</v>
      </c>
      <c r="CY151" s="27" t="s">
        <v>166</v>
      </c>
      <c r="CZ151" s="27" t="s">
        <v>166</v>
      </c>
      <c r="DA151" s="27" t="s">
        <v>166</v>
      </c>
      <c r="DB151" s="27" t="s">
        <v>166</v>
      </c>
      <c r="DC151" s="27" t="s">
        <v>166</v>
      </c>
      <c r="DD151" s="27" t="s">
        <v>166</v>
      </c>
      <c r="DE151" s="28" t="s">
        <v>166</v>
      </c>
      <c r="DF151" s="33">
        <v>2</v>
      </c>
      <c r="DG151" s="25" t="s">
        <v>3138</v>
      </c>
      <c r="DH151" s="25" t="s">
        <v>193</v>
      </c>
      <c r="DI151" s="25" t="s">
        <v>194</v>
      </c>
      <c r="DJ151" s="25" t="s">
        <v>3139</v>
      </c>
      <c r="DK151" s="25" t="s">
        <v>257</v>
      </c>
      <c r="DL151" s="32" t="s">
        <v>166</v>
      </c>
      <c r="DM151" s="25" t="s">
        <v>198</v>
      </c>
      <c r="DN151" s="24" t="s">
        <v>3140</v>
      </c>
      <c r="DO151" s="31">
        <v>2023</v>
      </c>
      <c r="DP151" s="25" t="s">
        <v>166</v>
      </c>
      <c r="DQ151" s="25" t="s">
        <v>166</v>
      </c>
      <c r="DR151" s="29" t="s">
        <v>166</v>
      </c>
      <c r="DS151" s="27" t="s">
        <v>166</v>
      </c>
      <c r="DT151" s="30" t="s">
        <v>166</v>
      </c>
      <c r="DU151" s="25" t="s">
        <v>166</v>
      </c>
      <c r="DV151" s="29" t="s">
        <v>166</v>
      </c>
      <c r="DW151" s="29" t="s">
        <v>166</v>
      </c>
      <c r="DX151" s="27" t="s">
        <v>166</v>
      </c>
      <c r="DY151" s="27" t="s">
        <v>166</v>
      </c>
      <c r="DZ151" s="28" t="s">
        <v>166</v>
      </c>
      <c r="EA151" s="27" t="s">
        <v>166</v>
      </c>
      <c r="EB151" s="27" t="s">
        <v>166</v>
      </c>
      <c r="EC151" s="27" t="s">
        <v>166</v>
      </c>
      <c r="ED151" s="28" t="s">
        <v>166</v>
      </c>
      <c r="EE151" s="28" t="s">
        <v>166</v>
      </c>
      <c r="EF151" s="28" t="s">
        <v>166</v>
      </c>
      <c r="EG151" s="28" t="s">
        <v>166</v>
      </c>
      <c r="EH151" s="27" t="s">
        <v>166</v>
      </c>
      <c r="EI151" s="27" t="s">
        <v>166</v>
      </c>
      <c r="EJ151" s="27" t="s">
        <v>166</v>
      </c>
      <c r="EK151" s="27" t="s">
        <v>166</v>
      </c>
      <c r="EL151" s="27" t="s">
        <v>166</v>
      </c>
      <c r="EM151" s="27" t="s">
        <v>166</v>
      </c>
      <c r="EN151" s="27" t="s">
        <v>166</v>
      </c>
      <c r="EO151" s="27" t="s">
        <v>166</v>
      </c>
      <c r="EP151" s="27" t="s">
        <v>166</v>
      </c>
      <c r="EQ151" s="27" t="s">
        <v>166</v>
      </c>
      <c r="ER151" s="27" t="s">
        <v>166</v>
      </c>
      <c r="ES151" s="27" t="s">
        <v>166</v>
      </c>
      <c r="ET151" s="25" t="s">
        <v>166</v>
      </c>
      <c r="EU151" s="27" t="s">
        <v>166</v>
      </c>
      <c r="EV151" s="27" t="s">
        <v>166</v>
      </c>
      <c r="EW151" s="27" t="s">
        <v>166</v>
      </c>
      <c r="EX151" s="25" t="s">
        <v>190</v>
      </c>
      <c r="EY151" s="25" t="s">
        <v>166</v>
      </c>
      <c r="EZ151" s="27" t="s">
        <v>166</v>
      </c>
      <c r="FA151" s="26" t="s">
        <v>166</v>
      </c>
      <c r="FB151" s="26" t="s">
        <v>166</v>
      </c>
      <c r="FC151" s="26" t="s">
        <v>166</v>
      </c>
      <c r="FD151" s="26" t="s">
        <v>166</v>
      </c>
      <c r="FE151" s="26" t="s">
        <v>166</v>
      </c>
      <c r="FF151" s="26" t="s">
        <v>166</v>
      </c>
      <c r="FG151" s="25" t="s">
        <v>166</v>
      </c>
      <c r="FH151" s="4">
        <f>HYPERLINK("https://my.pitchbook.com?c=252448-03T","View Company Online")</f>
      </c>
    </row>
    <row r="152">
      <c r="A152" s="14" t="s">
        <v>3141</v>
      </c>
      <c r="B152" s="14" t="s">
        <v>3142</v>
      </c>
      <c r="C152" s="14" t="s">
        <v>3143</v>
      </c>
      <c r="D152" s="14" t="s">
        <v>166</v>
      </c>
      <c r="E152" s="23" t="s">
        <v>3144</v>
      </c>
      <c r="F152" s="21">
        <v>1</v>
      </c>
      <c r="G152" s="14" t="s">
        <v>3145</v>
      </c>
      <c r="H152" s="14" t="s">
        <v>166</v>
      </c>
      <c r="I152" s="14" t="s">
        <v>3146</v>
      </c>
      <c r="J152" s="14" t="s">
        <v>3147</v>
      </c>
      <c r="K152" s="14" t="s">
        <v>207</v>
      </c>
      <c r="L152" s="14" t="s">
        <v>208</v>
      </c>
      <c r="M152" s="14" t="s">
        <v>209</v>
      </c>
      <c r="N152" s="14" t="s">
        <v>3148</v>
      </c>
      <c r="O152" s="14" t="s">
        <v>3149</v>
      </c>
      <c r="P152" s="14" t="s">
        <v>3150</v>
      </c>
      <c r="Q152" s="14" t="s">
        <v>166</v>
      </c>
      <c r="R152" s="14" t="s">
        <v>177</v>
      </c>
      <c r="S152" s="14" t="s">
        <v>178</v>
      </c>
      <c r="T152" s="14" t="s">
        <v>179</v>
      </c>
      <c r="U152" s="14" t="s">
        <v>3151</v>
      </c>
      <c r="V152" s="14" t="s">
        <v>3152</v>
      </c>
      <c r="W152" s="21" t="s">
        <v>166</v>
      </c>
      <c r="X152" s="14" t="s">
        <v>3153</v>
      </c>
      <c r="Y152" s="14" t="s">
        <v>3154</v>
      </c>
      <c r="Z152" s="14" t="s">
        <v>166</v>
      </c>
      <c r="AA152" s="14" t="s">
        <v>242</v>
      </c>
      <c r="AB152" s="14" t="s">
        <v>243</v>
      </c>
      <c r="AC152" s="14" t="s">
        <v>244</v>
      </c>
      <c r="AD152" s="14" t="s">
        <v>243</v>
      </c>
      <c r="AE152" s="14" t="s">
        <v>243</v>
      </c>
      <c r="AF152" s="14" t="s">
        <v>166</v>
      </c>
      <c r="AG152" s="14" t="s">
        <v>246</v>
      </c>
      <c r="AH152" s="21">
        <v>1</v>
      </c>
      <c r="AI152" s="3">
        <f>HYPERLINK("https://my.pitchbook.com/?d=180013-69T","180013-69T")</f>
      </c>
      <c r="AJ152" s="19" t="s">
        <v>166</v>
      </c>
      <c r="AK152" s="19">
        <v>44533</v>
      </c>
      <c r="AL152" s="18">
        <v>0.7</v>
      </c>
      <c r="AM152" s="14" t="s">
        <v>247</v>
      </c>
      <c r="AN152" s="18">
        <v>6.3</v>
      </c>
      <c r="AO152" s="18">
        <v>7</v>
      </c>
      <c r="AP152" s="14" t="s">
        <v>185</v>
      </c>
      <c r="AQ152" s="21" t="s">
        <v>166</v>
      </c>
      <c r="AR152" s="21" t="s">
        <v>166</v>
      </c>
      <c r="AS152" s="17">
        <v>10</v>
      </c>
      <c r="AT152" s="18">
        <v>0.7</v>
      </c>
      <c r="AU152" s="21" t="s">
        <v>186</v>
      </c>
      <c r="AV152" s="21" t="s">
        <v>166</v>
      </c>
      <c r="AW152" s="18">
        <v>0.62</v>
      </c>
      <c r="AX152" s="21" t="s">
        <v>746</v>
      </c>
      <c r="AY152" s="14" t="s">
        <v>217</v>
      </c>
      <c r="AZ152" s="14" t="s">
        <v>746</v>
      </c>
      <c r="BA152" s="14" t="s">
        <v>166</v>
      </c>
      <c r="BB152" s="21" t="s">
        <v>166</v>
      </c>
      <c r="BC152" s="14" t="s">
        <v>179</v>
      </c>
      <c r="BD152" s="14" t="s">
        <v>3155</v>
      </c>
      <c r="BE152" s="14" t="s">
        <v>189</v>
      </c>
      <c r="BF152" s="18" t="s">
        <v>166</v>
      </c>
      <c r="BG152" s="14" t="s">
        <v>190</v>
      </c>
      <c r="BH152" s="14" t="s">
        <v>166</v>
      </c>
      <c r="BI152" s="14" t="s">
        <v>166</v>
      </c>
      <c r="BJ152" s="18" t="s">
        <v>166</v>
      </c>
      <c r="BK152" s="18" t="s">
        <v>166</v>
      </c>
      <c r="BL152" s="14" t="s">
        <v>191</v>
      </c>
      <c r="BM152" s="14" t="s">
        <v>178</v>
      </c>
      <c r="BN152" s="14" t="s">
        <v>177</v>
      </c>
      <c r="BO152" s="22">
        <v>2</v>
      </c>
      <c r="BP152" s="14" t="s">
        <v>3144</v>
      </c>
      <c r="BQ152" s="21">
        <v>1</v>
      </c>
      <c r="BR152" s="14" t="s">
        <v>166</v>
      </c>
      <c r="BS152" s="21" t="s">
        <v>166</v>
      </c>
      <c r="BT152" s="14" t="s">
        <v>166</v>
      </c>
      <c r="BU152" s="14" t="s">
        <v>166</v>
      </c>
      <c r="BV152" s="14" t="s">
        <v>3156</v>
      </c>
      <c r="BW152" s="14" t="s">
        <v>166</v>
      </c>
      <c r="BX152" s="14" t="s">
        <v>166</v>
      </c>
      <c r="BY152" s="14" t="s">
        <v>166</v>
      </c>
      <c r="BZ152" s="14" t="s">
        <v>166</v>
      </c>
      <c r="CA152" s="14" t="s">
        <v>166</v>
      </c>
      <c r="CB152" s="14" t="s">
        <v>166</v>
      </c>
      <c r="CC152" s="14" t="s">
        <v>166</v>
      </c>
      <c r="CD152" s="14" t="s">
        <v>166</v>
      </c>
      <c r="CE152" s="18" t="s">
        <v>166</v>
      </c>
      <c r="CF152" s="16" t="s">
        <v>166</v>
      </c>
      <c r="CG152" s="17" t="s">
        <v>166</v>
      </c>
      <c r="CH152" s="16" t="s">
        <v>166</v>
      </c>
      <c r="CI152" s="16" t="s">
        <v>166</v>
      </c>
      <c r="CJ152" s="16" t="s">
        <v>166</v>
      </c>
      <c r="CK152" s="16" t="s">
        <v>166</v>
      </c>
      <c r="CL152" s="16" t="s">
        <v>166</v>
      </c>
      <c r="CM152" s="20" t="s">
        <v>166</v>
      </c>
      <c r="CN152" s="16" t="s">
        <v>166</v>
      </c>
      <c r="CO152" s="16" t="s">
        <v>166</v>
      </c>
      <c r="CP152" s="16" t="s">
        <v>166</v>
      </c>
      <c r="CQ152" s="16" t="s">
        <v>166</v>
      </c>
      <c r="CR152" s="16" t="s">
        <v>166</v>
      </c>
      <c r="CS152" s="16" t="s">
        <v>166</v>
      </c>
      <c r="CT152" s="16" t="s">
        <v>166</v>
      </c>
      <c r="CU152" s="16" t="s">
        <v>166</v>
      </c>
      <c r="CV152" s="16" t="s">
        <v>166</v>
      </c>
      <c r="CW152" s="16" t="s">
        <v>166</v>
      </c>
      <c r="CX152" s="16" t="s">
        <v>166</v>
      </c>
      <c r="CY152" s="16" t="s">
        <v>166</v>
      </c>
      <c r="CZ152" s="16" t="s">
        <v>166</v>
      </c>
      <c r="DA152" s="16" t="s">
        <v>166</v>
      </c>
      <c r="DB152" s="16" t="s">
        <v>166</v>
      </c>
      <c r="DC152" s="16" t="s">
        <v>166</v>
      </c>
      <c r="DD152" s="16" t="s">
        <v>166</v>
      </c>
      <c r="DE152" s="17" t="s">
        <v>166</v>
      </c>
      <c r="DF152" s="22">
        <v>19</v>
      </c>
      <c r="DG152" s="14" t="s">
        <v>3157</v>
      </c>
      <c r="DH152" s="14" t="s">
        <v>193</v>
      </c>
      <c r="DI152" s="14" t="s">
        <v>194</v>
      </c>
      <c r="DJ152" s="14" t="s">
        <v>3158</v>
      </c>
      <c r="DK152" s="14" t="s">
        <v>257</v>
      </c>
      <c r="DL152" s="21" t="s">
        <v>3159</v>
      </c>
      <c r="DM152" s="14" t="s">
        <v>198</v>
      </c>
      <c r="DN152" s="13" t="s">
        <v>3160</v>
      </c>
      <c r="DO152" s="20">
        <v>2021</v>
      </c>
      <c r="DP152" s="14" t="s">
        <v>166</v>
      </c>
      <c r="DQ152" s="14" t="s">
        <v>166</v>
      </c>
      <c r="DR152" s="18" t="s">
        <v>166</v>
      </c>
      <c r="DS152" s="16" t="s">
        <v>166</v>
      </c>
      <c r="DT152" s="19" t="s">
        <v>166</v>
      </c>
      <c r="DU152" s="14" t="s">
        <v>166</v>
      </c>
      <c r="DV152" s="18" t="s">
        <v>166</v>
      </c>
      <c r="DW152" s="18" t="s">
        <v>166</v>
      </c>
      <c r="DX152" s="16" t="s">
        <v>166</v>
      </c>
      <c r="DY152" s="16" t="s">
        <v>166</v>
      </c>
      <c r="DZ152" s="17" t="s">
        <v>166</v>
      </c>
      <c r="EA152" s="16" t="s">
        <v>166</v>
      </c>
      <c r="EB152" s="16" t="s">
        <v>166</v>
      </c>
      <c r="EC152" s="16" t="s">
        <v>166</v>
      </c>
      <c r="ED152" s="17" t="s">
        <v>166</v>
      </c>
      <c r="EE152" s="17" t="s">
        <v>166</v>
      </c>
      <c r="EF152" s="17" t="s">
        <v>166</v>
      </c>
      <c r="EG152" s="17" t="s">
        <v>166</v>
      </c>
      <c r="EH152" s="16" t="s">
        <v>166</v>
      </c>
      <c r="EI152" s="16" t="s">
        <v>166</v>
      </c>
      <c r="EJ152" s="16" t="s">
        <v>166</v>
      </c>
      <c r="EK152" s="16" t="s">
        <v>166</v>
      </c>
      <c r="EL152" s="16" t="s">
        <v>166</v>
      </c>
      <c r="EM152" s="16" t="s">
        <v>166</v>
      </c>
      <c r="EN152" s="16" t="s">
        <v>166</v>
      </c>
      <c r="EO152" s="16" t="s">
        <v>166</v>
      </c>
      <c r="EP152" s="16" t="s">
        <v>166</v>
      </c>
      <c r="EQ152" s="16" t="s">
        <v>166</v>
      </c>
      <c r="ER152" s="16" t="s">
        <v>166</v>
      </c>
      <c r="ES152" s="16" t="s">
        <v>166</v>
      </c>
      <c r="ET152" s="14" t="s">
        <v>166</v>
      </c>
      <c r="EU152" s="16" t="s">
        <v>166</v>
      </c>
      <c r="EV152" s="16" t="s">
        <v>166</v>
      </c>
      <c r="EW152" s="16" t="s">
        <v>166</v>
      </c>
      <c r="EX152" s="14" t="s">
        <v>190</v>
      </c>
      <c r="EY152" s="14" t="s">
        <v>166</v>
      </c>
      <c r="EZ152" s="16" t="s">
        <v>166</v>
      </c>
      <c r="FA152" s="15" t="s">
        <v>166</v>
      </c>
      <c r="FB152" s="15" t="s">
        <v>166</v>
      </c>
      <c r="FC152" s="15" t="s">
        <v>166</v>
      </c>
      <c r="FD152" s="15" t="s">
        <v>166</v>
      </c>
      <c r="FE152" s="15" t="s">
        <v>166</v>
      </c>
      <c r="FF152" s="15" t="s">
        <v>166</v>
      </c>
      <c r="FG152" s="14" t="s">
        <v>166</v>
      </c>
      <c r="FH152" s="3">
        <f>HYPERLINK("https://my.pitchbook.com?c=180013-69T","View Company Online")</f>
      </c>
    </row>
    <row r="153">
      <c r="A153" s="25" t="s">
        <v>3161</v>
      </c>
      <c r="B153" s="25" t="s">
        <v>3162</v>
      </c>
      <c r="C153" s="25" t="s">
        <v>3163</v>
      </c>
      <c r="D153" s="25" t="s">
        <v>166</v>
      </c>
      <c r="E153" s="34" t="s">
        <v>3164</v>
      </c>
      <c r="F153" s="32">
        <v>2</v>
      </c>
      <c r="G153" s="25" t="s">
        <v>3165</v>
      </c>
      <c r="H153" s="25" t="s">
        <v>166</v>
      </c>
      <c r="I153" s="25" t="s">
        <v>3166</v>
      </c>
      <c r="J153" s="25" t="s">
        <v>3167</v>
      </c>
      <c r="K153" s="25" t="s">
        <v>207</v>
      </c>
      <c r="L153" s="25" t="s">
        <v>208</v>
      </c>
      <c r="M153" s="25" t="s">
        <v>965</v>
      </c>
      <c r="N153" s="25" t="s">
        <v>3168</v>
      </c>
      <c r="O153" s="25" t="s">
        <v>665</v>
      </c>
      <c r="P153" s="25" t="s">
        <v>3169</v>
      </c>
      <c r="Q153" s="25" t="s">
        <v>166</v>
      </c>
      <c r="R153" s="25" t="s">
        <v>177</v>
      </c>
      <c r="S153" s="25" t="s">
        <v>178</v>
      </c>
      <c r="T153" s="25" t="s">
        <v>179</v>
      </c>
      <c r="U153" s="25" t="s">
        <v>3170</v>
      </c>
      <c r="V153" s="25" t="s">
        <v>3171</v>
      </c>
      <c r="W153" s="32" t="s">
        <v>166</v>
      </c>
      <c r="X153" s="25" t="s">
        <v>166</v>
      </c>
      <c r="Y153" s="25" t="s">
        <v>3172</v>
      </c>
      <c r="Z153" s="25" t="s">
        <v>3173</v>
      </c>
      <c r="AA153" s="25" t="s">
        <v>166</v>
      </c>
      <c r="AB153" s="25" t="s">
        <v>166</v>
      </c>
      <c r="AC153" s="25" t="s">
        <v>166</v>
      </c>
      <c r="AD153" s="25" t="s">
        <v>166</v>
      </c>
      <c r="AE153" s="25" t="s">
        <v>166</v>
      </c>
      <c r="AF153" s="25" t="s">
        <v>166</v>
      </c>
      <c r="AG153" s="25" t="s">
        <v>166</v>
      </c>
      <c r="AH153" s="32">
        <v>1</v>
      </c>
      <c r="AI153" s="4">
        <f>HYPERLINK("https://my.pitchbook.com/?d=174093-85T","174093-85T")</f>
      </c>
      <c r="AJ153" s="30" t="s">
        <v>166</v>
      </c>
      <c r="AK153" s="30">
        <v>44348</v>
      </c>
      <c r="AL153" s="29">
        <v>0.75</v>
      </c>
      <c r="AM153" s="25" t="s">
        <v>185</v>
      </c>
      <c r="AN153" s="29" t="s">
        <v>166</v>
      </c>
      <c r="AO153" s="29" t="s">
        <v>166</v>
      </c>
      <c r="AP153" s="25" t="s">
        <v>166</v>
      </c>
      <c r="AQ153" s="32" t="s">
        <v>166</v>
      </c>
      <c r="AR153" s="32" t="s">
        <v>166</v>
      </c>
      <c r="AS153" s="28" t="s">
        <v>166</v>
      </c>
      <c r="AT153" s="29">
        <v>0.75</v>
      </c>
      <c r="AU153" s="32" t="s">
        <v>186</v>
      </c>
      <c r="AV153" s="32" t="s">
        <v>166</v>
      </c>
      <c r="AW153" s="29" t="s">
        <v>166</v>
      </c>
      <c r="AX153" s="32" t="s">
        <v>166</v>
      </c>
      <c r="AY153" s="25" t="s">
        <v>249</v>
      </c>
      <c r="AZ153" s="25" t="s">
        <v>166</v>
      </c>
      <c r="BA153" s="25" t="s">
        <v>166</v>
      </c>
      <c r="BB153" s="32" t="s">
        <v>166</v>
      </c>
      <c r="BC153" s="25" t="s">
        <v>179</v>
      </c>
      <c r="BD153" s="25" t="s">
        <v>3167</v>
      </c>
      <c r="BE153" s="25" t="s">
        <v>189</v>
      </c>
      <c r="BF153" s="29">
        <v>0.75</v>
      </c>
      <c r="BG153" s="25" t="s">
        <v>190</v>
      </c>
      <c r="BH153" s="25" t="s">
        <v>166</v>
      </c>
      <c r="BI153" s="25" t="s">
        <v>166</v>
      </c>
      <c r="BJ153" s="29" t="s">
        <v>166</v>
      </c>
      <c r="BK153" s="29" t="s">
        <v>166</v>
      </c>
      <c r="BL153" s="25" t="s">
        <v>191</v>
      </c>
      <c r="BM153" s="25" t="s">
        <v>358</v>
      </c>
      <c r="BN153" s="25" t="s">
        <v>177</v>
      </c>
      <c r="BO153" s="33" t="s">
        <v>166</v>
      </c>
      <c r="BP153" s="25" t="s">
        <v>3164</v>
      </c>
      <c r="BQ153" s="32">
        <v>2</v>
      </c>
      <c r="BR153" s="25" t="s">
        <v>166</v>
      </c>
      <c r="BS153" s="32" t="s">
        <v>166</v>
      </c>
      <c r="BT153" s="25" t="s">
        <v>166</v>
      </c>
      <c r="BU153" s="25" t="s">
        <v>166</v>
      </c>
      <c r="BV153" s="25" t="s">
        <v>166</v>
      </c>
      <c r="BW153" s="25" t="s">
        <v>166</v>
      </c>
      <c r="BX153" s="25" t="s">
        <v>166</v>
      </c>
      <c r="BY153" s="25" t="s">
        <v>166</v>
      </c>
      <c r="BZ153" s="25" t="s">
        <v>166</v>
      </c>
      <c r="CA153" s="25" t="s">
        <v>166</v>
      </c>
      <c r="CB153" s="25" t="s">
        <v>166</v>
      </c>
      <c r="CC153" s="25" t="s">
        <v>166</v>
      </c>
      <c r="CD153" s="25" t="s">
        <v>166</v>
      </c>
      <c r="CE153" s="29" t="s">
        <v>166</v>
      </c>
      <c r="CF153" s="27" t="s">
        <v>166</v>
      </c>
      <c r="CG153" s="28" t="s">
        <v>166</v>
      </c>
      <c r="CH153" s="27" t="s">
        <v>166</v>
      </c>
      <c r="CI153" s="27" t="s">
        <v>166</v>
      </c>
      <c r="CJ153" s="27" t="s">
        <v>166</v>
      </c>
      <c r="CK153" s="27" t="s">
        <v>166</v>
      </c>
      <c r="CL153" s="27" t="s">
        <v>166</v>
      </c>
      <c r="CM153" s="31" t="s">
        <v>166</v>
      </c>
      <c r="CN153" s="27" t="s">
        <v>166</v>
      </c>
      <c r="CO153" s="27" t="s">
        <v>166</v>
      </c>
      <c r="CP153" s="27" t="s">
        <v>166</v>
      </c>
      <c r="CQ153" s="27" t="s">
        <v>166</v>
      </c>
      <c r="CR153" s="27" t="s">
        <v>166</v>
      </c>
      <c r="CS153" s="27" t="s">
        <v>166</v>
      </c>
      <c r="CT153" s="27" t="s">
        <v>166</v>
      </c>
      <c r="CU153" s="27" t="s">
        <v>166</v>
      </c>
      <c r="CV153" s="27" t="s">
        <v>166</v>
      </c>
      <c r="CW153" s="27" t="s">
        <v>166</v>
      </c>
      <c r="CX153" s="27" t="s">
        <v>166</v>
      </c>
      <c r="CY153" s="27" t="s">
        <v>166</v>
      </c>
      <c r="CZ153" s="27" t="s">
        <v>166</v>
      </c>
      <c r="DA153" s="27" t="s">
        <v>166</v>
      </c>
      <c r="DB153" s="27" t="s">
        <v>166</v>
      </c>
      <c r="DC153" s="27" t="s">
        <v>166</v>
      </c>
      <c r="DD153" s="27" t="s">
        <v>166</v>
      </c>
      <c r="DE153" s="28" t="s">
        <v>166</v>
      </c>
      <c r="DF153" s="33">
        <v>198</v>
      </c>
      <c r="DG153" s="25" t="s">
        <v>3174</v>
      </c>
      <c r="DH153" s="25" t="s">
        <v>193</v>
      </c>
      <c r="DI153" s="25" t="s">
        <v>194</v>
      </c>
      <c r="DJ153" s="25" t="s">
        <v>3175</v>
      </c>
      <c r="DK153" s="25" t="s">
        <v>1063</v>
      </c>
      <c r="DL153" s="32" t="s">
        <v>3176</v>
      </c>
      <c r="DM153" s="25" t="s">
        <v>198</v>
      </c>
      <c r="DN153" s="24" t="s">
        <v>3177</v>
      </c>
      <c r="DO153" s="31">
        <v>2012</v>
      </c>
      <c r="DP153" s="25" t="s">
        <v>166</v>
      </c>
      <c r="DQ153" s="25" t="s">
        <v>166</v>
      </c>
      <c r="DR153" s="29" t="s">
        <v>166</v>
      </c>
      <c r="DS153" s="27" t="s">
        <v>166</v>
      </c>
      <c r="DT153" s="30" t="s">
        <v>166</v>
      </c>
      <c r="DU153" s="25" t="s">
        <v>166</v>
      </c>
      <c r="DV153" s="29" t="s">
        <v>166</v>
      </c>
      <c r="DW153" s="29" t="s">
        <v>166</v>
      </c>
      <c r="DX153" s="27" t="s">
        <v>166</v>
      </c>
      <c r="DY153" s="27" t="s">
        <v>166</v>
      </c>
      <c r="DZ153" s="28" t="s">
        <v>166</v>
      </c>
      <c r="EA153" s="27" t="s">
        <v>166</v>
      </c>
      <c r="EB153" s="27" t="s">
        <v>166</v>
      </c>
      <c r="EC153" s="27" t="s">
        <v>166</v>
      </c>
      <c r="ED153" s="28" t="s">
        <v>166</v>
      </c>
      <c r="EE153" s="28" t="s">
        <v>166</v>
      </c>
      <c r="EF153" s="28" t="s">
        <v>166</v>
      </c>
      <c r="EG153" s="28" t="s">
        <v>166</v>
      </c>
      <c r="EH153" s="27" t="s">
        <v>166</v>
      </c>
      <c r="EI153" s="27" t="s">
        <v>166</v>
      </c>
      <c r="EJ153" s="27" t="s">
        <v>166</v>
      </c>
      <c r="EK153" s="27" t="s">
        <v>166</v>
      </c>
      <c r="EL153" s="27" t="s">
        <v>166</v>
      </c>
      <c r="EM153" s="27" t="s">
        <v>166</v>
      </c>
      <c r="EN153" s="27" t="s">
        <v>166</v>
      </c>
      <c r="EO153" s="27" t="s">
        <v>166</v>
      </c>
      <c r="EP153" s="27" t="s">
        <v>166</v>
      </c>
      <c r="EQ153" s="27" t="s">
        <v>166</v>
      </c>
      <c r="ER153" s="27" t="s">
        <v>166</v>
      </c>
      <c r="ES153" s="27" t="s">
        <v>166</v>
      </c>
      <c r="ET153" s="25" t="s">
        <v>166</v>
      </c>
      <c r="EU153" s="27" t="s">
        <v>166</v>
      </c>
      <c r="EV153" s="27" t="s">
        <v>166</v>
      </c>
      <c r="EW153" s="27" t="s">
        <v>166</v>
      </c>
      <c r="EX153" s="25" t="s">
        <v>190</v>
      </c>
      <c r="EY153" s="25" t="s">
        <v>166</v>
      </c>
      <c r="EZ153" s="27" t="s">
        <v>166</v>
      </c>
      <c r="FA153" s="26" t="s">
        <v>166</v>
      </c>
      <c r="FB153" s="26" t="s">
        <v>166</v>
      </c>
      <c r="FC153" s="26" t="s">
        <v>166</v>
      </c>
      <c r="FD153" s="26" t="s">
        <v>166</v>
      </c>
      <c r="FE153" s="26" t="s">
        <v>166</v>
      </c>
      <c r="FF153" s="26" t="s">
        <v>166</v>
      </c>
      <c r="FG153" s="25" t="s">
        <v>166</v>
      </c>
      <c r="FH153" s="4">
        <f>HYPERLINK("https://my.pitchbook.com?c=174093-85T","View Company Online")</f>
      </c>
    </row>
    <row r="154">
      <c r="A154" s="14" t="s">
        <v>3178</v>
      </c>
      <c r="B154" s="14" t="s">
        <v>3179</v>
      </c>
      <c r="C154" s="14" t="s">
        <v>3180</v>
      </c>
      <c r="D154" s="14" t="s">
        <v>166</v>
      </c>
      <c r="E154" s="23" t="s">
        <v>3181</v>
      </c>
      <c r="F154" s="21">
        <v>7</v>
      </c>
      <c r="G154" s="14" t="s">
        <v>3182</v>
      </c>
      <c r="H154" s="14" t="s">
        <v>166</v>
      </c>
      <c r="I154" s="14" t="s">
        <v>3183</v>
      </c>
      <c r="J154" s="14" t="s">
        <v>3184</v>
      </c>
      <c r="K154" s="14" t="s">
        <v>207</v>
      </c>
      <c r="L154" s="14" t="s">
        <v>208</v>
      </c>
      <c r="M154" s="14" t="s">
        <v>209</v>
      </c>
      <c r="N154" s="14" t="s">
        <v>269</v>
      </c>
      <c r="O154" s="14" t="s">
        <v>3185</v>
      </c>
      <c r="P154" s="14" t="s">
        <v>3186</v>
      </c>
      <c r="Q154" s="14" t="s">
        <v>166</v>
      </c>
      <c r="R154" s="14" t="s">
        <v>177</v>
      </c>
      <c r="S154" s="14" t="s">
        <v>178</v>
      </c>
      <c r="T154" s="14" t="s">
        <v>179</v>
      </c>
      <c r="U154" s="14" t="s">
        <v>3187</v>
      </c>
      <c r="V154" s="14" t="s">
        <v>3188</v>
      </c>
      <c r="W154" s="21" t="s">
        <v>3189</v>
      </c>
      <c r="X154" s="14" t="s">
        <v>3190</v>
      </c>
      <c r="Y154" s="14" t="s">
        <v>3191</v>
      </c>
      <c r="Z154" s="14" t="s">
        <v>3192</v>
      </c>
      <c r="AA154" s="14" t="s">
        <v>242</v>
      </c>
      <c r="AB154" s="14" t="s">
        <v>243</v>
      </c>
      <c r="AC154" s="14" t="s">
        <v>244</v>
      </c>
      <c r="AD154" s="14" t="s">
        <v>243</v>
      </c>
      <c r="AE154" s="14" t="s">
        <v>243</v>
      </c>
      <c r="AF154" s="14" t="s">
        <v>166</v>
      </c>
      <c r="AG154" s="14" t="s">
        <v>246</v>
      </c>
      <c r="AH154" s="21">
        <v>4</v>
      </c>
      <c r="AI154" s="3">
        <f>HYPERLINK("https://my.pitchbook.com/?d=135107-38T","135107-38T")</f>
      </c>
      <c r="AJ154" s="19">
        <v>43921</v>
      </c>
      <c r="AK154" s="19">
        <v>44008</v>
      </c>
      <c r="AL154" s="18">
        <v>1.2</v>
      </c>
      <c r="AM154" s="14" t="s">
        <v>185</v>
      </c>
      <c r="AN154" s="18">
        <v>3</v>
      </c>
      <c r="AO154" s="18">
        <v>4.2</v>
      </c>
      <c r="AP154" s="14" t="s">
        <v>185</v>
      </c>
      <c r="AQ154" s="21" t="s">
        <v>166</v>
      </c>
      <c r="AR154" s="21" t="s">
        <v>166</v>
      </c>
      <c r="AS154" s="17">
        <v>28.57</v>
      </c>
      <c r="AT154" s="18">
        <v>1.3</v>
      </c>
      <c r="AU154" s="21" t="s">
        <v>186</v>
      </c>
      <c r="AV154" s="21" t="s">
        <v>166</v>
      </c>
      <c r="AW154" s="18">
        <v>0.32</v>
      </c>
      <c r="AX154" s="21" t="s">
        <v>166</v>
      </c>
      <c r="AY154" s="14" t="s">
        <v>217</v>
      </c>
      <c r="AZ154" s="14" t="s">
        <v>217</v>
      </c>
      <c r="BA154" s="14" t="s">
        <v>166</v>
      </c>
      <c r="BB154" s="21" t="s">
        <v>166</v>
      </c>
      <c r="BC154" s="14" t="s">
        <v>179</v>
      </c>
      <c r="BD154" s="14" t="s">
        <v>3193</v>
      </c>
      <c r="BE154" s="14" t="s">
        <v>189</v>
      </c>
      <c r="BF154" s="18">
        <v>1.2</v>
      </c>
      <c r="BG154" s="14" t="s">
        <v>190</v>
      </c>
      <c r="BH154" s="14" t="s">
        <v>166</v>
      </c>
      <c r="BI154" s="14" t="s">
        <v>166</v>
      </c>
      <c r="BJ154" s="18" t="s">
        <v>166</v>
      </c>
      <c r="BK154" s="18" t="s">
        <v>166</v>
      </c>
      <c r="BL154" s="14" t="s">
        <v>191</v>
      </c>
      <c r="BM154" s="14" t="s">
        <v>178</v>
      </c>
      <c r="BN154" s="14" t="s">
        <v>177</v>
      </c>
      <c r="BO154" s="22" t="s">
        <v>166</v>
      </c>
      <c r="BP154" s="14" t="s">
        <v>3194</v>
      </c>
      <c r="BQ154" s="21">
        <v>7</v>
      </c>
      <c r="BR154" s="14" t="s">
        <v>166</v>
      </c>
      <c r="BS154" s="21" t="s">
        <v>166</v>
      </c>
      <c r="BT154" s="14" t="s">
        <v>3195</v>
      </c>
      <c r="BU154" s="14" t="s">
        <v>166</v>
      </c>
      <c r="BV154" s="14" t="s">
        <v>3196</v>
      </c>
      <c r="BW154" s="14" t="s">
        <v>166</v>
      </c>
      <c r="BX154" s="14" t="s">
        <v>166</v>
      </c>
      <c r="BY154" s="14" t="s">
        <v>166</v>
      </c>
      <c r="BZ154" s="14" t="s">
        <v>1327</v>
      </c>
      <c r="CA154" s="14" t="s">
        <v>1327</v>
      </c>
      <c r="CB154" s="14" t="s">
        <v>166</v>
      </c>
      <c r="CC154" s="14" t="s">
        <v>166</v>
      </c>
      <c r="CD154" s="14" t="s">
        <v>166</v>
      </c>
      <c r="CE154" s="18" t="s">
        <v>166</v>
      </c>
      <c r="CF154" s="16" t="s">
        <v>166</v>
      </c>
      <c r="CG154" s="17" t="s">
        <v>166</v>
      </c>
      <c r="CH154" s="16" t="s">
        <v>166</v>
      </c>
      <c r="CI154" s="16" t="s">
        <v>166</v>
      </c>
      <c r="CJ154" s="16" t="s">
        <v>166</v>
      </c>
      <c r="CK154" s="16" t="s">
        <v>166</v>
      </c>
      <c r="CL154" s="16" t="s">
        <v>166</v>
      </c>
      <c r="CM154" s="20" t="s">
        <v>166</v>
      </c>
      <c r="CN154" s="16" t="s">
        <v>166</v>
      </c>
      <c r="CO154" s="16" t="s">
        <v>166</v>
      </c>
      <c r="CP154" s="16" t="s">
        <v>166</v>
      </c>
      <c r="CQ154" s="16" t="s">
        <v>166</v>
      </c>
      <c r="CR154" s="16" t="s">
        <v>166</v>
      </c>
      <c r="CS154" s="16" t="s">
        <v>166</v>
      </c>
      <c r="CT154" s="16" t="s">
        <v>166</v>
      </c>
      <c r="CU154" s="16" t="s">
        <v>166</v>
      </c>
      <c r="CV154" s="16" t="s">
        <v>166</v>
      </c>
      <c r="CW154" s="16" t="s">
        <v>166</v>
      </c>
      <c r="CX154" s="16" t="s">
        <v>166</v>
      </c>
      <c r="CY154" s="16" t="s">
        <v>166</v>
      </c>
      <c r="CZ154" s="16" t="s">
        <v>166</v>
      </c>
      <c r="DA154" s="16" t="s">
        <v>166</v>
      </c>
      <c r="DB154" s="16" t="s">
        <v>166</v>
      </c>
      <c r="DC154" s="16" t="s">
        <v>166</v>
      </c>
      <c r="DD154" s="16" t="s">
        <v>166</v>
      </c>
      <c r="DE154" s="17" t="s">
        <v>166</v>
      </c>
      <c r="DF154" s="22">
        <v>38</v>
      </c>
      <c r="DG154" s="14" t="s">
        <v>1077</v>
      </c>
      <c r="DH154" s="14" t="s">
        <v>193</v>
      </c>
      <c r="DI154" s="14" t="s">
        <v>194</v>
      </c>
      <c r="DJ154" s="14" t="s">
        <v>1078</v>
      </c>
      <c r="DK154" s="14" t="s">
        <v>257</v>
      </c>
      <c r="DL154" s="21" t="s">
        <v>1079</v>
      </c>
      <c r="DM154" s="14" t="s">
        <v>198</v>
      </c>
      <c r="DN154" s="13" t="s">
        <v>3197</v>
      </c>
      <c r="DO154" s="20">
        <v>2017</v>
      </c>
      <c r="DP154" s="14" t="s">
        <v>166</v>
      </c>
      <c r="DQ154" s="14" t="s">
        <v>166</v>
      </c>
      <c r="DR154" s="18" t="s">
        <v>166</v>
      </c>
      <c r="DS154" s="16" t="s">
        <v>166</v>
      </c>
      <c r="DT154" s="19" t="s">
        <v>166</v>
      </c>
      <c r="DU154" s="14" t="s">
        <v>166</v>
      </c>
      <c r="DV154" s="18" t="s">
        <v>166</v>
      </c>
      <c r="DW154" s="18" t="s">
        <v>166</v>
      </c>
      <c r="DX154" s="16" t="s">
        <v>166</v>
      </c>
      <c r="DY154" s="16" t="s">
        <v>166</v>
      </c>
      <c r="DZ154" s="17" t="s">
        <v>166</v>
      </c>
      <c r="EA154" s="16" t="s">
        <v>166</v>
      </c>
      <c r="EB154" s="16" t="s">
        <v>166</v>
      </c>
      <c r="EC154" s="16" t="s">
        <v>166</v>
      </c>
      <c r="ED154" s="17" t="s">
        <v>166</v>
      </c>
      <c r="EE154" s="17" t="s">
        <v>166</v>
      </c>
      <c r="EF154" s="17" t="s">
        <v>166</v>
      </c>
      <c r="EG154" s="17" t="s">
        <v>166</v>
      </c>
      <c r="EH154" s="16" t="s">
        <v>166</v>
      </c>
      <c r="EI154" s="16" t="s">
        <v>166</v>
      </c>
      <c r="EJ154" s="16" t="s">
        <v>166</v>
      </c>
      <c r="EK154" s="16" t="s">
        <v>166</v>
      </c>
      <c r="EL154" s="16" t="s">
        <v>166</v>
      </c>
      <c r="EM154" s="16" t="s">
        <v>166</v>
      </c>
      <c r="EN154" s="16" t="s">
        <v>166</v>
      </c>
      <c r="EO154" s="16" t="s">
        <v>166</v>
      </c>
      <c r="EP154" s="16" t="s">
        <v>166</v>
      </c>
      <c r="EQ154" s="16" t="s">
        <v>166</v>
      </c>
      <c r="ER154" s="16" t="s">
        <v>166</v>
      </c>
      <c r="ES154" s="16" t="s">
        <v>166</v>
      </c>
      <c r="ET154" s="14" t="s">
        <v>166</v>
      </c>
      <c r="EU154" s="16" t="s">
        <v>166</v>
      </c>
      <c r="EV154" s="16" t="s">
        <v>166</v>
      </c>
      <c r="EW154" s="16" t="s">
        <v>166</v>
      </c>
      <c r="EX154" s="14" t="s">
        <v>190</v>
      </c>
      <c r="EY154" s="14" t="s">
        <v>166</v>
      </c>
      <c r="EZ154" s="16" t="s">
        <v>166</v>
      </c>
      <c r="FA154" s="15" t="s">
        <v>166</v>
      </c>
      <c r="FB154" s="15" t="s">
        <v>166</v>
      </c>
      <c r="FC154" s="15" t="s">
        <v>166</v>
      </c>
      <c r="FD154" s="15" t="s">
        <v>166</v>
      </c>
      <c r="FE154" s="15" t="s">
        <v>166</v>
      </c>
      <c r="FF154" s="15" t="s">
        <v>166</v>
      </c>
      <c r="FG154" s="14" t="s">
        <v>166</v>
      </c>
      <c r="FH154" s="3">
        <f>HYPERLINK("https://my.pitchbook.com?c=135107-38T","View Company Online")</f>
      </c>
    </row>
    <row r="155">
      <c r="A155" s="25" t="s">
        <v>3198</v>
      </c>
      <c r="B155" s="25" t="s">
        <v>3199</v>
      </c>
      <c r="C155" s="25" t="s">
        <v>3200</v>
      </c>
      <c r="D155" s="25" t="s">
        <v>166</v>
      </c>
      <c r="E155" s="34" t="s">
        <v>3201</v>
      </c>
      <c r="F155" s="32">
        <v>1</v>
      </c>
      <c r="G155" s="25" t="s">
        <v>3202</v>
      </c>
      <c r="H155" s="25" t="s">
        <v>166</v>
      </c>
      <c r="I155" s="25" t="s">
        <v>3203</v>
      </c>
      <c r="J155" s="25" t="s">
        <v>3204</v>
      </c>
      <c r="K155" s="25" t="s">
        <v>207</v>
      </c>
      <c r="L155" s="25" t="s">
        <v>208</v>
      </c>
      <c r="M155" s="25" t="s">
        <v>1181</v>
      </c>
      <c r="N155" s="25" t="s">
        <v>3205</v>
      </c>
      <c r="O155" s="25" t="s">
        <v>641</v>
      </c>
      <c r="P155" s="25" t="s">
        <v>3206</v>
      </c>
      <c r="Q155" s="25" t="s">
        <v>166</v>
      </c>
      <c r="R155" s="25" t="s">
        <v>177</v>
      </c>
      <c r="S155" s="25" t="s">
        <v>178</v>
      </c>
      <c r="T155" s="25" t="s">
        <v>179</v>
      </c>
      <c r="U155" s="25" t="s">
        <v>3207</v>
      </c>
      <c r="V155" s="25" t="s">
        <v>3208</v>
      </c>
      <c r="W155" s="32" t="s">
        <v>166</v>
      </c>
      <c r="X155" s="25" t="s">
        <v>3209</v>
      </c>
      <c r="Y155" s="25" t="s">
        <v>3210</v>
      </c>
      <c r="Z155" s="25" t="s">
        <v>166</v>
      </c>
      <c r="AA155" s="25" t="s">
        <v>166</v>
      </c>
      <c r="AB155" s="25" t="s">
        <v>166</v>
      </c>
      <c r="AC155" s="25" t="s">
        <v>166</v>
      </c>
      <c r="AD155" s="25" t="s">
        <v>166</v>
      </c>
      <c r="AE155" s="25" t="s">
        <v>166</v>
      </c>
      <c r="AF155" s="25" t="s">
        <v>166</v>
      </c>
      <c r="AG155" s="25" t="s">
        <v>166</v>
      </c>
      <c r="AH155" s="32">
        <v>1</v>
      </c>
      <c r="AI155" s="4">
        <f>HYPERLINK("https://my.pitchbook.com/?d=197149-69T","197149-69T")</f>
      </c>
      <c r="AJ155" s="30" t="s">
        <v>166</v>
      </c>
      <c r="AK155" s="30">
        <v>44693</v>
      </c>
      <c r="AL155" s="29">
        <v>1</v>
      </c>
      <c r="AM155" s="25" t="s">
        <v>185</v>
      </c>
      <c r="AN155" s="29">
        <v>7</v>
      </c>
      <c r="AO155" s="29">
        <v>8</v>
      </c>
      <c r="AP155" s="25" t="s">
        <v>185</v>
      </c>
      <c r="AQ155" s="32" t="s">
        <v>166</v>
      </c>
      <c r="AR155" s="32" t="s">
        <v>166</v>
      </c>
      <c r="AS155" s="28">
        <v>12.5</v>
      </c>
      <c r="AT155" s="29">
        <v>1</v>
      </c>
      <c r="AU155" s="32" t="s">
        <v>186</v>
      </c>
      <c r="AV155" s="32" t="s">
        <v>166</v>
      </c>
      <c r="AW155" s="29" t="s">
        <v>166</v>
      </c>
      <c r="AX155" s="32" t="s">
        <v>248</v>
      </c>
      <c r="AY155" s="25" t="s">
        <v>187</v>
      </c>
      <c r="AZ155" s="25" t="s">
        <v>248</v>
      </c>
      <c r="BA155" s="25" t="s">
        <v>166</v>
      </c>
      <c r="BB155" s="32" t="s">
        <v>166</v>
      </c>
      <c r="BC155" s="25" t="s">
        <v>179</v>
      </c>
      <c r="BD155" s="25" t="s">
        <v>3211</v>
      </c>
      <c r="BE155" s="25" t="s">
        <v>189</v>
      </c>
      <c r="BF155" s="29">
        <v>1</v>
      </c>
      <c r="BG155" s="25" t="s">
        <v>190</v>
      </c>
      <c r="BH155" s="25" t="s">
        <v>166</v>
      </c>
      <c r="BI155" s="25" t="s">
        <v>166</v>
      </c>
      <c r="BJ155" s="29" t="s">
        <v>166</v>
      </c>
      <c r="BK155" s="29" t="s">
        <v>166</v>
      </c>
      <c r="BL155" s="25" t="s">
        <v>191</v>
      </c>
      <c r="BM155" s="25" t="s">
        <v>178</v>
      </c>
      <c r="BN155" s="25" t="s">
        <v>177</v>
      </c>
      <c r="BO155" s="33" t="s">
        <v>166</v>
      </c>
      <c r="BP155" s="25" t="s">
        <v>3201</v>
      </c>
      <c r="BQ155" s="32">
        <v>1</v>
      </c>
      <c r="BR155" s="25" t="s">
        <v>166</v>
      </c>
      <c r="BS155" s="32" t="s">
        <v>166</v>
      </c>
      <c r="BT155" s="25" t="s">
        <v>166</v>
      </c>
      <c r="BU155" s="25" t="s">
        <v>166</v>
      </c>
      <c r="BV155" s="25" t="s">
        <v>3212</v>
      </c>
      <c r="BW155" s="25" t="s">
        <v>166</v>
      </c>
      <c r="BX155" s="25" t="s">
        <v>166</v>
      </c>
      <c r="BY155" s="25" t="s">
        <v>166</v>
      </c>
      <c r="BZ155" s="25" t="s">
        <v>166</v>
      </c>
      <c r="CA155" s="25" t="s">
        <v>166</v>
      </c>
      <c r="CB155" s="25" t="s">
        <v>166</v>
      </c>
      <c r="CC155" s="25" t="s">
        <v>166</v>
      </c>
      <c r="CD155" s="25" t="s">
        <v>166</v>
      </c>
      <c r="CE155" s="29" t="s">
        <v>166</v>
      </c>
      <c r="CF155" s="27" t="s">
        <v>166</v>
      </c>
      <c r="CG155" s="28" t="s">
        <v>166</v>
      </c>
      <c r="CH155" s="27" t="s">
        <v>166</v>
      </c>
      <c r="CI155" s="27" t="s">
        <v>166</v>
      </c>
      <c r="CJ155" s="27" t="s">
        <v>166</v>
      </c>
      <c r="CK155" s="27" t="s">
        <v>166</v>
      </c>
      <c r="CL155" s="27" t="s">
        <v>166</v>
      </c>
      <c r="CM155" s="31" t="s">
        <v>166</v>
      </c>
      <c r="CN155" s="27" t="s">
        <v>166</v>
      </c>
      <c r="CO155" s="27" t="s">
        <v>166</v>
      </c>
      <c r="CP155" s="27" t="s">
        <v>166</v>
      </c>
      <c r="CQ155" s="27" t="s">
        <v>166</v>
      </c>
      <c r="CR155" s="27" t="s">
        <v>166</v>
      </c>
      <c r="CS155" s="27" t="s">
        <v>166</v>
      </c>
      <c r="CT155" s="27" t="s">
        <v>166</v>
      </c>
      <c r="CU155" s="27" t="s">
        <v>166</v>
      </c>
      <c r="CV155" s="27" t="s">
        <v>166</v>
      </c>
      <c r="CW155" s="27" t="s">
        <v>166</v>
      </c>
      <c r="CX155" s="27" t="s">
        <v>166</v>
      </c>
      <c r="CY155" s="27" t="s">
        <v>166</v>
      </c>
      <c r="CZ155" s="27" t="s">
        <v>166</v>
      </c>
      <c r="DA155" s="27" t="s">
        <v>166</v>
      </c>
      <c r="DB155" s="27" t="s">
        <v>166</v>
      </c>
      <c r="DC155" s="27" t="s">
        <v>166</v>
      </c>
      <c r="DD155" s="27" t="s">
        <v>166</v>
      </c>
      <c r="DE155" s="28" t="s">
        <v>166</v>
      </c>
      <c r="DF155" s="33">
        <v>8</v>
      </c>
      <c r="DG155" s="25" t="s">
        <v>673</v>
      </c>
      <c r="DH155" s="25" t="s">
        <v>193</v>
      </c>
      <c r="DI155" s="25" t="s">
        <v>194</v>
      </c>
      <c r="DJ155" s="25" t="s">
        <v>674</v>
      </c>
      <c r="DK155" s="25" t="s">
        <v>257</v>
      </c>
      <c r="DL155" s="32" t="s">
        <v>166</v>
      </c>
      <c r="DM155" s="25" t="s">
        <v>198</v>
      </c>
      <c r="DN155" s="24" t="s">
        <v>3213</v>
      </c>
      <c r="DO155" s="31">
        <v>2021</v>
      </c>
      <c r="DP155" s="25" t="s">
        <v>166</v>
      </c>
      <c r="DQ155" s="25" t="s">
        <v>166</v>
      </c>
      <c r="DR155" s="29" t="s">
        <v>166</v>
      </c>
      <c r="DS155" s="27" t="s">
        <v>166</v>
      </c>
      <c r="DT155" s="30" t="s">
        <v>166</v>
      </c>
      <c r="DU155" s="25" t="s">
        <v>166</v>
      </c>
      <c r="DV155" s="29" t="s">
        <v>166</v>
      </c>
      <c r="DW155" s="29" t="s">
        <v>166</v>
      </c>
      <c r="DX155" s="27" t="s">
        <v>166</v>
      </c>
      <c r="DY155" s="27" t="s">
        <v>166</v>
      </c>
      <c r="DZ155" s="28" t="s">
        <v>166</v>
      </c>
      <c r="EA155" s="27" t="s">
        <v>166</v>
      </c>
      <c r="EB155" s="27" t="s">
        <v>166</v>
      </c>
      <c r="EC155" s="27" t="s">
        <v>166</v>
      </c>
      <c r="ED155" s="28" t="s">
        <v>166</v>
      </c>
      <c r="EE155" s="28" t="s">
        <v>166</v>
      </c>
      <c r="EF155" s="28" t="s">
        <v>166</v>
      </c>
      <c r="EG155" s="28" t="s">
        <v>166</v>
      </c>
      <c r="EH155" s="27" t="s">
        <v>166</v>
      </c>
      <c r="EI155" s="27" t="s">
        <v>166</v>
      </c>
      <c r="EJ155" s="27" t="s">
        <v>166</v>
      </c>
      <c r="EK155" s="27" t="s">
        <v>166</v>
      </c>
      <c r="EL155" s="27" t="s">
        <v>166</v>
      </c>
      <c r="EM155" s="27" t="s">
        <v>166</v>
      </c>
      <c r="EN155" s="27" t="s">
        <v>166</v>
      </c>
      <c r="EO155" s="27" t="s">
        <v>166</v>
      </c>
      <c r="EP155" s="27" t="s">
        <v>166</v>
      </c>
      <c r="EQ155" s="27" t="s">
        <v>166</v>
      </c>
      <c r="ER155" s="27" t="s">
        <v>166</v>
      </c>
      <c r="ES155" s="27" t="s">
        <v>166</v>
      </c>
      <c r="ET155" s="25" t="s">
        <v>166</v>
      </c>
      <c r="EU155" s="27" t="s">
        <v>166</v>
      </c>
      <c r="EV155" s="27" t="s">
        <v>166</v>
      </c>
      <c r="EW155" s="27" t="s">
        <v>166</v>
      </c>
      <c r="EX155" s="25" t="s">
        <v>190</v>
      </c>
      <c r="EY155" s="25" t="s">
        <v>166</v>
      </c>
      <c r="EZ155" s="27" t="s">
        <v>166</v>
      </c>
      <c r="FA155" s="26" t="s">
        <v>166</v>
      </c>
      <c r="FB155" s="26" t="s">
        <v>166</v>
      </c>
      <c r="FC155" s="26" t="s">
        <v>166</v>
      </c>
      <c r="FD155" s="26" t="s">
        <v>166</v>
      </c>
      <c r="FE155" s="26" t="s">
        <v>166</v>
      </c>
      <c r="FF155" s="26" t="s">
        <v>166</v>
      </c>
      <c r="FG155" s="25" t="s">
        <v>166</v>
      </c>
      <c r="FH155" s="4">
        <f>HYPERLINK("https://my.pitchbook.com?c=197149-69T","View Company Online")</f>
      </c>
    </row>
    <row r="156">
      <c r="A156" s="14" t="s">
        <v>3214</v>
      </c>
      <c r="B156" s="14" t="s">
        <v>3215</v>
      </c>
      <c r="C156" s="14" t="s">
        <v>3216</v>
      </c>
      <c r="D156" s="14" t="s">
        <v>166</v>
      </c>
      <c r="E156" s="23" t="s">
        <v>3217</v>
      </c>
      <c r="F156" s="21">
        <v>8</v>
      </c>
      <c r="G156" s="14" t="s">
        <v>3218</v>
      </c>
      <c r="H156" s="14" t="s">
        <v>166</v>
      </c>
      <c r="I156" s="14" t="s">
        <v>3219</v>
      </c>
      <c r="J156" s="14" t="s">
        <v>3220</v>
      </c>
      <c r="K156" s="14" t="s">
        <v>207</v>
      </c>
      <c r="L156" s="14" t="s">
        <v>208</v>
      </c>
      <c r="M156" s="14" t="s">
        <v>209</v>
      </c>
      <c r="N156" s="14" t="s">
        <v>3221</v>
      </c>
      <c r="O156" s="14" t="s">
        <v>1127</v>
      </c>
      <c r="P156" s="14" t="s">
        <v>3222</v>
      </c>
      <c r="Q156" s="14" t="s">
        <v>166</v>
      </c>
      <c r="R156" s="14" t="s">
        <v>177</v>
      </c>
      <c r="S156" s="14" t="s">
        <v>178</v>
      </c>
      <c r="T156" s="14" t="s">
        <v>179</v>
      </c>
      <c r="U156" s="14" t="s">
        <v>3223</v>
      </c>
      <c r="V156" s="14" t="s">
        <v>3224</v>
      </c>
      <c r="W156" s="21" t="s">
        <v>166</v>
      </c>
      <c r="X156" s="14" t="s">
        <v>3225</v>
      </c>
      <c r="Y156" s="14" t="s">
        <v>3226</v>
      </c>
      <c r="Z156" s="14" t="s">
        <v>3227</v>
      </c>
      <c r="AA156" s="14" t="s">
        <v>242</v>
      </c>
      <c r="AB156" s="14" t="s">
        <v>243</v>
      </c>
      <c r="AC156" s="14" t="s">
        <v>244</v>
      </c>
      <c r="AD156" s="14" t="s">
        <v>243</v>
      </c>
      <c r="AE156" s="14" t="s">
        <v>243</v>
      </c>
      <c r="AF156" s="14" t="s">
        <v>166</v>
      </c>
      <c r="AG156" s="14" t="s">
        <v>807</v>
      </c>
      <c r="AH156" s="21">
        <v>1</v>
      </c>
      <c r="AI156" s="3">
        <f>HYPERLINK("https://my.pitchbook.com/?d=181283-59T","181283-59T")</f>
      </c>
      <c r="AJ156" s="19" t="s">
        <v>166</v>
      </c>
      <c r="AK156" s="19">
        <v>44587</v>
      </c>
      <c r="AL156" s="18">
        <v>5</v>
      </c>
      <c r="AM156" s="14" t="s">
        <v>185</v>
      </c>
      <c r="AN156" s="18">
        <v>15</v>
      </c>
      <c r="AO156" s="18">
        <v>20</v>
      </c>
      <c r="AP156" s="14" t="s">
        <v>185</v>
      </c>
      <c r="AQ156" s="21" t="s">
        <v>166</v>
      </c>
      <c r="AR156" s="21" t="s">
        <v>166</v>
      </c>
      <c r="AS156" s="17">
        <v>25</v>
      </c>
      <c r="AT156" s="18">
        <v>5</v>
      </c>
      <c r="AU156" s="21" t="s">
        <v>186</v>
      </c>
      <c r="AV156" s="21" t="s">
        <v>166</v>
      </c>
      <c r="AW156" s="18">
        <v>1.33</v>
      </c>
      <c r="AX156" s="21" t="s">
        <v>166</v>
      </c>
      <c r="AY156" s="14" t="s">
        <v>217</v>
      </c>
      <c r="AZ156" s="14" t="s">
        <v>217</v>
      </c>
      <c r="BA156" s="14" t="s">
        <v>166</v>
      </c>
      <c r="BB156" s="21" t="s">
        <v>166</v>
      </c>
      <c r="BC156" s="14" t="s">
        <v>179</v>
      </c>
      <c r="BD156" s="14" t="s">
        <v>3228</v>
      </c>
      <c r="BE156" s="14" t="s">
        <v>189</v>
      </c>
      <c r="BF156" s="18">
        <v>5</v>
      </c>
      <c r="BG156" s="14" t="s">
        <v>190</v>
      </c>
      <c r="BH156" s="14" t="s">
        <v>166</v>
      </c>
      <c r="BI156" s="14" t="s">
        <v>166</v>
      </c>
      <c r="BJ156" s="18" t="s">
        <v>166</v>
      </c>
      <c r="BK156" s="18" t="s">
        <v>166</v>
      </c>
      <c r="BL156" s="14" t="s">
        <v>191</v>
      </c>
      <c r="BM156" s="14" t="s">
        <v>178</v>
      </c>
      <c r="BN156" s="14" t="s">
        <v>177</v>
      </c>
      <c r="BO156" s="22" t="s">
        <v>166</v>
      </c>
      <c r="BP156" s="14" t="s">
        <v>3217</v>
      </c>
      <c r="BQ156" s="21">
        <v>8</v>
      </c>
      <c r="BR156" s="14" t="s">
        <v>166</v>
      </c>
      <c r="BS156" s="21" t="s">
        <v>166</v>
      </c>
      <c r="BT156" s="14" t="s">
        <v>3229</v>
      </c>
      <c r="BU156" s="14" t="s">
        <v>166</v>
      </c>
      <c r="BV156" s="14" t="s">
        <v>3230</v>
      </c>
      <c r="BW156" s="14" t="s">
        <v>166</v>
      </c>
      <c r="BX156" s="14" t="s">
        <v>166</v>
      </c>
      <c r="BY156" s="14" t="s">
        <v>166</v>
      </c>
      <c r="BZ156" s="14" t="s">
        <v>3231</v>
      </c>
      <c r="CA156" s="14" t="s">
        <v>166</v>
      </c>
      <c r="CB156" s="14" t="s">
        <v>166</v>
      </c>
      <c r="CC156" s="14" t="s">
        <v>3231</v>
      </c>
      <c r="CD156" s="14" t="s">
        <v>166</v>
      </c>
      <c r="CE156" s="18" t="s">
        <v>166</v>
      </c>
      <c r="CF156" s="16" t="s">
        <v>166</v>
      </c>
      <c r="CG156" s="17" t="s">
        <v>166</v>
      </c>
      <c r="CH156" s="16" t="s">
        <v>166</v>
      </c>
      <c r="CI156" s="16" t="s">
        <v>166</v>
      </c>
      <c r="CJ156" s="16" t="s">
        <v>166</v>
      </c>
      <c r="CK156" s="16" t="s">
        <v>166</v>
      </c>
      <c r="CL156" s="16" t="s">
        <v>166</v>
      </c>
      <c r="CM156" s="20" t="s">
        <v>166</v>
      </c>
      <c r="CN156" s="16" t="s">
        <v>166</v>
      </c>
      <c r="CO156" s="16" t="s">
        <v>166</v>
      </c>
      <c r="CP156" s="16" t="s">
        <v>166</v>
      </c>
      <c r="CQ156" s="16" t="s">
        <v>166</v>
      </c>
      <c r="CR156" s="16" t="s">
        <v>166</v>
      </c>
      <c r="CS156" s="16" t="s">
        <v>166</v>
      </c>
      <c r="CT156" s="16" t="s">
        <v>166</v>
      </c>
      <c r="CU156" s="16" t="s">
        <v>166</v>
      </c>
      <c r="CV156" s="16" t="s">
        <v>166</v>
      </c>
      <c r="CW156" s="16" t="s">
        <v>166</v>
      </c>
      <c r="CX156" s="16" t="s">
        <v>166</v>
      </c>
      <c r="CY156" s="16" t="s">
        <v>166</v>
      </c>
      <c r="CZ156" s="16" t="s">
        <v>166</v>
      </c>
      <c r="DA156" s="16" t="s">
        <v>166</v>
      </c>
      <c r="DB156" s="16" t="s">
        <v>166</v>
      </c>
      <c r="DC156" s="16" t="s">
        <v>166</v>
      </c>
      <c r="DD156" s="16" t="s">
        <v>166</v>
      </c>
      <c r="DE156" s="17" t="s">
        <v>166</v>
      </c>
      <c r="DF156" s="22">
        <v>16</v>
      </c>
      <c r="DG156" s="14" t="s">
        <v>3232</v>
      </c>
      <c r="DH156" s="14" t="s">
        <v>193</v>
      </c>
      <c r="DI156" s="14" t="s">
        <v>194</v>
      </c>
      <c r="DJ156" s="14" t="s">
        <v>3233</v>
      </c>
      <c r="DK156" s="14" t="s">
        <v>257</v>
      </c>
      <c r="DL156" s="21" t="s">
        <v>3234</v>
      </c>
      <c r="DM156" s="14" t="s">
        <v>198</v>
      </c>
      <c r="DN156" s="13" t="s">
        <v>3235</v>
      </c>
      <c r="DO156" s="20">
        <v>2019</v>
      </c>
      <c r="DP156" s="14" t="s">
        <v>166</v>
      </c>
      <c r="DQ156" s="14" t="s">
        <v>166</v>
      </c>
      <c r="DR156" s="18" t="s">
        <v>166</v>
      </c>
      <c r="DS156" s="16" t="s">
        <v>166</v>
      </c>
      <c r="DT156" s="19" t="s">
        <v>166</v>
      </c>
      <c r="DU156" s="14" t="s">
        <v>166</v>
      </c>
      <c r="DV156" s="18" t="s">
        <v>166</v>
      </c>
      <c r="DW156" s="18" t="s">
        <v>166</v>
      </c>
      <c r="DX156" s="16" t="s">
        <v>166</v>
      </c>
      <c r="DY156" s="16" t="s">
        <v>166</v>
      </c>
      <c r="DZ156" s="17" t="s">
        <v>166</v>
      </c>
      <c r="EA156" s="16" t="s">
        <v>166</v>
      </c>
      <c r="EB156" s="16" t="s">
        <v>166</v>
      </c>
      <c r="EC156" s="16" t="s">
        <v>166</v>
      </c>
      <c r="ED156" s="17" t="s">
        <v>166</v>
      </c>
      <c r="EE156" s="17" t="s">
        <v>166</v>
      </c>
      <c r="EF156" s="17" t="s">
        <v>166</v>
      </c>
      <c r="EG156" s="17" t="s">
        <v>166</v>
      </c>
      <c r="EH156" s="16" t="s">
        <v>166</v>
      </c>
      <c r="EI156" s="16" t="s">
        <v>166</v>
      </c>
      <c r="EJ156" s="16" t="s">
        <v>166</v>
      </c>
      <c r="EK156" s="16" t="s">
        <v>166</v>
      </c>
      <c r="EL156" s="16" t="s">
        <v>166</v>
      </c>
      <c r="EM156" s="16" t="s">
        <v>166</v>
      </c>
      <c r="EN156" s="16" t="s">
        <v>166</v>
      </c>
      <c r="EO156" s="16" t="s">
        <v>166</v>
      </c>
      <c r="EP156" s="16" t="s">
        <v>166</v>
      </c>
      <c r="EQ156" s="16" t="s">
        <v>166</v>
      </c>
      <c r="ER156" s="16" t="s">
        <v>166</v>
      </c>
      <c r="ES156" s="16" t="s">
        <v>166</v>
      </c>
      <c r="ET156" s="14" t="s">
        <v>166</v>
      </c>
      <c r="EU156" s="16" t="s">
        <v>166</v>
      </c>
      <c r="EV156" s="16" t="s">
        <v>166</v>
      </c>
      <c r="EW156" s="16" t="s">
        <v>166</v>
      </c>
      <c r="EX156" s="14" t="s">
        <v>190</v>
      </c>
      <c r="EY156" s="14" t="s">
        <v>166</v>
      </c>
      <c r="EZ156" s="16" t="s">
        <v>166</v>
      </c>
      <c r="FA156" s="15" t="s">
        <v>166</v>
      </c>
      <c r="FB156" s="15" t="s">
        <v>166</v>
      </c>
      <c r="FC156" s="15" t="s">
        <v>166</v>
      </c>
      <c r="FD156" s="15" t="s">
        <v>166</v>
      </c>
      <c r="FE156" s="15" t="s">
        <v>166</v>
      </c>
      <c r="FF156" s="15" t="s">
        <v>166</v>
      </c>
      <c r="FG156" s="14" t="s">
        <v>166</v>
      </c>
      <c r="FH156" s="3">
        <f>HYPERLINK("https://my.pitchbook.com?c=181283-59T","View Company Online")</f>
      </c>
    </row>
    <row r="157">
      <c r="A157" s="25" t="s">
        <v>3236</v>
      </c>
      <c r="B157" s="25" t="s">
        <v>3237</v>
      </c>
      <c r="C157" s="25" t="s">
        <v>3238</v>
      </c>
      <c r="D157" s="25" t="s">
        <v>166</v>
      </c>
      <c r="E157" s="34" t="s">
        <v>3239</v>
      </c>
      <c r="F157" s="32">
        <v>5</v>
      </c>
      <c r="G157" s="25" t="s">
        <v>3240</v>
      </c>
      <c r="H157" s="25" t="s">
        <v>166</v>
      </c>
      <c r="I157" s="25" t="s">
        <v>3241</v>
      </c>
      <c r="J157" s="25" t="s">
        <v>3242</v>
      </c>
      <c r="K157" s="25" t="s">
        <v>207</v>
      </c>
      <c r="L157" s="25" t="s">
        <v>208</v>
      </c>
      <c r="M157" s="25" t="s">
        <v>209</v>
      </c>
      <c r="N157" s="25" t="s">
        <v>2471</v>
      </c>
      <c r="O157" s="25" t="s">
        <v>800</v>
      </c>
      <c r="P157" s="25" t="s">
        <v>3243</v>
      </c>
      <c r="Q157" s="25" t="s">
        <v>166</v>
      </c>
      <c r="R157" s="25" t="s">
        <v>177</v>
      </c>
      <c r="S157" s="25" t="s">
        <v>178</v>
      </c>
      <c r="T157" s="25" t="s">
        <v>179</v>
      </c>
      <c r="U157" s="25" t="s">
        <v>3244</v>
      </c>
      <c r="V157" s="25" t="s">
        <v>3245</v>
      </c>
      <c r="W157" s="32" t="s">
        <v>166</v>
      </c>
      <c r="X157" s="25" t="s">
        <v>3246</v>
      </c>
      <c r="Y157" s="25" t="s">
        <v>3247</v>
      </c>
      <c r="Z157" s="25" t="s">
        <v>166</v>
      </c>
      <c r="AA157" s="25" t="s">
        <v>166</v>
      </c>
      <c r="AB157" s="25" t="s">
        <v>166</v>
      </c>
      <c r="AC157" s="25" t="s">
        <v>166</v>
      </c>
      <c r="AD157" s="25" t="s">
        <v>166</v>
      </c>
      <c r="AE157" s="25" t="s">
        <v>166</v>
      </c>
      <c r="AF157" s="25" t="s">
        <v>166</v>
      </c>
      <c r="AG157" s="25" t="s">
        <v>166</v>
      </c>
      <c r="AH157" s="32">
        <v>3</v>
      </c>
      <c r="AI157" s="4">
        <f>HYPERLINK("https://my.pitchbook.com/?d=223211-17T","223211-17T")</f>
      </c>
      <c r="AJ157" s="30" t="s">
        <v>166</v>
      </c>
      <c r="AK157" s="30">
        <v>45226</v>
      </c>
      <c r="AL157" s="29">
        <v>4</v>
      </c>
      <c r="AM157" s="25" t="s">
        <v>185</v>
      </c>
      <c r="AN157" s="29" t="s">
        <v>166</v>
      </c>
      <c r="AO157" s="29" t="s">
        <v>166</v>
      </c>
      <c r="AP157" s="25" t="s">
        <v>166</v>
      </c>
      <c r="AQ157" s="32" t="s">
        <v>166</v>
      </c>
      <c r="AR157" s="32" t="s">
        <v>166</v>
      </c>
      <c r="AS157" s="28" t="s">
        <v>166</v>
      </c>
      <c r="AT157" s="29">
        <v>4.5</v>
      </c>
      <c r="AU157" s="32" t="s">
        <v>186</v>
      </c>
      <c r="AV157" s="32" t="s">
        <v>166</v>
      </c>
      <c r="AW157" s="29" t="s">
        <v>166</v>
      </c>
      <c r="AX157" s="32" t="s">
        <v>166</v>
      </c>
      <c r="AY157" s="25" t="s">
        <v>217</v>
      </c>
      <c r="AZ157" s="25" t="s">
        <v>217</v>
      </c>
      <c r="BA157" s="25" t="s">
        <v>166</v>
      </c>
      <c r="BB157" s="32" t="s">
        <v>166</v>
      </c>
      <c r="BC157" s="25" t="s">
        <v>179</v>
      </c>
      <c r="BD157" s="25" t="s">
        <v>3242</v>
      </c>
      <c r="BE157" s="25" t="s">
        <v>189</v>
      </c>
      <c r="BF157" s="29">
        <v>4</v>
      </c>
      <c r="BG157" s="25" t="s">
        <v>190</v>
      </c>
      <c r="BH157" s="25" t="s">
        <v>166</v>
      </c>
      <c r="BI157" s="25" t="s">
        <v>166</v>
      </c>
      <c r="BJ157" s="29" t="s">
        <v>166</v>
      </c>
      <c r="BK157" s="29" t="s">
        <v>166</v>
      </c>
      <c r="BL157" s="25" t="s">
        <v>191</v>
      </c>
      <c r="BM157" s="25" t="s">
        <v>178</v>
      </c>
      <c r="BN157" s="25" t="s">
        <v>177</v>
      </c>
      <c r="BO157" s="33" t="s">
        <v>166</v>
      </c>
      <c r="BP157" s="25" t="s">
        <v>3239</v>
      </c>
      <c r="BQ157" s="32">
        <v>5</v>
      </c>
      <c r="BR157" s="25" t="s">
        <v>166</v>
      </c>
      <c r="BS157" s="32" t="s">
        <v>166</v>
      </c>
      <c r="BT157" s="25" t="s">
        <v>166</v>
      </c>
      <c r="BU157" s="25" t="s">
        <v>166</v>
      </c>
      <c r="BV157" s="25" t="s">
        <v>166</v>
      </c>
      <c r="BW157" s="25" t="s">
        <v>166</v>
      </c>
      <c r="BX157" s="25" t="s">
        <v>166</v>
      </c>
      <c r="BY157" s="25" t="s">
        <v>166</v>
      </c>
      <c r="BZ157" s="25" t="s">
        <v>166</v>
      </c>
      <c r="CA157" s="25" t="s">
        <v>166</v>
      </c>
      <c r="CB157" s="25" t="s">
        <v>166</v>
      </c>
      <c r="CC157" s="25" t="s">
        <v>166</v>
      </c>
      <c r="CD157" s="25" t="s">
        <v>166</v>
      </c>
      <c r="CE157" s="29" t="s">
        <v>166</v>
      </c>
      <c r="CF157" s="27" t="s">
        <v>166</v>
      </c>
      <c r="CG157" s="28" t="s">
        <v>166</v>
      </c>
      <c r="CH157" s="27" t="s">
        <v>166</v>
      </c>
      <c r="CI157" s="27" t="s">
        <v>166</v>
      </c>
      <c r="CJ157" s="27" t="s">
        <v>166</v>
      </c>
      <c r="CK157" s="27" t="s">
        <v>166</v>
      </c>
      <c r="CL157" s="27" t="s">
        <v>166</v>
      </c>
      <c r="CM157" s="31" t="s">
        <v>166</v>
      </c>
      <c r="CN157" s="27" t="s">
        <v>166</v>
      </c>
      <c r="CO157" s="27" t="s">
        <v>166</v>
      </c>
      <c r="CP157" s="27" t="s">
        <v>166</v>
      </c>
      <c r="CQ157" s="27" t="s">
        <v>166</v>
      </c>
      <c r="CR157" s="27" t="s">
        <v>166</v>
      </c>
      <c r="CS157" s="27" t="s">
        <v>166</v>
      </c>
      <c r="CT157" s="27" t="s">
        <v>166</v>
      </c>
      <c r="CU157" s="27" t="s">
        <v>166</v>
      </c>
      <c r="CV157" s="27" t="s">
        <v>166</v>
      </c>
      <c r="CW157" s="27" t="s">
        <v>166</v>
      </c>
      <c r="CX157" s="27" t="s">
        <v>166</v>
      </c>
      <c r="CY157" s="27" t="s">
        <v>166</v>
      </c>
      <c r="CZ157" s="27" t="s">
        <v>166</v>
      </c>
      <c r="DA157" s="27" t="s">
        <v>166</v>
      </c>
      <c r="DB157" s="27" t="s">
        <v>166</v>
      </c>
      <c r="DC157" s="27" t="s">
        <v>166</v>
      </c>
      <c r="DD157" s="27" t="s">
        <v>166</v>
      </c>
      <c r="DE157" s="28" t="s">
        <v>166</v>
      </c>
      <c r="DF157" s="33">
        <v>6</v>
      </c>
      <c r="DG157" s="25" t="s">
        <v>673</v>
      </c>
      <c r="DH157" s="25" t="s">
        <v>193</v>
      </c>
      <c r="DI157" s="25" t="s">
        <v>194</v>
      </c>
      <c r="DJ157" s="25" t="s">
        <v>674</v>
      </c>
      <c r="DK157" s="25" t="s">
        <v>257</v>
      </c>
      <c r="DL157" s="32" t="s">
        <v>1794</v>
      </c>
      <c r="DM157" s="25" t="s">
        <v>198</v>
      </c>
      <c r="DN157" s="24" t="s">
        <v>3248</v>
      </c>
      <c r="DO157" s="31">
        <v>2021</v>
      </c>
      <c r="DP157" s="25" t="s">
        <v>166</v>
      </c>
      <c r="DQ157" s="25" t="s">
        <v>166</v>
      </c>
      <c r="DR157" s="29" t="s">
        <v>166</v>
      </c>
      <c r="DS157" s="27" t="s">
        <v>166</v>
      </c>
      <c r="DT157" s="30" t="s">
        <v>166</v>
      </c>
      <c r="DU157" s="25" t="s">
        <v>166</v>
      </c>
      <c r="DV157" s="29" t="s">
        <v>166</v>
      </c>
      <c r="DW157" s="29" t="s">
        <v>166</v>
      </c>
      <c r="DX157" s="27" t="s">
        <v>166</v>
      </c>
      <c r="DY157" s="27" t="s">
        <v>166</v>
      </c>
      <c r="DZ157" s="28" t="s">
        <v>166</v>
      </c>
      <c r="EA157" s="27" t="s">
        <v>166</v>
      </c>
      <c r="EB157" s="27" t="s">
        <v>166</v>
      </c>
      <c r="EC157" s="27" t="s">
        <v>166</v>
      </c>
      <c r="ED157" s="28" t="s">
        <v>166</v>
      </c>
      <c r="EE157" s="28" t="s">
        <v>166</v>
      </c>
      <c r="EF157" s="28" t="s">
        <v>166</v>
      </c>
      <c r="EG157" s="28" t="s">
        <v>166</v>
      </c>
      <c r="EH157" s="27" t="s">
        <v>166</v>
      </c>
      <c r="EI157" s="27" t="s">
        <v>166</v>
      </c>
      <c r="EJ157" s="27" t="s">
        <v>166</v>
      </c>
      <c r="EK157" s="27" t="s">
        <v>166</v>
      </c>
      <c r="EL157" s="27" t="s">
        <v>166</v>
      </c>
      <c r="EM157" s="27" t="s">
        <v>166</v>
      </c>
      <c r="EN157" s="27" t="s">
        <v>166</v>
      </c>
      <c r="EO157" s="27" t="s">
        <v>166</v>
      </c>
      <c r="EP157" s="27" t="s">
        <v>166</v>
      </c>
      <c r="EQ157" s="27" t="s">
        <v>166</v>
      </c>
      <c r="ER157" s="27" t="s">
        <v>166</v>
      </c>
      <c r="ES157" s="27" t="s">
        <v>166</v>
      </c>
      <c r="ET157" s="25" t="s">
        <v>166</v>
      </c>
      <c r="EU157" s="27" t="s">
        <v>166</v>
      </c>
      <c r="EV157" s="27" t="s">
        <v>166</v>
      </c>
      <c r="EW157" s="27" t="s">
        <v>166</v>
      </c>
      <c r="EX157" s="25" t="s">
        <v>190</v>
      </c>
      <c r="EY157" s="25" t="s">
        <v>166</v>
      </c>
      <c r="EZ157" s="27" t="s">
        <v>166</v>
      </c>
      <c r="FA157" s="26" t="s">
        <v>166</v>
      </c>
      <c r="FB157" s="26" t="s">
        <v>166</v>
      </c>
      <c r="FC157" s="26" t="s">
        <v>166</v>
      </c>
      <c r="FD157" s="26" t="s">
        <v>166</v>
      </c>
      <c r="FE157" s="26" t="s">
        <v>166</v>
      </c>
      <c r="FF157" s="26" t="s">
        <v>166</v>
      </c>
      <c r="FG157" s="25" t="s">
        <v>166</v>
      </c>
      <c r="FH157" s="4">
        <f>HYPERLINK("https://my.pitchbook.com?c=223211-17T","View Company Online")</f>
      </c>
    </row>
    <row r="158">
      <c r="A158" s="14" t="s">
        <v>3249</v>
      </c>
      <c r="B158" s="14" t="s">
        <v>3250</v>
      </c>
      <c r="C158" s="14" t="s">
        <v>3251</v>
      </c>
      <c r="D158" s="14" t="s">
        <v>166</v>
      </c>
      <c r="E158" s="23" t="s">
        <v>3252</v>
      </c>
      <c r="F158" s="21">
        <v>6</v>
      </c>
      <c r="G158" s="14" t="s">
        <v>3253</v>
      </c>
      <c r="H158" s="14" t="s">
        <v>166</v>
      </c>
      <c r="I158" s="14" t="s">
        <v>3254</v>
      </c>
      <c r="J158" s="14" t="s">
        <v>3255</v>
      </c>
      <c r="K158" s="14" t="s">
        <v>207</v>
      </c>
      <c r="L158" s="14" t="s">
        <v>208</v>
      </c>
      <c r="M158" s="14" t="s">
        <v>209</v>
      </c>
      <c r="N158" s="14" t="s">
        <v>684</v>
      </c>
      <c r="O158" s="14" t="s">
        <v>211</v>
      </c>
      <c r="P158" s="14" t="s">
        <v>3256</v>
      </c>
      <c r="Q158" s="14" t="s">
        <v>166</v>
      </c>
      <c r="R158" s="14" t="s">
        <v>177</v>
      </c>
      <c r="S158" s="14" t="s">
        <v>178</v>
      </c>
      <c r="T158" s="14" t="s">
        <v>179</v>
      </c>
      <c r="U158" s="14" t="s">
        <v>3257</v>
      </c>
      <c r="V158" s="14" t="s">
        <v>3258</v>
      </c>
      <c r="W158" s="21" t="s">
        <v>3259</v>
      </c>
      <c r="X158" s="14" t="s">
        <v>3260</v>
      </c>
      <c r="Y158" s="14" t="s">
        <v>3261</v>
      </c>
      <c r="Z158" s="14" t="s">
        <v>3262</v>
      </c>
      <c r="AA158" s="14" t="s">
        <v>242</v>
      </c>
      <c r="AB158" s="14" t="s">
        <v>243</v>
      </c>
      <c r="AC158" s="14" t="s">
        <v>244</v>
      </c>
      <c r="AD158" s="14" t="s">
        <v>243</v>
      </c>
      <c r="AE158" s="14" t="s">
        <v>243</v>
      </c>
      <c r="AF158" s="14" t="s">
        <v>245</v>
      </c>
      <c r="AG158" s="14" t="s">
        <v>166</v>
      </c>
      <c r="AH158" s="21">
        <v>3</v>
      </c>
      <c r="AI158" s="3">
        <f>HYPERLINK("https://my.pitchbook.com/?d=177826-15T","177826-15T")</f>
      </c>
      <c r="AJ158" s="19">
        <v>44032</v>
      </c>
      <c r="AK158" s="19">
        <v>44461</v>
      </c>
      <c r="AL158" s="18">
        <v>2.63</v>
      </c>
      <c r="AM158" s="14" t="s">
        <v>185</v>
      </c>
      <c r="AN158" s="18">
        <v>6</v>
      </c>
      <c r="AO158" s="18">
        <v>8.63</v>
      </c>
      <c r="AP158" s="14" t="s">
        <v>185</v>
      </c>
      <c r="AQ158" s="21" t="s">
        <v>166</v>
      </c>
      <c r="AR158" s="21" t="s">
        <v>166</v>
      </c>
      <c r="AS158" s="17">
        <v>38.92</v>
      </c>
      <c r="AT158" s="18">
        <v>2.65</v>
      </c>
      <c r="AU158" s="21" t="s">
        <v>186</v>
      </c>
      <c r="AV158" s="21" t="s">
        <v>166</v>
      </c>
      <c r="AW158" s="18">
        <v>5.7</v>
      </c>
      <c r="AX158" s="21" t="s">
        <v>166</v>
      </c>
      <c r="AY158" s="14" t="s">
        <v>217</v>
      </c>
      <c r="AZ158" s="14" t="s">
        <v>217</v>
      </c>
      <c r="BA158" s="14" t="s">
        <v>166</v>
      </c>
      <c r="BB158" s="21" t="s">
        <v>166</v>
      </c>
      <c r="BC158" s="14" t="s">
        <v>179</v>
      </c>
      <c r="BD158" s="14" t="s">
        <v>3263</v>
      </c>
      <c r="BE158" s="14" t="s">
        <v>189</v>
      </c>
      <c r="BF158" s="18">
        <v>2.63</v>
      </c>
      <c r="BG158" s="14" t="s">
        <v>190</v>
      </c>
      <c r="BH158" s="14" t="s">
        <v>166</v>
      </c>
      <c r="BI158" s="14" t="s">
        <v>166</v>
      </c>
      <c r="BJ158" s="18" t="s">
        <v>166</v>
      </c>
      <c r="BK158" s="18" t="s">
        <v>166</v>
      </c>
      <c r="BL158" s="14" t="s">
        <v>191</v>
      </c>
      <c r="BM158" s="14" t="s">
        <v>178</v>
      </c>
      <c r="BN158" s="14" t="s">
        <v>177</v>
      </c>
      <c r="BO158" s="22" t="s">
        <v>166</v>
      </c>
      <c r="BP158" s="14" t="s">
        <v>3264</v>
      </c>
      <c r="BQ158" s="21">
        <v>6</v>
      </c>
      <c r="BR158" s="14" t="s">
        <v>166</v>
      </c>
      <c r="BS158" s="21" t="s">
        <v>166</v>
      </c>
      <c r="BT158" s="14" t="s">
        <v>3265</v>
      </c>
      <c r="BU158" s="14" t="s">
        <v>166</v>
      </c>
      <c r="BV158" s="14" t="s">
        <v>3266</v>
      </c>
      <c r="BW158" s="14" t="s">
        <v>166</v>
      </c>
      <c r="BX158" s="14" t="s">
        <v>166</v>
      </c>
      <c r="BY158" s="14" t="s">
        <v>166</v>
      </c>
      <c r="BZ158" s="14" t="s">
        <v>166</v>
      </c>
      <c r="CA158" s="14" t="s">
        <v>166</v>
      </c>
      <c r="CB158" s="14" t="s">
        <v>166</v>
      </c>
      <c r="CC158" s="14" t="s">
        <v>166</v>
      </c>
      <c r="CD158" s="14" t="s">
        <v>166</v>
      </c>
      <c r="CE158" s="18" t="s">
        <v>166</v>
      </c>
      <c r="CF158" s="16" t="s">
        <v>166</v>
      </c>
      <c r="CG158" s="17" t="s">
        <v>166</v>
      </c>
      <c r="CH158" s="16" t="s">
        <v>166</v>
      </c>
      <c r="CI158" s="16" t="s">
        <v>166</v>
      </c>
      <c r="CJ158" s="16" t="s">
        <v>166</v>
      </c>
      <c r="CK158" s="16" t="s">
        <v>166</v>
      </c>
      <c r="CL158" s="16" t="s">
        <v>166</v>
      </c>
      <c r="CM158" s="20" t="s">
        <v>166</v>
      </c>
      <c r="CN158" s="16" t="s">
        <v>166</v>
      </c>
      <c r="CO158" s="16" t="s">
        <v>166</v>
      </c>
      <c r="CP158" s="16" t="s">
        <v>166</v>
      </c>
      <c r="CQ158" s="16" t="s">
        <v>166</v>
      </c>
      <c r="CR158" s="16" t="s">
        <v>166</v>
      </c>
      <c r="CS158" s="16" t="s">
        <v>166</v>
      </c>
      <c r="CT158" s="16" t="s">
        <v>166</v>
      </c>
      <c r="CU158" s="16" t="s">
        <v>166</v>
      </c>
      <c r="CV158" s="16" t="s">
        <v>166</v>
      </c>
      <c r="CW158" s="16" t="s">
        <v>166</v>
      </c>
      <c r="CX158" s="16" t="s">
        <v>166</v>
      </c>
      <c r="CY158" s="16" t="s">
        <v>166</v>
      </c>
      <c r="CZ158" s="16" t="s">
        <v>166</v>
      </c>
      <c r="DA158" s="16" t="s">
        <v>166</v>
      </c>
      <c r="DB158" s="16" t="s">
        <v>166</v>
      </c>
      <c r="DC158" s="16" t="s">
        <v>166</v>
      </c>
      <c r="DD158" s="16" t="s">
        <v>166</v>
      </c>
      <c r="DE158" s="17" t="s">
        <v>166</v>
      </c>
      <c r="DF158" s="22">
        <v>108</v>
      </c>
      <c r="DG158" s="14" t="s">
        <v>3267</v>
      </c>
      <c r="DH158" s="14" t="s">
        <v>193</v>
      </c>
      <c r="DI158" s="14" t="s">
        <v>194</v>
      </c>
      <c r="DJ158" s="14" t="s">
        <v>2078</v>
      </c>
      <c r="DK158" s="14" t="s">
        <v>454</v>
      </c>
      <c r="DL158" s="21" t="s">
        <v>3268</v>
      </c>
      <c r="DM158" s="14" t="s">
        <v>198</v>
      </c>
      <c r="DN158" s="13" t="s">
        <v>3269</v>
      </c>
      <c r="DO158" s="20">
        <v>2018</v>
      </c>
      <c r="DP158" s="14" t="s">
        <v>166</v>
      </c>
      <c r="DQ158" s="14" t="s">
        <v>166</v>
      </c>
      <c r="DR158" s="18" t="s">
        <v>166</v>
      </c>
      <c r="DS158" s="16" t="s">
        <v>166</v>
      </c>
      <c r="DT158" s="19" t="s">
        <v>166</v>
      </c>
      <c r="DU158" s="14" t="s">
        <v>166</v>
      </c>
      <c r="DV158" s="18" t="s">
        <v>166</v>
      </c>
      <c r="DW158" s="18" t="s">
        <v>166</v>
      </c>
      <c r="DX158" s="16" t="s">
        <v>166</v>
      </c>
      <c r="DY158" s="16" t="s">
        <v>166</v>
      </c>
      <c r="DZ158" s="17" t="s">
        <v>166</v>
      </c>
      <c r="EA158" s="16" t="s">
        <v>166</v>
      </c>
      <c r="EB158" s="16" t="s">
        <v>166</v>
      </c>
      <c r="EC158" s="16" t="s">
        <v>166</v>
      </c>
      <c r="ED158" s="17" t="s">
        <v>166</v>
      </c>
      <c r="EE158" s="17" t="s">
        <v>166</v>
      </c>
      <c r="EF158" s="17" t="s">
        <v>166</v>
      </c>
      <c r="EG158" s="17" t="s">
        <v>166</v>
      </c>
      <c r="EH158" s="16" t="s">
        <v>166</v>
      </c>
      <c r="EI158" s="16" t="s">
        <v>166</v>
      </c>
      <c r="EJ158" s="16" t="s">
        <v>166</v>
      </c>
      <c r="EK158" s="16" t="s">
        <v>166</v>
      </c>
      <c r="EL158" s="16" t="s">
        <v>166</v>
      </c>
      <c r="EM158" s="16" t="s">
        <v>166</v>
      </c>
      <c r="EN158" s="16" t="s">
        <v>166</v>
      </c>
      <c r="EO158" s="16" t="s">
        <v>166</v>
      </c>
      <c r="EP158" s="16" t="s">
        <v>166</v>
      </c>
      <c r="EQ158" s="16" t="s">
        <v>166</v>
      </c>
      <c r="ER158" s="16" t="s">
        <v>166</v>
      </c>
      <c r="ES158" s="16" t="s">
        <v>166</v>
      </c>
      <c r="ET158" s="14" t="s">
        <v>166</v>
      </c>
      <c r="EU158" s="16" t="s">
        <v>166</v>
      </c>
      <c r="EV158" s="16" t="s">
        <v>166</v>
      </c>
      <c r="EW158" s="16" t="s">
        <v>166</v>
      </c>
      <c r="EX158" s="14" t="s">
        <v>190</v>
      </c>
      <c r="EY158" s="14" t="s">
        <v>166</v>
      </c>
      <c r="EZ158" s="16" t="s">
        <v>166</v>
      </c>
      <c r="FA158" s="15" t="s">
        <v>166</v>
      </c>
      <c r="FB158" s="15" t="s">
        <v>166</v>
      </c>
      <c r="FC158" s="15" t="s">
        <v>166</v>
      </c>
      <c r="FD158" s="15" t="s">
        <v>166</v>
      </c>
      <c r="FE158" s="15" t="s">
        <v>166</v>
      </c>
      <c r="FF158" s="15" t="s">
        <v>166</v>
      </c>
      <c r="FG158" s="14" t="s">
        <v>166</v>
      </c>
      <c r="FH158" s="3">
        <f>HYPERLINK("https://my.pitchbook.com?c=177826-15T","View Company Online")</f>
      </c>
    </row>
    <row r="159">
      <c r="A159" s="25" t="s">
        <v>3270</v>
      </c>
      <c r="B159" s="25" t="s">
        <v>3271</v>
      </c>
      <c r="C159" s="25" t="s">
        <v>3272</v>
      </c>
      <c r="D159" s="25" t="s">
        <v>166</v>
      </c>
      <c r="E159" s="34" t="s">
        <v>3273</v>
      </c>
      <c r="F159" s="32">
        <v>5</v>
      </c>
      <c r="G159" s="25" t="s">
        <v>3274</v>
      </c>
      <c r="H159" s="25" t="s">
        <v>166</v>
      </c>
      <c r="I159" s="25" t="s">
        <v>3275</v>
      </c>
      <c r="J159" s="25" t="s">
        <v>3276</v>
      </c>
      <c r="K159" s="25" t="s">
        <v>207</v>
      </c>
      <c r="L159" s="25" t="s">
        <v>208</v>
      </c>
      <c r="M159" s="25" t="s">
        <v>209</v>
      </c>
      <c r="N159" s="25" t="s">
        <v>2045</v>
      </c>
      <c r="O159" s="25" t="s">
        <v>1295</v>
      </c>
      <c r="P159" s="25" t="s">
        <v>3277</v>
      </c>
      <c r="Q159" s="25" t="s">
        <v>166</v>
      </c>
      <c r="R159" s="25" t="s">
        <v>177</v>
      </c>
      <c r="S159" s="25" t="s">
        <v>178</v>
      </c>
      <c r="T159" s="25" t="s">
        <v>179</v>
      </c>
      <c r="U159" s="25" t="s">
        <v>3278</v>
      </c>
      <c r="V159" s="25" t="s">
        <v>3279</v>
      </c>
      <c r="W159" s="32" t="s">
        <v>166</v>
      </c>
      <c r="X159" s="25" t="s">
        <v>3280</v>
      </c>
      <c r="Y159" s="25" t="s">
        <v>3281</v>
      </c>
      <c r="Z159" s="25" t="s">
        <v>166</v>
      </c>
      <c r="AA159" s="25" t="s">
        <v>166</v>
      </c>
      <c r="AB159" s="25" t="s">
        <v>166</v>
      </c>
      <c r="AC159" s="25" t="s">
        <v>166</v>
      </c>
      <c r="AD159" s="25" t="s">
        <v>166</v>
      </c>
      <c r="AE159" s="25" t="s">
        <v>166</v>
      </c>
      <c r="AF159" s="25" t="s">
        <v>166</v>
      </c>
      <c r="AG159" s="25" t="s">
        <v>166</v>
      </c>
      <c r="AH159" s="32">
        <v>1</v>
      </c>
      <c r="AI159" s="4">
        <f>HYPERLINK("https://my.pitchbook.com/?d=188823-43T","188823-43T")</f>
      </c>
      <c r="AJ159" s="30" t="s">
        <v>166</v>
      </c>
      <c r="AK159" s="30">
        <v>44432</v>
      </c>
      <c r="AL159" s="29">
        <v>5.3</v>
      </c>
      <c r="AM159" s="25" t="s">
        <v>185</v>
      </c>
      <c r="AN159" s="29" t="s">
        <v>166</v>
      </c>
      <c r="AO159" s="29" t="s">
        <v>166</v>
      </c>
      <c r="AP159" s="25" t="s">
        <v>166</v>
      </c>
      <c r="AQ159" s="32" t="s">
        <v>166</v>
      </c>
      <c r="AR159" s="32" t="s">
        <v>166</v>
      </c>
      <c r="AS159" s="28" t="s">
        <v>166</v>
      </c>
      <c r="AT159" s="29">
        <v>5.3</v>
      </c>
      <c r="AU159" s="32" t="s">
        <v>186</v>
      </c>
      <c r="AV159" s="32" t="s">
        <v>166</v>
      </c>
      <c r="AW159" s="29" t="s">
        <v>166</v>
      </c>
      <c r="AX159" s="32" t="s">
        <v>166</v>
      </c>
      <c r="AY159" s="25" t="s">
        <v>217</v>
      </c>
      <c r="AZ159" s="25" t="s">
        <v>217</v>
      </c>
      <c r="BA159" s="25" t="s">
        <v>166</v>
      </c>
      <c r="BB159" s="32" t="s">
        <v>166</v>
      </c>
      <c r="BC159" s="25" t="s">
        <v>179</v>
      </c>
      <c r="BD159" s="25" t="s">
        <v>3282</v>
      </c>
      <c r="BE159" s="25" t="s">
        <v>189</v>
      </c>
      <c r="BF159" s="29">
        <v>5.3</v>
      </c>
      <c r="BG159" s="25" t="s">
        <v>190</v>
      </c>
      <c r="BH159" s="25" t="s">
        <v>166</v>
      </c>
      <c r="BI159" s="25" t="s">
        <v>166</v>
      </c>
      <c r="BJ159" s="29" t="s">
        <v>166</v>
      </c>
      <c r="BK159" s="29" t="s">
        <v>166</v>
      </c>
      <c r="BL159" s="25" t="s">
        <v>191</v>
      </c>
      <c r="BM159" s="25" t="s">
        <v>178</v>
      </c>
      <c r="BN159" s="25" t="s">
        <v>177</v>
      </c>
      <c r="BO159" s="33" t="s">
        <v>166</v>
      </c>
      <c r="BP159" s="25" t="s">
        <v>3283</v>
      </c>
      <c r="BQ159" s="32">
        <v>5</v>
      </c>
      <c r="BR159" s="25" t="s">
        <v>166</v>
      </c>
      <c r="BS159" s="32" t="s">
        <v>166</v>
      </c>
      <c r="BT159" s="25" t="s">
        <v>3284</v>
      </c>
      <c r="BU159" s="25" t="s">
        <v>166</v>
      </c>
      <c r="BV159" s="25" t="s">
        <v>3285</v>
      </c>
      <c r="BW159" s="25" t="s">
        <v>166</v>
      </c>
      <c r="BX159" s="25" t="s">
        <v>166</v>
      </c>
      <c r="BY159" s="25" t="s">
        <v>166</v>
      </c>
      <c r="BZ159" s="25" t="s">
        <v>3286</v>
      </c>
      <c r="CA159" s="25" t="s">
        <v>166</v>
      </c>
      <c r="CB159" s="25" t="s">
        <v>166</v>
      </c>
      <c r="CC159" s="25" t="s">
        <v>3286</v>
      </c>
      <c r="CD159" s="25" t="s">
        <v>166</v>
      </c>
      <c r="CE159" s="29" t="s">
        <v>166</v>
      </c>
      <c r="CF159" s="27" t="s">
        <v>166</v>
      </c>
      <c r="CG159" s="28" t="s">
        <v>166</v>
      </c>
      <c r="CH159" s="27" t="s">
        <v>166</v>
      </c>
      <c r="CI159" s="27" t="s">
        <v>166</v>
      </c>
      <c r="CJ159" s="27" t="s">
        <v>166</v>
      </c>
      <c r="CK159" s="27" t="s">
        <v>166</v>
      </c>
      <c r="CL159" s="27">
        <v>0</v>
      </c>
      <c r="CM159" s="31">
        <v>2021</v>
      </c>
      <c r="CN159" s="27" t="s">
        <v>166</v>
      </c>
      <c r="CO159" s="27" t="s">
        <v>166</v>
      </c>
      <c r="CP159" s="27" t="s">
        <v>166</v>
      </c>
      <c r="CQ159" s="27" t="s">
        <v>166</v>
      </c>
      <c r="CR159" s="27" t="s">
        <v>166</v>
      </c>
      <c r="CS159" s="27" t="s">
        <v>166</v>
      </c>
      <c r="CT159" s="27" t="s">
        <v>166</v>
      </c>
      <c r="CU159" s="27" t="s">
        <v>166</v>
      </c>
      <c r="CV159" s="27" t="s">
        <v>166</v>
      </c>
      <c r="CW159" s="27" t="s">
        <v>166</v>
      </c>
      <c r="CX159" s="27" t="s">
        <v>166</v>
      </c>
      <c r="CY159" s="27" t="s">
        <v>166</v>
      </c>
      <c r="CZ159" s="27" t="s">
        <v>166</v>
      </c>
      <c r="DA159" s="27" t="s">
        <v>166</v>
      </c>
      <c r="DB159" s="27" t="s">
        <v>166</v>
      </c>
      <c r="DC159" s="27" t="s">
        <v>166</v>
      </c>
      <c r="DD159" s="27" t="s">
        <v>166</v>
      </c>
      <c r="DE159" s="28" t="s">
        <v>166</v>
      </c>
      <c r="DF159" s="33">
        <v>10</v>
      </c>
      <c r="DG159" s="25" t="s">
        <v>673</v>
      </c>
      <c r="DH159" s="25" t="s">
        <v>193</v>
      </c>
      <c r="DI159" s="25" t="s">
        <v>194</v>
      </c>
      <c r="DJ159" s="25" t="s">
        <v>674</v>
      </c>
      <c r="DK159" s="25" t="s">
        <v>257</v>
      </c>
      <c r="DL159" s="32" t="s">
        <v>675</v>
      </c>
      <c r="DM159" s="25" t="s">
        <v>198</v>
      </c>
      <c r="DN159" s="24" t="s">
        <v>3287</v>
      </c>
      <c r="DO159" s="31">
        <v>2020</v>
      </c>
      <c r="DP159" s="25" t="s">
        <v>166</v>
      </c>
      <c r="DQ159" s="25" t="s">
        <v>166</v>
      </c>
      <c r="DR159" s="29" t="s">
        <v>166</v>
      </c>
      <c r="DS159" s="27" t="s">
        <v>166</v>
      </c>
      <c r="DT159" s="30" t="s">
        <v>166</v>
      </c>
      <c r="DU159" s="25" t="s">
        <v>166</v>
      </c>
      <c r="DV159" s="29" t="s">
        <v>166</v>
      </c>
      <c r="DW159" s="29" t="s">
        <v>166</v>
      </c>
      <c r="DX159" s="27" t="s">
        <v>166</v>
      </c>
      <c r="DY159" s="27" t="s">
        <v>166</v>
      </c>
      <c r="DZ159" s="28" t="s">
        <v>166</v>
      </c>
      <c r="EA159" s="27" t="s">
        <v>166</v>
      </c>
      <c r="EB159" s="27" t="s">
        <v>166</v>
      </c>
      <c r="EC159" s="27" t="s">
        <v>166</v>
      </c>
      <c r="ED159" s="28" t="s">
        <v>166</v>
      </c>
      <c r="EE159" s="28" t="s">
        <v>166</v>
      </c>
      <c r="EF159" s="28" t="s">
        <v>166</v>
      </c>
      <c r="EG159" s="28" t="s">
        <v>166</v>
      </c>
      <c r="EH159" s="27" t="s">
        <v>166</v>
      </c>
      <c r="EI159" s="27" t="s">
        <v>166</v>
      </c>
      <c r="EJ159" s="27" t="s">
        <v>166</v>
      </c>
      <c r="EK159" s="27" t="s">
        <v>166</v>
      </c>
      <c r="EL159" s="27" t="s">
        <v>166</v>
      </c>
      <c r="EM159" s="27" t="s">
        <v>166</v>
      </c>
      <c r="EN159" s="27" t="s">
        <v>166</v>
      </c>
      <c r="EO159" s="27" t="s">
        <v>166</v>
      </c>
      <c r="EP159" s="27" t="s">
        <v>166</v>
      </c>
      <c r="EQ159" s="27" t="s">
        <v>166</v>
      </c>
      <c r="ER159" s="27" t="s">
        <v>166</v>
      </c>
      <c r="ES159" s="27" t="s">
        <v>166</v>
      </c>
      <c r="ET159" s="25" t="s">
        <v>166</v>
      </c>
      <c r="EU159" s="27" t="s">
        <v>166</v>
      </c>
      <c r="EV159" s="27" t="s">
        <v>166</v>
      </c>
      <c r="EW159" s="27" t="s">
        <v>166</v>
      </c>
      <c r="EX159" s="25" t="s">
        <v>190</v>
      </c>
      <c r="EY159" s="25" t="s">
        <v>166</v>
      </c>
      <c r="EZ159" s="27" t="s">
        <v>166</v>
      </c>
      <c r="FA159" s="26" t="s">
        <v>166</v>
      </c>
      <c r="FB159" s="26" t="s">
        <v>166</v>
      </c>
      <c r="FC159" s="26" t="s">
        <v>166</v>
      </c>
      <c r="FD159" s="26" t="s">
        <v>166</v>
      </c>
      <c r="FE159" s="26" t="s">
        <v>166</v>
      </c>
      <c r="FF159" s="26" t="s">
        <v>166</v>
      </c>
      <c r="FG159" s="25" t="s">
        <v>166</v>
      </c>
      <c r="FH159" s="4">
        <f>HYPERLINK("https://my.pitchbook.com?c=188823-43T","View Company Online")</f>
      </c>
    </row>
    <row r="160">
      <c r="A160" s="14" t="s">
        <v>3288</v>
      </c>
      <c r="B160" s="14" t="s">
        <v>3289</v>
      </c>
      <c r="C160" s="14" t="s">
        <v>3290</v>
      </c>
      <c r="D160" s="14" t="s">
        <v>166</v>
      </c>
      <c r="E160" s="23" t="s">
        <v>3291</v>
      </c>
      <c r="F160" s="21">
        <v>3</v>
      </c>
      <c r="G160" s="14" t="s">
        <v>3292</v>
      </c>
      <c r="H160" s="14" t="s">
        <v>166</v>
      </c>
      <c r="I160" s="14" t="s">
        <v>3293</v>
      </c>
      <c r="J160" s="14" t="s">
        <v>3294</v>
      </c>
      <c r="K160" s="14" t="s">
        <v>207</v>
      </c>
      <c r="L160" s="14" t="s">
        <v>208</v>
      </c>
      <c r="M160" s="14" t="s">
        <v>209</v>
      </c>
      <c r="N160" s="14" t="s">
        <v>860</v>
      </c>
      <c r="O160" s="14" t="s">
        <v>234</v>
      </c>
      <c r="P160" s="14" t="s">
        <v>3295</v>
      </c>
      <c r="Q160" s="14" t="s">
        <v>166</v>
      </c>
      <c r="R160" s="14" t="s">
        <v>177</v>
      </c>
      <c r="S160" s="14" t="s">
        <v>178</v>
      </c>
      <c r="T160" s="14" t="s">
        <v>179</v>
      </c>
      <c r="U160" s="14" t="s">
        <v>3296</v>
      </c>
      <c r="V160" s="14" t="s">
        <v>3297</v>
      </c>
      <c r="W160" s="21" t="s">
        <v>166</v>
      </c>
      <c r="X160" s="14" t="s">
        <v>3298</v>
      </c>
      <c r="Y160" s="14" t="s">
        <v>3299</v>
      </c>
      <c r="Z160" s="14" t="s">
        <v>166</v>
      </c>
      <c r="AA160" s="14" t="s">
        <v>242</v>
      </c>
      <c r="AB160" s="14" t="s">
        <v>243</v>
      </c>
      <c r="AC160" s="14" t="s">
        <v>244</v>
      </c>
      <c r="AD160" s="14" t="s">
        <v>166</v>
      </c>
      <c r="AE160" s="14" t="s">
        <v>243</v>
      </c>
      <c r="AF160" s="14" t="s">
        <v>166</v>
      </c>
      <c r="AG160" s="14" t="s">
        <v>807</v>
      </c>
      <c r="AH160" s="21">
        <v>1</v>
      </c>
      <c r="AI160" s="3">
        <f>HYPERLINK("https://my.pitchbook.com/?d=201423-07T","201423-07T")</f>
      </c>
      <c r="AJ160" s="19" t="s">
        <v>166</v>
      </c>
      <c r="AK160" s="19">
        <v>44602</v>
      </c>
      <c r="AL160" s="18">
        <v>1</v>
      </c>
      <c r="AM160" s="14" t="s">
        <v>247</v>
      </c>
      <c r="AN160" s="18">
        <v>4</v>
      </c>
      <c r="AO160" s="18">
        <v>5</v>
      </c>
      <c r="AP160" s="14" t="s">
        <v>185</v>
      </c>
      <c r="AQ160" s="21" t="s">
        <v>166</v>
      </c>
      <c r="AR160" s="21" t="s">
        <v>166</v>
      </c>
      <c r="AS160" s="17">
        <v>20</v>
      </c>
      <c r="AT160" s="18">
        <v>1</v>
      </c>
      <c r="AU160" s="21" t="s">
        <v>186</v>
      </c>
      <c r="AV160" s="21" t="s">
        <v>166</v>
      </c>
      <c r="AW160" s="18">
        <v>0.6</v>
      </c>
      <c r="AX160" s="21" t="s">
        <v>746</v>
      </c>
      <c r="AY160" s="14" t="s">
        <v>187</v>
      </c>
      <c r="AZ160" s="14" t="s">
        <v>746</v>
      </c>
      <c r="BA160" s="14" t="s">
        <v>166</v>
      </c>
      <c r="BB160" s="21" t="s">
        <v>166</v>
      </c>
      <c r="BC160" s="14" t="s">
        <v>179</v>
      </c>
      <c r="BD160" s="14" t="s">
        <v>3300</v>
      </c>
      <c r="BE160" s="14" t="s">
        <v>189</v>
      </c>
      <c r="BF160" s="18">
        <v>1</v>
      </c>
      <c r="BG160" s="14" t="s">
        <v>190</v>
      </c>
      <c r="BH160" s="14" t="s">
        <v>166</v>
      </c>
      <c r="BI160" s="14" t="s">
        <v>166</v>
      </c>
      <c r="BJ160" s="18" t="s">
        <v>166</v>
      </c>
      <c r="BK160" s="18" t="s">
        <v>166</v>
      </c>
      <c r="BL160" s="14" t="s">
        <v>191</v>
      </c>
      <c r="BM160" s="14" t="s">
        <v>178</v>
      </c>
      <c r="BN160" s="14" t="s">
        <v>177</v>
      </c>
      <c r="BO160" s="22" t="s">
        <v>166</v>
      </c>
      <c r="BP160" s="14" t="s">
        <v>3291</v>
      </c>
      <c r="BQ160" s="21">
        <v>3</v>
      </c>
      <c r="BR160" s="14" t="s">
        <v>166</v>
      </c>
      <c r="BS160" s="21" t="s">
        <v>166</v>
      </c>
      <c r="BT160" s="14" t="s">
        <v>166</v>
      </c>
      <c r="BU160" s="14" t="s">
        <v>166</v>
      </c>
      <c r="BV160" s="14" t="s">
        <v>3301</v>
      </c>
      <c r="BW160" s="14" t="s">
        <v>166</v>
      </c>
      <c r="BX160" s="14" t="s">
        <v>166</v>
      </c>
      <c r="BY160" s="14" t="s">
        <v>166</v>
      </c>
      <c r="BZ160" s="14" t="s">
        <v>166</v>
      </c>
      <c r="CA160" s="14" t="s">
        <v>166</v>
      </c>
      <c r="CB160" s="14" t="s">
        <v>166</v>
      </c>
      <c r="CC160" s="14" t="s">
        <v>166</v>
      </c>
      <c r="CD160" s="14" t="s">
        <v>166</v>
      </c>
      <c r="CE160" s="18" t="s">
        <v>166</v>
      </c>
      <c r="CF160" s="16" t="s">
        <v>166</v>
      </c>
      <c r="CG160" s="17" t="s">
        <v>166</v>
      </c>
      <c r="CH160" s="16" t="s">
        <v>166</v>
      </c>
      <c r="CI160" s="16" t="s">
        <v>166</v>
      </c>
      <c r="CJ160" s="16" t="s">
        <v>166</v>
      </c>
      <c r="CK160" s="16" t="s">
        <v>166</v>
      </c>
      <c r="CL160" s="16" t="s">
        <v>166</v>
      </c>
      <c r="CM160" s="20" t="s">
        <v>166</v>
      </c>
      <c r="CN160" s="16" t="s">
        <v>166</v>
      </c>
      <c r="CO160" s="16" t="s">
        <v>166</v>
      </c>
      <c r="CP160" s="16" t="s">
        <v>166</v>
      </c>
      <c r="CQ160" s="16" t="s">
        <v>166</v>
      </c>
      <c r="CR160" s="16" t="s">
        <v>166</v>
      </c>
      <c r="CS160" s="16" t="s">
        <v>166</v>
      </c>
      <c r="CT160" s="16" t="s">
        <v>166</v>
      </c>
      <c r="CU160" s="16" t="s">
        <v>166</v>
      </c>
      <c r="CV160" s="16" t="s">
        <v>166</v>
      </c>
      <c r="CW160" s="16" t="s">
        <v>166</v>
      </c>
      <c r="CX160" s="16" t="s">
        <v>166</v>
      </c>
      <c r="CY160" s="16" t="s">
        <v>166</v>
      </c>
      <c r="CZ160" s="16" t="s">
        <v>166</v>
      </c>
      <c r="DA160" s="16" t="s">
        <v>166</v>
      </c>
      <c r="DB160" s="16" t="s">
        <v>166</v>
      </c>
      <c r="DC160" s="16" t="s">
        <v>166</v>
      </c>
      <c r="DD160" s="16" t="s">
        <v>166</v>
      </c>
      <c r="DE160" s="17" t="s">
        <v>166</v>
      </c>
      <c r="DF160" s="22">
        <v>15</v>
      </c>
      <c r="DG160" s="14" t="s">
        <v>309</v>
      </c>
      <c r="DH160" s="14" t="s">
        <v>193</v>
      </c>
      <c r="DI160" s="14" t="s">
        <v>194</v>
      </c>
      <c r="DJ160" s="14" t="s">
        <v>310</v>
      </c>
      <c r="DK160" s="14" t="s">
        <v>310</v>
      </c>
      <c r="DL160" s="21" t="s">
        <v>166</v>
      </c>
      <c r="DM160" s="14" t="s">
        <v>198</v>
      </c>
      <c r="DN160" s="13" t="s">
        <v>3302</v>
      </c>
      <c r="DO160" s="20">
        <v>2021</v>
      </c>
      <c r="DP160" s="14" t="s">
        <v>166</v>
      </c>
      <c r="DQ160" s="14" t="s">
        <v>166</v>
      </c>
      <c r="DR160" s="18" t="s">
        <v>166</v>
      </c>
      <c r="DS160" s="16" t="s">
        <v>166</v>
      </c>
      <c r="DT160" s="19" t="s">
        <v>166</v>
      </c>
      <c r="DU160" s="14" t="s">
        <v>166</v>
      </c>
      <c r="DV160" s="18" t="s">
        <v>166</v>
      </c>
      <c r="DW160" s="18" t="s">
        <v>166</v>
      </c>
      <c r="DX160" s="16" t="s">
        <v>166</v>
      </c>
      <c r="DY160" s="16" t="s">
        <v>166</v>
      </c>
      <c r="DZ160" s="17" t="s">
        <v>166</v>
      </c>
      <c r="EA160" s="16" t="s">
        <v>166</v>
      </c>
      <c r="EB160" s="16" t="s">
        <v>166</v>
      </c>
      <c r="EC160" s="16" t="s">
        <v>166</v>
      </c>
      <c r="ED160" s="17" t="s">
        <v>166</v>
      </c>
      <c r="EE160" s="17" t="s">
        <v>166</v>
      </c>
      <c r="EF160" s="17" t="s">
        <v>166</v>
      </c>
      <c r="EG160" s="17" t="s">
        <v>166</v>
      </c>
      <c r="EH160" s="16" t="s">
        <v>166</v>
      </c>
      <c r="EI160" s="16" t="s">
        <v>166</v>
      </c>
      <c r="EJ160" s="16" t="s">
        <v>166</v>
      </c>
      <c r="EK160" s="16" t="s">
        <v>166</v>
      </c>
      <c r="EL160" s="16" t="s">
        <v>166</v>
      </c>
      <c r="EM160" s="16" t="s">
        <v>166</v>
      </c>
      <c r="EN160" s="16" t="s">
        <v>166</v>
      </c>
      <c r="EO160" s="16" t="s">
        <v>166</v>
      </c>
      <c r="EP160" s="16" t="s">
        <v>166</v>
      </c>
      <c r="EQ160" s="16" t="s">
        <v>166</v>
      </c>
      <c r="ER160" s="16" t="s">
        <v>166</v>
      </c>
      <c r="ES160" s="16" t="s">
        <v>166</v>
      </c>
      <c r="ET160" s="14" t="s">
        <v>166</v>
      </c>
      <c r="EU160" s="16" t="s">
        <v>166</v>
      </c>
      <c r="EV160" s="16" t="s">
        <v>166</v>
      </c>
      <c r="EW160" s="16" t="s">
        <v>166</v>
      </c>
      <c r="EX160" s="14" t="s">
        <v>190</v>
      </c>
      <c r="EY160" s="14" t="s">
        <v>166</v>
      </c>
      <c r="EZ160" s="16" t="s">
        <v>166</v>
      </c>
      <c r="FA160" s="15" t="s">
        <v>166</v>
      </c>
      <c r="FB160" s="15" t="s">
        <v>166</v>
      </c>
      <c r="FC160" s="15" t="s">
        <v>166</v>
      </c>
      <c r="FD160" s="15" t="s">
        <v>166</v>
      </c>
      <c r="FE160" s="15" t="s">
        <v>166</v>
      </c>
      <c r="FF160" s="15" t="s">
        <v>166</v>
      </c>
      <c r="FG160" s="14" t="s">
        <v>166</v>
      </c>
      <c r="FH160" s="3">
        <f>HYPERLINK("https://my.pitchbook.com?c=201423-07T","View Company Online")</f>
      </c>
    </row>
    <row r="161">
      <c r="A161" s="25" t="s">
        <v>3303</v>
      </c>
      <c r="B161" s="25" t="s">
        <v>3304</v>
      </c>
      <c r="C161" s="25" t="s">
        <v>3305</v>
      </c>
      <c r="D161" s="25" t="s">
        <v>166</v>
      </c>
      <c r="E161" s="34" t="s">
        <v>3306</v>
      </c>
      <c r="F161" s="32">
        <v>2</v>
      </c>
      <c r="G161" s="25" t="s">
        <v>3307</v>
      </c>
      <c r="H161" s="25" t="s">
        <v>166</v>
      </c>
      <c r="I161" s="25" t="s">
        <v>3308</v>
      </c>
      <c r="J161" s="25" t="s">
        <v>3309</v>
      </c>
      <c r="K161" s="25" t="s">
        <v>207</v>
      </c>
      <c r="L161" s="25" t="s">
        <v>208</v>
      </c>
      <c r="M161" s="25" t="s">
        <v>209</v>
      </c>
      <c r="N161" s="25" t="s">
        <v>3310</v>
      </c>
      <c r="O161" s="25" t="s">
        <v>3311</v>
      </c>
      <c r="P161" s="25" t="s">
        <v>3312</v>
      </c>
      <c r="Q161" s="25" t="s">
        <v>166</v>
      </c>
      <c r="R161" s="25" t="s">
        <v>177</v>
      </c>
      <c r="S161" s="25" t="s">
        <v>178</v>
      </c>
      <c r="T161" s="25" t="s">
        <v>1401</v>
      </c>
      <c r="U161" s="25" t="s">
        <v>3313</v>
      </c>
      <c r="V161" s="25" t="s">
        <v>3314</v>
      </c>
      <c r="W161" s="32" t="s">
        <v>3315</v>
      </c>
      <c r="X161" s="25" t="s">
        <v>3316</v>
      </c>
      <c r="Y161" s="25" t="s">
        <v>3317</v>
      </c>
      <c r="Z161" s="25" t="s">
        <v>166</v>
      </c>
      <c r="AA161" s="25" t="s">
        <v>166</v>
      </c>
      <c r="AB161" s="25" t="s">
        <v>166</v>
      </c>
      <c r="AC161" s="25" t="s">
        <v>166</v>
      </c>
      <c r="AD161" s="25" t="s">
        <v>166</v>
      </c>
      <c r="AE161" s="25" t="s">
        <v>166</v>
      </c>
      <c r="AF161" s="25" t="s">
        <v>166</v>
      </c>
      <c r="AG161" s="25" t="s">
        <v>166</v>
      </c>
      <c r="AH161" s="32">
        <v>1</v>
      </c>
      <c r="AI161" s="4">
        <f>HYPERLINK("https://my.pitchbook.com/?d=155647-18T","155647-18T")</f>
      </c>
      <c r="AJ161" s="30" t="s">
        <v>166</v>
      </c>
      <c r="AK161" s="30">
        <v>43867</v>
      </c>
      <c r="AL161" s="29">
        <v>0.08</v>
      </c>
      <c r="AM161" s="25" t="s">
        <v>185</v>
      </c>
      <c r="AN161" s="29" t="s">
        <v>166</v>
      </c>
      <c r="AO161" s="29" t="s">
        <v>166</v>
      </c>
      <c r="AP161" s="25" t="s">
        <v>166</v>
      </c>
      <c r="AQ161" s="32" t="s">
        <v>166</v>
      </c>
      <c r="AR161" s="32" t="s">
        <v>166</v>
      </c>
      <c r="AS161" s="28" t="s">
        <v>166</v>
      </c>
      <c r="AT161" s="29">
        <v>0.08</v>
      </c>
      <c r="AU161" s="32" t="s">
        <v>186</v>
      </c>
      <c r="AV161" s="32" t="s">
        <v>166</v>
      </c>
      <c r="AW161" s="29" t="s">
        <v>166</v>
      </c>
      <c r="AX161" s="32" t="s">
        <v>166</v>
      </c>
      <c r="AY161" s="25" t="s">
        <v>217</v>
      </c>
      <c r="AZ161" s="25" t="s">
        <v>217</v>
      </c>
      <c r="BA161" s="25" t="s">
        <v>166</v>
      </c>
      <c r="BB161" s="32" t="s">
        <v>166</v>
      </c>
      <c r="BC161" s="25" t="s">
        <v>179</v>
      </c>
      <c r="BD161" s="25" t="s">
        <v>3318</v>
      </c>
      <c r="BE161" s="25" t="s">
        <v>189</v>
      </c>
      <c r="BF161" s="29">
        <v>0.08</v>
      </c>
      <c r="BG161" s="25" t="s">
        <v>190</v>
      </c>
      <c r="BH161" s="25" t="s">
        <v>166</v>
      </c>
      <c r="BI161" s="25" t="s">
        <v>166</v>
      </c>
      <c r="BJ161" s="29" t="s">
        <v>166</v>
      </c>
      <c r="BK161" s="29" t="s">
        <v>166</v>
      </c>
      <c r="BL161" s="25" t="s">
        <v>191</v>
      </c>
      <c r="BM161" s="25" t="s">
        <v>358</v>
      </c>
      <c r="BN161" s="25" t="s">
        <v>177</v>
      </c>
      <c r="BO161" s="33" t="s">
        <v>166</v>
      </c>
      <c r="BP161" s="25" t="s">
        <v>3306</v>
      </c>
      <c r="BQ161" s="32">
        <v>2</v>
      </c>
      <c r="BR161" s="25" t="s">
        <v>166</v>
      </c>
      <c r="BS161" s="32" t="s">
        <v>166</v>
      </c>
      <c r="BT161" s="25" t="s">
        <v>166</v>
      </c>
      <c r="BU161" s="25" t="s">
        <v>166</v>
      </c>
      <c r="BV161" s="25" t="s">
        <v>3319</v>
      </c>
      <c r="BW161" s="25" t="s">
        <v>166</v>
      </c>
      <c r="BX161" s="25" t="s">
        <v>166</v>
      </c>
      <c r="BY161" s="25" t="s">
        <v>166</v>
      </c>
      <c r="BZ161" s="25" t="s">
        <v>166</v>
      </c>
      <c r="CA161" s="25" t="s">
        <v>166</v>
      </c>
      <c r="CB161" s="25" t="s">
        <v>166</v>
      </c>
      <c r="CC161" s="25" t="s">
        <v>166</v>
      </c>
      <c r="CD161" s="25" t="s">
        <v>166</v>
      </c>
      <c r="CE161" s="29" t="s">
        <v>166</v>
      </c>
      <c r="CF161" s="27" t="s">
        <v>166</v>
      </c>
      <c r="CG161" s="28" t="s">
        <v>166</v>
      </c>
      <c r="CH161" s="27" t="s">
        <v>166</v>
      </c>
      <c r="CI161" s="27" t="s">
        <v>166</v>
      </c>
      <c r="CJ161" s="27" t="s">
        <v>166</v>
      </c>
      <c r="CK161" s="27" t="s">
        <v>166</v>
      </c>
      <c r="CL161" s="27" t="s">
        <v>166</v>
      </c>
      <c r="CM161" s="31" t="s">
        <v>166</v>
      </c>
      <c r="CN161" s="27" t="s">
        <v>166</v>
      </c>
      <c r="CO161" s="27" t="s">
        <v>166</v>
      </c>
      <c r="CP161" s="27" t="s">
        <v>166</v>
      </c>
      <c r="CQ161" s="27" t="s">
        <v>166</v>
      </c>
      <c r="CR161" s="27" t="s">
        <v>166</v>
      </c>
      <c r="CS161" s="27" t="s">
        <v>166</v>
      </c>
      <c r="CT161" s="27" t="s">
        <v>166</v>
      </c>
      <c r="CU161" s="27" t="s">
        <v>166</v>
      </c>
      <c r="CV161" s="27" t="s">
        <v>166</v>
      </c>
      <c r="CW161" s="27" t="s">
        <v>166</v>
      </c>
      <c r="CX161" s="27" t="s">
        <v>166</v>
      </c>
      <c r="CY161" s="27" t="s">
        <v>166</v>
      </c>
      <c r="CZ161" s="27" t="s">
        <v>166</v>
      </c>
      <c r="DA161" s="27" t="s">
        <v>166</v>
      </c>
      <c r="DB161" s="27" t="s">
        <v>166</v>
      </c>
      <c r="DC161" s="27" t="s">
        <v>166</v>
      </c>
      <c r="DD161" s="27" t="s">
        <v>166</v>
      </c>
      <c r="DE161" s="28" t="s">
        <v>166</v>
      </c>
      <c r="DF161" s="33">
        <v>16</v>
      </c>
      <c r="DG161" s="25" t="s">
        <v>3320</v>
      </c>
      <c r="DH161" s="25" t="s">
        <v>193</v>
      </c>
      <c r="DI161" s="25" t="s">
        <v>194</v>
      </c>
      <c r="DJ161" s="25" t="s">
        <v>3321</v>
      </c>
      <c r="DK161" s="25" t="s">
        <v>310</v>
      </c>
      <c r="DL161" s="32" t="s">
        <v>3322</v>
      </c>
      <c r="DM161" s="25" t="s">
        <v>198</v>
      </c>
      <c r="DN161" s="24" t="s">
        <v>3323</v>
      </c>
      <c r="DO161" s="31">
        <v>2017</v>
      </c>
      <c r="DP161" s="25" t="s">
        <v>166</v>
      </c>
      <c r="DQ161" s="25" t="s">
        <v>166</v>
      </c>
      <c r="DR161" s="29" t="s">
        <v>166</v>
      </c>
      <c r="DS161" s="27" t="s">
        <v>166</v>
      </c>
      <c r="DT161" s="30" t="s">
        <v>166</v>
      </c>
      <c r="DU161" s="25" t="s">
        <v>166</v>
      </c>
      <c r="DV161" s="29" t="s">
        <v>166</v>
      </c>
      <c r="DW161" s="29" t="s">
        <v>166</v>
      </c>
      <c r="DX161" s="27" t="s">
        <v>166</v>
      </c>
      <c r="DY161" s="27" t="s">
        <v>166</v>
      </c>
      <c r="DZ161" s="28" t="s">
        <v>166</v>
      </c>
      <c r="EA161" s="27" t="s">
        <v>166</v>
      </c>
      <c r="EB161" s="27" t="s">
        <v>166</v>
      </c>
      <c r="EC161" s="27" t="s">
        <v>166</v>
      </c>
      <c r="ED161" s="28" t="s">
        <v>166</v>
      </c>
      <c r="EE161" s="28" t="s">
        <v>166</v>
      </c>
      <c r="EF161" s="28" t="s">
        <v>166</v>
      </c>
      <c r="EG161" s="28" t="s">
        <v>166</v>
      </c>
      <c r="EH161" s="27" t="s">
        <v>166</v>
      </c>
      <c r="EI161" s="27" t="s">
        <v>166</v>
      </c>
      <c r="EJ161" s="27" t="s">
        <v>166</v>
      </c>
      <c r="EK161" s="27" t="s">
        <v>166</v>
      </c>
      <c r="EL161" s="27" t="s">
        <v>166</v>
      </c>
      <c r="EM161" s="27" t="s">
        <v>166</v>
      </c>
      <c r="EN161" s="27" t="s">
        <v>166</v>
      </c>
      <c r="EO161" s="27" t="s">
        <v>166</v>
      </c>
      <c r="EP161" s="27" t="s">
        <v>166</v>
      </c>
      <c r="EQ161" s="27" t="s">
        <v>166</v>
      </c>
      <c r="ER161" s="27" t="s">
        <v>166</v>
      </c>
      <c r="ES161" s="27" t="s">
        <v>166</v>
      </c>
      <c r="ET161" s="25" t="s">
        <v>166</v>
      </c>
      <c r="EU161" s="27" t="s">
        <v>166</v>
      </c>
      <c r="EV161" s="27" t="s">
        <v>166</v>
      </c>
      <c r="EW161" s="27" t="s">
        <v>166</v>
      </c>
      <c r="EX161" s="25" t="s">
        <v>190</v>
      </c>
      <c r="EY161" s="25" t="s">
        <v>166</v>
      </c>
      <c r="EZ161" s="27" t="s">
        <v>166</v>
      </c>
      <c r="FA161" s="26" t="s">
        <v>166</v>
      </c>
      <c r="FB161" s="26" t="s">
        <v>166</v>
      </c>
      <c r="FC161" s="26" t="s">
        <v>166</v>
      </c>
      <c r="FD161" s="26" t="s">
        <v>166</v>
      </c>
      <c r="FE161" s="26" t="s">
        <v>166</v>
      </c>
      <c r="FF161" s="26" t="s">
        <v>166</v>
      </c>
      <c r="FG161" s="25" t="s">
        <v>166</v>
      </c>
      <c r="FH161" s="4">
        <f>HYPERLINK("https://my.pitchbook.com?c=155647-18T","View Company Online")</f>
      </c>
    </row>
    <row r="162">
      <c r="A162" s="14" t="s">
        <v>3324</v>
      </c>
      <c r="B162" s="14" t="s">
        <v>3325</v>
      </c>
      <c r="C162" s="14" t="s">
        <v>3326</v>
      </c>
      <c r="D162" s="14" t="s">
        <v>166</v>
      </c>
      <c r="E162" s="23" t="s">
        <v>3327</v>
      </c>
      <c r="F162" s="21">
        <v>1</v>
      </c>
      <c r="G162" s="14" t="s">
        <v>3328</v>
      </c>
      <c r="H162" s="14" t="s">
        <v>166</v>
      </c>
      <c r="I162" s="14" t="s">
        <v>3329</v>
      </c>
      <c r="J162" s="14" t="s">
        <v>3330</v>
      </c>
      <c r="K162" s="14" t="s">
        <v>1500</v>
      </c>
      <c r="L162" s="14" t="s">
        <v>2200</v>
      </c>
      <c r="M162" s="14" t="s">
        <v>2201</v>
      </c>
      <c r="N162" s="14" t="s">
        <v>3331</v>
      </c>
      <c r="O162" s="14" t="s">
        <v>3332</v>
      </c>
      <c r="P162" s="14" t="s">
        <v>3333</v>
      </c>
      <c r="Q162" s="14" t="s">
        <v>166</v>
      </c>
      <c r="R162" s="14" t="s">
        <v>3334</v>
      </c>
      <c r="S162" s="14" t="s">
        <v>178</v>
      </c>
      <c r="T162" s="14" t="s">
        <v>3335</v>
      </c>
      <c r="U162" s="14" t="s">
        <v>3336</v>
      </c>
      <c r="V162" s="14" t="s">
        <v>3337</v>
      </c>
      <c r="W162" s="21" t="s">
        <v>166</v>
      </c>
      <c r="X162" s="14" t="s">
        <v>166</v>
      </c>
      <c r="Y162" s="14" t="s">
        <v>3338</v>
      </c>
      <c r="Z162" s="14" t="s">
        <v>3339</v>
      </c>
      <c r="AA162" s="14" t="s">
        <v>166</v>
      </c>
      <c r="AB162" s="14" t="s">
        <v>166</v>
      </c>
      <c r="AC162" s="14" t="s">
        <v>166</v>
      </c>
      <c r="AD162" s="14" t="s">
        <v>166</v>
      </c>
      <c r="AE162" s="14" t="s">
        <v>166</v>
      </c>
      <c r="AF162" s="14" t="s">
        <v>166</v>
      </c>
      <c r="AG162" s="14" t="s">
        <v>166</v>
      </c>
      <c r="AH162" s="21">
        <v>1</v>
      </c>
      <c r="AI162" s="3">
        <f>HYPERLINK("https://my.pitchbook.com/?d=184103-74T","184103-74T")</f>
      </c>
      <c r="AJ162" s="19" t="s">
        <v>166</v>
      </c>
      <c r="AK162" s="19">
        <v>44006</v>
      </c>
      <c r="AL162" s="18">
        <v>5.1</v>
      </c>
      <c r="AM162" s="14" t="s">
        <v>185</v>
      </c>
      <c r="AN162" s="18" t="s">
        <v>166</v>
      </c>
      <c r="AO162" s="18" t="s">
        <v>166</v>
      </c>
      <c r="AP162" s="14" t="s">
        <v>166</v>
      </c>
      <c r="AQ162" s="21" t="s">
        <v>166</v>
      </c>
      <c r="AR162" s="21" t="s">
        <v>166</v>
      </c>
      <c r="AS162" s="17" t="s">
        <v>166</v>
      </c>
      <c r="AT162" s="18">
        <v>5.1</v>
      </c>
      <c r="AU162" s="21" t="s">
        <v>186</v>
      </c>
      <c r="AV162" s="21" t="s">
        <v>166</v>
      </c>
      <c r="AW162" s="18" t="s">
        <v>166</v>
      </c>
      <c r="AX162" s="21" t="s">
        <v>166</v>
      </c>
      <c r="AY162" s="14" t="s">
        <v>217</v>
      </c>
      <c r="AZ162" s="14" t="s">
        <v>217</v>
      </c>
      <c r="BA162" s="14" t="s">
        <v>166</v>
      </c>
      <c r="BB162" s="21" t="s">
        <v>166</v>
      </c>
      <c r="BC162" s="14" t="s">
        <v>179</v>
      </c>
      <c r="BD162" s="14" t="s">
        <v>3340</v>
      </c>
      <c r="BE162" s="14" t="s">
        <v>189</v>
      </c>
      <c r="BF162" s="18">
        <v>5.1</v>
      </c>
      <c r="BG162" s="14" t="s">
        <v>190</v>
      </c>
      <c r="BH162" s="14" t="s">
        <v>166</v>
      </c>
      <c r="BI162" s="14" t="s">
        <v>166</v>
      </c>
      <c r="BJ162" s="18" t="s">
        <v>166</v>
      </c>
      <c r="BK162" s="18" t="s">
        <v>166</v>
      </c>
      <c r="BL162" s="14" t="s">
        <v>191</v>
      </c>
      <c r="BM162" s="14" t="s">
        <v>358</v>
      </c>
      <c r="BN162" s="14" t="s">
        <v>177</v>
      </c>
      <c r="BO162" s="22" t="s">
        <v>166</v>
      </c>
      <c r="BP162" s="14" t="s">
        <v>3341</v>
      </c>
      <c r="BQ162" s="21">
        <v>1</v>
      </c>
      <c r="BR162" s="14" t="s">
        <v>166</v>
      </c>
      <c r="BS162" s="21" t="s">
        <v>166</v>
      </c>
      <c r="BT162" s="14" t="s">
        <v>3327</v>
      </c>
      <c r="BU162" s="14" t="s">
        <v>166</v>
      </c>
      <c r="BV162" s="14" t="s">
        <v>3342</v>
      </c>
      <c r="BW162" s="14" t="s">
        <v>166</v>
      </c>
      <c r="BX162" s="14" t="s">
        <v>166</v>
      </c>
      <c r="BY162" s="14" t="s">
        <v>166</v>
      </c>
      <c r="BZ162" s="14" t="s">
        <v>166</v>
      </c>
      <c r="CA162" s="14" t="s">
        <v>166</v>
      </c>
      <c r="CB162" s="14" t="s">
        <v>166</v>
      </c>
      <c r="CC162" s="14" t="s">
        <v>166</v>
      </c>
      <c r="CD162" s="14" t="s">
        <v>166</v>
      </c>
      <c r="CE162" s="18" t="s">
        <v>166</v>
      </c>
      <c r="CF162" s="16" t="s">
        <v>166</v>
      </c>
      <c r="CG162" s="17" t="s">
        <v>166</v>
      </c>
      <c r="CH162" s="16" t="s">
        <v>166</v>
      </c>
      <c r="CI162" s="16" t="s">
        <v>166</v>
      </c>
      <c r="CJ162" s="16" t="s">
        <v>166</v>
      </c>
      <c r="CK162" s="16" t="s">
        <v>166</v>
      </c>
      <c r="CL162" s="16" t="s">
        <v>166</v>
      </c>
      <c r="CM162" s="20" t="s">
        <v>166</v>
      </c>
      <c r="CN162" s="16" t="s">
        <v>166</v>
      </c>
      <c r="CO162" s="16" t="s">
        <v>166</v>
      </c>
      <c r="CP162" s="16" t="s">
        <v>166</v>
      </c>
      <c r="CQ162" s="16" t="s">
        <v>166</v>
      </c>
      <c r="CR162" s="16" t="s">
        <v>166</v>
      </c>
      <c r="CS162" s="16" t="s">
        <v>166</v>
      </c>
      <c r="CT162" s="16" t="s">
        <v>166</v>
      </c>
      <c r="CU162" s="16" t="s">
        <v>166</v>
      </c>
      <c r="CV162" s="16" t="s">
        <v>166</v>
      </c>
      <c r="CW162" s="16" t="s">
        <v>166</v>
      </c>
      <c r="CX162" s="16" t="s">
        <v>166</v>
      </c>
      <c r="CY162" s="16" t="s">
        <v>166</v>
      </c>
      <c r="CZ162" s="16" t="s">
        <v>166</v>
      </c>
      <c r="DA162" s="16" t="s">
        <v>166</v>
      </c>
      <c r="DB162" s="16" t="s">
        <v>166</v>
      </c>
      <c r="DC162" s="16" t="s">
        <v>166</v>
      </c>
      <c r="DD162" s="16" t="s">
        <v>166</v>
      </c>
      <c r="DE162" s="17" t="s">
        <v>166</v>
      </c>
      <c r="DF162" s="22">
        <v>305</v>
      </c>
      <c r="DG162" s="14" t="s">
        <v>309</v>
      </c>
      <c r="DH162" s="14" t="s">
        <v>193</v>
      </c>
      <c r="DI162" s="14" t="s">
        <v>194</v>
      </c>
      <c r="DJ162" s="14" t="s">
        <v>310</v>
      </c>
      <c r="DK162" s="14" t="s">
        <v>310</v>
      </c>
      <c r="DL162" s="21" t="s">
        <v>3343</v>
      </c>
      <c r="DM162" s="14" t="s">
        <v>198</v>
      </c>
      <c r="DN162" s="13" t="s">
        <v>3344</v>
      </c>
      <c r="DO162" s="20">
        <v>2019</v>
      </c>
      <c r="DP162" s="14" t="s">
        <v>166</v>
      </c>
      <c r="DQ162" s="14" t="s">
        <v>166</v>
      </c>
      <c r="DR162" s="18" t="s">
        <v>166</v>
      </c>
      <c r="DS162" s="16" t="s">
        <v>166</v>
      </c>
      <c r="DT162" s="19" t="s">
        <v>166</v>
      </c>
      <c r="DU162" s="14" t="s">
        <v>166</v>
      </c>
      <c r="DV162" s="18" t="s">
        <v>166</v>
      </c>
      <c r="DW162" s="18" t="s">
        <v>166</v>
      </c>
      <c r="DX162" s="16" t="s">
        <v>166</v>
      </c>
      <c r="DY162" s="16" t="s">
        <v>166</v>
      </c>
      <c r="DZ162" s="17" t="s">
        <v>166</v>
      </c>
      <c r="EA162" s="16" t="s">
        <v>166</v>
      </c>
      <c r="EB162" s="16" t="s">
        <v>166</v>
      </c>
      <c r="EC162" s="16" t="s">
        <v>166</v>
      </c>
      <c r="ED162" s="17" t="s">
        <v>166</v>
      </c>
      <c r="EE162" s="17" t="s">
        <v>166</v>
      </c>
      <c r="EF162" s="17" t="s">
        <v>166</v>
      </c>
      <c r="EG162" s="17" t="s">
        <v>166</v>
      </c>
      <c r="EH162" s="16" t="s">
        <v>166</v>
      </c>
      <c r="EI162" s="16" t="s">
        <v>166</v>
      </c>
      <c r="EJ162" s="16" t="s">
        <v>166</v>
      </c>
      <c r="EK162" s="16" t="s">
        <v>166</v>
      </c>
      <c r="EL162" s="16" t="s">
        <v>166</v>
      </c>
      <c r="EM162" s="16" t="s">
        <v>166</v>
      </c>
      <c r="EN162" s="16" t="s">
        <v>166</v>
      </c>
      <c r="EO162" s="16" t="s">
        <v>166</v>
      </c>
      <c r="EP162" s="16" t="s">
        <v>166</v>
      </c>
      <c r="EQ162" s="16" t="s">
        <v>166</v>
      </c>
      <c r="ER162" s="16" t="s">
        <v>166</v>
      </c>
      <c r="ES162" s="16" t="s">
        <v>166</v>
      </c>
      <c r="ET162" s="14" t="s">
        <v>166</v>
      </c>
      <c r="EU162" s="16" t="s">
        <v>166</v>
      </c>
      <c r="EV162" s="16" t="s">
        <v>166</v>
      </c>
      <c r="EW162" s="16" t="s">
        <v>166</v>
      </c>
      <c r="EX162" s="14" t="s">
        <v>190</v>
      </c>
      <c r="EY162" s="14" t="s">
        <v>166</v>
      </c>
      <c r="EZ162" s="16" t="s">
        <v>166</v>
      </c>
      <c r="FA162" s="15" t="s">
        <v>166</v>
      </c>
      <c r="FB162" s="15" t="s">
        <v>166</v>
      </c>
      <c r="FC162" s="15" t="s">
        <v>166</v>
      </c>
      <c r="FD162" s="15" t="s">
        <v>166</v>
      </c>
      <c r="FE162" s="15" t="s">
        <v>166</v>
      </c>
      <c r="FF162" s="15" t="s">
        <v>166</v>
      </c>
      <c r="FG162" s="14" t="s">
        <v>166</v>
      </c>
      <c r="FH162" s="3">
        <f>HYPERLINK("https://my.pitchbook.com?c=184103-74T","View Company Online")</f>
      </c>
    </row>
    <row r="163">
      <c r="A163" s="25" t="s">
        <v>3345</v>
      </c>
      <c r="B163" s="25" t="s">
        <v>3346</v>
      </c>
      <c r="C163" s="25" t="s">
        <v>3347</v>
      </c>
      <c r="D163" s="25" t="s">
        <v>166</v>
      </c>
      <c r="E163" s="34" t="s">
        <v>3348</v>
      </c>
      <c r="F163" s="32">
        <v>1</v>
      </c>
      <c r="G163" s="25" t="s">
        <v>3349</v>
      </c>
      <c r="H163" s="25" t="s">
        <v>166</v>
      </c>
      <c r="I163" s="25" t="s">
        <v>3350</v>
      </c>
      <c r="J163" s="25" t="s">
        <v>3351</v>
      </c>
      <c r="K163" s="25" t="s">
        <v>207</v>
      </c>
      <c r="L163" s="25" t="s">
        <v>208</v>
      </c>
      <c r="M163" s="25" t="s">
        <v>209</v>
      </c>
      <c r="N163" s="25" t="s">
        <v>269</v>
      </c>
      <c r="O163" s="25" t="s">
        <v>3352</v>
      </c>
      <c r="P163" s="25" t="s">
        <v>3353</v>
      </c>
      <c r="Q163" s="25" t="s">
        <v>166</v>
      </c>
      <c r="R163" s="25" t="s">
        <v>177</v>
      </c>
      <c r="S163" s="25" t="s">
        <v>178</v>
      </c>
      <c r="T163" s="25" t="s">
        <v>179</v>
      </c>
      <c r="U163" s="25" t="s">
        <v>3354</v>
      </c>
      <c r="V163" s="25" t="s">
        <v>3355</v>
      </c>
      <c r="W163" s="32" t="s">
        <v>3356</v>
      </c>
      <c r="X163" s="25" t="s">
        <v>3357</v>
      </c>
      <c r="Y163" s="25" t="s">
        <v>3358</v>
      </c>
      <c r="Z163" s="25" t="s">
        <v>3359</v>
      </c>
      <c r="AA163" s="25" t="s">
        <v>166</v>
      </c>
      <c r="AB163" s="25" t="s">
        <v>166</v>
      </c>
      <c r="AC163" s="25" t="s">
        <v>166</v>
      </c>
      <c r="AD163" s="25" t="s">
        <v>166</v>
      </c>
      <c r="AE163" s="25" t="s">
        <v>166</v>
      </c>
      <c r="AF163" s="25" t="s">
        <v>166</v>
      </c>
      <c r="AG163" s="25" t="s">
        <v>166</v>
      </c>
      <c r="AH163" s="32">
        <v>1</v>
      </c>
      <c r="AI163" s="4">
        <f>HYPERLINK("https://my.pitchbook.com/?d=168175-18T","168175-18T")</f>
      </c>
      <c r="AJ163" s="30" t="s">
        <v>166</v>
      </c>
      <c r="AK163" s="30">
        <v>44256</v>
      </c>
      <c r="AL163" s="29">
        <v>0.6</v>
      </c>
      <c r="AM163" s="25" t="s">
        <v>185</v>
      </c>
      <c r="AN163" s="29" t="s">
        <v>166</v>
      </c>
      <c r="AO163" s="29" t="s">
        <v>166</v>
      </c>
      <c r="AP163" s="25" t="s">
        <v>166</v>
      </c>
      <c r="AQ163" s="32" t="s">
        <v>166</v>
      </c>
      <c r="AR163" s="32" t="s">
        <v>166</v>
      </c>
      <c r="AS163" s="28" t="s">
        <v>166</v>
      </c>
      <c r="AT163" s="29">
        <v>0.6</v>
      </c>
      <c r="AU163" s="32" t="s">
        <v>186</v>
      </c>
      <c r="AV163" s="32" t="s">
        <v>166</v>
      </c>
      <c r="AW163" s="29" t="s">
        <v>166</v>
      </c>
      <c r="AX163" s="32" t="s">
        <v>166</v>
      </c>
      <c r="AY163" s="25" t="s">
        <v>217</v>
      </c>
      <c r="AZ163" s="25" t="s">
        <v>217</v>
      </c>
      <c r="BA163" s="25" t="s">
        <v>166</v>
      </c>
      <c r="BB163" s="32" t="s">
        <v>166</v>
      </c>
      <c r="BC163" s="25" t="s">
        <v>179</v>
      </c>
      <c r="BD163" s="25" t="s">
        <v>3351</v>
      </c>
      <c r="BE163" s="25" t="s">
        <v>189</v>
      </c>
      <c r="BF163" s="29">
        <v>0.6</v>
      </c>
      <c r="BG163" s="25" t="s">
        <v>190</v>
      </c>
      <c r="BH163" s="25" t="s">
        <v>166</v>
      </c>
      <c r="BI163" s="25" t="s">
        <v>166</v>
      </c>
      <c r="BJ163" s="29" t="s">
        <v>166</v>
      </c>
      <c r="BK163" s="29" t="s">
        <v>166</v>
      </c>
      <c r="BL163" s="25" t="s">
        <v>191</v>
      </c>
      <c r="BM163" s="25" t="s">
        <v>358</v>
      </c>
      <c r="BN163" s="25" t="s">
        <v>177</v>
      </c>
      <c r="BO163" s="33" t="s">
        <v>166</v>
      </c>
      <c r="BP163" s="25" t="s">
        <v>3348</v>
      </c>
      <c r="BQ163" s="32">
        <v>1</v>
      </c>
      <c r="BR163" s="25" t="s">
        <v>166</v>
      </c>
      <c r="BS163" s="32" t="s">
        <v>166</v>
      </c>
      <c r="BT163" s="25" t="s">
        <v>166</v>
      </c>
      <c r="BU163" s="25" t="s">
        <v>166</v>
      </c>
      <c r="BV163" s="25" t="s">
        <v>166</v>
      </c>
      <c r="BW163" s="25" t="s">
        <v>166</v>
      </c>
      <c r="BX163" s="25" t="s">
        <v>166</v>
      </c>
      <c r="BY163" s="25" t="s">
        <v>166</v>
      </c>
      <c r="BZ163" s="25" t="s">
        <v>166</v>
      </c>
      <c r="CA163" s="25" t="s">
        <v>166</v>
      </c>
      <c r="CB163" s="25" t="s">
        <v>166</v>
      </c>
      <c r="CC163" s="25" t="s">
        <v>166</v>
      </c>
      <c r="CD163" s="25" t="s">
        <v>166</v>
      </c>
      <c r="CE163" s="29" t="s">
        <v>166</v>
      </c>
      <c r="CF163" s="27" t="s">
        <v>166</v>
      </c>
      <c r="CG163" s="28" t="s">
        <v>166</v>
      </c>
      <c r="CH163" s="27" t="s">
        <v>166</v>
      </c>
      <c r="CI163" s="27" t="s">
        <v>166</v>
      </c>
      <c r="CJ163" s="27" t="s">
        <v>166</v>
      </c>
      <c r="CK163" s="27" t="s">
        <v>166</v>
      </c>
      <c r="CL163" s="27" t="s">
        <v>166</v>
      </c>
      <c r="CM163" s="31" t="s">
        <v>166</v>
      </c>
      <c r="CN163" s="27" t="s">
        <v>166</v>
      </c>
      <c r="CO163" s="27" t="s">
        <v>166</v>
      </c>
      <c r="CP163" s="27" t="s">
        <v>166</v>
      </c>
      <c r="CQ163" s="27" t="s">
        <v>166</v>
      </c>
      <c r="CR163" s="27" t="s">
        <v>166</v>
      </c>
      <c r="CS163" s="27" t="s">
        <v>166</v>
      </c>
      <c r="CT163" s="27" t="s">
        <v>166</v>
      </c>
      <c r="CU163" s="27" t="s">
        <v>166</v>
      </c>
      <c r="CV163" s="27" t="s">
        <v>166</v>
      </c>
      <c r="CW163" s="27" t="s">
        <v>166</v>
      </c>
      <c r="CX163" s="27" t="s">
        <v>166</v>
      </c>
      <c r="CY163" s="27" t="s">
        <v>166</v>
      </c>
      <c r="CZ163" s="27" t="s">
        <v>166</v>
      </c>
      <c r="DA163" s="27" t="s">
        <v>166</v>
      </c>
      <c r="DB163" s="27" t="s">
        <v>166</v>
      </c>
      <c r="DC163" s="27" t="s">
        <v>166</v>
      </c>
      <c r="DD163" s="27" t="s">
        <v>166</v>
      </c>
      <c r="DE163" s="28" t="s">
        <v>166</v>
      </c>
      <c r="DF163" s="33">
        <v>3</v>
      </c>
      <c r="DG163" s="25" t="s">
        <v>429</v>
      </c>
      <c r="DH163" s="25" t="s">
        <v>193</v>
      </c>
      <c r="DI163" s="25" t="s">
        <v>194</v>
      </c>
      <c r="DJ163" s="25" t="s">
        <v>430</v>
      </c>
      <c r="DK163" s="25" t="s">
        <v>431</v>
      </c>
      <c r="DL163" s="32" t="s">
        <v>1369</v>
      </c>
      <c r="DM163" s="25" t="s">
        <v>198</v>
      </c>
      <c r="DN163" s="24" t="s">
        <v>3360</v>
      </c>
      <c r="DO163" s="31">
        <v>2020</v>
      </c>
      <c r="DP163" s="25" t="s">
        <v>166</v>
      </c>
      <c r="DQ163" s="25" t="s">
        <v>166</v>
      </c>
      <c r="DR163" s="29" t="s">
        <v>166</v>
      </c>
      <c r="DS163" s="27" t="s">
        <v>166</v>
      </c>
      <c r="DT163" s="30" t="s">
        <v>166</v>
      </c>
      <c r="DU163" s="25" t="s">
        <v>166</v>
      </c>
      <c r="DV163" s="29" t="s">
        <v>166</v>
      </c>
      <c r="DW163" s="29" t="s">
        <v>166</v>
      </c>
      <c r="DX163" s="27" t="s">
        <v>166</v>
      </c>
      <c r="DY163" s="27" t="s">
        <v>166</v>
      </c>
      <c r="DZ163" s="28" t="s">
        <v>166</v>
      </c>
      <c r="EA163" s="27" t="s">
        <v>166</v>
      </c>
      <c r="EB163" s="27" t="s">
        <v>166</v>
      </c>
      <c r="EC163" s="27" t="s">
        <v>166</v>
      </c>
      <c r="ED163" s="28" t="s">
        <v>166</v>
      </c>
      <c r="EE163" s="28" t="s">
        <v>166</v>
      </c>
      <c r="EF163" s="28" t="s">
        <v>166</v>
      </c>
      <c r="EG163" s="28" t="s">
        <v>166</v>
      </c>
      <c r="EH163" s="27" t="s">
        <v>166</v>
      </c>
      <c r="EI163" s="27" t="s">
        <v>166</v>
      </c>
      <c r="EJ163" s="27" t="s">
        <v>166</v>
      </c>
      <c r="EK163" s="27" t="s">
        <v>166</v>
      </c>
      <c r="EL163" s="27" t="s">
        <v>166</v>
      </c>
      <c r="EM163" s="27" t="s">
        <v>166</v>
      </c>
      <c r="EN163" s="27" t="s">
        <v>166</v>
      </c>
      <c r="EO163" s="27" t="s">
        <v>166</v>
      </c>
      <c r="EP163" s="27" t="s">
        <v>166</v>
      </c>
      <c r="EQ163" s="27" t="s">
        <v>166</v>
      </c>
      <c r="ER163" s="27" t="s">
        <v>166</v>
      </c>
      <c r="ES163" s="27" t="s">
        <v>166</v>
      </c>
      <c r="ET163" s="25" t="s">
        <v>166</v>
      </c>
      <c r="EU163" s="27" t="s">
        <v>166</v>
      </c>
      <c r="EV163" s="27" t="s">
        <v>166</v>
      </c>
      <c r="EW163" s="27" t="s">
        <v>166</v>
      </c>
      <c r="EX163" s="25" t="s">
        <v>190</v>
      </c>
      <c r="EY163" s="25" t="s">
        <v>166</v>
      </c>
      <c r="EZ163" s="27" t="s">
        <v>166</v>
      </c>
      <c r="FA163" s="26">
        <v>1</v>
      </c>
      <c r="FB163" s="26">
        <v>1</v>
      </c>
      <c r="FC163" s="26" t="s">
        <v>166</v>
      </c>
      <c r="FD163" s="26" t="s">
        <v>166</v>
      </c>
      <c r="FE163" s="26" t="s">
        <v>166</v>
      </c>
      <c r="FF163" s="26">
        <v>1</v>
      </c>
      <c r="FG163" s="25" t="s">
        <v>166</v>
      </c>
      <c r="FH163" s="4">
        <f>HYPERLINK("https://my.pitchbook.com?c=168175-18T","View Company Online")</f>
      </c>
    </row>
    <row r="164">
      <c r="A164" s="14" t="s">
        <v>3361</v>
      </c>
      <c r="B164" s="14" t="s">
        <v>3362</v>
      </c>
      <c r="C164" s="14" t="s">
        <v>3363</v>
      </c>
      <c r="D164" s="14" t="s">
        <v>166</v>
      </c>
      <c r="E164" s="23" t="s">
        <v>3364</v>
      </c>
      <c r="F164" s="21">
        <v>10</v>
      </c>
      <c r="G164" s="14" t="s">
        <v>3365</v>
      </c>
      <c r="H164" s="14" t="s">
        <v>166</v>
      </c>
      <c r="I164" s="14" t="s">
        <v>3366</v>
      </c>
      <c r="J164" s="14" t="s">
        <v>3367</v>
      </c>
      <c r="K164" s="14" t="s">
        <v>207</v>
      </c>
      <c r="L164" s="14" t="s">
        <v>208</v>
      </c>
      <c r="M164" s="14" t="s">
        <v>296</v>
      </c>
      <c r="N164" s="14" t="s">
        <v>1052</v>
      </c>
      <c r="O164" s="14" t="s">
        <v>3368</v>
      </c>
      <c r="P164" s="14" t="s">
        <v>3369</v>
      </c>
      <c r="Q164" s="14" t="s">
        <v>166</v>
      </c>
      <c r="R164" s="14" t="s">
        <v>177</v>
      </c>
      <c r="S164" s="14" t="s">
        <v>178</v>
      </c>
      <c r="T164" s="14" t="s">
        <v>179</v>
      </c>
      <c r="U164" s="14" t="s">
        <v>3370</v>
      </c>
      <c r="V164" s="14" t="s">
        <v>3371</v>
      </c>
      <c r="W164" s="21" t="s">
        <v>3372</v>
      </c>
      <c r="X164" s="14" t="s">
        <v>3373</v>
      </c>
      <c r="Y164" s="14" t="s">
        <v>3374</v>
      </c>
      <c r="Z164" s="14" t="s">
        <v>3375</v>
      </c>
      <c r="AA164" s="14" t="s">
        <v>166</v>
      </c>
      <c r="AB164" s="14" t="s">
        <v>166</v>
      </c>
      <c r="AC164" s="14" t="s">
        <v>166</v>
      </c>
      <c r="AD164" s="14" t="s">
        <v>166</v>
      </c>
      <c r="AE164" s="14" t="s">
        <v>166</v>
      </c>
      <c r="AF164" s="14" t="s">
        <v>166</v>
      </c>
      <c r="AG164" s="14" t="s">
        <v>166</v>
      </c>
      <c r="AH164" s="21">
        <v>1</v>
      </c>
      <c r="AI164" s="3">
        <f>HYPERLINK("https://my.pitchbook.com/?d=186382-09T","186382-09T")</f>
      </c>
      <c r="AJ164" s="19" t="s">
        <v>166</v>
      </c>
      <c r="AK164" s="19">
        <v>44572</v>
      </c>
      <c r="AL164" s="18">
        <v>1.5</v>
      </c>
      <c r="AM164" s="14" t="s">
        <v>185</v>
      </c>
      <c r="AN164" s="18" t="s">
        <v>166</v>
      </c>
      <c r="AO164" s="18" t="s">
        <v>166</v>
      </c>
      <c r="AP164" s="14" t="s">
        <v>166</v>
      </c>
      <c r="AQ164" s="21" t="s">
        <v>166</v>
      </c>
      <c r="AR164" s="21" t="s">
        <v>166</v>
      </c>
      <c r="AS164" s="17" t="s">
        <v>166</v>
      </c>
      <c r="AT164" s="18">
        <v>1.5</v>
      </c>
      <c r="AU164" s="21" t="s">
        <v>186</v>
      </c>
      <c r="AV164" s="21" t="s">
        <v>166</v>
      </c>
      <c r="AW164" s="18" t="s">
        <v>166</v>
      </c>
      <c r="AX164" s="21" t="s">
        <v>166</v>
      </c>
      <c r="AY164" s="14" t="s">
        <v>217</v>
      </c>
      <c r="AZ164" s="14" t="s">
        <v>217</v>
      </c>
      <c r="BA164" s="14" t="s">
        <v>166</v>
      </c>
      <c r="BB164" s="21" t="s">
        <v>166</v>
      </c>
      <c r="BC164" s="14" t="s">
        <v>179</v>
      </c>
      <c r="BD164" s="14" t="s">
        <v>3376</v>
      </c>
      <c r="BE164" s="14" t="s">
        <v>189</v>
      </c>
      <c r="BF164" s="18">
        <v>1.5</v>
      </c>
      <c r="BG164" s="14" t="s">
        <v>190</v>
      </c>
      <c r="BH164" s="14" t="s">
        <v>166</v>
      </c>
      <c r="BI164" s="14" t="s">
        <v>166</v>
      </c>
      <c r="BJ164" s="18" t="s">
        <v>166</v>
      </c>
      <c r="BK164" s="18" t="s">
        <v>166</v>
      </c>
      <c r="BL164" s="14" t="s">
        <v>191</v>
      </c>
      <c r="BM164" s="14" t="s">
        <v>178</v>
      </c>
      <c r="BN164" s="14" t="s">
        <v>177</v>
      </c>
      <c r="BO164" s="22" t="s">
        <v>166</v>
      </c>
      <c r="BP164" s="14" t="s">
        <v>3377</v>
      </c>
      <c r="BQ164" s="21">
        <v>10</v>
      </c>
      <c r="BR164" s="14" t="s">
        <v>166</v>
      </c>
      <c r="BS164" s="21" t="s">
        <v>166</v>
      </c>
      <c r="BT164" s="14" t="s">
        <v>3378</v>
      </c>
      <c r="BU164" s="14" t="s">
        <v>166</v>
      </c>
      <c r="BV164" s="14" t="s">
        <v>166</v>
      </c>
      <c r="BW164" s="14" t="s">
        <v>166</v>
      </c>
      <c r="BX164" s="14" t="s">
        <v>166</v>
      </c>
      <c r="BY164" s="14" t="s">
        <v>166</v>
      </c>
      <c r="BZ164" s="14" t="s">
        <v>166</v>
      </c>
      <c r="CA164" s="14" t="s">
        <v>166</v>
      </c>
      <c r="CB164" s="14" t="s">
        <v>166</v>
      </c>
      <c r="CC164" s="14" t="s">
        <v>166</v>
      </c>
      <c r="CD164" s="14" t="s">
        <v>166</v>
      </c>
      <c r="CE164" s="18" t="s">
        <v>166</v>
      </c>
      <c r="CF164" s="16" t="s">
        <v>166</v>
      </c>
      <c r="CG164" s="17" t="s">
        <v>166</v>
      </c>
      <c r="CH164" s="16" t="s">
        <v>166</v>
      </c>
      <c r="CI164" s="16" t="s">
        <v>166</v>
      </c>
      <c r="CJ164" s="16" t="s">
        <v>166</v>
      </c>
      <c r="CK164" s="16" t="s">
        <v>166</v>
      </c>
      <c r="CL164" s="16" t="s">
        <v>166</v>
      </c>
      <c r="CM164" s="20" t="s">
        <v>166</v>
      </c>
      <c r="CN164" s="16" t="s">
        <v>166</v>
      </c>
      <c r="CO164" s="16" t="s">
        <v>166</v>
      </c>
      <c r="CP164" s="16" t="s">
        <v>166</v>
      </c>
      <c r="CQ164" s="16" t="s">
        <v>166</v>
      </c>
      <c r="CR164" s="16" t="s">
        <v>166</v>
      </c>
      <c r="CS164" s="16" t="s">
        <v>166</v>
      </c>
      <c r="CT164" s="16" t="s">
        <v>166</v>
      </c>
      <c r="CU164" s="16" t="s">
        <v>166</v>
      </c>
      <c r="CV164" s="16" t="s">
        <v>166</v>
      </c>
      <c r="CW164" s="16" t="s">
        <v>166</v>
      </c>
      <c r="CX164" s="16" t="s">
        <v>166</v>
      </c>
      <c r="CY164" s="16" t="s">
        <v>166</v>
      </c>
      <c r="CZ164" s="16" t="s">
        <v>166</v>
      </c>
      <c r="DA164" s="16" t="s">
        <v>166</v>
      </c>
      <c r="DB164" s="16" t="s">
        <v>166</v>
      </c>
      <c r="DC164" s="16" t="s">
        <v>166</v>
      </c>
      <c r="DD164" s="16" t="s">
        <v>166</v>
      </c>
      <c r="DE164" s="17" t="s">
        <v>166</v>
      </c>
      <c r="DF164" s="22">
        <v>16</v>
      </c>
      <c r="DG164" s="14" t="s">
        <v>309</v>
      </c>
      <c r="DH164" s="14" t="s">
        <v>193</v>
      </c>
      <c r="DI164" s="14" t="s">
        <v>194</v>
      </c>
      <c r="DJ164" s="14" t="s">
        <v>310</v>
      </c>
      <c r="DK164" s="14" t="s">
        <v>310</v>
      </c>
      <c r="DL164" s="21" t="s">
        <v>3379</v>
      </c>
      <c r="DM164" s="14" t="s">
        <v>198</v>
      </c>
      <c r="DN164" s="13" t="s">
        <v>3380</v>
      </c>
      <c r="DO164" s="20">
        <v>2021</v>
      </c>
      <c r="DP164" s="14" t="s">
        <v>166</v>
      </c>
      <c r="DQ164" s="14" t="s">
        <v>166</v>
      </c>
      <c r="DR164" s="18" t="s">
        <v>166</v>
      </c>
      <c r="DS164" s="16" t="s">
        <v>166</v>
      </c>
      <c r="DT164" s="19" t="s">
        <v>166</v>
      </c>
      <c r="DU164" s="14" t="s">
        <v>166</v>
      </c>
      <c r="DV164" s="18" t="s">
        <v>166</v>
      </c>
      <c r="DW164" s="18" t="s">
        <v>166</v>
      </c>
      <c r="DX164" s="16" t="s">
        <v>166</v>
      </c>
      <c r="DY164" s="16" t="s">
        <v>166</v>
      </c>
      <c r="DZ164" s="17" t="s">
        <v>166</v>
      </c>
      <c r="EA164" s="16" t="s">
        <v>166</v>
      </c>
      <c r="EB164" s="16" t="s">
        <v>166</v>
      </c>
      <c r="EC164" s="16" t="s">
        <v>166</v>
      </c>
      <c r="ED164" s="17" t="s">
        <v>166</v>
      </c>
      <c r="EE164" s="17" t="s">
        <v>166</v>
      </c>
      <c r="EF164" s="17" t="s">
        <v>166</v>
      </c>
      <c r="EG164" s="17" t="s">
        <v>166</v>
      </c>
      <c r="EH164" s="16" t="s">
        <v>166</v>
      </c>
      <c r="EI164" s="16" t="s">
        <v>166</v>
      </c>
      <c r="EJ164" s="16" t="s">
        <v>166</v>
      </c>
      <c r="EK164" s="16" t="s">
        <v>166</v>
      </c>
      <c r="EL164" s="16" t="s">
        <v>166</v>
      </c>
      <c r="EM164" s="16" t="s">
        <v>166</v>
      </c>
      <c r="EN164" s="16" t="s">
        <v>166</v>
      </c>
      <c r="EO164" s="16" t="s">
        <v>166</v>
      </c>
      <c r="EP164" s="16" t="s">
        <v>166</v>
      </c>
      <c r="EQ164" s="16" t="s">
        <v>166</v>
      </c>
      <c r="ER164" s="16" t="s">
        <v>166</v>
      </c>
      <c r="ES164" s="16" t="s">
        <v>166</v>
      </c>
      <c r="ET164" s="14" t="s">
        <v>166</v>
      </c>
      <c r="EU164" s="16" t="s">
        <v>166</v>
      </c>
      <c r="EV164" s="16" t="s">
        <v>166</v>
      </c>
      <c r="EW164" s="16" t="s">
        <v>166</v>
      </c>
      <c r="EX164" s="14" t="s">
        <v>190</v>
      </c>
      <c r="EY164" s="14" t="s">
        <v>166</v>
      </c>
      <c r="EZ164" s="16" t="s">
        <v>166</v>
      </c>
      <c r="FA164" s="15" t="s">
        <v>166</v>
      </c>
      <c r="FB164" s="15" t="s">
        <v>166</v>
      </c>
      <c r="FC164" s="15" t="s">
        <v>166</v>
      </c>
      <c r="FD164" s="15" t="s">
        <v>166</v>
      </c>
      <c r="FE164" s="15" t="s">
        <v>166</v>
      </c>
      <c r="FF164" s="15" t="s">
        <v>166</v>
      </c>
      <c r="FG164" s="14" t="s">
        <v>166</v>
      </c>
      <c r="FH164" s="3">
        <f>HYPERLINK("https://my.pitchbook.com?c=186382-09T","View Company Online")</f>
      </c>
    </row>
    <row r="165">
      <c r="A165" s="25" t="s">
        <v>3381</v>
      </c>
      <c r="B165" s="25" t="s">
        <v>3382</v>
      </c>
      <c r="C165" s="25" t="s">
        <v>3383</v>
      </c>
      <c r="D165" s="25" t="s">
        <v>166</v>
      </c>
      <c r="E165" s="34" t="s">
        <v>3384</v>
      </c>
      <c r="F165" s="32">
        <v>1</v>
      </c>
      <c r="G165" s="25" t="s">
        <v>3385</v>
      </c>
      <c r="H165" s="25" t="s">
        <v>166</v>
      </c>
      <c r="I165" s="25" t="s">
        <v>3386</v>
      </c>
      <c r="J165" s="25" t="s">
        <v>3387</v>
      </c>
      <c r="K165" s="25" t="s">
        <v>1455</v>
      </c>
      <c r="L165" s="25" t="s">
        <v>1984</v>
      </c>
      <c r="M165" s="25" t="s">
        <v>1985</v>
      </c>
      <c r="N165" s="25" t="s">
        <v>2661</v>
      </c>
      <c r="O165" s="25" t="s">
        <v>3388</v>
      </c>
      <c r="P165" s="25" t="s">
        <v>3389</v>
      </c>
      <c r="Q165" s="25" t="s">
        <v>166</v>
      </c>
      <c r="R165" s="25" t="s">
        <v>177</v>
      </c>
      <c r="S165" s="25" t="s">
        <v>178</v>
      </c>
      <c r="T165" s="25" t="s">
        <v>179</v>
      </c>
      <c r="U165" s="25" t="s">
        <v>3390</v>
      </c>
      <c r="V165" s="25" t="s">
        <v>3391</v>
      </c>
      <c r="W165" s="32" t="s">
        <v>3392</v>
      </c>
      <c r="X165" s="25" t="s">
        <v>3393</v>
      </c>
      <c r="Y165" s="25" t="s">
        <v>3394</v>
      </c>
      <c r="Z165" s="25" t="s">
        <v>3395</v>
      </c>
      <c r="AA165" s="25" t="s">
        <v>242</v>
      </c>
      <c r="AB165" s="25" t="s">
        <v>243</v>
      </c>
      <c r="AC165" s="25" t="s">
        <v>244</v>
      </c>
      <c r="AD165" s="25" t="s">
        <v>243</v>
      </c>
      <c r="AE165" s="25" t="s">
        <v>243</v>
      </c>
      <c r="AF165" s="25" t="s">
        <v>166</v>
      </c>
      <c r="AG165" s="25" t="s">
        <v>807</v>
      </c>
      <c r="AH165" s="32">
        <v>2</v>
      </c>
      <c r="AI165" s="4">
        <f>HYPERLINK("https://my.pitchbook.com/?d=131278-87T","131278-87T")</f>
      </c>
      <c r="AJ165" s="30">
        <v>43815</v>
      </c>
      <c r="AK165" s="30">
        <v>43865</v>
      </c>
      <c r="AL165" s="29">
        <v>0.26</v>
      </c>
      <c r="AM165" s="25" t="s">
        <v>185</v>
      </c>
      <c r="AN165" s="29">
        <v>3</v>
      </c>
      <c r="AO165" s="29">
        <v>3.26</v>
      </c>
      <c r="AP165" s="25" t="s">
        <v>185</v>
      </c>
      <c r="AQ165" s="32" t="s">
        <v>166</v>
      </c>
      <c r="AR165" s="32" t="s">
        <v>166</v>
      </c>
      <c r="AS165" s="28">
        <v>7.98</v>
      </c>
      <c r="AT165" s="29">
        <v>0.26</v>
      </c>
      <c r="AU165" s="32" t="s">
        <v>186</v>
      </c>
      <c r="AV165" s="32" t="s">
        <v>166</v>
      </c>
      <c r="AW165" s="29">
        <v>3.5</v>
      </c>
      <c r="AX165" s="32" t="s">
        <v>166</v>
      </c>
      <c r="AY165" s="25" t="s">
        <v>217</v>
      </c>
      <c r="AZ165" s="25" t="s">
        <v>217</v>
      </c>
      <c r="BA165" s="25" t="s">
        <v>166</v>
      </c>
      <c r="BB165" s="32" t="s">
        <v>166</v>
      </c>
      <c r="BC165" s="25" t="s">
        <v>179</v>
      </c>
      <c r="BD165" s="25" t="s">
        <v>3396</v>
      </c>
      <c r="BE165" s="25" t="s">
        <v>189</v>
      </c>
      <c r="BF165" s="29">
        <v>0.26</v>
      </c>
      <c r="BG165" s="25" t="s">
        <v>190</v>
      </c>
      <c r="BH165" s="25" t="s">
        <v>166</v>
      </c>
      <c r="BI165" s="25" t="s">
        <v>166</v>
      </c>
      <c r="BJ165" s="29" t="s">
        <v>166</v>
      </c>
      <c r="BK165" s="29" t="s">
        <v>166</v>
      </c>
      <c r="BL165" s="25" t="s">
        <v>191</v>
      </c>
      <c r="BM165" s="25" t="s">
        <v>178</v>
      </c>
      <c r="BN165" s="25" t="s">
        <v>177</v>
      </c>
      <c r="BO165" s="33" t="s">
        <v>166</v>
      </c>
      <c r="BP165" s="25" t="s">
        <v>3397</v>
      </c>
      <c r="BQ165" s="32">
        <v>1</v>
      </c>
      <c r="BR165" s="25" t="s">
        <v>166</v>
      </c>
      <c r="BS165" s="32" t="s">
        <v>166</v>
      </c>
      <c r="BT165" s="25" t="s">
        <v>3384</v>
      </c>
      <c r="BU165" s="25" t="s">
        <v>166</v>
      </c>
      <c r="BV165" s="25" t="s">
        <v>3398</v>
      </c>
      <c r="BW165" s="25" t="s">
        <v>166</v>
      </c>
      <c r="BX165" s="25" t="s">
        <v>166</v>
      </c>
      <c r="BY165" s="25" t="s">
        <v>166</v>
      </c>
      <c r="BZ165" s="25" t="s">
        <v>1327</v>
      </c>
      <c r="CA165" s="25" t="s">
        <v>1327</v>
      </c>
      <c r="CB165" s="25" t="s">
        <v>166</v>
      </c>
      <c r="CC165" s="25" t="s">
        <v>166</v>
      </c>
      <c r="CD165" s="25" t="s">
        <v>166</v>
      </c>
      <c r="CE165" s="29" t="s">
        <v>166</v>
      </c>
      <c r="CF165" s="27" t="s">
        <v>166</v>
      </c>
      <c r="CG165" s="28" t="s">
        <v>166</v>
      </c>
      <c r="CH165" s="27" t="s">
        <v>166</v>
      </c>
      <c r="CI165" s="27" t="s">
        <v>166</v>
      </c>
      <c r="CJ165" s="27" t="s">
        <v>166</v>
      </c>
      <c r="CK165" s="27" t="s">
        <v>166</v>
      </c>
      <c r="CL165" s="27" t="s">
        <v>166</v>
      </c>
      <c r="CM165" s="31" t="s">
        <v>166</v>
      </c>
      <c r="CN165" s="27" t="s">
        <v>166</v>
      </c>
      <c r="CO165" s="27" t="s">
        <v>166</v>
      </c>
      <c r="CP165" s="27" t="s">
        <v>166</v>
      </c>
      <c r="CQ165" s="27" t="s">
        <v>166</v>
      </c>
      <c r="CR165" s="27" t="s">
        <v>166</v>
      </c>
      <c r="CS165" s="27" t="s">
        <v>166</v>
      </c>
      <c r="CT165" s="27" t="s">
        <v>166</v>
      </c>
      <c r="CU165" s="27" t="s">
        <v>166</v>
      </c>
      <c r="CV165" s="27" t="s">
        <v>166</v>
      </c>
      <c r="CW165" s="27" t="s">
        <v>166</v>
      </c>
      <c r="CX165" s="27" t="s">
        <v>166</v>
      </c>
      <c r="CY165" s="27" t="s">
        <v>166</v>
      </c>
      <c r="CZ165" s="27" t="s">
        <v>166</v>
      </c>
      <c r="DA165" s="27" t="s">
        <v>166</v>
      </c>
      <c r="DB165" s="27" t="s">
        <v>166</v>
      </c>
      <c r="DC165" s="27" t="s">
        <v>166</v>
      </c>
      <c r="DD165" s="27" t="s">
        <v>166</v>
      </c>
      <c r="DE165" s="28" t="s">
        <v>166</v>
      </c>
      <c r="DF165" s="33">
        <v>11</v>
      </c>
      <c r="DG165" s="25" t="s">
        <v>309</v>
      </c>
      <c r="DH165" s="25" t="s">
        <v>193</v>
      </c>
      <c r="DI165" s="25" t="s">
        <v>194</v>
      </c>
      <c r="DJ165" s="25" t="s">
        <v>310</v>
      </c>
      <c r="DK165" s="25" t="s">
        <v>310</v>
      </c>
      <c r="DL165" s="32" t="s">
        <v>3343</v>
      </c>
      <c r="DM165" s="25" t="s">
        <v>198</v>
      </c>
      <c r="DN165" s="24" t="s">
        <v>3399</v>
      </c>
      <c r="DO165" s="31">
        <v>2019</v>
      </c>
      <c r="DP165" s="25" t="s">
        <v>166</v>
      </c>
      <c r="DQ165" s="25" t="s">
        <v>166</v>
      </c>
      <c r="DR165" s="29" t="s">
        <v>166</v>
      </c>
      <c r="DS165" s="27" t="s">
        <v>166</v>
      </c>
      <c r="DT165" s="30" t="s">
        <v>166</v>
      </c>
      <c r="DU165" s="25" t="s">
        <v>166</v>
      </c>
      <c r="DV165" s="29" t="s">
        <v>166</v>
      </c>
      <c r="DW165" s="29" t="s">
        <v>166</v>
      </c>
      <c r="DX165" s="27" t="s">
        <v>166</v>
      </c>
      <c r="DY165" s="27" t="s">
        <v>166</v>
      </c>
      <c r="DZ165" s="28" t="s">
        <v>166</v>
      </c>
      <c r="EA165" s="27" t="s">
        <v>166</v>
      </c>
      <c r="EB165" s="27" t="s">
        <v>166</v>
      </c>
      <c r="EC165" s="27" t="s">
        <v>166</v>
      </c>
      <c r="ED165" s="28" t="s">
        <v>166</v>
      </c>
      <c r="EE165" s="28" t="s">
        <v>166</v>
      </c>
      <c r="EF165" s="28" t="s">
        <v>166</v>
      </c>
      <c r="EG165" s="28" t="s">
        <v>166</v>
      </c>
      <c r="EH165" s="27" t="s">
        <v>166</v>
      </c>
      <c r="EI165" s="27" t="s">
        <v>166</v>
      </c>
      <c r="EJ165" s="27" t="s">
        <v>166</v>
      </c>
      <c r="EK165" s="27" t="s">
        <v>166</v>
      </c>
      <c r="EL165" s="27" t="s">
        <v>166</v>
      </c>
      <c r="EM165" s="27" t="s">
        <v>166</v>
      </c>
      <c r="EN165" s="27" t="s">
        <v>166</v>
      </c>
      <c r="EO165" s="27" t="s">
        <v>166</v>
      </c>
      <c r="EP165" s="27" t="s">
        <v>166</v>
      </c>
      <c r="EQ165" s="27" t="s">
        <v>166</v>
      </c>
      <c r="ER165" s="27" t="s">
        <v>166</v>
      </c>
      <c r="ES165" s="27" t="s">
        <v>166</v>
      </c>
      <c r="ET165" s="25" t="s">
        <v>166</v>
      </c>
      <c r="EU165" s="27" t="s">
        <v>166</v>
      </c>
      <c r="EV165" s="27" t="s">
        <v>166</v>
      </c>
      <c r="EW165" s="27" t="s">
        <v>166</v>
      </c>
      <c r="EX165" s="25" t="s">
        <v>190</v>
      </c>
      <c r="EY165" s="25" t="s">
        <v>166</v>
      </c>
      <c r="EZ165" s="27" t="s">
        <v>166</v>
      </c>
      <c r="FA165" s="26" t="s">
        <v>166</v>
      </c>
      <c r="FB165" s="26" t="s">
        <v>166</v>
      </c>
      <c r="FC165" s="26" t="s">
        <v>166</v>
      </c>
      <c r="FD165" s="26" t="s">
        <v>166</v>
      </c>
      <c r="FE165" s="26" t="s">
        <v>166</v>
      </c>
      <c r="FF165" s="26" t="s">
        <v>166</v>
      </c>
      <c r="FG165" s="25" t="s">
        <v>166</v>
      </c>
      <c r="FH165" s="4">
        <f>HYPERLINK("https://my.pitchbook.com?c=131278-87T","View Company Online")</f>
      </c>
    </row>
    <row r="166">
      <c r="A166" s="14" t="s">
        <v>3400</v>
      </c>
      <c r="B166" s="14" t="s">
        <v>3401</v>
      </c>
      <c r="C166" s="14" t="s">
        <v>3402</v>
      </c>
      <c r="D166" s="14" t="s">
        <v>166</v>
      </c>
      <c r="E166" s="23" t="s">
        <v>3403</v>
      </c>
      <c r="F166" s="21">
        <v>1</v>
      </c>
      <c r="G166" s="14" t="s">
        <v>3404</v>
      </c>
      <c r="H166" s="14" t="s">
        <v>166</v>
      </c>
      <c r="I166" s="14" t="s">
        <v>3405</v>
      </c>
      <c r="J166" s="14" t="s">
        <v>3406</v>
      </c>
      <c r="K166" s="14" t="s">
        <v>207</v>
      </c>
      <c r="L166" s="14" t="s">
        <v>208</v>
      </c>
      <c r="M166" s="14" t="s">
        <v>209</v>
      </c>
      <c r="N166" s="14" t="s">
        <v>3407</v>
      </c>
      <c r="O166" s="14" t="s">
        <v>3408</v>
      </c>
      <c r="P166" s="14" t="s">
        <v>3409</v>
      </c>
      <c r="Q166" s="14" t="s">
        <v>166</v>
      </c>
      <c r="R166" s="14" t="s">
        <v>177</v>
      </c>
      <c r="S166" s="14" t="s">
        <v>178</v>
      </c>
      <c r="T166" s="14" t="s">
        <v>179</v>
      </c>
      <c r="U166" s="14" t="s">
        <v>3410</v>
      </c>
      <c r="V166" s="14" t="s">
        <v>3411</v>
      </c>
      <c r="W166" s="21" t="s">
        <v>3412</v>
      </c>
      <c r="X166" s="14" t="s">
        <v>3413</v>
      </c>
      <c r="Y166" s="14" t="s">
        <v>3414</v>
      </c>
      <c r="Z166" s="14" t="s">
        <v>3415</v>
      </c>
      <c r="AA166" s="14" t="s">
        <v>166</v>
      </c>
      <c r="AB166" s="14" t="s">
        <v>166</v>
      </c>
      <c r="AC166" s="14" t="s">
        <v>244</v>
      </c>
      <c r="AD166" s="14" t="s">
        <v>243</v>
      </c>
      <c r="AE166" s="14" t="s">
        <v>243</v>
      </c>
      <c r="AF166" s="14" t="s">
        <v>166</v>
      </c>
      <c r="AG166" s="14" t="s">
        <v>166</v>
      </c>
      <c r="AH166" s="21">
        <v>1</v>
      </c>
      <c r="AI166" s="3">
        <f>HYPERLINK("https://my.pitchbook.com/?d=178506-19T","178506-19T")</f>
      </c>
      <c r="AJ166" s="19">
        <v>44421</v>
      </c>
      <c r="AK166" s="19">
        <v>44426</v>
      </c>
      <c r="AL166" s="18">
        <v>13.06</v>
      </c>
      <c r="AM166" s="14" t="s">
        <v>185</v>
      </c>
      <c r="AN166" s="18">
        <v>20</v>
      </c>
      <c r="AO166" s="18">
        <v>33.06</v>
      </c>
      <c r="AP166" s="14" t="s">
        <v>185</v>
      </c>
      <c r="AQ166" s="21" t="s">
        <v>166</v>
      </c>
      <c r="AR166" s="21" t="s">
        <v>166</v>
      </c>
      <c r="AS166" s="17">
        <v>48.84</v>
      </c>
      <c r="AT166" s="18">
        <v>13.06</v>
      </c>
      <c r="AU166" s="21" t="s">
        <v>186</v>
      </c>
      <c r="AV166" s="21" t="s">
        <v>166</v>
      </c>
      <c r="AW166" s="18">
        <v>5.23</v>
      </c>
      <c r="AX166" s="21" t="s">
        <v>248</v>
      </c>
      <c r="AY166" s="14" t="s">
        <v>187</v>
      </c>
      <c r="AZ166" s="14" t="s">
        <v>248</v>
      </c>
      <c r="BA166" s="14" t="s">
        <v>166</v>
      </c>
      <c r="BB166" s="21" t="s">
        <v>166</v>
      </c>
      <c r="BC166" s="14" t="s">
        <v>179</v>
      </c>
      <c r="BD166" s="14" t="s">
        <v>3416</v>
      </c>
      <c r="BE166" s="14" t="s">
        <v>189</v>
      </c>
      <c r="BF166" s="18">
        <v>13.06</v>
      </c>
      <c r="BG166" s="14" t="s">
        <v>190</v>
      </c>
      <c r="BH166" s="14" t="s">
        <v>166</v>
      </c>
      <c r="BI166" s="14" t="s">
        <v>166</v>
      </c>
      <c r="BJ166" s="18" t="s">
        <v>166</v>
      </c>
      <c r="BK166" s="18" t="s">
        <v>166</v>
      </c>
      <c r="BL166" s="14" t="s">
        <v>191</v>
      </c>
      <c r="BM166" s="14" t="s">
        <v>178</v>
      </c>
      <c r="BN166" s="14" t="s">
        <v>177</v>
      </c>
      <c r="BO166" s="22" t="s">
        <v>166</v>
      </c>
      <c r="BP166" s="14" t="s">
        <v>3417</v>
      </c>
      <c r="BQ166" s="21">
        <v>1</v>
      </c>
      <c r="BR166" s="14" t="s">
        <v>166</v>
      </c>
      <c r="BS166" s="21" t="s">
        <v>166</v>
      </c>
      <c r="BT166" s="14" t="s">
        <v>3403</v>
      </c>
      <c r="BU166" s="14" t="s">
        <v>166</v>
      </c>
      <c r="BV166" s="14" t="s">
        <v>166</v>
      </c>
      <c r="BW166" s="14" t="s">
        <v>166</v>
      </c>
      <c r="BX166" s="14" t="s">
        <v>166</v>
      </c>
      <c r="BY166" s="14" t="s">
        <v>166</v>
      </c>
      <c r="BZ166" s="14" t="s">
        <v>3418</v>
      </c>
      <c r="CA166" s="14" t="s">
        <v>3418</v>
      </c>
      <c r="CB166" s="14" t="s">
        <v>166</v>
      </c>
      <c r="CC166" s="14" t="s">
        <v>166</v>
      </c>
      <c r="CD166" s="14" t="s">
        <v>166</v>
      </c>
      <c r="CE166" s="18" t="s">
        <v>166</v>
      </c>
      <c r="CF166" s="16" t="s">
        <v>166</v>
      </c>
      <c r="CG166" s="17" t="s">
        <v>166</v>
      </c>
      <c r="CH166" s="16" t="s">
        <v>166</v>
      </c>
      <c r="CI166" s="16" t="s">
        <v>166</v>
      </c>
      <c r="CJ166" s="16" t="s">
        <v>166</v>
      </c>
      <c r="CK166" s="16" t="s">
        <v>166</v>
      </c>
      <c r="CL166" s="16" t="s">
        <v>166</v>
      </c>
      <c r="CM166" s="20" t="s">
        <v>166</v>
      </c>
      <c r="CN166" s="16" t="s">
        <v>166</v>
      </c>
      <c r="CO166" s="16" t="s">
        <v>166</v>
      </c>
      <c r="CP166" s="16" t="s">
        <v>166</v>
      </c>
      <c r="CQ166" s="16" t="s">
        <v>166</v>
      </c>
      <c r="CR166" s="16" t="s">
        <v>166</v>
      </c>
      <c r="CS166" s="16" t="s">
        <v>166</v>
      </c>
      <c r="CT166" s="16" t="s">
        <v>166</v>
      </c>
      <c r="CU166" s="16" t="s">
        <v>166</v>
      </c>
      <c r="CV166" s="16" t="s">
        <v>166</v>
      </c>
      <c r="CW166" s="16" t="s">
        <v>166</v>
      </c>
      <c r="CX166" s="16" t="s">
        <v>166</v>
      </c>
      <c r="CY166" s="16" t="s">
        <v>166</v>
      </c>
      <c r="CZ166" s="16" t="s">
        <v>166</v>
      </c>
      <c r="DA166" s="16" t="s">
        <v>166</v>
      </c>
      <c r="DB166" s="16" t="s">
        <v>166</v>
      </c>
      <c r="DC166" s="16" t="s">
        <v>166</v>
      </c>
      <c r="DD166" s="16" t="s">
        <v>166</v>
      </c>
      <c r="DE166" s="17" t="s">
        <v>166</v>
      </c>
      <c r="DF166" s="22">
        <v>34</v>
      </c>
      <c r="DG166" s="14" t="s">
        <v>3016</v>
      </c>
      <c r="DH166" s="14" t="s">
        <v>193</v>
      </c>
      <c r="DI166" s="14" t="s">
        <v>194</v>
      </c>
      <c r="DJ166" s="14" t="s">
        <v>3017</v>
      </c>
      <c r="DK166" s="14" t="s">
        <v>2369</v>
      </c>
      <c r="DL166" s="21" t="s">
        <v>3419</v>
      </c>
      <c r="DM166" s="14" t="s">
        <v>198</v>
      </c>
      <c r="DN166" s="13" t="s">
        <v>3420</v>
      </c>
      <c r="DO166" s="20">
        <v>2018</v>
      </c>
      <c r="DP166" s="14" t="s">
        <v>166</v>
      </c>
      <c r="DQ166" s="14" t="s">
        <v>166</v>
      </c>
      <c r="DR166" s="18" t="s">
        <v>166</v>
      </c>
      <c r="DS166" s="16" t="s">
        <v>166</v>
      </c>
      <c r="DT166" s="19" t="s">
        <v>166</v>
      </c>
      <c r="DU166" s="14" t="s">
        <v>166</v>
      </c>
      <c r="DV166" s="18" t="s">
        <v>166</v>
      </c>
      <c r="DW166" s="18" t="s">
        <v>166</v>
      </c>
      <c r="DX166" s="16" t="s">
        <v>166</v>
      </c>
      <c r="DY166" s="16" t="s">
        <v>166</v>
      </c>
      <c r="DZ166" s="17" t="s">
        <v>166</v>
      </c>
      <c r="EA166" s="16" t="s">
        <v>166</v>
      </c>
      <c r="EB166" s="16" t="s">
        <v>166</v>
      </c>
      <c r="EC166" s="16" t="s">
        <v>166</v>
      </c>
      <c r="ED166" s="17" t="s">
        <v>166</v>
      </c>
      <c r="EE166" s="17" t="s">
        <v>166</v>
      </c>
      <c r="EF166" s="17" t="s">
        <v>166</v>
      </c>
      <c r="EG166" s="17" t="s">
        <v>166</v>
      </c>
      <c r="EH166" s="16" t="s">
        <v>166</v>
      </c>
      <c r="EI166" s="16" t="s">
        <v>166</v>
      </c>
      <c r="EJ166" s="16" t="s">
        <v>166</v>
      </c>
      <c r="EK166" s="16" t="s">
        <v>166</v>
      </c>
      <c r="EL166" s="16" t="s">
        <v>166</v>
      </c>
      <c r="EM166" s="16" t="s">
        <v>166</v>
      </c>
      <c r="EN166" s="16" t="s">
        <v>166</v>
      </c>
      <c r="EO166" s="16" t="s">
        <v>166</v>
      </c>
      <c r="EP166" s="16" t="s">
        <v>166</v>
      </c>
      <c r="EQ166" s="16" t="s">
        <v>166</v>
      </c>
      <c r="ER166" s="16" t="s">
        <v>166</v>
      </c>
      <c r="ES166" s="16" t="s">
        <v>166</v>
      </c>
      <c r="ET166" s="14" t="s">
        <v>166</v>
      </c>
      <c r="EU166" s="16" t="s">
        <v>166</v>
      </c>
      <c r="EV166" s="16" t="s">
        <v>166</v>
      </c>
      <c r="EW166" s="16" t="s">
        <v>166</v>
      </c>
      <c r="EX166" s="14" t="s">
        <v>190</v>
      </c>
      <c r="EY166" s="14" t="s">
        <v>166</v>
      </c>
      <c r="EZ166" s="16" t="s">
        <v>166</v>
      </c>
      <c r="FA166" s="15">
        <v>3</v>
      </c>
      <c r="FB166" s="15">
        <v>1</v>
      </c>
      <c r="FC166" s="15">
        <v>1</v>
      </c>
      <c r="FD166" s="15">
        <v>2</v>
      </c>
      <c r="FE166" s="15" t="s">
        <v>166</v>
      </c>
      <c r="FF166" s="15" t="s">
        <v>166</v>
      </c>
      <c r="FG166" s="14" t="s">
        <v>775</v>
      </c>
      <c r="FH166" s="3">
        <f>HYPERLINK("https://my.pitchbook.com?c=178506-19T","View Company Online")</f>
      </c>
    </row>
    <row r="167">
      <c r="A167" s="25" t="s">
        <v>3421</v>
      </c>
      <c r="B167" s="25" t="s">
        <v>3422</v>
      </c>
      <c r="C167" s="25" t="s">
        <v>3423</v>
      </c>
      <c r="D167" s="25" t="s">
        <v>166</v>
      </c>
      <c r="E167" s="34" t="s">
        <v>3424</v>
      </c>
      <c r="F167" s="32">
        <v>14</v>
      </c>
      <c r="G167" s="25" t="s">
        <v>3425</v>
      </c>
      <c r="H167" s="25" t="s">
        <v>166</v>
      </c>
      <c r="I167" s="25" t="s">
        <v>3426</v>
      </c>
      <c r="J167" s="25" t="s">
        <v>3427</v>
      </c>
      <c r="K167" s="25" t="s">
        <v>207</v>
      </c>
      <c r="L167" s="25" t="s">
        <v>208</v>
      </c>
      <c r="M167" s="25" t="s">
        <v>209</v>
      </c>
      <c r="N167" s="25" t="s">
        <v>684</v>
      </c>
      <c r="O167" s="25" t="s">
        <v>211</v>
      </c>
      <c r="P167" s="25" t="s">
        <v>3428</v>
      </c>
      <c r="Q167" s="25" t="s">
        <v>166</v>
      </c>
      <c r="R167" s="25" t="s">
        <v>177</v>
      </c>
      <c r="S167" s="25" t="s">
        <v>178</v>
      </c>
      <c r="T167" s="25" t="s">
        <v>179</v>
      </c>
      <c r="U167" s="25" t="s">
        <v>3429</v>
      </c>
      <c r="V167" s="25" t="s">
        <v>3430</v>
      </c>
      <c r="W167" s="32" t="s">
        <v>166</v>
      </c>
      <c r="X167" s="25" t="s">
        <v>166</v>
      </c>
      <c r="Y167" s="25" t="s">
        <v>3431</v>
      </c>
      <c r="Z167" s="25" t="s">
        <v>3432</v>
      </c>
      <c r="AA167" s="25" t="s">
        <v>166</v>
      </c>
      <c r="AB167" s="25" t="s">
        <v>166</v>
      </c>
      <c r="AC167" s="25" t="s">
        <v>166</v>
      </c>
      <c r="AD167" s="25" t="s">
        <v>166</v>
      </c>
      <c r="AE167" s="25" t="s">
        <v>166</v>
      </c>
      <c r="AF167" s="25" t="s">
        <v>166</v>
      </c>
      <c r="AG167" s="25" t="s">
        <v>166</v>
      </c>
      <c r="AH167" s="32">
        <v>1</v>
      </c>
      <c r="AI167" s="4">
        <f>HYPERLINK("https://my.pitchbook.com/?d=194184-55T","194184-55T")</f>
      </c>
      <c r="AJ167" s="30" t="s">
        <v>166</v>
      </c>
      <c r="AK167" s="30">
        <v>44698</v>
      </c>
      <c r="AL167" s="29">
        <v>4.87</v>
      </c>
      <c r="AM167" s="25" t="s">
        <v>185</v>
      </c>
      <c r="AN167" s="29">
        <v>20.13</v>
      </c>
      <c r="AO167" s="29">
        <v>25</v>
      </c>
      <c r="AP167" s="25" t="s">
        <v>185</v>
      </c>
      <c r="AQ167" s="32" t="s">
        <v>166</v>
      </c>
      <c r="AR167" s="32" t="s">
        <v>166</v>
      </c>
      <c r="AS167" s="28">
        <v>27.45</v>
      </c>
      <c r="AT167" s="29">
        <v>4.87</v>
      </c>
      <c r="AU167" s="32" t="s">
        <v>186</v>
      </c>
      <c r="AV167" s="32" t="s">
        <v>166</v>
      </c>
      <c r="AW167" s="29">
        <v>2.02</v>
      </c>
      <c r="AX167" s="32" t="s">
        <v>166</v>
      </c>
      <c r="AY167" s="25" t="s">
        <v>217</v>
      </c>
      <c r="AZ167" s="25" t="s">
        <v>217</v>
      </c>
      <c r="BA167" s="25" t="s">
        <v>166</v>
      </c>
      <c r="BB167" s="32" t="s">
        <v>166</v>
      </c>
      <c r="BC167" s="25" t="s">
        <v>179</v>
      </c>
      <c r="BD167" s="25" t="s">
        <v>3433</v>
      </c>
      <c r="BE167" s="25" t="s">
        <v>189</v>
      </c>
      <c r="BF167" s="29">
        <v>4.87</v>
      </c>
      <c r="BG167" s="25" t="s">
        <v>190</v>
      </c>
      <c r="BH167" s="25" t="s">
        <v>166</v>
      </c>
      <c r="BI167" s="25" t="s">
        <v>166</v>
      </c>
      <c r="BJ167" s="29" t="s">
        <v>166</v>
      </c>
      <c r="BK167" s="29" t="s">
        <v>166</v>
      </c>
      <c r="BL167" s="25" t="s">
        <v>191</v>
      </c>
      <c r="BM167" s="25" t="s">
        <v>178</v>
      </c>
      <c r="BN167" s="25" t="s">
        <v>177</v>
      </c>
      <c r="BO167" s="33" t="s">
        <v>166</v>
      </c>
      <c r="BP167" s="25" t="s">
        <v>3434</v>
      </c>
      <c r="BQ167" s="32">
        <v>14</v>
      </c>
      <c r="BR167" s="25" t="s">
        <v>166</v>
      </c>
      <c r="BS167" s="32" t="s">
        <v>166</v>
      </c>
      <c r="BT167" s="25" t="s">
        <v>166</v>
      </c>
      <c r="BU167" s="25" t="s">
        <v>166</v>
      </c>
      <c r="BV167" s="25" t="s">
        <v>3435</v>
      </c>
      <c r="BW167" s="25" t="s">
        <v>166</v>
      </c>
      <c r="BX167" s="25" t="s">
        <v>166</v>
      </c>
      <c r="BY167" s="25" t="s">
        <v>166</v>
      </c>
      <c r="BZ167" s="25" t="s">
        <v>3436</v>
      </c>
      <c r="CA167" s="25" t="s">
        <v>166</v>
      </c>
      <c r="CB167" s="25" t="s">
        <v>166</v>
      </c>
      <c r="CC167" s="25" t="s">
        <v>3436</v>
      </c>
      <c r="CD167" s="25" t="s">
        <v>166</v>
      </c>
      <c r="CE167" s="29" t="s">
        <v>166</v>
      </c>
      <c r="CF167" s="27" t="s">
        <v>166</v>
      </c>
      <c r="CG167" s="28" t="s">
        <v>166</v>
      </c>
      <c r="CH167" s="27" t="s">
        <v>166</v>
      </c>
      <c r="CI167" s="27" t="s">
        <v>166</v>
      </c>
      <c r="CJ167" s="27" t="s">
        <v>166</v>
      </c>
      <c r="CK167" s="27" t="s">
        <v>166</v>
      </c>
      <c r="CL167" s="27" t="s">
        <v>166</v>
      </c>
      <c r="CM167" s="31" t="s">
        <v>166</v>
      </c>
      <c r="CN167" s="27" t="s">
        <v>166</v>
      </c>
      <c r="CO167" s="27" t="s">
        <v>166</v>
      </c>
      <c r="CP167" s="27" t="s">
        <v>166</v>
      </c>
      <c r="CQ167" s="27" t="s">
        <v>166</v>
      </c>
      <c r="CR167" s="27" t="s">
        <v>166</v>
      </c>
      <c r="CS167" s="27" t="s">
        <v>166</v>
      </c>
      <c r="CT167" s="27" t="s">
        <v>166</v>
      </c>
      <c r="CU167" s="27" t="s">
        <v>166</v>
      </c>
      <c r="CV167" s="27" t="s">
        <v>166</v>
      </c>
      <c r="CW167" s="27" t="s">
        <v>166</v>
      </c>
      <c r="CX167" s="27" t="s">
        <v>166</v>
      </c>
      <c r="CY167" s="27" t="s">
        <v>166</v>
      </c>
      <c r="CZ167" s="27" t="s">
        <v>166</v>
      </c>
      <c r="DA167" s="27" t="s">
        <v>166</v>
      </c>
      <c r="DB167" s="27" t="s">
        <v>166</v>
      </c>
      <c r="DC167" s="27" t="s">
        <v>166</v>
      </c>
      <c r="DD167" s="27" t="s">
        <v>166</v>
      </c>
      <c r="DE167" s="28" t="s">
        <v>166</v>
      </c>
      <c r="DF167" s="33">
        <v>9</v>
      </c>
      <c r="DG167" s="25" t="s">
        <v>360</v>
      </c>
      <c r="DH167" s="25" t="s">
        <v>193</v>
      </c>
      <c r="DI167" s="25" t="s">
        <v>194</v>
      </c>
      <c r="DJ167" s="25" t="s">
        <v>361</v>
      </c>
      <c r="DK167" s="25" t="s">
        <v>196</v>
      </c>
      <c r="DL167" s="32" t="s">
        <v>809</v>
      </c>
      <c r="DM167" s="25" t="s">
        <v>198</v>
      </c>
      <c r="DN167" s="24" t="s">
        <v>3437</v>
      </c>
      <c r="DO167" s="31">
        <v>2021</v>
      </c>
      <c r="DP167" s="25" t="s">
        <v>166</v>
      </c>
      <c r="DQ167" s="25" t="s">
        <v>166</v>
      </c>
      <c r="DR167" s="29" t="s">
        <v>166</v>
      </c>
      <c r="DS167" s="27" t="s">
        <v>166</v>
      </c>
      <c r="DT167" s="30" t="s">
        <v>166</v>
      </c>
      <c r="DU167" s="25" t="s">
        <v>166</v>
      </c>
      <c r="DV167" s="29" t="s">
        <v>166</v>
      </c>
      <c r="DW167" s="29" t="s">
        <v>166</v>
      </c>
      <c r="DX167" s="27" t="s">
        <v>166</v>
      </c>
      <c r="DY167" s="27" t="s">
        <v>166</v>
      </c>
      <c r="DZ167" s="28" t="s">
        <v>166</v>
      </c>
      <c r="EA167" s="27" t="s">
        <v>166</v>
      </c>
      <c r="EB167" s="27" t="s">
        <v>166</v>
      </c>
      <c r="EC167" s="27" t="s">
        <v>166</v>
      </c>
      <c r="ED167" s="28" t="s">
        <v>166</v>
      </c>
      <c r="EE167" s="28" t="s">
        <v>166</v>
      </c>
      <c r="EF167" s="28" t="s">
        <v>166</v>
      </c>
      <c r="EG167" s="28" t="s">
        <v>166</v>
      </c>
      <c r="EH167" s="27" t="s">
        <v>166</v>
      </c>
      <c r="EI167" s="27" t="s">
        <v>166</v>
      </c>
      <c r="EJ167" s="27" t="s">
        <v>166</v>
      </c>
      <c r="EK167" s="27" t="s">
        <v>166</v>
      </c>
      <c r="EL167" s="27" t="s">
        <v>166</v>
      </c>
      <c r="EM167" s="27" t="s">
        <v>166</v>
      </c>
      <c r="EN167" s="27" t="s">
        <v>166</v>
      </c>
      <c r="EO167" s="27" t="s">
        <v>166</v>
      </c>
      <c r="EP167" s="27" t="s">
        <v>166</v>
      </c>
      <c r="EQ167" s="27" t="s">
        <v>166</v>
      </c>
      <c r="ER167" s="27" t="s">
        <v>166</v>
      </c>
      <c r="ES167" s="27" t="s">
        <v>166</v>
      </c>
      <c r="ET167" s="25" t="s">
        <v>166</v>
      </c>
      <c r="EU167" s="27" t="s">
        <v>166</v>
      </c>
      <c r="EV167" s="27" t="s">
        <v>166</v>
      </c>
      <c r="EW167" s="27" t="s">
        <v>166</v>
      </c>
      <c r="EX167" s="25" t="s">
        <v>190</v>
      </c>
      <c r="EY167" s="25" t="s">
        <v>166</v>
      </c>
      <c r="EZ167" s="27" t="s">
        <v>166</v>
      </c>
      <c r="FA167" s="26" t="s">
        <v>166</v>
      </c>
      <c r="FB167" s="26" t="s">
        <v>166</v>
      </c>
      <c r="FC167" s="26" t="s">
        <v>166</v>
      </c>
      <c r="FD167" s="26" t="s">
        <v>166</v>
      </c>
      <c r="FE167" s="26" t="s">
        <v>166</v>
      </c>
      <c r="FF167" s="26" t="s">
        <v>166</v>
      </c>
      <c r="FG167" s="25" t="s">
        <v>166</v>
      </c>
      <c r="FH167" s="4">
        <f>HYPERLINK("https://my.pitchbook.com?c=194184-55T","View Company Online")</f>
      </c>
    </row>
    <row r="168">
      <c r="A168" s="14" t="s">
        <v>3438</v>
      </c>
      <c r="B168" s="14" t="s">
        <v>3439</v>
      </c>
      <c r="C168" s="14" t="s">
        <v>3440</v>
      </c>
      <c r="D168" s="14" t="s">
        <v>166</v>
      </c>
      <c r="E168" s="23" t="s">
        <v>3441</v>
      </c>
      <c r="F168" s="21">
        <v>16</v>
      </c>
      <c r="G168" s="14" t="s">
        <v>3442</v>
      </c>
      <c r="H168" s="14" t="s">
        <v>166</v>
      </c>
      <c r="I168" s="14" t="s">
        <v>3443</v>
      </c>
      <c r="J168" s="14" t="s">
        <v>3444</v>
      </c>
      <c r="K168" s="14" t="s">
        <v>1455</v>
      </c>
      <c r="L168" s="14" t="s">
        <v>1456</v>
      </c>
      <c r="M168" s="14" t="s">
        <v>3445</v>
      </c>
      <c r="N168" s="14" t="s">
        <v>3446</v>
      </c>
      <c r="O168" s="14" t="s">
        <v>3447</v>
      </c>
      <c r="P168" s="14" t="s">
        <v>3448</v>
      </c>
      <c r="Q168" s="14" t="s">
        <v>166</v>
      </c>
      <c r="R168" s="14" t="s">
        <v>177</v>
      </c>
      <c r="S168" s="14" t="s">
        <v>178</v>
      </c>
      <c r="T168" s="14" t="s">
        <v>1401</v>
      </c>
      <c r="U168" s="14" t="s">
        <v>3449</v>
      </c>
      <c r="V168" s="14" t="s">
        <v>3450</v>
      </c>
      <c r="W168" s="21" t="s">
        <v>3451</v>
      </c>
      <c r="X168" s="14" t="s">
        <v>3452</v>
      </c>
      <c r="Y168" s="14" t="s">
        <v>3453</v>
      </c>
      <c r="Z168" s="14" t="s">
        <v>166</v>
      </c>
      <c r="AA168" s="14" t="s">
        <v>242</v>
      </c>
      <c r="AB168" s="14" t="s">
        <v>243</v>
      </c>
      <c r="AC168" s="14" t="s">
        <v>244</v>
      </c>
      <c r="AD168" s="14" t="s">
        <v>243</v>
      </c>
      <c r="AE168" s="14" t="s">
        <v>243</v>
      </c>
      <c r="AF168" s="14" t="s">
        <v>166</v>
      </c>
      <c r="AG168" s="14" t="s">
        <v>246</v>
      </c>
      <c r="AH168" s="21">
        <v>3</v>
      </c>
      <c r="AI168" s="3">
        <f>HYPERLINK("https://my.pitchbook.com/?d=189170-02T","189170-02T")</f>
      </c>
      <c r="AJ168" s="19">
        <v>44579</v>
      </c>
      <c r="AK168" s="19">
        <v>44616</v>
      </c>
      <c r="AL168" s="18">
        <v>37</v>
      </c>
      <c r="AM168" s="14" t="s">
        <v>185</v>
      </c>
      <c r="AN168" s="18">
        <v>164</v>
      </c>
      <c r="AO168" s="18">
        <v>189.2</v>
      </c>
      <c r="AP168" s="14" t="s">
        <v>185</v>
      </c>
      <c r="AQ168" s="21" t="s">
        <v>166</v>
      </c>
      <c r="AR168" s="21" t="s">
        <v>166</v>
      </c>
      <c r="AS168" s="17">
        <v>32.07</v>
      </c>
      <c r="AT168" s="18">
        <v>37.75</v>
      </c>
      <c r="AU168" s="21" t="s">
        <v>186</v>
      </c>
      <c r="AV168" s="21" t="s">
        <v>166</v>
      </c>
      <c r="AW168" s="18">
        <v>7.87</v>
      </c>
      <c r="AX168" s="21" t="s">
        <v>248</v>
      </c>
      <c r="AY168" s="14" t="s">
        <v>187</v>
      </c>
      <c r="AZ168" s="14" t="s">
        <v>248</v>
      </c>
      <c r="BA168" s="14" t="s">
        <v>166</v>
      </c>
      <c r="BB168" s="21" t="s">
        <v>166</v>
      </c>
      <c r="BC168" s="14" t="s">
        <v>179</v>
      </c>
      <c r="BD168" s="14" t="s">
        <v>3454</v>
      </c>
      <c r="BE168" s="14" t="s">
        <v>189</v>
      </c>
      <c r="BF168" s="18">
        <v>25.2</v>
      </c>
      <c r="BG168" s="14" t="s">
        <v>190</v>
      </c>
      <c r="BH168" s="14" t="s">
        <v>166</v>
      </c>
      <c r="BI168" s="14" t="s">
        <v>166</v>
      </c>
      <c r="BJ168" s="18">
        <v>11.8</v>
      </c>
      <c r="BK168" s="18" t="s">
        <v>166</v>
      </c>
      <c r="BL168" s="14" t="s">
        <v>191</v>
      </c>
      <c r="BM168" s="14" t="s">
        <v>178</v>
      </c>
      <c r="BN168" s="14" t="s">
        <v>177</v>
      </c>
      <c r="BO168" s="22">
        <v>84</v>
      </c>
      <c r="BP168" s="14" t="s">
        <v>3455</v>
      </c>
      <c r="BQ168" s="21">
        <v>16</v>
      </c>
      <c r="BR168" s="14" t="s">
        <v>166</v>
      </c>
      <c r="BS168" s="21" t="s">
        <v>166</v>
      </c>
      <c r="BT168" s="14" t="s">
        <v>3456</v>
      </c>
      <c r="BU168" s="14" t="s">
        <v>166</v>
      </c>
      <c r="BV168" s="14" t="s">
        <v>3457</v>
      </c>
      <c r="BW168" s="14" t="s">
        <v>166</v>
      </c>
      <c r="BX168" s="14" t="s">
        <v>166</v>
      </c>
      <c r="BY168" s="14" t="s">
        <v>166</v>
      </c>
      <c r="BZ168" s="14" t="s">
        <v>3458</v>
      </c>
      <c r="CA168" s="14" t="s">
        <v>3459</v>
      </c>
      <c r="CB168" s="14" t="s">
        <v>166</v>
      </c>
      <c r="CC168" s="14" t="s">
        <v>3460</v>
      </c>
      <c r="CD168" s="14" t="s">
        <v>166</v>
      </c>
      <c r="CE168" s="18" t="s">
        <v>166</v>
      </c>
      <c r="CF168" s="16" t="s">
        <v>166</v>
      </c>
      <c r="CG168" s="17" t="s">
        <v>166</v>
      </c>
      <c r="CH168" s="16" t="s">
        <v>166</v>
      </c>
      <c r="CI168" s="16" t="s">
        <v>166</v>
      </c>
      <c r="CJ168" s="16" t="s">
        <v>166</v>
      </c>
      <c r="CK168" s="16" t="s">
        <v>166</v>
      </c>
      <c r="CL168" s="16" t="s">
        <v>166</v>
      </c>
      <c r="CM168" s="20" t="s">
        <v>166</v>
      </c>
      <c r="CN168" s="16" t="s">
        <v>166</v>
      </c>
      <c r="CO168" s="16" t="s">
        <v>166</v>
      </c>
      <c r="CP168" s="16" t="s">
        <v>166</v>
      </c>
      <c r="CQ168" s="16" t="s">
        <v>166</v>
      </c>
      <c r="CR168" s="16" t="s">
        <v>166</v>
      </c>
      <c r="CS168" s="16" t="s">
        <v>166</v>
      </c>
      <c r="CT168" s="16" t="s">
        <v>166</v>
      </c>
      <c r="CU168" s="16" t="s">
        <v>166</v>
      </c>
      <c r="CV168" s="16" t="s">
        <v>166</v>
      </c>
      <c r="CW168" s="16" t="s">
        <v>166</v>
      </c>
      <c r="CX168" s="16" t="s">
        <v>166</v>
      </c>
      <c r="CY168" s="16">
        <v>0.47</v>
      </c>
      <c r="CZ168" s="16" t="s">
        <v>166</v>
      </c>
      <c r="DA168" s="16" t="s">
        <v>166</v>
      </c>
      <c r="DB168" s="16" t="s">
        <v>166</v>
      </c>
      <c r="DC168" s="16" t="s">
        <v>166</v>
      </c>
      <c r="DD168" s="16" t="s">
        <v>166</v>
      </c>
      <c r="DE168" s="17" t="s">
        <v>166</v>
      </c>
      <c r="DF168" s="22">
        <v>231</v>
      </c>
      <c r="DG168" s="14" t="s">
        <v>309</v>
      </c>
      <c r="DH168" s="14" t="s">
        <v>193</v>
      </c>
      <c r="DI168" s="14" t="s">
        <v>194</v>
      </c>
      <c r="DJ168" s="14" t="s">
        <v>310</v>
      </c>
      <c r="DK168" s="14" t="s">
        <v>310</v>
      </c>
      <c r="DL168" s="21" t="s">
        <v>873</v>
      </c>
      <c r="DM168" s="14" t="s">
        <v>198</v>
      </c>
      <c r="DN168" s="13" t="s">
        <v>3461</v>
      </c>
      <c r="DO168" s="20">
        <v>2019</v>
      </c>
      <c r="DP168" s="14" t="s">
        <v>166</v>
      </c>
      <c r="DQ168" s="14" t="s">
        <v>3462</v>
      </c>
      <c r="DR168" s="18">
        <v>11.8</v>
      </c>
      <c r="DS168" s="16" t="s">
        <v>166</v>
      </c>
      <c r="DT168" s="19" t="s">
        <v>166</v>
      </c>
      <c r="DU168" s="14" t="s">
        <v>166</v>
      </c>
      <c r="DV168" s="18" t="s">
        <v>166</v>
      </c>
      <c r="DW168" s="18" t="s">
        <v>166</v>
      </c>
      <c r="DX168" s="16" t="s">
        <v>166</v>
      </c>
      <c r="DY168" s="16" t="s">
        <v>166</v>
      </c>
      <c r="DZ168" s="17" t="s">
        <v>166</v>
      </c>
      <c r="EA168" s="16" t="s">
        <v>166</v>
      </c>
      <c r="EB168" s="16" t="s">
        <v>166</v>
      </c>
      <c r="EC168" s="16" t="s">
        <v>166</v>
      </c>
      <c r="ED168" s="17" t="s">
        <v>166</v>
      </c>
      <c r="EE168" s="17" t="s">
        <v>166</v>
      </c>
      <c r="EF168" s="17" t="s">
        <v>166</v>
      </c>
      <c r="EG168" s="17" t="s">
        <v>166</v>
      </c>
      <c r="EH168" s="16" t="s">
        <v>166</v>
      </c>
      <c r="EI168" s="16" t="s">
        <v>166</v>
      </c>
      <c r="EJ168" s="16" t="s">
        <v>166</v>
      </c>
      <c r="EK168" s="16" t="s">
        <v>166</v>
      </c>
      <c r="EL168" s="16" t="s">
        <v>166</v>
      </c>
      <c r="EM168" s="16" t="s">
        <v>166</v>
      </c>
      <c r="EN168" s="16" t="s">
        <v>166</v>
      </c>
      <c r="EO168" s="16" t="s">
        <v>166</v>
      </c>
      <c r="EP168" s="16" t="s">
        <v>166</v>
      </c>
      <c r="EQ168" s="16" t="s">
        <v>166</v>
      </c>
      <c r="ER168" s="16" t="s">
        <v>166</v>
      </c>
      <c r="ES168" s="16" t="s">
        <v>166</v>
      </c>
      <c r="ET168" s="14" t="s">
        <v>166</v>
      </c>
      <c r="EU168" s="16" t="s">
        <v>166</v>
      </c>
      <c r="EV168" s="16" t="s">
        <v>166</v>
      </c>
      <c r="EW168" s="16" t="s">
        <v>166</v>
      </c>
      <c r="EX168" s="14" t="s">
        <v>190</v>
      </c>
      <c r="EY168" s="14" t="s">
        <v>190</v>
      </c>
      <c r="EZ168" s="16" t="s">
        <v>166</v>
      </c>
      <c r="FA168" s="15" t="s">
        <v>166</v>
      </c>
      <c r="FB168" s="15" t="s">
        <v>166</v>
      </c>
      <c r="FC168" s="15" t="s">
        <v>166</v>
      </c>
      <c r="FD168" s="15" t="s">
        <v>166</v>
      </c>
      <c r="FE168" s="15" t="s">
        <v>166</v>
      </c>
      <c r="FF168" s="15" t="s">
        <v>166</v>
      </c>
      <c r="FG168" s="14" t="s">
        <v>166</v>
      </c>
      <c r="FH168" s="3">
        <f>HYPERLINK("https://my.pitchbook.com?c=189170-02T","View Company Online")</f>
      </c>
    </row>
    <row r="169">
      <c r="A169" s="25" t="s">
        <v>3463</v>
      </c>
      <c r="B169" s="25" t="s">
        <v>3464</v>
      </c>
      <c r="C169" s="25" t="s">
        <v>3465</v>
      </c>
      <c r="D169" s="25" t="s">
        <v>166</v>
      </c>
      <c r="E169" s="34" t="s">
        <v>3466</v>
      </c>
      <c r="F169" s="32">
        <v>8</v>
      </c>
      <c r="G169" s="25" t="s">
        <v>3467</v>
      </c>
      <c r="H169" s="25" t="s">
        <v>166</v>
      </c>
      <c r="I169" s="25" t="s">
        <v>3468</v>
      </c>
      <c r="J169" s="25" t="s">
        <v>3469</v>
      </c>
      <c r="K169" s="25" t="s">
        <v>207</v>
      </c>
      <c r="L169" s="25" t="s">
        <v>208</v>
      </c>
      <c r="M169" s="25" t="s">
        <v>209</v>
      </c>
      <c r="N169" s="25" t="s">
        <v>3407</v>
      </c>
      <c r="O169" s="25" t="s">
        <v>3470</v>
      </c>
      <c r="P169" s="25" t="s">
        <v>3471</v>
      </c>
      <c r="Q169" s="25" t="s">
        <v>166</v>
      </c>
      <c r="R169" s="25" t="s">
        <v>177</v>
      </c>
      <c r="S169" s="25" t="s">
        <v>178</v>
      </c>
      <c r="T169" s="25" t="s">
        <v>179</v>
      </c>
      <c r="U169" s="25" t="s">
        <v>3472</v>
      </c>
      <c r="V169" s="25" t="s">
        <v>3473</v>
      </c>
      <c r="W169" s="32" t="s">
        <v>3474</v>
      </c>
      <c r="X169" s="25" t="s">
        <v>3475</v>
      </c>
      <c r="Y169" s="25" t="s">
        <v>3476</v>
      </c>
      <c r="Z169" s="25" t="s">
        <v>166</v>
      </c>
      <c r="AA169" s="25" t="s">
        <v>242</v>
      </c>
      <c r="AB169" s="25" t="s">
        <v>243</v>
      </c>
      <c r="AC169" s="25" t="s">
        <v>244</v>
      </c>
      <c r="AD169" s="25" t="s">
        <v>243</v>
      </c>
      <c r="AE169" s="25" t="s">
        <v>243</v>
      </c>
      <c r="AF169" s="25" t="s">
        <v>166</v>
      </c>
      <c r="AG169" s="25" t="s">
        <v>246</v>
      </c>
      <c r="AH169" s="32">
        <v>2</v>
      </c>
      <c r="AI169" s="4">
        <f>HYPERLINK("https://my.pitchbook.com/?d=156318-40T","156318-40T")</f>
      </c>
      <c r="AJ169" s="30" t="s">
        <v>166</v>
      </c>
      <c r="AK169" s="30">
        <v>43952</v>
      </c>
      <c r="AL169" s="29">
        <v>1.5</v>
      </c>
      <c r="AM169" s="25" t="s">
        <v>185</v>
      </c>
      <c r="AN169" s="29">
        <v>10</v>
      </c>
      <c r="AO169" s="29">
        <v>11.5</v>
      </c>
      <c r="AP169" s="25" t="s">
        <v>185</v>
      </c>
      <c r="AQ169" s="32" t="s">
        <v>166</v>
      </c>
      <c r="AR169" s="32" t="s">
        <v>166</v>
      </c>
      <c r="AS169" s="28">
        <v>19.04</v>
      </c>
      <c r="AT169" s="29">
        <v>1.65</v>
      </c>
      <c r="AU169" s="32" t="s">
        <v>186</v>
      </c>
      <c r="AV169" s="32" t="s">
        <v>166</v>
      </c>
      <c r="AW169" s="29">
        <v>0.72</v>
      </c>
      <c r="AX169" s="32" t="s">
        <v>3477</v>
      </c>
      <c r="AY169" s="25" t="s">
        <v>187</v>
      </c>
      <c r="AZ169" s="25" t="s">
        <v>3477</v>
      </c>
      <c r="BA169" s="25" t="s">
        <v>166</v>
      </c>
      <c r="BB169" s="32" t="s">
        <v>166</v>
      </c>
      <c r="BC169" s="25" t="s">
        <v>179</v>
      </c>
      <c r="BD169" s="25" t="s">
        <v>3478</v>
      </c>
      <c r="BE169" s="25" t="s">
        <v>189</v>
      </c>
      <c r="BF169" s="29">
        <v>1.5</v>
      </c>
      <c r="BG169" s="25" t="s">
        <v>190</v>
      </c>
      <c r="BH169" s="25" t="s">
        <v>166</v>
      </c>
      <c r="BI169" s="25" t="s">
        <v>166</v>
      </c>
      <c r="BJ169" s="29" t="s">
        <v>166</v>
      </c>
      <c r="BK169" s="29" t="s">
        <v>166</v>
      </c>
      <c r="BL169" s="25" t="s">
        <v>191</v>
      </c>
      <c r="BM169" s="25" t="s">
        <v>178</v>
      </c>
      <c r="BN169" s="25" t="s">
        <v>177</v>
      </c>
      <c r="BO169" s="33" t="s">
        <v>166</v>
      </c>
      <c r="BP169" s="25" t="s">
        <v>3479</v>
      </c>
      <c r="BQ169" s="32">
        <v>8</v>
      </c>
      <c r="BR169" s="25" t="s">
        <v>166</v>
      </c>
      <c r="BS169" s="32" t="s">
        <v>166</v>
      </c>
      <c r="BT169" s="25" t="s">
        <v>166</v>
      </c>
      <c r="BU169" s="25" t="s">
        <v>166</v>
      </c>
      <c r="BV169" s="25" t="s">
        <v>3480</v>
      </c>
      <c r="BW169" s="25" t="s">
        <v>166</v>
      </c>
      <c r="BX169" s="25" t="s">
        <v>166</v>
      </c>
      <c r="BY169" s="25" t="s">
        <v>166</v>
      </c>
      <c r="BZ169" s="25" t="s">
        <v>166</v>
      </c>
      <c r="CA169" s="25" t="s">
        <v>166</v>
      </c>
      <c r="CB169" s="25" t="s">
        <v>166</v>
      </c>
      <c r="CC169" s="25" t="s">
        <v>166</v>
      </c>
      <c r="CD169" s="25" t="s">
        <v>166</v>
      </c>
      <c r="CE169" s="29" t="s">
        <v>166</v>
      </c>
      <c r="CF169" s="27" t="s">
        <v>166</v>
      </c>
      <c r="CG169" s="28" t="s">
        <v>166</v>
      </c>
      <c r="CH169" s="27" t="s">
        <v>166</v>
      </c>
      <c r="CI169" s="27" t="s">
        <v>166</v>
      </c>
      <c r="CJ169" s="27" t="s">
        <v>166</v>
      </c>
      <c r="CK169" s="27" t="s">
        <v>166</v>
      </c>
      <c r="CL169" s="27" t="s">
        <v>166</v>
      </c>
      <c r="CM169" s="31" t="s">
        <v>166</v>
      </c>
      <c r="CN169" s="27" t="s">
        <v>166</v>
      </c>
      <c r="CO169" s="27" t="s">
        <v>166</v>
      </c>
      <c r="CP169" s="27" t="s">
        <v>166</v>
      </c>
      <c r="CQ169" s="27" t="s">
        <v>166</v>
      </c>
      <c r="CR169" s="27" t="s">
        <v>166</v>
      </c>
      <c r="CS169" s="27" t="s">
        <v>166</v>
      </c>
      <c r="CT169" s="27" t="s">
        <v>166</v>
      </c>
      <c r="CU169" s="27" t="s">
        <v>166</v>
      </c>
      <c r="CV169" s="27" t="s">
        <v>166</v>
      </c>
      <c r="CW169" s="27" t="s">
        <v>166</v>
      </c>
      <c r="CX169" s="27" t="s">
        <v>166</v>
      </c>
      <c r="CY169" s="27" t="s">
        <v>166</v>
      </c>
      <c r="CZ169" s="27" t="s">
        <v>166</v>
      </c>
      <c r="DA169" s="27" t="s">
        <v>166</v>
      </c>
      <c r="DB169" s="27" t="s">
        <v>166</v>
      </c>
      <c r="DC169" s="27" t="s">
        <v>166</v>
      </c>
      <c r="DD169" s="27" t="s">
        <v>166</v>
      </c>
      <c r="DE169" s="28" t="s">
        <v>166</v>
      </c>
      <c r="DF169" s="33">
        <v>26</v>
      </c>
      <c r="DG169" s="25" t="s">
        <v>673</v>
      </c>
      <c r="DH169" s="25" t="s">
        <v>193</v>
      </c>
      <c r="DI169" s="25" t="s">
        <v>194</v>
      </c>
      <c r="DJ169" s="25" t="s">
        <v>674</v>
      </c>
      <c r="DK169" s="25" t="s">
        <v>257</v>
      </c>
      <c r="DL169" s="32" t="s">
        <v>675</v>
      </c>
      <c r="DM169" s="25" t="s">
        <v>198</v>
      </c>
      <c r="DN169" s="24" t="s">
        <v>3481</v>
      </c>
      <c r="DO169" s="31">
        <v>2019</v>
      </c>
      <c r="DP169" s="25" t="s">
        <v>166</v>
      </c>
      <c r="DQ169" s="25" t="s">
        <v>166</v>
      </c>
      <c r="DR169" s="29" t="s">
        <v>166</v>
      </c>
      <c r="DS169" s="27" t="s">
        <v>166</v>
      </c>
      <c r="DT169" s="30" t="s">
        <v>166</v>
      </c>
      <c r="DU169" s="25" t="s">
        <v>166</v>
      </c>
      <c r="DV169" s="29" t="s">
        <v>166</v>
      </c>
      <c r="DW169" s="29" t="s">
        <v>166</v>
      </c>
      <c r="DX169" s="27" t="s">
        <v>166</v>
      </c>
      <c r="DY169" s="27" t="s">
        <v>166</v>
      </c>
      <c r="DZ169" s="28" t="s">
        <v>166</v>
      </c>
      <c r="EA169" s="27" t="s">
        <v>166</v>
      </c>
      <c r="EB169" s="27" t="s">
        <v>166</v>
      </c>
      <c r="EC169" s="27" t="s">
        <v>166</v>
      </c>
      <c r="ED169" s="28" t="s">
        <v>166</v>
      </c>
      <c r="EE169" s="28" t="s">
        <v>166</v>
      </c>
      <c r="EF169" s="28" t="s">
        <v>166</v>
      </c>
      <c r="EG169" s="28" t="s">
        <v>166</v>
      </c>
      <c r="EH169" s="27" t="s">
        <v>166</v>
      </c>
      <c r="EI169" s="27" t="s">
        <v>166</v>
      </c>
      <c r="EJ169" s="27" t="s">
        <v>166</v>
      </c>
      <c r="EK169" s="27" t="s">
        <v>166</v>
      </c>
      <c r="EL169" s="27" t="s">
        <v>166</v>
      </c>
      <c r="EM169" s="27" t="s">
        <v>166</v>
      </c>
      <c r="EN169" s="27" t="s">
        <v>166</v>
      </c>
      <c r="EO169" s="27" t="s">
        <v>166</v>
      </c>
      <c r="EP169" s="27" t="s">
        <v>166</v>
      </c>
      <c r="EQ169" s="27" t="s">
        <v>166</v>
      </c>
      <c r="ER169" s="27" t="s">
        <v>166</v>
      </c>
      <c r="ES169" s="27" t="s">
        <v>166</v>
      </c>
      <c r="ET169" s="25" t="s">
        <v>166</v>
      </c>
      <c r="EU169" s="27" t="s">
        <v>166</v>
      </c>
      <c r="EV169" s="27" t="s">
        <v>166</v>
      </c>
      <c r="EW169" s="27" t="s">
        <v>166</v>
      </c>
      <c r="EX169" s="25" t="s">
        <v>190</v>
      </c>
      <c r="EY169" s="25" t="s">
        <v>166</v>
      </c>
      <c r="EZ169" s="27" t="s">
        <v>166</v>
      </c>
      <c r="FA169" s="26" t="s">
        <v>166</v>
      </c>
      <c r="FB169" s="26" t="s">
        <v>166</v>
      </c>
      <c r="FC169" s="26" t="s">
        <v>166</v>
      </c>
      <c r="FD169" s="26" t="s">
        <v>166</v>
      </c>
      <c r="FE169" s="26" t="s">
        <v>166</v>
      </c>
      <c r="FF169" s="26" t="s">
        <v>166</v>
      </c>
      <c r="FG169" s="25" t="s">
        <v>166</v>
      </c>
      <c r="FH169" s="4">
        <f>HYPERLINK("https://my.pitchbook.com?c=156318-40T","View Company Online")</f>
      </c>
    </row>
    <row r="170">
      <c r="A170" s="14" t="s">
        <v>3482</v>
      </c>
      <c r="B170" s="14" t="s">
        <v>3483</v>
      </c>
      <c r="C170" s="14" t="s">
        <v>3484</v>
      </c>
      <c r="D170" s="14" t="s">
        <v>166</v>
      </c>
      <c r="E170" s="23" t="s">
        <v>3485</v>
      </c>
      <c r="F170" s="21">
        <v>3</v>
      </c>
      <c r="G170" s="14" t="s">
        <v>3486</v>
      </c>
      <c r="H170" s="14" t="s">
        <v>166</v>
      </c>
      <c r="I170" s="14" t="s">
        <v>3487</v>
      </c>
      <c r="J170" s="14" t="s">
        <v>3488</v>
      </c>
      <c r="K170" s="14" t="s">
        <v>207</v>
      </c>
      <c r="L170" s="14" t="s">
        <v>208</v>
      </c>
      <c r="M170" s="14" t="s">
        <v>965</v>
      </c>
      <c r="N170" s="14" t="s">
        <v>3168</v>
      </c>
      <c r="O170" s="14" t="s">
        <v>3489</v>
      </c>
      <c r="P170" s="14" t="s">
        <v>3490</v>
      </c>
      <c r="Q170" s="14" t="s">
        <v>166</v>
      </c>
      <c r="R170" s="14" t="s">
        <v>177</v>
      </c>
      <c r="S170" s="14" t="s">
        <v>178</v>
      </c>
      <c r="T170" s="14" t="s">
        <v>179</v>
      </c>
      <c r="U170" s="14" t="s">
        <v>3491</v>
      </c>
      <c r="V170" s="14" t="s">
        <v>3492</v>
      </c>
      <c r="W170" s="21" t="s">
        <v>166</v>
      </c>
      <c r="X170" s="14" t="s">
        <v>3493</v>
      </c>
      <c r="Y170" s="14" t="s">
        <v>3494</v>
      </c>
      <c r="Z170" s="14" t="s">
        <v>3495</v>
      </c>
      <c r="AA170" s="14" t="s">
        <v>242</v>
      </c>
      <c r="AB170" s="14" t="s">
        <v>243</v>
      </c>
      <c r="AC170" s="14" t="s">
        <v>244</v>
      </c>
      <c r="AD170" s="14" t="s">
        <v>243</v>
      </c>
      <c r="AE170" s="14" t="s">
        <v>243</v>
      </c>
      <c r="AF170" s="14" t="s">
        <v>166</v>
      </c>
      <c r="AG170" s="14" t="s">
        <v>246</v>
      </c>
      <c r="AH170" s="21">
        <v>2</v>
      </c>
      <c r="AI170" s="3">
        <f>HYPERLINK("https://my.pitchbook.com/?d=165437-65T","165437-65T")</f>
      </c>
      <c r="AJ170" s="19" t="s">
        <v>166</v>
      </c>
      <c r="AK170" s="19">
        <v>44194</v>
      </c>
      <c r="AL170" s="18">
        <v>1.5</v>
      </c>
      <c r="AM170" s="14" t="s">
        <v>185</v>
      </c>
      <c r="AN170" s="18">
        <v>5</v>
      </c>
      <c r="AO170" s="18">
        <v>6.5</v>
      </c>
      <c r="AP170" s="14" t="s">
        <v>185</v>
      </c>
      <c r="AQ170" s="21" t="s">
        <v>166</v>
      </c>
      <c r="AR170" s="21" t="s">
        <v>166</v>
      </c>
      <c r="AS170" s="17">
        <v>23.08</v>
      </c>
      <c r="AT170" s="18">
        <v>1.5</v>
      </c>
      <c r="AU170" s="21" t="s">
        <v>186</v>
      </c>
      <c r="AV170" s="21" t="s">
        <v>166</v>
      </c>
      <c r="AW170" s="18">
        <v>0.28</v>
      </c>
      <c r="AX170" s="21" t="s">
        <v>166</v>
      </c>
      <c r="AY170" s="14" t="s">
        <v>217</v>
      </c>
      <c r="AZ170" s="14" t="s">
        <v>217</v>
      </c>
      <c r="BA170" s="14" t="s">
        <v>166</v>
      </c>
      <c r="BB170" s="21" t="s">
        <v>166</v>
      </c>
      <c r="BC170" s="14" t="s">
        <v>179</v>
      </c>
      <c r="BD170" s="14" t="s">
        <v>3496</v>
      </c>
      <c r="BE170" s="14" t="s">
        <v>189</v>
      </c>
      <c r="BF170" s="18">
        <v>1.5</v>
      </c>
      <c r="BG170" s="14" t="s">
        <v>190</v>
      </c>
      <c r="BH170" s="14" t="s">
        <v>166</v>
      </c>
      <c r="BI170" s="14" t="s">
        <v>166</v>
      </c>
      <c r="BJ170" s="18" t="s">
        <v>166</v>
      </c>
      <c r="BK170" s="18" t="s">
        <v>166</v>
      </c>
      <c r="BL170" s="14" t="s">
        <v>191</v>
      </c>
      <c r="BM170" s="14" t="s">
        <v>358</v>
      </c>
      <c r="BN170" s="14" t="s">
        <v>177</v>
      </c>
      <c r="BO170" s="22">
        <v>5</v>
      </c>
      <c r="BP170" s="14" t="s">
        <v>3497</v>
      </c>
      <c r="BQ170" s="21">
        <v>3</v>
      </c>
      <c r="BR170" s="14" t="s">
        <v>166</v>
      </c>
      <c r="BS170" s="21" t="s">
        <v>166</v>
      </c>
      <c r="BT170" s="14" t="s">
        <v>3498</v>
      </c>
      <c r="BU170" s="14" t="s">
        <v>166</v>
      </c>
      <c r="BV170" s="14" t="s">
        <v>3499</v>
      </c>
      <c r="BW170" s="14" t="s">
        <v>166</v>
      </c>
      <c r="BX170" s="14" t="s">
        <v>166</v>
      </c>
      <c r="BY170" s="14" t="s">
        <v>166</v>
      </c>
      <c r="BZ170" s="14" t="s">
        <v>166</v>
      </c>
      <c r="CA170" s="14" t="s">
        <v>166</v>
      </c>
      <c r="CB170" s="14" t="s">
        <v>166</v>
      </c>
      <c r="CC170" s="14" t="s">
        <v>166</v>
      </c>
      <c r="CD170" s="14" t="s">
        <v>166</v>
      </c>
      <c r="CE170" s="18" t="s">
        <v>166</v>
      </c>
      <c r="CF170" s="16" t="s">
        <v>166</v>
      </c>
      <c r="CG170" s="17" t="s">
        <v>166</v>
      </c>
      <c r="CH170" s="16" t="s">
        <v>166</v>
      </c>
      <c r="CI170" s="16" t="s">
        <v>166</v>
      </c>
      <c r="CJ170" s="16" t="s">
        <v>166</v>
      </c>
      <c r="CK170" s="16" t="s">
        <v>166</v>
      </c>
      <c r="CL170" s="16" t="s">
        <v>166</v>
      </c>
      <c r="CM170" s="20" t="s">
        <v>166</v>
      </c>
      <c r="CN170" s="16" t="s">
        <v>166</v>
      </c>
      <c r="CO170" s="16" t="s">
        <v>166</v>
      </c>
      <c r="CP170" s="16" t="s">
        <v>166</v>
      </c>
      <c r="CQ170" s="16" t="s">
        <v>166</v>
      </c>
      <c r="CR170" s="16" t="s">
        <v>166</v>
      </c>
      <c r="CS170" s="16" t="s">
        <v>166</v>
      </c>
      <c r="CT170" s="16" t="s">
        <v>166</v>
      </c>
      <c r="CU170" s="16" t="s">
        <v>166</v>
      </c>
      <c r="CV170" s="16" t="s">
        <v>166</v>
      </c>
      <c r="CW170" s="16" t="s">
        <v>166</v>
      </c>
      <c r="CX170" s="16" t="s">
        <v>166</v>
      </c>
      <c r="CY170" s="16" t="s">
        <v>166</v>
      </c>
      <c r="CZ170" s="16" t="s">
        <v>166</v>
      </c>
      <c r="DA170" s="16" t="s">
        <v>166</v>
      </c>
      <c r="DB170" s="16" t="s">
        <v>166</v>
      </c>
      <c r="DC170" s="16" t="s">
        <v>166</v>
      </c>
      <c r="DD170" s="16" t="s">
        <v>166</v>
      </c>
      <c r="DE170" s="17" t="s">
        <v>166</v>
      </c>
      <c r="DF170" s="22">
        <v>33</v>
      </c>
      <c r="DG170" s="14" t="s">
        <v>309</v>
      </c>
      <c r="DH170" s="14" t="s">
        <v>193</v>
      </c>
      <c r="DI170" s="14" t="s">
        <v>194</v>
      </c>
      <c r="DJ170" s="14" t="s">
        <v>310</v>
      </c>
      <c r="DK170" s="14" t="s">
        <v>310</v>
      </c>
      <c r="DL170" s="21" t="s">
        <v>3500</v>
      </c>
      <c r="DM170" s="14" t="s">
        <v>198</v>
      </c>
      <c r="DN170" s="13" t="s">
        <v>3501</v>
      </c>
      <c r="DO170" s="20">
        <v>2019</v>
      </c>
      <c r="DP170" s="14" t="s">
        <v>166</v>
      </c>
      <c r="DQ170" s="14" t="s">
        <v>166</v>
      </c>
      <c r="DR170" s="18" t="s">
        <v>166</v>
      </c>
      <c r="DS170" s="16" t="s">
        <v>166</v>
      </c>
      <c r="DT170" s="19" t="s">
        <v>166</v>
      </c>
      <c r="DU170" s="14" t="s">
        <v>166</v>
      </c>
      <c r="DV170" s="18" t="s">
        <v>166</v>
      </c>
      <c r="DW170" s="18" t="s">
        <v>166</v>
      </c>
      <c r="DX170" s="16" t="s">
        <v>166</v>
      </c>
      <c r="DY170" s="16" t="s">
        <v>166</v>
      </c>
      <c r="DZ170" s="17" t="s">
        <v>166</v>
      </c>
      <c r="EA170" s="16" t="s">
        <v>166</v>
      </c>
      <c r="EB170" s="16" t="s">
        <v>166</v>
      </c>
      <c r="EC170" s="16" t="s">
        <v>166</v>
      </c>
      <c r="ED170" s="17" t="s">
        <v>166</v>
      </c>
      <c r="EE170" s="17" t="s">
        <v>166</v>
      </c>
      <c r="EF170" s="17" t="s">
        <v>166</v>
      </c>
      <c r="EG170" s="17" t="s">
        <v>166</v>
      </c>
      <c r="EH170" s="16" t="s">
        <v>166</v>
      </c>
      <c r="EI170" s="16" t="s">
        <v>166</v>
      </c>
      <c r="EJ170" s="16" t="s">
        <v>166</v>
      </c>
      <c r="EK170" s="16" t="s">
        <v>166</v>
      </c>
      <c r="EL170" s="16" t="s">
        <v>166</v>
      </c>
      <c r="EM170" s="16" t="s">
        <v>166</v>
      </c>
      <c r="EN170" s="16" t="s">
        <v>166</v>
      </c>
      <c r="EO170" s="16" t="s">
        <v>166</v>
      </c>
      <c r="EP170" s="16" t="s">
        <v>166</v>
      </c>
      <c r="EQ170" s="16" t="s">
        <v>166</v>
      </c>
      <c r="ER170" s="16" t="s">
        <v>166</v>
      </c>
      <c r="ES170" s="16" t="s">
        <v>166</v>
      </c>
      <c r="ET170" s="14" t="s">
        <v>166</v>
      </c>
      <c r="EU170" s="16" t="s">
        <v>166</v>
      </c>
      <c r="EV170" s="16" t="s">
        <v>166</v>
      </c>
      <c r="EW170" s="16" t="s">
        <v>166</v>
      </c>
      <c r="EX170" s="14" t="s">
        <v>190</v>
      </c>
      <c r="EY170" s="14" t="s">
        <v>166</v>
      </c>
      <c r="EZ170" s="16" t="s">
        <v>166</v>
      </c>
      <c r="FA170" s="15">
        <v>1</v>
      </c>
      <c r="FB170" s="15">
        <v>1</v>
      </c>
      <c r="FC170" s="15">
        <v>1</v>
      </c>
      <c r="FD170" s="15" t="s">
        <v>166</v>
      </c>
      <c r="FE170" s="15" t="s">
        <v>166</v>
      </c>
      <c r="FF170" s="15" t="s">
        <v>166</v>
      </c>
      <c r="FG170" s="14" t="s">
        <v>457</v>
      </c>
      <c r="FH170" s="3">
        <f>HYPERLINK("https://my.pitchbook.com?c=165437-65T","View Company Online")</f>
      </c>
    </row>
    <row r="171">
      <c r="A171" s="25" t="s">
        <v>3502</v>
      </c>
      <c r="B171" s="25" t="s">
        <v>3503</v>
      </c>
      <c r="C171" s="25" t="s">
        <v>3504</v>
      </c>
      <c r="D171" s="25" t="s">
        <v>166</v>
      </c>
      <c r="E171" s="34" t="s">
        <v>3505</v>
      </c>
      <c r="F171" s="32">
        <v>2</v>
      </c>
      <c r="G171" s="25" t="s">
        <v>3506</v>
      </c>
      <c r="H171" s="25" t="s">
        <v>166</v>
      </c>
      <c r="I171" s="25" t="s">
        <v>3507</v>
      </c>
      <c r="J171" s="25" t="s">
        <v>3508</v>
      </c>
      <c r="K171" s="25" t="s">
        <v>207</v>
      </c>
      <c r="L171" s="25" t="s">
        <v>208</v>
      </c>
      <c r="M171" s="25" t="s">
        <v>209</v>
      </c>
      <c r="N171" s="25" t="s">
        <v>3509</v>
      </c>
      <c r="O171" s="25" t="s">
        <v>3510</v>
      </c>
      <c r="P171" s="25" t="s">
        <v>3511</v>
      </c>
      <c r="Q171" s="25" t="s">
        <v>166</v>
      </c>
      <c r="R171" s="25" t="s">
        <v>177</v>
      </c>
      <c r="S171" s="25" t="s">
        <v>178</v>
      </c>
      <c r="T171" s="25" t="s">
        <v>179</v>
      </c>
      <c r="U171" s="25" t="s">
        <v>3512</v>
      </c>
      <c r="V171" s="25" t="s">
        <v>3513</v>
      </c>
      <c r="W171" s="32" t="s">
        <v>3514</v>
      </c>
      <c r="X171" s="25" t="s">
        <v>3515</v>
      </c>
      <c r="Y171" s="25" t="s">
        <v>3516</v>
      </c>
      <c r="Z171" s="25" t="s">
        <v>3517</v>
      </c>
      <c r="AA171" s="25" t="s">
        <v>166</v>
      </c>
      <c r="AB171" s="25" t="s">
        <v>166</v>
      </c>
      <c r="AC171" s="25" t="s">
        <v>166</v>
      </c>
      <c r="AD171" s="25" t="s">
        <v>166</v>
      </c>
      <c r="AE171" s="25" t="s">
        <v>166</v>
      </c>
      <c r="AF171" s="25" t="s">
        <v>166</v>
      </c>
      <c r="AG171" s="25" t="s">
        <v>166</v>
      </c>
      <c r="AH171" s="32">
        <v>6</v>
      </c>
      <c r="AI171" s="4">
        <f>HYPERLINK("https://my.pitchbook.com/?d=174887-56T","174887-56T")</f>
      </c>
      <c r="AJ171" s="30" t="s">
        <v>166</v>
      </c>
      <c r="AK171" s="30">
        <v>44307</v>
      </c>
      <c r="AL171" s="29">
        <v>0.08</v>
      </c>
      <c r="AM171" s="25" t="s">
        <v>185</v>
      </c>
      <c r="AN171" s="29" t="s">
        <v>166</v>
      </c>
      <c r="AO171" s="29" t="s">
        <v>166</v>
      </c>
      <c r="AP171" s="25" t="s">
        <v>166</v>
      </c>
      <c r="AQ171" s="32" t="s">
        <v>166</v>
      </c>
      <c r="AR171" s="32" t="s">
        <v>166</v>
      </c>
      <c r="AS171" s="28" t="s">
        <v>166</v>
      </c>
      <c r="AT171" s="29">
        <v>0.12</v>
      </c>
      <c r="AU171" s="32" t="s">
        <v>186</v>
      </c>
      <c r="AV171" s="32" t="s">
        <v>166</v>
      </c>
      <c r="AW171" s="29" t="s">
        <v>166</v>
      </c>
      <c r="AX171" s="32" t="s">
        <v>166</v>
      </c>
      <c r="AY171" s="25" t="s">
        <v>217</v>
      </c>
      <c r="AZ171" s="25" t="s">
        <v>217</v>
      </c>
      <c r="BA171" s="25" t="s">
        <v>166</v>
      </c>
      <c r="BB171" s="32" t="s">
        <v>166</v>
      </c>
      <c r="BC171" s="25" t="s">
        <v>179</v>
      </c>
      <c r="BD171" s="25" t="s">
        <v>3518</v>
      </c>
      <c r="BE171" s="25" t="s">
        <v>189</v>
      </c>
      <c r="BF171" s="29">
        <v>0.08</v>
      </c>
      <c r="BG171" s="25" t="s">
        <v>190</v>
      </c>
      <c r="BH171" s="25" t="s">
        <v>166</v>
      </c>
      <c r="BI171" s="25" t="s">
        <v>166</v>
      </c>
      <c r="BJ171" s="29" t="s">
        <v>166</v>
      </c>
      <c r="BK171" s="29" t="s">
        <v>166</v>
      </c>
      <c r="BL171" s="25" t="s">
        <v>191</v>
      </c>
      <c r="BM171" s="25" t="s">
        <v>178</v>
      </c>
      <c r="BN171" s="25" t="s">
        <v>177</v>
      </c>
      <c r="BO171" s="33" t="s">
        <v>166</v>
      </c>
      <c r="BP171" s="25" t="s">
        <v>3505</v>
      </c>
      <c r="BQ171" s="32">
        <v>2</v>
      </c>
      <c r="BR171" s="25" t="s">
        <v>166</v>
      </c>
      <c r="BS171" s="32" t="s">
        <v>166</v>
      </c>
      <c r="BT171" s="25" t="s">
        <v>166</v>
      </c>
      <c r="BU171" s="25" t="s">
        <v>166</v>
      </c>
      <c r="BV171" s="25" t="s">
        <v>3519</v>
      </c>
      <c r="BW171" s="25" t="s">
        <v>166</v>
      </c>
      <c r="BX171" s="25" t="s">
        <v>166</v>
      </c>
      <c r="BY171" s="25" t="s">
        <v>166</v>
      </c>
      <c r="BZ171" s="25" t="s">
        <v>166</v>
      </c>
      <c r="CA171" s="25" t="s">
        <v>166</v>
      </c>
      <c r="CB171" s="25" t="s">
        <v>166</v>
      </c>
      <c r="CC171" s="25" t="s">
        <v>166</v>
      </c>
      <c r="CD171" s="25" t="s">
        <v>166</v>
      </c>
      <c r="CE171" s="29" t="s">
        <v>166</v>
      </c>
      <c r="CF171" s="27" t="s">
        <v>166</v>
      </c>
      <c r="CG171" s="28" t="s">
        <v>166</v>
      </c>
      <c r="CH171" s="27" t="s">
        <v>166</v>
      </c>
      <c r="CI171" s="27" t="s">
        <v>166</v>
      </c>
      <c r="CJ171" s="27" t="s">
        <v>166</v>
      </c>
      <c r="CK171" s="27" t="s">
        <v>166</v>
      </c>
      <c r="CL171" s="27" t="s">
        <v>166</v>
      </c>
      <c r="CM171" s="31" t="s">
        <v>166</v>
      </c>
      <c r="CN171" s="27" t="s">
        <v>166</v>
      </c>
      <c r="CO171" s="27" t="s">
        <v>166</v>
      </c>
      <c r="CP171" s="27" t="s">
        <v>166</v>
      </c>
      <c r="CQ171" s="27" t="s">
        <v>166</v>
      </c>
      <c r="CR171" s="27" t="s">
        <v>166</v>
      </c>
      <c r="CS171" s="27" t="s">
        <v>166</v>
      </c>
      <c r="CT171" s="27" t="s">
        <v>166</v>
      </c>
      <c r="CU171" s="27" t="s">
        <v>166</v>
      </c>
      <c r="CV171" s="27" t="s">
        <v>166</v>
      </c>
      <c r="CW171" s="27" t="s">
        <v>166</v>
      </c>
      <c r="CX171" s="27" t="s">
        <v>166</v>
      </c>
      <c r="CY171" s="27" t="s">
        <v>166</v>
      </c>
      <c r="CZ171" s="27" t="s">
        <v>166</v>
      </c>
      <c r="DA171" s="27" t="s">
        <v>166</v>
      </c>
      <c r="DB171" s="27" t="s">
        <v>166</v>
      </c>
      <c r="DC171" s="27" t="s">
        <v>166</v>
      </c>
      <c r="DD171" s="27" t="s">
        <v>166</v>
      </c>
      <c r="DE171" s="28" t="s">
        <v>166</v>
      </c>
      <c r="DF171" s="33">
        <v>5</v>
      </c>
      <c r="DG171" s="25" t="s">
        <v>3520</v>
      </c>
      <c r="DH171" s="25" t="s">
        <v>193</v>
      </c>
      <c r="DI171" s="25" t="s">
        <v>194</v>
      </c>
      <c r="DJ171" s="25" t="s">
        <v>655</v>
      </c>
      <c r="DK171" s="25" t="s">
        <v>3521</v>
      </c>
      <c r="DL171" s="32" t="s">
        <v>3522</v>
      </c>
      <c r="DM171" s="25" t="s">
        <v>198</v>
      </c>
      <c r="DN171" s="24" t="s">
        <v>3523</v>
      </c>
      <c r="DO171" s="31">
        <v>2016</v>
      </c>
      <c r="DP171" s="25" t="s">
        <v>166</v>
      </c>
      <c r="DQ171" s="25" t="s">
        <v>166</v>
      </c>
      <c r="DR171" s="29" t="s">
        <v>166</v>
      </c>
      <c r="DS171" s="27" t="s">
        <v>166</v>
      </c>
      <c r="DT171" s="30" t="s">
        <v>166</v>
      </c>
      <c r="DU171" s="25" t="s">
        <v>166</v>
      </c>
      <c r="DV171" s="29" t="s">
        <v>166</v>
      </c>
      <c r="DW171" s="29" t="s">
        <v>166</v>
      </c>
      <c r="DX171" s="27" t="s">
        <v>166</v>
      </c>
      <c r="DY171" s="27" t="s">
        <v>166</v>
      </c>
      <c r="DZ171" s="28" t="s">
        <v>166</v>
      </c>
      <c r="EA171" s="27" t="s">
        <v>166</v>
      </c>
      <c r="EB171" s="27" t="s">
        <v>166</v>
      </c>
      <c r="EC171" s="27" t="s">
        <v>166</v>
      </c>
      <c r="ED171" s="28" t="s">
        <v>166</v>
      </c>
      <c r="EE171" s="28" t="s">
        <v>166</v>
      </c>
      <c r="EF171" s="28" t="s">
        <v>166</v>
      </c>
      <c r="EG171" s="28" t="s">
        <v>166</v>
      </c>
      <c r="EH171" s="27" t="s">
        <v>166</v>
      </c>
      <c r="EI171" s="27" t="s">
        <v>166</v>
      </c>
      <c r="EJ171" s="27" t="s">
        <v>166</v>
      </c>
      <c r="EK171" s="27" t="s">
        <v>166</v>
      </c>
      <c r="EL171" s="27" t="s">
        <v>166</v>
      </c>
      <c r="EM171" s="27" t="s">
        <v>166</v>
      </c>
      <c r="EN171" s="27" t="s">
        <v>166</v>
      </c>
      <c r="EO171" s="27" t="s">
        <v>166</v>
      </c>
      <c r="EP171" s="27" t="s">
        <v>166</v>
      </c>
      <c r="EQ171" s="27" t="s">
        <v>166</v>
      </c>
      <c r="ER171" s="27" t="s">
        <v>166</v>
      </c>
      <c r="ES171" s="27" t="s">
        <v>166</v>
      </c>
      <c r="ET171" s="25" t="s">
        <v>166</v>
      </c>
      <c r="EU171" s="27" t="s">
        <v>166</v>
      </c>
      <c r="EV171" s="27" t="s">
        <v>166</v>
      </c>
      <c r="EW171" s="27" t="s">
        <v>166</v>
      </c>
      <c r="EX171" s="25" t="s">
        <v>190</v>
      </c>
      <c r="EY171" s="25" t="s">
        <v>166</v>
      </c>
      <c r="EZ171" s="27" t="s">
        <v>166</v>
      </c>
      <c r="FA171" s="26" t="s">
        <v>166</v>
      </c>
      <c r="FB171" s="26" t="s">
        <v>166</v>
      </c>
      <c r="FC171" s="26" t="s">
        <v>166</v>
      </c>
      <c r="FD171" s="26" t="s">
        <v>166</v>
      </c>
      <c r="FE171" s="26" t="s">
        <v>166</v>
      </c>
      <c r="FF171" s="26" t="s">
        <v>166</v>
      </c>
      <c r="FG171" s="25" t="s">
        <v>166</v>
      </c>
      <c r="FH171" s="4">
        <f>HYPERLINK("https://my.pitchbook.com?c=174887-56T","View Company Online")</f>
      </c>
    </row>
    <row r="172">
      <c r="A172" s="14" t="s">
        <v>3524</v>
      </c>
      <c r="B172" s="14" t="s">
        <v>3525</v>
      </c>
      <c r="C172" s="14" t="s">
        <v>3526</v>
      </c>
      <c r="D172" s="14" t="s">
        <v>166</v>
      </c>
      <c r="E172" s="23" t="s">
        <v>3527</v>
      </c>
      <c r="F172" s="21">
        <v>7</v>
      </c>
      <c r="G172" s="14" t="s">
        <v>3528</v>
      </c>
      <c r="H172" s="14" t="s">
        <v>166</v>
      </c>
      <c r="I172" s="14" t="s">
        <v>3529</v>
      </c>
      <c r="J172" s="14" t="s">
        <v>3530</v>
      </c>
      <c r="K172" s="14" t="s">
        <v>1500</v>
      </c>
      <c r="L172" s="14" t="s">
        <v>2334</v>
      </c>
      <c r="M172" s="14" t="s">
        <v>2335</v>
      </c>
      <c r="N172" s="14" t="s">
        <v>2336</v>
      </c>
      <c r="O172" s="14" t="s">
        <v>3531</v>
      </c>
      <c r="P172" s="14" t="s">
        <v>3532</v>
      </c>
      <c r="Q172" s="14" t="s">
        <v>166</v>
      </c>
      <c r="R172" s="14" t="s">
        <v>177</v>
      </c>
      <c r="S172" s="14" t="s">
        <v>178</v>
      </c>
      <c r="T172" s="14" t="s">
        <v>179</v>
      </c>
      <c r="U172" s="14" t="s">
        <v>3533</v>
      </c>
      <c r="V172" s="14" t="s">
        <v>3534</v>
      </c>
      <c r="W172" s="21" t="s">
        <v>3535</v>
      </c>
      <c r="X172" s="14" t="s">
        <v>3536</v>
      </c>
      <c r="Y172" s="14" t="s">
        <v>3537</v>
      </c>
      <c r="Z172" s="14" t="s">
        <v>166</v>
      </c>
      <c r="AA172" s="14" t="s">
        <v>242</v>
      </c>
      <c r="AB172" s="14" t="s">
        <v>243</v>
      </c>
      <c r="AC172" s="14" t="s">
        <v>244</v>
      </c>
      <c r="AD172" s="14" t="s">
        <v>243</v>
      </c>
      <c r="AE172" s="14" t="s">
        <v>243</v>
      </c>
      <c r="AF172" s="14" t="s">
        <v>166</v>
      </c>
      <c r="AG172" s="14" t="s">
        <v>246</v>
      </c>
      <c r="AH172" s="21">
        <v>3</v>
      </c>
      <c r="AI172" s="3">
        <f>HYPERLINK("https://my.pitchbook.com/?d=191456-47T","191456-47T")</f>
      </c>
      <c r="AJ172" s="19">
        <v>44075</v>
      </c>
      <c r="AK172" s="19">
        <v>44748</v>
      </c>
      <c r="AL172" s="18">
        <v>1.25</v>
      </c>
      <c r="AM172" s="14" t="s">
        <v>185</v>
      </c>
      <c r="AN172" s="18">
        <v>5</v>
      </c>
      <c r="AO172" s="18">
        <v>6.11</v>
      </c>
      <c r="AP172" s="14" t="s">
        <v>185</v>
      </c>
      <c r="AQ172" s="21" t="s">
        <v>166</v>
      </c>
      <c r="AR172" s="21" t="s">
        <v>166</v>
      </c>
      <c r="AS172" s="17">
        <v>27.52</v>
      </c>
      <c r="AT172" s="18">
        <v>1.25</v>
      </c>
      <c r="AU172" s="21" t="s">
        <v>186</v>
      </c>
      <c r="AV172" s="21" t="s">
        <v>166</v>
      </c>
      <c r="AW172" s="18">
        <v>1.47</v>
      </c>
      <c r="AX172" s="21" t="s">
        <v>166</v>
      </c>
      <c r="AY172" s="14" t="s">
        <v>217</v>
      </c>
      <c r="AZ172" s="14" t="s">
        <v>217</v>
      </c>
      <c r="BA172" s="14" t="s">
        <v>166</v>
      </c>
      <c r="BB172" s="21" t="s">
        <v>166</v>
      </c>
      <c r="BC172" s="14" t="s">
        <v>179</v>
      </c>
      <c r="BD172" s="14" t="s">
        <v>3538</v>
      </c>
      <c r="BE172" s="14" t="s">
        <v>189</v>
      </c>
      <c r="BF172" s="18">
        <v>1.11</v>
      </c>
      <c r="BG172" s="14" t="s">
        <v>190</v>
      </c>
      <c r="BH172" s="14" t="s">
        <v>166</v>
      </c>
      <c r="BI172" s="14" t="s">
        <v>166</v>
      </c>
      <c r="BJ172" s="18">
        <v>0.14</v>
      </c>
      <c r="BK172" s="18" t="s">
        <v>166</v>
      </c>
      <c r="BL172" s="14" t="s">
        <v>191</v>
      </c>
      <c r="BM172" s="14" t="s">
        <v>358</v>
      </c>
      <c r="BN172" s="14" t="s">
        <v>177</v>
      </c>
      <c r="BO172" s="22" t="s">
        <v>166</v>
      </c>
      <c r="BP172" s="14" t="s">
        <v>3539</v>
      </c>
      <c r="BQ172" s="21">
        <v>7</v>
      </c>
      <c r="BR172" s="14" t="s">
        <v>166</v>
      </c>
      <c r="BS172" s="21" t="s">
        <v>166</v>
      </c>
      <c r="BT172" s="14" t="s">
        <v>166</v>
      </c>
      <c r="BU172" s="14" t="s">
        <v>166</v>
      </c>
      <c r="BV172" s="14" t="s">
        <v>3540</v>
      </c>
      <c r="BW172" s="14" t="s">
        <v>166</v>
      </c>
      <c r="BX172" s="14" t="s">
        <v>166</v>
      </c>
      <c r="BY172" s="14" t="s">
        <v>166</v>
      </c>
      <c r="BZ172" s="14" t="s">
        <v>166</v>
      </c>
      <c r="CA172" s="14" t="s">
        <v>166</v>
      </c>
      <c r="CB172" s="14" t="s">
        <v>166</v>
      </c>
      <c r="CC172" s="14" t="s">
        <v>166</v>
      </c>
      <c r="CD172" s="14" t="s">
        <v>166</v>
      </c>
      <c r="CE172" s="18" t="s">
        <v>166</v>
      </c>
      <c r="CF172" s="16" t="s">
        <v>166</v>
      </c>
      <c r="CG172" s="17" t="s">
        <v>166</v>
      </c>
      <c r="CH172" s="16" t="s">
        <v>166</v>
      </c>
      <c r="CI172" s="16" t="s">
        <v>166</v>
      </c>
      <c r="CJ172" s="16" t="s">
        <v>166</v>
      </c>
      <c r="CK172" s="16" t="s">
        <v>166</v>
      </c>
      <c r="CL172" s="16" t="s">
        <v>166</v>
      </c>
      <c r="CM172" s="20" t="s">
        <v>166</v>
      </c>
      <c r="CN172" s="16" t="s">
        <v>166</v>
      </c>
      <c r="CO172" s="16" t="s">
        <v>166</v>
      </c>
      <c r="CP172" s="16" t="s">
        <v>166</v>
      </c>
      <c r="CQ172" s="16" t="s">
        <v>166</v>
      </c>
      <c r="CR172" s="16" t="s">
        <v>166</v>
      </c>
      <c r="CS172" s="16" t="s">
        <v>166</v>
      </c>
      <c r="CT172" s="16" t="s">
        <v>166</v>
      </c>
      <c r="CU172" s="16" t="s">
        <v>166</v>
      </c>
      <c r="CV172" s="16" t="s">
        <v>166</v>
      </c>
      <c r="CW172" s="16" t="s">
        <v>166</v>
      </c>
      <c r="CX172" s="16" t="s">
        <v>166</v>
      </c>
      <c r="CY172" s="16">
        <v>0.13</v>
      </c>
      <c r="CZ172" s="16" t="s">
        <v>166</v>
      </c>
      <c r="DA172" s="16" t="s">
        <v>166</v>
      </c>
      <c r="DB172" s="16" t="s">
        <v>166</v>
      </c>
      <c r="DC172" s="16" t="s">
        <v>166</v>
      </c>
      <c r="DD172" s="16" t="s">
        <v>166</v>
      </c>
      <c r="DE172" s="17" t="s">
        <v>166</v>
      </c>
      <c r="DF172" s="22">
        <v>10</v>
      </c>
      <c r="DG172" s="14" t="s">
        <v>3541</v>
      </c>
      <c r="DH172" s="14" t="s">
        <v>193</v>
      </c>
      <c r="DI172" s="14" t="s">
        <v>194</v>
      </c>
      <c r="DJ172" s="14" t="s">
        <v>3542</v>
      </c>
      <c r="DK172" s="14" t="s">
        <v>1251</v>
      </c>
      <c r="DL172" s="21" t="s">
        <v>3543</v>
      </c>
      <c r="DM172" s="14" t="s">
        <v>198</v>
      </c>
      <c r="DN172" s="13" t="s">
        <v>3544</v>
      </c>
      <c r="DO172" s="20">
        <v>2020</v>
      </c>
      <c r="DP172" s="14" t="s">
        <v>166</v>
      </c>
      <c r="DQ172" s="14" t="s">
        <v>3545</v>
      </c>
      <c r="DR172" s="18">
        <v>0.14</v>
      </c>
      <c r="DS172" s="16" t="s">
        <v>166</v>
      </c>
      <c r="DT172" s="19" t="s">
        <v>166</v>
      </c>
      <c r="DU172" s="14" t="s">
        <v>166</v>
      </c>
      <c r="DV172" s="18" t="s">
        <v>166</v>
      </c>
      <c r="DW172" s="18" t="s">
        <v>166</v>
      </c>
      <c r="DX172" s="16" t="s">
        <v>166</v>
      </c>
      <c r="DY172" s="16" t="s">
        <v>166</v>
      </c>
      <c r="DZ172" s="17" t="s">
        <v>166</v>
      </c>
      <c r="EA172" s="16" t="s">
        <v>166</v>
      </c>
      <c r="EB172" s="16" t="s">
        <v>166</v>
      </c>
      <c r="EC172" s="16" t="s">
        <v>166</v>
      </c>
      <c r="ED172" s="17" t="s">
        <v>166</v>
      </c>
      <c r="EE172" s="17" t="s">
        <v>166</v>
      </c>
      <c r="EF172" s="17" t="s">
        <v>166</v>
      </c>
      <c r="EG172" s="17" t="s">
        <v>166</v>
      </c>
      <c r="EH172" s="16" t="s">
        <v>166</v>
      </c>
      <c r="EI172" s="16" t="s">
        <v>166</v>
      </c>
      <c r="EJ172" s="16" t="s">
        <v>166</v>
      </c>
      <c r="EK172" s="16" t="s">
        <v>166</v>
      </c>
      <c r="EL172" s="16" t="s">
        <v>166</v>
      </c>
      <c r="EM172" s="16" t="s">
        <v>166</v>
      </c>
      <c r="EN172" s="16" t="s">
        <v>166</v>
      </c>
      <c r="EO172" s="16" t="s">
        <v>166</v>
      </c>
      <c r="EP172" s="16" t="s">
        <v>166</v>
      </c>
      <c r="EQ172" s="16" t="s">
        <v>166</v>
      </c>
      <c r="ER172" s="16" t="s">
        <v>166</v>
      </c>
      <c r="ES172" s="16" t="s">
        <v>166</v>
      </c>
      <c r="ET172" s="14" t="s">
        <v>166</v>
      </c>
      <c r="EU172" s="16" t="s">
        <v>166</v>
      </c>
      <c r="EV172" s="16" t="s">
        <v>166</v>
      </c>
      <c r="EW172" s="16" t="s">
        <v>166</v>
      </c>
      <c r="EX172" s="14" t="s">
        <v>190</v>
      </c>
      <c r="EY172" s="14" t="s">
        <v>190</v>
      </c>
      <c r="EZ172" s="16" t="s">
        <v>166</v>
      </c>
      <c r="FA172" s="15" t="s">
        <v>166</v>
      </c>
      <c r="FB172" s="15" t="s">
        <v>166</v>
      </c>
      <c r="FC172" s="15" t="s">
        <v>166</v>
      </c>
      <c r="FD172" s="15" t="s">
        <v>166</v>
      </c>
      <c r="FE172" s="15" t="s">
        <v>166</v>
      </c>
      <c r="FF172" s="15" t="s">
        <v>166</v>
      </c>
      <c r="FG172" s="14" t="s">
        <v>166</v>
      </c>
      <c r="FH172" s="3">
        <f>HYPERLINK("https://my.pitchbook.com?c=191456-47T","View Company Online")</f>
      </c>
    </row>
    <row r="173">
      <c r="A173" s="25" t="s">
        <v>3546</v>
      </c>
      <c r="B173" s="25" t="s">
        <v>3547</v>
      </c>
      <c r="C173" s="25" t="s">
        <v>3548</v>
      </c>
      <c r="D173" s="25" t="s">
        <v>166</v>
      </c>
      <c r="E173" s="34" t="s">
        <v>3549</v>
      </c>
      <c r="F173" s="32">
        <v>3</v>
      </c>
      <c r="G173" s="25" t="s">
        <v>3550</v>
      </c>
      <c r="H173" s="25" t="s">
        <v>166</v>
      </c>
      <c r="I173" s="25" t="s">
        <v>3551</v>
      </c>
      <c r="J173" s="25" t="s">
        <v>3552</v>
      </c>
      <c r="K173" s="25" t="s">
        <v>207</v>
      </c>
      <c r="L173" s="25" t="s">
        <v>208</v>
      </c>
      <c r="M173" s="25" t="s">
        <v>639</v>
      </c>
      <c r="N173" s="25" t="s">
        <v>3553</v>
      </c>
      <c r="O173" s="25" t="s">
        <v>166</v>
      </c>
      <c r="P173" s="25" t="s">
        <v>3554</v>
      </c>
      <c r="Q173" s="25" t="s">
        <v>166</v>
      </c>
      <c r="R173" s="25" t="s">
        <v>177</v>
      </c>
      <c r="S173" s="25" t="s">
        <v>178</v>
      </c>
      <c r="T173" s="25" t="s">
        <v>179</v>
      </c>
      <c r="U173" s="25" t="s">
        <v>3555</v>
      </c>
      <c r="V173" s="25" t="s">
        <v>3556</v>
      </c>
      <c r="W173" s="32" t="s">
        <v>166</v>
      </c>
      <c r="X173" s="25" t="s">
        <v>3557</v>
      </c>
      <c r="Y173" s="25" t="s">
        <v>3558</v>
      </c>
      <c r="Z173" s="25" t="s">
        <v>166</v>
      </c>
      <c r="AA173" s="25" t="s">
        <v>166</v>
      </c>
      <c r="AB173" s="25" t="s">
        <v>166</v>
      </c>
      <c r="AC173" s="25" t="s">
        <v>166</v>
      </c>
      <c r="AD173" s="25" t="s">
        <v>166</v>
      </c>
      <c r="AE173" s="25" t="s">
        <v>166</v>
      </c>
      <c r="AF173" s="25" t="s">
        <v>166</v>
      </c>
      <c r="AG173" s="25" t="s">
        <v>166</v>
      </c>
      <c r="AH173" s="32">
        <v>2</v>
      </c>
      <c r="AI173" s="4">
        <f>HYPERLINK("https://my.pitchbook.com/?d=244223-29T","244223-29T")</f>
      </c>
      <c r="AJ173" s="30" t="s">
        <v>166</v>
      </c>
      <c r="AK173" s="30">
        <v>45216</v>
      </c>
      <c r="AL173" s="29">
        <v>0.24</v>
      </c>
      <c r="AM173" s="25" t="s">
        <v>185</v>
      </c>
      <c r="AN173" s="29" t="s">
        <v>166</v>
      </c>
      <c r="AO173" s="29" t="s">
        <v>166</v>
      </c>
      <c r="AP173" s="25" t="s">
        <v>166</v>
      </c>
      <c r="AQ173" s="32" t="s">
        <v>166</v>
      </c>
      <c r="AR173" s="32" t="s">
        <v>166</v>
      </c>
      <c r="AS173" s="28" t="s">
        <v>166</v>
      </c>
      <c r="AT173" s="29">
        <v>0.36</v>
      </c>
      <c r="AU173" s="32" t="s">
        <v>186</v>
      </c>
      <c r="AV173" s="32" t="s">
        <v>166</v>
      </c>
      <c r="AW173" s="29" t="s">
        <v>166</v>
      </c>
      <c r="AX173" s="32" t="s">
        <v>166</v>
      </c>
      <c r="AY173" s="25" t="s">
        <v>187</v>
      </c>
      <c r="AZ173" s="25" t="s">
        <v>166</v>
      </c>
      <c r="BA173" s="25" t="s">
        <v>166</v>
      </c>
      <c r="BB173" s="32" t="s">
        <v>166</v>
      </c>
      <c r="BC173" s="25" t="s">
        <v>179</v>
      </c>
      <c r="BD173" s="25" t="s">
        <v>3559</v>
      </c>
      <c r="BE173" s="25" t="s">
        <v>189</v>
      </c>
      <c r="BF173" s="29">
        <v>0.24</v>
      </c>
      <c r="BG173" s="25" t="s">
        <v>190</v>
      </c>
      <c r="BH173" s="25" t="s">
        <v>166</v>
      </c>
      <c r="BI173" s="25" t="s">
        <v>166</v>
      </c>
      <c r="BJ173" s="29" t="s">
        <v>166</v>
      </c>
      <c r="BK173" s="29" t="s">
        <v>166</v>
      </c>
      <c r="BL173" s="25" t="s">
        <v>191</v>
      </c>
      <c r="BM173" s="25" t="s">
        <v>178</v>
      </c>
      <c r="BN173" s="25" t="s">
        <v>177</v>
      </c>
      <c r="BO173" s="33" t="s">
        <v>166</v>
      </c>
      <c r="BP173" s="25" t="s">
        <v>3560</v>
      </c>
      <c r="BQ173" s="32">
        <v>2</v>
      </c>
      <c r="BR173" s="25" t="s">
        <v>252</v>
      </c>
      <c r="BS173" s="32">
        <v>1</v>
      </c>
      <c r="BT173" s="25" t="s">
        <v>166</v>
      </c>
      <c r="BU173" s="25" t="s">
        <v>166</v>
      </c>
      <c r="BV173" s="25" t="s">
        <v>166</v>
      </c>
      <c r="BW173" s="25" t="s">
        <v>166</v>
      </c>
      <c r="BX173" s="25" t="s">
        <v>166</v>
      </c>
      <c r="BY173" s="25" t="s">
        <v>166</v>
      </c>
      <c r="BZ173" s="25" t="s">
        <v>166</v>
      </c>
      <c r="CA173" s="25" t="s">
        <v>166</v>
      </c>
      <c r="CB173" s="25" t="s">
        <v>166</v>
      </c>
      <c r="CC173" s="25" t="s">
        <v>166</v>
      </c>
      <c r="CD173" s="25" t="s">
        <v>166</v>
      </c>
      <c r="CE173" s="29" t="s">
        <v>166</v>
      </c>
      <c r="CF173" s="27" t="s">
        <v>166</v>
      </c>
      <c r="CG173" s="28" t="s">
        <v>166</v>
      </c>
      <c r="CH173" s="27" t="s">
        <v>166</v>
      </c>
      <c r="CI173" s="27" t="s">
        <v>166</v>
      </c>
      <c r="CJ173" s="27" t="s">
        <v>166</v>
      </c>
      <c r="CK173" s="27" t="s">
        <v>166</v>
      </c>
      <c r="CL173" s="27" t="s">
        <v>166</v>
      </c>
      <c r="CM173" s="31" t="s">
        <v>166</v>
      </c>
      <c r="CN173" s="27" t="s">
        <v>166</v>
      </c>
      <c r="CO173" s="27" t="s">
        <v>166</v>
      </c>
      <c r="CP173" s="27" t="s">
        <v>166</v>
      </c>
      <c r="CQ173" s="27" t="s">
        <v>166</v>
      </c>
      <c r="CR173" s="27" t="s">
        <v>166</v>
      </c>
      <c r="CS173" s="27" t="s">
        <v>166</v>
      </c>
      <c r="CT173" s="27" t="s">
        <v>166</v>
      </c>
      <c r="CU173" s="27" t="s">
        <v>166</v>
      </c>
      <c r="CV173" s="27" t="s">
        <v>166</v>
      </c>
      <c r="CW173" s="27" t="s">
        <v>166</v>
      </c>
      <c r="CX173" s="27" t="s">
        <v>166</v>
      </c>
      <c r="CY173" s="27" t="s">
        <v>166</v>
      </c>
      <c r="CZ173" s="27" t="s">
        <v>166</v>
      </c>
      <c r="DA173" s="27" t="s">
        <v>166</v>
      </c>
      <c r="DB173" s="27" t="s">
        <v>166</v>
      </c>
      <c r="DC173" s="27" t="s">
        <v>166</v>
      </c>
      <c r="DD173" s="27" t="s">
        <v>166</v>
      </c>
      <c r="DE173" s="28" t="s">
        <v>166</v>
      </c>
      <c r="DF173" s="33">
        <v>2</v>
      </c>
      <c r="DG173" s="25" t="s">
        <v>309</v>
      </c>
      <c r="DH173" s="25" t="s">
        <v>193</v>
      </c>
      <c r="DI173" s="25" t="s">
        <v>194</v>
      </c>
      <c r="DJ173" s="25" t="s">
        <v>310</v>
      </c>
      <c r="DK173" s="25" t="s">
        <v>310</v>
      </c>
      <c r="DL173" s="32" t="s">
        <v>1154</v>
      </c>
      <c r="DM173" s="25" t="s">
        <v>198</v>
      </c>
      <c r="DN173" s="24" t="s">
        <v>3561</v>
      </c>
      <c r="DO173" s="31">
        <v>2022</v>
      </c>
      <c r="DP173" s="25" t="s">
        <v>166</v>
      </c>
      <c r="DQ173" s="25" t="s">
        <v>166</v>
      </c>
      <c r="DR173" s="29" t="s">
        <v>166</v>
      </c>
      <c r="DS173" s="27" t="s">
        <v>166</v>
      </c>
      <c r="DT173" s="30" t="s">
        <v>166</v>
      </c>
      <c r="DU173" s="25" t="s">
        <v>166</v>
      </c>
      <c r="DV173" s="29" t="s">
        <v>166</v>
      </c>
      <c r="DW173" s="29" t="s">
        <v>166</v>
      </c>
      <c r="DX173" s="27" t="s">
        <v>166</v>
      </c>
      <c r="DY173" s="27" t="s">
        <v>166</v>
      </c>
      <c r="DZ173" s="28" t="s">
        <v>166</v>
      </c>
      <c r="EA173" s="27" t="s">
        <v>166</v>
      </c>
      <c r="EB173" s="27" t="s">
        <v>166</v>
      </c>
      <c r="EC173" s="27" t="s">
        <v>166</v>
      </c>
      <c r="ED173" s="28" t="s">
        <v>166</v>
      </c>
      <c r="EE173" s="28" t="s">
        <v>166</v>
      </c>
      <c r="EF173" s="28" t="s">
        <v>166</v>
      </c>
      <c r="EG173" s="28" t="s">
        <v>166</v>
      </c>
      <c r="EH173" s="27" t="s">
        <v>166</v>
      </c>
      <c r="EI173" s="27" t="s">
        <v>166</v>
      </c>
      <c r="EJ173" s="27" t="s">
        <v>166</v>
      </c>
      <c r="EK173" s="27" t="s">
        <v>166</v>
      </c>
      <c r="EL173" s="27" t="s">
        <v>166</v>
      </c>
      <c r="EM173" s="27" t="s">
        <v>166</v>
      </c>
      <c r="EN173" s="27" t="s">
        <v>166</v>
      </c>
      <c r="EO173" s="27" t="s">
        <v>166</v>
      </c>
      <c r="EP173" s="27" t="s">
        <v>166</v>
      </c>
      <c r="EQ173" s="27" t="s">
        <v>166</v>
      </c>
      <c r="ER173" s="27" t="s">
        <v>166</v>
      </c>
      <c r="ES173" s="27" t="s">
        <v>166</v>
      </c>
      <c r="ET173" s="25" t="s">
        <v>166</v>
      </c>
      <c r="EU173" s="27" t="s">
        <v>166</v>
      </c>
      <c r="EV173" s="27" t="s">
        <v>166</v>
      </c>
      <c r="EW173" s="27" t="s">
        <v>166</v>
      </c>
      <c r="EX173" s="25" t="s">
        <v>190</v>
      </c>
      <c r="EY173" s="25" t="s">
        <v>166</v>
      </c>
      <c r="EZ173" s="27" t="s">
        <v>166</v>
      </c>
      <c r="FA173" s="26" t="s">
        <v>166</v>
      </c>
      <c r="FB173" s="26" t="s">
        <v>166</v>
      </c>
      <c r="FC173" s="26" t="s">
        <v>166</v>
      </c>
      <c r="FD173" s="26" t="s">
        <v>166</v>
      </c>
      <c r="FE173" s="26" t="s">
        <v>166</v>
      </c>
      <c r="FF173" s="26" t="s">
        <v>166</v>
      </c>
      <c r="FG173" s="25" t="s">
        <v>166</v>
      </c>
      <c r="FH173" s="4">
        <f>HYPERLINK("https://my.pitchbook.com?c=244223-29T","View Company Online")</f>
      </c>
    </row>
    <row r="174">
      <c r="A174" s="14" t="s">
        <v>3562</v>
      </c>
      <c r="B174" s="14" t="s">
        <v>3563</v>
      </c>
      <c r="C174" s="14" t="s">
        <v>3564</v>
      </c>
      <c r="D174" s="14" t="s">
        <v>166</v>
      </c>
      <c r="E174" s="23" t="s">
        <v>3565</v>
      </c>
      <c r="F174" s="21">
        <v>1</v>
      </c>
      <c r="G174" s="14" t="s">
        <v>3566</v>
      </c>
      <c r="H174" s="14" t="s">
        <v>166</v>
      </c>
      <c r="I174" s="14" t="s">
        <v>3567</v>
      </c>
      <c r="J174" s="14" t="s">
        <v>3568</v>
      </c>
      <c r="K174" s="14" t="s">
        <v>1455</v>
      </c>
      <c r="L174" s="14" t="s">
        <v>1984</v>
      </c>
      <c r="M174" s="14" t="s">
        <v>2112</v>
      </c>
      <c r="N174" s="14" t="s">
        <v>3046</v>
      </c>
      <c r="O174" s="14" t="s">
        <v>166</v>
      </c>
      <c r="P174" s="14" t="s">
        <v>3569</v>
      </c>
      <c r="Q174" s="14" t="s">
        <v>166</v>
      </c>
      <c r="R174" s="14" t="s">
        <v>177</v>
      </c>
      <c r="S174" s="14" t="s">
        <v>785</v>
      </c>
      <c r="T174" s="14" t="s">
        <v>179</v>
      </c>
      <c r="U174" s="14" t="s">
        <v>3570</v>
      </c>
      <c r="V174" s="14" t="s">
        <v>3571</v>
      </c>
      <c r="W174" s="21" t="s">
        <v>166</v>
      </c>
      <c r="X174" s="14" t="s">
        <v>166</v>
      </c>
      <c r="Y174" s="14" t="s">
        <v>3572</v>
      </c>
      <c r="Z174" s="14" t="s">
        <v>3573</v>
      </c>
      <c r="AA174" s="14" t="s">
        <v>166</v>
      </c>
      <c r="AB174" s="14" t="s">
        <v>166</v>
      </c>
      <c r="AC174" s="14" t="s">
        <v>166</v>
      </c>
      <c r="AD174" s="14" t="s">
        <v>166</v>
      </c>
      <c r="AE174" s="14" t="s">
        <v>166</v>
      </c>
      <c r="AF174" s="14" t="s">
        <v>166</v>
      </c>
      <c r="AG174" s="14" t="s">
        <v>166</v>
      </c>
      <c r="AH174" s="21">
        <v>1</v>
      </c>
      <c r="AI174" s="3">
        <f>HYPERLINK("https://my.pitchbook.com/?d=266056-12T","266056-12T")</f>
      </c>
      <c r="AJ174" s="19" t="s">
        <v>166</v>
      </c>
      <c r="AK174" s="19">
        <v>45471</v>
      </c>
      <c r="AL174" s="18">
        <v>0.08</v>
      </c>
      <c r="AM174" s="14" t="s">
        <v>185</v>
      </c>
      <c r="AN174" s="18" t="s">
        <v>166</v>
      </c>
      <c r="AO174" s="18" t="s">
        <v>166</v>
      </c>
      <c r="AP174" s="14" t="s">
        <v>166</v>
      </c>
      <c r="AQ174" s="21" t="s">
        <v>166</v>
      </c>
      <c r="AR174" s="21" t="s">
        <v>166</v>
      </c>
      <c r="AS174" s="17" t="s">
        <v>166</v>
      </c>
      <c r="AT174" s="18">
        <v>0.08</v>
      </c>
      <c r="AU174" s="21" t="s">
        <v>186</v>
      </c>
      <c r="AV174" s="21" t="s">
        <v>166</v>
      </c>
      <c r="AW174" s="18" t="s">
        <v>166</v>
      </c>
      <c r="AX174" s="21" t="s">
        <v>166</v>
      </c>
      <c r="AY174" s="14" t="s">
        <v>217</v>
      </c>
      <c r="AZ174" s="14" t="s">
        <v>217</v>
      </c>
      <c r="BA174" s="14" t="s">
        <v>166</v>
      </c>
      <c r="BB174" s="21" t="s">
        <v>166</v>
      </c>
      <c r="BC174" s="14" t="s">
        <v>179</v>
      </c>
      <c r="BD174" s="14" t="s">
        <v>3574</v>
      </c>
      <c r="BE174" s="14" t="s">
        <v>189</v>
      </c>
      <c r="BF174" s="18">
        <v>0.08</v>
      </c>
      <c r="BG174" s="14" t="s">
        <v>190</v>
      </c>
      <c r="BH174" s="14" t="s">
        <v>166</v>
      </c>
      <c r="BI174" s="14" t="s">
        <v>166</v>
      </c>
      <c r="BJ174" s="18" t="s">
        <v>166</v>
      </c>
      <c r="BK174" s="18" t="s">
        <v>166</v>
      </c>
      <c r="BL174" s="14" t="s">
        <v>191</v>
      </c>
      <c r="BM174" s="14" t="s">
        <v>785</v>
      </c>
      <c r="BN174" s="14" t="s">
        <v>177</v>
      </c>
      <c r="BO174" s="22" t="s">
        <v>166</v>
      </c>
      <c r="BP174" s="14" t="s">
        <v>3565</v>
      </c>
      <c r="BQ174" s="21">
        <v>1</v>
      </c>
      <c r="BR174" s="14" t="s">
        <v>166</v>
      </c>
      <c r="BS174" s="21" t="s">
        <v>166</v>
      </c>
      <c r="BT174" s="14" t="s">
        <v>166</v>
      </c>
      <c r="BU174" s="14" t="s">
        <v>166</v>
      </c>
      <c r="BV174" s="14" t="s">
        <v>166</v>
      </c>
      <c r="BW174" s="14" t="s">
        <v>166</v>
      </c>
      <c r="BX174" s="14" t="s">
        <v>166</v>
      </c>
      <c r="BY174" s="14" t="s">
        <v>166</v>
      </c>
      <c r="BZ174" s="14" t="s">
        <v>166</v>
      </c>
      <c r="CA174" s="14" t="s">
        <v>166</v>
      </c>
      <c r="CB174" s="14" t="s">
        <v>166</v>
      </c>
      <c r="CC174" s="14" t="s">
        <v>166</v>
      </c>
      <c r="CD174" s="14" t="s">
        <v>166</v>
      </c>
      <c r="CE174" s="18" t="s">
        <v>166</v>
      </c>
      <c r="CF174" s="16" t="s">
        <v>166</v>
      </c>
      <c r="CG174" s="17" t="s">
        <v>166</v>
      </c>
      <c r="CH174" s="16" t="s">
        <v>166</v>
      </c>
      <c r="CI174" s="16" t="s">
        <v>166</v>
      </c>
      <c r="CJ174" s="16" t="s">
        <v>166</v>
      </c>
      <c r="CK174" s="16" t="s">
        <v>166</v>
      </c>
      <c r="CL174" s="16" t="s">
        <v>166</v>
      </c>
      <c r="CM174" s="20" t="s">
        <v>166</v>
      </c>
      <c r="CN174" s="16" t="s">
        <v>166</v>
      </c>
      <c r="CO174" s="16" t="s">
        <v>166</v>
      </c>
      <c r="CP174" s="16" t="s">
        <v>166</v>
      </c>
      <c r="CQ174" s="16" t="s">
        <v>166</v>
      </c>
      <c r="CR174" s="16" t="s">
        <v>166</v>
      </c>
      <c r="CS174" s="16" t="s">
        <v>166</v>
      </c>
      <c r="CT174" s="16" t="s">
        <v>166</v>
      </c>
      <c r="CU174" s="16" t="s">
        <v>166</v>
      </c>
      <c r="CV174" s="16" t="s">
        <v>166</v>
      </c>
      <c r="CW174" s="16" t="s">
        <v>166</v>
      </c>
      <c r="CX174" s="16" t="s">
        <v>166</v>
      </c>
      <c r="CY174" s="16" t="s">
        <v>166</v>
      </c>
      <c r="CZ174" s="16" t="s">
        <v>166</v>
      </c>
      <c r="DA174" s="16" t="s">
        <v>166</v>
      </c>
      <c r="DB174" s="16" t="s">
        <v>166</v>
      </c>
      <c r="DC174" s="16" t="s">
        <v>166</v>
      </c>
      <c r="DD174" s="16" t="s">
        <v>166</v>
      </c>
      <c r="DE174" s="17" t="s">
        <v>166</v>
      </c>
      <c r="DF174" s="22">
        <v>4</v>
      </c>
      <c r="DG174" s="14" t="s">
        <v>1886</v>
      </c>
      <c r="DH174" s="14" t="s">
        <v>193</v>
      </c>
      <c r="DI174" s="14" t="s">
        <v>194</v>
      </c>
      <c r="DJ174" s="14" t="s">
        <v>1887</v>
      </c>
      <c r="DK174" s="14" t="s">
        <v>1888</v>
      </c>
      <c r="DL174" s="21" t="s">
        <v>166</v>
      </c>
      <c r="DM174" s="14" t="s">
        <v>198</v>
      </c>
      <c r="DN174" s="13" t="s">
        <v>3575</v>
      </c>
      <c r="DO174" s="20">
        <v>2021</v>
      </c>
      <c r="DP174" s="14" t="s">
        <v>166</v>
      </c>
      <c r="DQ174" s="14" t="s">
        <v>166</v>
      </c>
      <c r="DR174" s="18" t="s">
        <v>166</v>
      </c>
      <c r="DS174" s="16" t="s">
        <v>166</v>
      </c>
      <c r="DT174" s="19" t="s">
        <v>166</v>
      </c>
      <c r="DU174" s="14" t="s">
        <v>166</v>
      </c>
      <c r="DV174" s="18" t="s">
        <v>166</v>
      </c>
      <c r="DW174" s="18" t="s">
        <v>166</v>
      </c>
      <c r="DX174" s="16" t="s">
        <v>166</v>
      </c>
      <c r="DY174" s="16" t="s">
        <v>166</v>
      </c>
      <c r="DZ174" s="17" t="s">
        <v>166</v>
      </c>
      <c r="EA174" s="16" t="s">
        <v>166</v>
      </c>
      <c r="EB174" s="16" t="s">
        <v>166</v>
      </c>
      <c r="EC174" s="16" t="s">
        <v>166</v>
      </c>
      <c r="ED174" s="17" t="s">
        <v>166</v>
      </c>
      <c r="EE174" s="17" t="s">
        <v>166</v>
      </c>
      <c r="EF174" s="17" t="s">
        <v>166</v>
      </c>
      <c r="EG174" s="17" t="s">
        <v>166</v>
      </c>
      <c r="EH174" s="16" t="s">
        <v>166</v>
      </c>
      <c r="EI174" s="16" t="s">
        <v>166</v>
      </c>
      <c r="EJ174" s="16" t="s">
        <v>166</v>
      </c>
      <c r="EK174" s="16" t="s">
        <v>166</v>
      </c>
      <c r="EL174" s="16" t="s">
        <v>166</v>
      </c>
      <c r="EM174" s="16" t="s">
        <v>166</v>
      </c>
      <c r="EN174" s="16" t="s">
        <v>166</v>
      </c>
      <c r="EO174" s="16" t="s">
        <v>166</v>
      </c>
      <c r="EP174" s="16" t="s">
        <v>166</v>
      </c>
      <c r="EQ174" s="16" t="s">
        <v>166</v>
      </c>
      <c r="ER174" s="16" t="s">
        <v>166</v>
      </c>
      <c r="ES174" s="16" t="s">
        <v>166</v>
      </c>
      <c r="ET174" s="14" t="s">
        <v>166</v>
      </c>
      <c r="EU174" s="16" t="s">
        <v>166</v>
      </c>
      <c r="EV174" s="16" t="s">
        <v>166</v>
      </c>
      <c r="EW174" s="16" t="s">
        <v>166</v>
      </c>
      <c r="EX174" s="14" t="s">
        <v>190</v>
      </c>
      <c r="EY174" s="14" t="s">
        <v>166</v>
      </c>
      <c r="EZ174" s="16" t="s">
        <v>166</v>
      </c>
      <c r="FA174" s="15" t="s">
        <v>166</v>
      </c>
      <c r="FB174" s="15" t="s">
        <v>166</v>
      </c>
      <c r="FC174" s="15" t="s">
        <v>166</v>
      </c>
      <c r="FD174" s="15" t="s">
        <v>166</v>
      </c>
      <c r="FE174" s="15" t="s">
        <v>166</v>
      </c>
      <c r="FF174" s="15" t="s">
        <v>166</v>
      </c>
      <c r="FG174" s="14" t="s">
        <v>166</v>
      </c>
      <c r="FH174" s="3">
        <f>HYPERLINK("https://my.pitchbook.com?c=266056-12T","View Company Online")</f>
      </c>
    </row>
    <row r="175">
      <c r="A175" s="25" t="s">
        <v>3576</v>
      </c>
      <c r="B175" s="25" t="s">
        <v>3577</v>
      </c>
      <c r="C175" s="25" t="s">
        <v>3578</v>
      </c>
      <c r="D175" s="25" t="s">
        <v>166</v>
      </c>
      <c r="E175" s="34" t="s">
        <v>3579</v>
      </c>
      <c r="F175" s="32">
        <v>2</v>
      </c>
      <c r="G175" s="25" t="s">
        <v>3580</v>
      </c>
      <c r="H175" s="25" t="s">
        <v>166</v>
      </c>
      <c r="I175" s="25" t="s">
        <v>3581</v>
      </c>
      <c r="J175" s="25" t="s">
        <v>3582</v>
      </c>
      <c r="K175" s="25" t="s">
        <v>207</v>
      </c>
      <c r="L175" s="25" t="s">
        <v>208</v>
      </c>
      <c r="M175" s="25" t="s">
        <v>209</v>
      </c>
      <c r="N175" s="25" t="s">
        <v>860</v>
      </c>
      <c r="O175" s="25" t="s">
        <v>3583</v>
      </c>
      <c r="P175" s="25" t="s">
        <v>3584</v>
      </c>
      <c r="Q175" s="25" t="s">
        <v>166</v>
      </c>
      <c r="R175" s="25" t="s">
        <v>177</v>
      </c>
      <c r="S175" s="25" t="s">
        <v>785</v>
      </c>
      <c r="T175" s="25" t="s">
        <v>179</v>
      </c>
      <c r="U175" s="25" t="s">
        <v>3585</v>
      </c>
      <c r="V175" s="25" t="s">
        <v>3586</v>
      </c>
      <c r="W175" s="32" t="s">
        <v>166</v>
      </c>
      <c r="X175" s="25" t="s">
        <v>166</v>
      </c>
      <c r="Y175" s="25" t="s">
        <v>3587</v>
      </c>
      <c r="Z175" s="25" t="s">
        <v>3588</v>
      </c>
      <c r="AA175" s="25" t="s">
        <v>166</v>
      </c>
      <c r="AB175" s="25" t="s">
        <v>166</v>
      </c>
      <c r="AC175" s="25" t="s">
        <v>166</v>
      </c>
      <c r="AD175" s="25" t="s">
        <v>166</v>
      </c>
      <c r="AE175" s="25" t="s">
        <v>166</v>
      </c>
      <c r="AF175" s="25" t="s">
        <v>166</v>
      </c>
      <c r="AG175" s="25" t="s">
        <v>166</v>
      </c>
      <c r="AH175" s="32">
        <v>3</v>
      </c>
      <c r="AI175" s="4">
        <f>HYPERLINK("https://my.pitchbook.com/?d=241020-28T","241020-28T")</f>
      </c>
      <c r="AJ175" s="30" t="s">
        <v>166</v>
      </c>
      <c r="AK175" s="30">
        <v>45169</v>
      </c>
      <c r="AL175" s="29">
        <v>0.6</v>
      </c>
      <c r="AM175" s="25" t="s">
        <v>185</v>
      </c>
      <c r="AN175" s="29">
        <v>4.4</v>
      </c>
      <c r="AO175" s="29">
        <v>5</v>
      </c>
      <c r="AP175" s="25" t="s">
        <v>185</v>
      </c>
      <c r="AQ175" s="32" t="s">
        <v>166</v>
      </c>
      <c r="AR175" s="32" t="s">
        <v>166</v>
      </c>
      <c r="AS175" s="28" t="s">
        <v>166</v>
      </c>
      <c r="AT175" s="29">
        <v>0.62</v>
      </c>
      <c r="AU175" s="32" t="s">
        <v>186</v>
      </c>
      <c r="AV175" s="32" t="s">
        <v>166</v>
      </c>
      <c r="AW175" s="29" t="s">
        <v>166</v>
      </c>
      <c r="AX175" s="32" t="s">
        <v>166</v>
      </c>
      <c r="AY175" s="25" t="s">
        <v>217</v>
      </c>
      <c r="AZ175" s="25" t="s">
        <v>217</v>
      </c>
      <c r="BA175" s="25" t="s">
        <v>166</v>
      </c>
      <c r="BB175" s="32" t="s">
        <v>166</v>
      </c>
      <c r="BC175" s="25" t="s">
        <v>179</v>
      </c>
      <c r="BD175" s="25" t="s">
        <v>3582</v>
      </c>
      <c r="BE175" s="25" t="s">
        <v>189</v>
      </c>
      <c r="BF175" s="29">
        <v>0.6</v>
      </c>
      <c r="BG175" s="25" t="s">
        <v>190</v>
      </c>
      <c r="BH175" s="25" t="s">
        <v>166</v>
      </c>
      <c r="BI175" s="25" t="s">
        <v>166</v>
      </c>
      <c r="BJ175" s="29" t="s">
        <v>166</v>
      </c>
      <c r="BK175" s="29" t="s">
        <v>166</v>
      </c>
      <c r="BL175" s="25" t="s">
        <v>191</v>
      </c>
      <c r="BM175" s="25" t="s">
        <v>178</v>
      </c>
      <c r="BN175" s="25" t="s">
        <v>177</v>
      </c>
      <c r="BO175" s="33">
        <v>3</v>
      </c>
      <c r="BP175" s="25" t="s">
        <v>3579</v>
      </c>
      <c r="BQ175" s="32">
        <v>2</v>
      </c>
      <c r="BR175" s="25" t="s">
        <v>166</v>
      </c>
      <c r="BS175" s="32" t="s">
        <v>166</v>
      </c>
      <c r="BT175" s="25" t="s">
        <v>166</v>
      </c>
      <c r="BU175" s="25" t="s">
        <v>166</v>
      </c>
      <c r="BV175" s="25" t="s">
        <v>3589</v>
      </c>
      <c r="BW175" s="25" t="s">
        <v>166</v>
      </c>
      <c r="BX175" s="25" t="s">
        <v>166</v>
      </c>
      <c r="BY175" s="25" t="s">
        <v>166</v>
      </c>
      <c r="BZ175" s="25" t="s">
        <v>166</v>
      </c>
      <c r="CA175" s="25" t="s">
        <v>166</v>
      </c>
      <c r="CB175" s="25" t="s">
        <v>166</v>
      </c>
      <c r="CC175" s="25" t="s">
        <v>166</v>
      </c>
      <c r="CD175" s="25" t="s">
        <v>166</v>
      </c>
      <c r="CE175" s="29" t="s">
        <v>166</v>
      </c>
      <c r="CF175" s="27" t="s">
        <v>166</v>
      </c>
      <c r="CG175" s="28" t="s">
        <v>166</v>
      </c>
      <c r="CH175" s="27" t="s">
        <v>166</v>
      </c>
      <c r="CI175" s="27" t="s">
        <v>166</v>
      </c>
      <c r="CJ175" s="27" t="s">
        <v>166</v>
      </c>
      <c r="CK175" s="27" t="s">
        <v>166</v>
      </c>
      <c r="CL175" s="27" t="s">
        <v>166</v>
      </c>
      <c r="CM175" s="31" t="s">
        <v>166</v>
      </c>
      <c r="CN175" s="27" t="s">
        <v>166</v>
      </c>
      <c r="CO175" s="27" t="s">
        <v>166</v>
      </c>
      <c r="CP175" s="27" t="s">
        <v>166</v>
      </c>
      <c r="CQ175" s="27" t="s">
        <v>166</v>
      </c>
      <c r="CR175" s="27" t="s">
        <v>166</v>
      </c>
      <c r="CS175" s="27" t="s">
        <v>166</v>
      </c>
      <c r="CT175" s="27" t="s">
        <v>166</v>
      </c>
      <c r="CU175" s="27" t="s">
        <v>166</v>
      </c>
      <c r="CV175" s="27" t="s">
        <v>166</v>
      </c>
      <c r="CW175" s="27" t="s">
        <v>166</v>
      </c>
      <c r="CX175" s="27" t="s">
        <v>166</v>
      </c>
      <c r="CY175" s="27" t="s">
        <v>166</v>
      </c>
      <c r="CZ175" s="27" t="s">
        <v>166</v>
      </c>
      <c r="DA175" s="27" t="s">
        <v>166</v>
      </c>
      <c r="DB175" s="27" t="s">
        <v>166</v>
      </c>
      <c r="DC175" s="27" t="s">
        <v>166</v>
      </c>
      <c r="DD175" s="27" t="s">
        <v>166</v>
      </c>
      <c r="DE175" s="28" t="s">
        <v>166</v>
      </c>
      <c r="DF175" s="33">
        <v>7</v>
      </c>
      <c r="DG175" s="25" t="s">
        <v>673</v>
      </c>
      <c r="DH175" s="25" t="s">
        <v>193</v>
      </c>
      <c r="DI175" s="25" t="s">
        <v>194</v>
      </c>
      <c r="DJ175" s="25" t="s">
        <v>674</v>
      </c>
      <c r="DK175" s="25" t="s">
        <v>257</v>
      </c>
      <c r="DL175" s="32" t="s">
        <v>166</v>
      </c>
      <c r="DM175" s="25" t="s">
        <v>198</v>
      </c>
      <c r="DN175" s="24" t="s">
        <v>3590</v>
      </c>
      <c r="DO175" s="31">
        <v>2022</v>
      </c>
      <c r="DP175" s="25" t="s">
        <v>166</v>
      </c>
      <c r="DQ175" s="25" t="s">
        <v>166</v>
      </c>
      <c r="DR175" s="29" t="s">
        <v>166</v>
      </c>
      <c r="DS175" s="27" t="s">
        <v>166</v>
      </c>
      <c r="DT175" s="30" t="s">
        <v>166</v>
      </c>
      <c r="DU175" s="25" t="s">
        <v>166</v>
      </c>
      <c r="DV175" s="29" t="s">
        <v>166</v>
      </c>
      <c r="DW175" s="29" t="s">
        <v>166</v>
      </c>
      <c r="DX175" s="27" t="s">
        <v>166</v>
      </c>
      <c r="DY175" s="27" t="s">
        <v>166</v>
      </c>
      <c r="DZ175" s="28" t="s">
        <v>166</v>
      </c>
      <c r="EA175" s="27" t="s">
        <v>166</v>
      </c>
      <c r="EB175" s="27" t="s">
        <v>166</v>
      </c>
      <c r="EC175" s="27" t="s">
        <v>166</v>
      </c>
      <c r="ED175" s="28" t="s">
        <v>166</v>
      </c>
      <c r="EE175" s="28" t="s">
        <v>166</v>
      </c>
      <c r="EF175" s="28" t="s">
        <v>166</v>
      </c>
      <c r="EG175" s="28" t="s">
        <v>166</v>
      </c>
      <c r="EH175" s="27" t="s">
        <v>166</v>
      </c>
      <c r="EI175" s="27" t="s">
        <v>166</v>
      </c>
      <c r="EJ175" s="27" t="s">
        <v>166</v>
      </c>
      <c r="EK175" s="27" t="s">
        <v>166</v>
      </c>
      <c r="EL175" s="27" t="s">
        <v>166</v>
      </c>
      <c r="EM175" s="27" t="s">
        <v>166</v>
      </c>
      <c r="EN175" s="27" t="s">
        <v>166</v>
      </c>
      <c r="EO175" s="27" t="s">
        <v>166</v>
      </c>
      <c r="EP175" s="27" t="s">
        <v>166</v>
      </c>
      <c r="EQ175" s="27" t="s">
        <v>166</v>
      </c>
      <c r="ER175" s="27" t="s">
        <v>166</v>
      </c>
      <c r="ES175" s="27" t="s">
        <v>166</v>
      </c>
      <c r="ET175" s="25" t="s">
        <v>166</v>
      </c>
      <c r="EU175" s="27" t="s">
        <v>166</v>
      </c>
      <c r="EV175" s="27" t="s">
        <v>166</v>
      </c>
      <c r="EW175" s="27" t="s">
        <v>166</v>
      </c>
      <c r="EX175" s="25" t="s">
        <v>190</v>
      </c>
      <c r="EY175" s="25" t="s">
        <v>166</v>
      </c>
      <c r="EZ175" s="27" t="s">
        <v>166</v>
      </c>
      <c r="FA175" s="26" t="s">
        <v>166</v>
      </c>
      <c r="FB175" s="26" t="s">
        <v>166</v>
      </c>
      <c r="FC175" s="26" t="s">
        <v>166</v>
      </c>
      <c r="FD175" s="26" t="s">
        <v>166</v>
      </c>
      <c r="FE175" s="26" t="s">
        <v>166</v>
      </c>
      <c r="FF175" s="26" t="s">
        <v>166</v>
      </c>
      <c r="FG175" s="25" t="s">
        <v>166</v>
      </c>
      <c r="FH175" s="4">
        <f>HYPERLINK("https://my.pitchbook.com?c=241020-28T","View Company Online")</f>
      </c>
    </row>
    <row r="176">
      <c r="A176" s="14" t="s">
        <v>3591</v>
      </c>
      <c r="B176" s="14" t="s">
        <v>3592</v>
      </c>
      <c r="C176" s="14" t="s">
        <v>3593</v>
      </c>
      <c r="D176" s="14" t="s">
        <v>166</v>
      </c>
      <c r="E176" s="23" t="s">
        <v>3594</v>
      </c>
      <c r="F176" s="21">
        <v>1</v>
      </c>
      <c r="G176" s="14" t="s">
        <v>166</v>
      </c>
      <c r="H176" s="14" t="s">
        <v>166</v>
      </c>
      <c r="I176" s="14" t="s">
        <v>3595</v>
      </c>
      <c r="J176" s="14" t="s">
        <v>3596</v>
      </c>
      <c r="K176" s="14" t="s">
        <v>1455</v>
      </c>
      <c r="L176" s="14" t="s">
        <v>1984</v>
      </c>
      <c r="M176" s="14" t="s">
        <v>3597</v>
      </c>
      <c r="N176" s="14" t="s">
        <v>3598</v>
      </c>
      <c r="O176" s="14" t="s">
        <v>3599</v>
      </c>
      <c r="P176" s="14" t="s">
        <v>3600</v>
      </c>
      <c r="Q176" s="14" t="s">
        <v>166</v>
      </c>
      <c r="R176" s="14" t="s">
        <v>177</v>
      </c>
      <c r="S176" s="14" t="s">
        <v>178</v>
      </c>
      <c r="T176" s="14" t="s">
        <v>179</v>
      </c>
      <c r="U176" s="14" t="s">
        <v>3601</v>
      </c>
      <c r="V176" s="14" t="s">
        <v>3602</v>
      </c>
      <c r="W176" s="21" t="s">
        <v>3603</v>
      </c>
      <c r="X176" s="14" t="s">
        <v>3604</v>
      </c>
      <c r="Y176" s="14" t="s">
        <v>3605</v>
      </c>
      <c r="Z176" s="14" t="s">
        <v>3606</v>
      </c>
      <c r="AA176" s="14" t="s">
        <v>166</v>
      </c>
      <c r="AB176" s="14" t="s">
        <v>166</v>
      </c>
      <c r="AC176" s="14" t="s">
        <v>166</v>
      </c>
      <c r="AD176" s="14" t="s">
        <v>166</v>
      </c>
      <c r="AE176" s="14" t="s">
        <v>166</v>
      </c>
      <c r="AF176" s="14" t="s">
        <v>166</v>
      </c>
      <c r="AG176" s="14" t="s">
        <v>166</v>
      </c>
      <c r="AH176" s="21">
        <v>2</v>
      </c>
      <c r="AI176" s="3">
        <f>HYPERLINK("https://my.pitchbook.com/?d=170455-96T","170455-96T")</f>
      </c>
      <c r="AJ176" s="19" t="s">
        <v>166</v>
      </c>
      <c r="AK176" s="19">
        <v>44301</v>
      </c>
      <c r="AL176" s="18">
        <v>2.6</v>
      </c>
      <c r="AM176" s="14" t="s">
        <v>185</v>
      </c>
      <c r="AN176" s="18" t="s">
        <v>166</v>
      </c>
      <c r="AO176" s="18" t="s">
        <v>166</v>
      </c>
      <c r="AP176" s="14" t="s">
        <v>166</v>
      </c>
      <c r="AQ176" s="21" t="s">
        <v>166</v>
      </c>
      <c r="AR176" s="21" t="s">
        <v>166</v>
      </c>
      <c r="AS176" s="17" t="s">
        <v>166</v>
      </c>
      <c r="AT176" s="18">
        <v>4.1</v>
      </c>
      <c r="AU176" s="21" t="s">
        <v>186</v>
      </c>
      <c r="AV176" s="21" t="s">
        <v>166</v>
      </c>
      <c r="AW176" s="18" t="s">
        <v>166</v>
      </c>
      <c r="AX176" s="21" t="s">
        <v>166</v>
      </c>
      <c r="AY176" s="14" t="s">
        <v>217</v>
      </c>
      <c r="AZ176" s="14" t="s">
        <v>217</v>
      </c>
      <c r="BA176" s="14" t="s">
        <v>166</v>
      </c>
      <c r="BB176" s="21" t="s">
        <v>166</v>
      </c>
      <c r="BC176" s="14" t="s">
        <v>179</v>
      </c>
      <c r="BD176" s="14" t="s">
        <v>3596</v>
      </c>
      <c r="BE176" s="14" t="s">
        <v>189</v>
      </c>
      <c r="BF176" s="18">
        <v>2.6</v>
      </c>
      <c r="BG176" s="14" t="s">
        <v>190</v>
      </c>
      <c r="BH176" s="14" t="s">
        <v>166</v>
      </c>
      <c r="BI176" s="14" t="s">
        <v>166</v>
      </c>
      <c r="BJ176" s="18" t="s">
        <v>166</v>
      </c>
      <c r="BK176" s="18" t="s">
        <v>166</v>
      </c>
      <c r="BL176" s="14" t="s">
        <v>191</v>
      </c>
      <c r="BM176" s="14" t="s">
        <v>178</v>
      </c>
      <c r="BN176" s="14" t="s">
        <v>177</v>
      </c>
      <c r="BO176" s="22" t="s">
        <v>166</v>
      </c>
      <c r="BP176" s="14" t="s">
        <v>3607</v>
      </c>
      <c r="BQ176" s="21">
        <v>1</v>
      </c>
      <c r="BR176" s="14" t="s">
        <v>166</v>
      </c>
      <c r="BS176" s="21" t="s">
        <v>166</v>
      </c>
      <c r="BT176" s="14" t="s">
        <v>3594</v>
      </c>
      <c r="BU176" s="14" t="s">
        <v>166</v>
      </c>
      <c r="BV176" s="14" t="s">
        <v>166</v>
      </c>
      <c r="BW176" s="14" t="s">
        <v>166</v>
      </c>
      <c r="BX176" s="14" t="s">
        <v>166</v>
      </c>
      <c r="BY176" s="14" t="s">
        <v>166</v>
      </c>
      <c r="BZ176" s="14" t="s">
        <v>166</v>
      </c>
      <c r="CA176" s="14" t="s">
        <v>166</v>
      </c>
      <c r="CB176" s="14" t="s">
        <v>166</v>
      </c>
      <c r="CC176" s="14" t="s">
        <v>166</v>
      </c>
      <c r="CD176" s="14" t="s">
        <v>166</v>
      </c>
      <c r="CE176" s="18" t="s">
        <v>166</v>
      </c>
      <c r="CF176" s="16">
        <v>100</v>
      </c>
      <c r="CG176" s="17" t="s">
        <v>166</v>
      </c>
      <c r="CH176" s="16" t="s">
        <v>166</v>
      </c>
      <c r="CI176" s="16" t="s">
        <v>166</v>
      </c>
      <c r="CJ176" s="16" t="s">
        <v>166</v>
      </c>
      <c r="CK176" s="16" t="s">
        <v>166</v>
      </c>
      <c r="CL176" s="16" t="s">
        <v>166</v>
      </c>
      <c r="CM176" s="20">
        <v>2020</v>
      </c>
      <c r="CN176" s="16" t="s">
        <v>166</v>
      </c>
      <c r="CO176" s="16" t="s">
        <v>166</v>
      </c>
      <c r="CP176" s="16" t="s">
        <v>166</v>
      </c>
      <c r="CQ176" s="16" t="s">
        <v>166</v>
      </c>
      <c r="CR176" s="16" t="s">
        <v>166</v>
      </c>
      <c r="CS176" s="16" t="s">
        <v>166</v>
      </c>
      <c r="CT176" s="16" t="s">
        <v>166</v>
      </c>
      <c r="CU176" s="16" t="s">
        <v>166</v>
      </c>
      <c r="CV176" s="16">
        <v>0.03</v>
      </c>
      <c r="CW176" s="16" t="s">
        <v>166</v>
      </c>
      <c r="CX176" s="16" t="s">
        <v>166</v>
      </c>
      <c r="CY176" s="16" t="s">
        <v>166</v>
      </c>
      <c r="CZ176" s="16" t="s">
        <v>166</v>
      </c>
      <c r="DA176" s="16" t="s">
        <v>166</v>
      </c>
      <c r="DB176" s="16" t="s">
        <v>166</v>
      </c>
      <c r="DC176" s="16" t="s">
        <v>166</v>
      </c>
      <c r="DD176" s="16" t="s">
        <v>166</v>
      </c>
      <c r="DE176" s="17" t="s">
        <v>166</v>
      </c>
      <c r="DF176" s="22">
        <v>176</v>
      </c>
      <c r="DG176" s="14" t="s">
        <v>309</v>
      </c>
      <c r="DH176" s="14" t="s">
        <v>193</v>
      </c>
      <c r="DI176" s="14" t="s">
        <v>194</v>
      </c>
      <c r="DJ176" s="14" t="s">
        <v>310</v>
      </c>
      <c r="DK176" s="14" t="s">
        <v>310</v>
      </c>
      <c r="DL176" s="21" t="s">
        <v>2881</v>
      </c>
      <c r="DM176" s="14" t="s">
        <v>198</v>
      </c>
      <c r="DN176" s="13" t="s">
        <v>3608</v>
      </c>
      <c r="DO176" s="20">
        <v>2019</v>
      </c>
      <c r="DP176" s="14" t="s">
        <v>166</v>
      </c>
      <c r="DQ176" s="14" t="s">
        <v>166</v>
      </c>
      <c r="DR176" s="18" t="s">
        <v>166</v>
      </c>
      <c r="DS176" s="16" t="s">
        <v>166</v>
      </c>
      <c r="DT176" s="19" t="s">
        <v>166</v>
      </c>
      <c r="DU176" s="14" t="s">
        <v>166</v>
      </c>
      <c r="DV176" s="18" t="s">
        <v>166</v>
      </c>
      <c r="DW176" s="18" t="s">
        <v>166</v>
      </c>
      <c r="DX176" s="16" t="s">
        <v>166</v>
      </c>
      <c r="DY176" s="16" t="s">
        <v>166</v>
      </c>
      <c r="DZ176" s="17" t="s">
        <v>166</v>
      </c>
      <c r="EA176" s="16" t="s">
        <v>166</v>
      </c>
      <c r="EB176" s="16" t="s">
        <v>166</v>
      </c>
      <c r="EC176" s="16" t="s">
        <v>166</v>
      </c>
      <c r="ED176" s="17" t="s">
        <v>166</v>
      </c>
      <c r="EE176" s="17" t="s">
        <v>166</v>
      </c>
      <c r="EF176" s="17" t="s">
        <v>166</v>
      </c>
      <c r="EG176" s="17" t="s">
        <v>166</v>
      </c>
      <c r="EH176" s="16" t="s">
        <v>166</v>
      </c>
      <c r="EI176" s="16" t="s">
        <v>166</v>
      </c>
      <c r="EJ176" s="16" t="s">
        <v>166</v>
      </c>
      <c r="EK176" s="16" t="s">
        <v>166</v>
      </c>
      <c r="EL176" s="16" t="s">
        <v>166</v>
      </c>
      <c r="EM176" s="16" t="s">
        <v>166</v>
      </c>
      <c r="EN176" s="16" t="s">
        <v>166</v>
      </c>
      <c r="EO176" s="16" t="s">
        <v>166</v>
      </c>
      <c r="EP176" s="16" t="s">
        <v>166</v>
      </c>
      <c r="EQ176" s="16" t="s">
        <v>166</v>
      </c>
      <c r="ER176" s="16" t="s">
        <v>166</v>
      </c>
      <c r="ES176" s="16" t="s">
        <v>166</v>
      </c>
      <c r="ET176" s="14" t="s">
        <v>166</v>
      </c>
      <c r="EU176" s="16" t="s">
        <v>166</v>
      </c>
      <c r="EV176" s="16" t="s">
        <v>166</v>
      </c>
      <c r="EW176" s="16" t="s">
        <v>166</v>
      </c>
      <c r="EX176" s="14" t="s">
        <v>190</v>
      </c>
      <c r="EY176" s="14" t="s">
        <v>166</v>
      </c>
      <c r="EZ176" s="16" t="s">
        <v>166</v>
      </c>
      <c r="FA176" s="15" t="s">
        <v>166</v>
      </c>
      <c r="FB176" s="15" t="s">
        <v>166</v>
      </c>
      <c r="FC176" s="15" t="s">
        <v>166</v>
      </c>
      <c r="FD176" s="15" t="s">
        <v>166</v>
      </c>
      <c r="FE176" s="15" t="s">
        <v>166</v>
      </c>
      <c r="FF176" s="15" t="s">
        <v>166</v>
      </c>
      <c r="FG176" s="14" t="s">
        <v>166</v>
      </c>
      <c r="FH176" s="3">
        <f>HYPERLINK("https://my.pitchbook.com?c=170455-96T","View Company Online")</f>
      </c>
    </row>
    <row r="177">
      <c r="A177" s="25" t="s">
        <v>3609</v>
      </c>
      <c r="B177" s="25" t="s">
        <v>3610</v>
      </c>
      <c r="C177" s="25" t="s">
        <v>3611</v>
      </c>
      <c r="D177" s="25" t="s">
        <v>166</v>
      </c>
      <c r="E177" s="34" t="s">
        <v>3612</v>
      </c>
      <c r="F177" s="32">
        <v>6</v>
      </c>
      <c r="G177" s="25" t="s">
        <v>3613</v>
      </c>
      <c r="H177" s="25" t="s">
        <v>166</v>
      </c>
      <c r="I177" s="25" t="s">
        <v>3614</v>
      </c>
      <c r="J177" s="25" t="s">
        <v>3615</v>
      </c>
      <c r="K177" s="25" t="s">
        <v>321</v>
      </c>
      <c r="L177" s="25" t="s">
        <v>322</v>
      </c>
      <c r="M177" s="25" t="s">
        <v>322</v>
      </c>
      <c r="N177" s="25" t="s">
        <v>3616</v>
      </c>
      <c r="O177" s="25" t="s">
        <v>665</v>
      </c>
      <c r="P177" s="25" t="s">
        <v>3617</v>
      </c>
      <c r="Q177" s="25" t="s">
        <v>166</v>
      </c>
      <c r="R177" s="25" t="s">
        <v>177</v>
      </c>
      <c r="S177" s="25" t="s">
        <v>178</v>
      </c>
      <c r="T177" s="25" t="s">
        <v>179</v>
      </c>
      <c r="U177" s="25" t="s">
        <v>3618</v>
      </c>
      <c r="V177" s="25" t="s">
        <v>3619</v>
      </c>
      <c r="W177" s="32" t="s">
        <v>166</v>
      </c>
      <c r="X177" s="25" t="s">
        <v>3620</v>
      </c>
      <c r="Y177" s="25" t="s">
        <v>3621</v>
      </c>
      <c r="Z177" s="25" t="s">
        <v>3622</v>
      </c>
      <c r="AA177" s="25" t="s">
        <v>166</v>
      </c>
      <c r="AB177" s="25" t="s">
        <v>166</v>
      </c>
      <c r="AC177" s="25" t="s">
        <v>166</v>
      </c>
      <c r="AD177" s="25" t="s">
        <v>166</v>
      </c>
      <c r="AE177" s="25" t="s">
        <v>166</v>
      </c>
      <c r="AF177" s="25" t="s">
        <v>166</v>
      </c>
      <c r="AG177" s="25" t="s">
        <v>166</v>
      </c>
      <c r="AH177" s="32">
        <v>2</v>
      </c>
      <c r="AI177" s="4">
        <f>HYPERLINK("https://my.pitchbook.com/?d=213741-73T","213741-73T")</f>
      </c>
      <c r="AJ177" s="30" t="s">
        <v>166</v>
      </c>
      <c r="AK177" s="30">
        <v>45593</v>
      </c>
      <c r="AL177" s="29">
        <v>8.5</v>
      </c>
      <c r="AM177" s="25" t="s">
        <v>185</v>
      </c>
      <c r="AN177" s="29" t="s">
        <v>166</v>
      </c>
      <c r="AO177" s="29" t="s">
        <v>166</v>
      </c>
      <c r="AP177" s="25" t="s">
        <v>166</v>
      </c>
      <c r="AQ177" s="32" t="s">
        <v>166</v>
      </c>
      <c r="AR177" s="32" t="s">
        <v>166</v>
      </c>
      <c r="AS177" s="28" t="s">
        <v>166</v>
      </c>
      <c r="AT177" s="29">
        <v>8.5</v>
      </c>
      <c r="AU177" s="32" t="s">
        <v>186</v>
      </c>
      <c r="AV177" s="32" t="s">
        <v>166</v>
      </c>
      <c r="AW177" s="29" t="s">
        <v>166</v>
      </c>
      <c r="AX177" s="32" t="s">
        <v>166</v>
      </c>
      <c r="AY177" s="25" t="s">
        <v>187</v>
      </c>
      <c r="AZ177" s="25" t="s">
        <v>166</v>
      </c>
      <c r="BA177" s="25" t="s">
        <v>166</v>
      </c>
      <c r="BB177" s="32" t="s">
        <v>166</v>
      </c>
      <c r="BC177" s="25" t="s">
        <v>179</v>
      </c>
      <c r="BD177" s="25" t="s">
        <v>3615</v>
      </c>
      <c r="BE177" s="25" t="s">
        <v>189</v>
      </c>
      <c r="BF177" s="29">
        <v>8.5</v>
      </c>
      <c r="BG177" s="25" t="s">
        <v>190</v>
      </c>
      <c r="BH177" s="25" t="s">
        <v>166</v>
      </c>
      <c r="BI177" s="25" t="s">
        <v>166</v>
      </c>
      <c r="BJ177" s="29" t="s">
        <v>166</v>
      </c>
      <c r="BK177" s="29" t="s">
        <v>166</v>
      </c>
      <c r="BL177" s="25" t="s">
        <v>191</v>
      </c>
      <c r="BM177" s="25" t="s">
        <v>178</v>
      </c>
      <c r="BN177" s="25" t="s">
        <v>177</v>
      </c>
      <c r="BO177" s="33" t="s">
        <v>166</v>
      </c>
      <c r="BP177" s="25" t="s">
        <v>3623</v>
      </c>
      <c r="BQ177" s="32">
        <v>5</v>
      </c>
      <c r="BR177" s="25" t="s">
        <v>3624</v>
      </c>
      <c r="BS177" s="32">
        <v>1</v>
      </c>
      <c r="BT177" s="25" t="s">
        <v>3625</v>
      </c>
      <c r="BU177" s="25" t="s">
        <v>166</v>
      </c>
      <c r="BV177" s="25" t="s">
        <v>3626</v>
      </c>
      <c r="BW177" s="25" t="s">
        <v>166</v>
      </c>
      <c r="BX177" s="25" t="s">
        <v>166</v>
      </c>
      <c r="BY177" s="25" t="s">
        <v>166</v>
      </c>
      <c r="BZ177" s="25" t="s">
        <v>166</v>
      </c>
      <c r="CA177" s="25" t="s">
        <v>166</v>
      </c>
      <c r="CB177" s="25" t="s">
        <v>166</v>
      </c>
      <c r="CC177" s="25" t="s">
        <v>166</v>
      </c>
      <c r="CD177" s="25" t="s">
        <v>166</v>
      </c>
      <c r="CE177" s="29" t="s">
        <v>166</v>
      </c>
      <c r="CF177" s="27" t="s">
        <v>166</v>
      </c>
      <c r="CG177" s="28" t="s">
        <v>166</v>
      </c>
      <c r="CH177" s="27" t="s">
        <v>166</v>
      </c>
      <c r="CI177" s="27" t="s">
        <v>166</v>
      </c>
      <c r="CJ177" s="27" t="s">
        <v>166</v>
      </c>
      <c r="CK177" s="27" t="s">
        <v>166</v>
      </c>
      <c r="CL177" s="27" t="s">
        <v>166</v>
      </c>
      <c r="CM177" s="31" t="s">
        <v>166</v>
      </c>
      <c r="CN177" s="27" t="s">
        <v>166</v>
      </c>
      <c r="CO177" s="27" t="s">
        <v>166</v>
      </c>
      <c r="CP177" s="27" t="s">
        <v>166</v>
      </c>
      <c r="CQ177" s="27" t="s">
        <v>166</v>
      </c>
      <c r="CR177" s="27" t="s">
        <v>166</v>
      </c>
      <c r="CS177" s="27" t="s">
        <v>166</v>
      </c>
      <c r="CT177" s="27" t="s">
        <v>166</v>
      </c>
      <c r="CU177" s="27" t="s">
        <v>166</v>
      </c>
      <c r="CV177" s="27" t="s">
        <v>166</v>
      </c>
      <c r="CW177" s="27" t="s">
        <v>166</v>
      </c>
      <c r="CX177" s="27" t="s">
        <v>166</v>
      </c>
      <c r="CY177" s="27" t="s">
        <v>166</v>
      </c>
      <c r="CZ177" s="27" t="s">
        <v>166</v>
      </c>
      <c r="DA177" s="27" t="s">
        <v>166</v>
      </c>
      <c r="DB177" s="27" t="s">
        <v>166</v>
      </c>
      <c r="DC177" s="27" t="s">
        <v>166</v>
      </c>
      <c r="DD177" s="27" t="s">
        <v>166</v>
      </c>
      <c r="DE177" s="28" t="s">
        <v>166</v>
      </c>
      <c r="DF177" s="33">
        <v>9</v>
      </c>
      <c r="DG177" s="25" t="s">
        <v>309</v>
      </c>
      <c r="DH177" s="25" t="s">
        <v>193</v>
      </c>
      <c r="DI177" s="25" t="s">
        <v>194</v>
      </c>
      <c r="DJ177" s="25" t="s">
        <v>310</v>
      </c>
      <c r="DK177" s="25" t="s">
        <v>310</v>
      </c>
      <c r="DL177" s="32" t="s">
        <v>3627</v>
      </c>
      <c r="DM177" s="25" t="s">
        <v>198</v>
      </c>
      <c r="DN177" s="24" t="s">
        <v>3628</v>
      </c>
      <c r="DO177" s="31">
        <v>2023</v>
      </c>
      <c r="DP177" s="25" t="s">
        <v>166</v>
      </c>
      <c r="DQ177" s="25" t="s">
        <v>166</v>
      </c>
      <c r="DR177" s="29" t="s">
        <v>166</v>
      </c>
      <c r="DS177" s="27" t="s">
        <v>166</v>
      </c>
      <c r="DT177" s="30" t="s">
        <v>166</v>
      </c>
      <c r="DU177" s="25" t="s">
        <v>166</v>
      </c>
      <c r="DV177" s="29" t="s">
        <v>166</v>
      </c>
      <c r="DW177" s="29" t="s">
        <v>166</v>
      </c>
      <c r="DX177" s="27" t="s">
        <v>166</v>
      </c>
      <c r="DY177" s="27" t="s">
        <v>166</v>
      </c>
      <c r="DZ177" s="28" t="s">
        <v>166</v>
      </c>
      <c r="EA177" s="27" t="s">
        <v>166</v>
      </c>
      <c r="EB177" s="27" t="s">
        <v>166</v>
      </c>
      <c r="EC177" s="27" t="s">
        <v>166</v>
      </c>
      <c r="ED177" s="28" t="s">
        <v>166</v>
      </c>
      <c r="EE177" s="28" t="s">
        <v>166</v>
      </c>
      <c r="EF177" s="28" t="s">
        <v>166</v>
      </c>
      <c r="EG177" s="28" t="s">
        <v>166</v>
      </c>
      <c r="EH177" s="27" t="s">
        <v>166</v>
      </c>
      <c r="EI177" s="27" t="s">
        <v>166</v>
      </c>
      <c r="EJ177" s="27" t="s">
        <v>166</v>
      </c>
      <c r="EK177" s="27" t="s">
        <v>166</v>
      </c>
      <c r="EL177" s="27" t="s">
        <v>166</v>
      </c>
      <c r="EM177" s="27" t="s">
        <v>166</v>
      </c>
      <c r="EN177" s="27" t="s">
        <v>166</v>
      </c>
      <c r="EO177" s="27" t="s">
        <v>166</v>
      </c>
      <c r="EP177" s="27" t="s">
        <v>166</v>
      </c>
      <c r="EQ177" s="27" t="s">
        <v>166</v>
      </c>
      <c r="ER177" s="27" t="s">
        <v>166</v>
      </c>
      <c r="ES177" s="27" t="s">
        <v>166</v>
      </c>
      <c r="ET177" s="25" t="s">
        <v>166</v>
      </c>
      <c r="EU177" s="27" t="s">
        <v>166</v>
      </c>
      <c r="EV177" s="27" t="s">
        <v>166</v>
      </c>
      <c r="EW177" s="27" t="s">
        <v>166</v>
      </c>
      <c r="EX177" s="25" t="s">
        <v>190</v>
      </c>
      <c r="EY177" s="25" t="s">
        <v>166</v>
      </c>
      <c r="EZ177" s="27" t="s">
        <v>166</v>
      </c>
      <c r="FA177" s="26" t="s">
        <v>166</v>
      </c>
      <c r="FB177" s="26" t="s">
        <v>166</v>
      </c>
      <c r="FC177" s="26" t="s">
        <v>166</v>
      </c>
      <c r="FD177" s="26" t="s">
        <v>166</v>
      </c>
      <c r="FE177" s="26" t="s">
        <v>166</v>
      </c>
      <c r="FF177" s="26" t="s">
        <v>166</v>
      </c>
      <c r="FG177" s="25" t="s">
        <v>166</v>
      </c>
      <c r="FH177" s="4">
        <f>HYPERLINK("https://my.pitchbook.com?c=213741-73T","View Company Online")</f>
      </c>
    </row>
    <row r="178">
      <c r="A178" s="14" t="s">
        <v>3629</v>
      </c>
      <c r="B178" s="14" t="s">
        <v>3630</v>
      </c>
      <c r="C178" s="14" t="s">
        <v>3631</v>
      </c>
      <c r="D178" s="14" t="s">
        <v>166</v>
      </c>
      <c r="E178" s="23" t="s">
        <v>3632</v>
      </c>
      <c r="F178" s="21">
        <v>2</v>
      </c>
      <c r="G178" s="14" t="s">
        <v>3633</v>
      </c>
      <c r="H178" s="14" t="s">
        <v>166</v>
      </c>
      <c r="I178" s="14" t="s">
        <v>3634</v>
      </c>
      <c r="J178" s="14" t="s">
        <v>3635</v>
      </c>
      <c r="K178" s="14" t="s">
        <v>171</v>
      </c>
      <c r="L178" s="14" t="s">
        <v>172</v>
      </c>
      <c r="M178" s="14" t="s">
        <v>1689</v>
      </c>
      <c r="N178" s="14" t="s">
        <v>3636</v>
      </c>
      <c r="O178" s="14" t="s">
        <v>3637</v>
      </c>
      <c r="P178" s="14" t="s">
        <v>3638</v>
      </c>
      <c r="Q178" s="14" t="s">
        <v>166</v>
      </c>
      <c r="R178" s="14" t="s">
        <v>177</v>
      </c>
      <c r="S178" s="14" t="s">
        <v>178</v>
      </c>
      <c r="T178" s="14" t="s">
        <v>179</v>
      </c>
      <c r="U178" s="14" t="s">
        <v>3639</v>
      </c>
      <c r="V178" s="14" t="s">
        <v>3640</v>
      </c>
      <c r="W178" s="21" t="s">
        <v>166</v>
      </c>
      <c r="X178" s="14" t="s">
        <v>3641</v>
      </c>
      <c r="Y178" s="14" t="s">
        <v>3642</v>
      </c>
      <c r="Z178" s="14" t="s">
        <v>166</v>
      </c>
      <c r="AA178" s="14" t="s">
        <v>166</v>
      </c>
      <c r="AB178" s="14" t="s">
        <v>166</v>
      </c>
      <c r="AC178" s="14" t="s">
        <v>166</v>
      </c>
      <c r="AD178" s="14" t="s">
        <v>166</v>
      </c>
      <c r="AE178" s="14" t="s">
        <v>166</v>
      </c>
      <c r="AF178" s="14" t="s">
        <v>166</v>
      </c>
      <c r="AG178" s="14" t="s">
        <v>166</v>
      </c>
      <c r="AH178" s="21">
        <v>3</v>
      </c>
      <c r="AI178" s="3">
        <f>HYPERLINK("https://my.pitchbook.com/?d=220148-20T","220148-20T")</f>
      </c>
      <c r="AJ178" s="19">
        <v>44936</v>
      </c>
      <c r="AK178" s="19">
        <v>45061</v>
      </c>
      <c r="AL178" s="18">
        <v>1.7</v>
      </c>
      <c r="AM178" s="14" t="s">
        <v>185</v>
      </c>
      <c r="AN178" s="18" t="s">
        <v>166</v>
      </c>
      <c r="AO178" s="18" t="s">
        <v>166</v>
      </c>
      <c r="AP178" s="14" t="s">
        <v>166</v>
      </c>
      <c r="AQ178" s="21" t="s">
        <v>166</v>
      </c>
      <c r="AR178" s="21" t="s">
        <v>166</v>
      </c>
      <c r="AS178" s="17" t="s">
        <v>166</v>
      </c>
      <c r="AT178" s="18">
        <v>1.7</v>
      </c>
      <c r="AU178" s="21" t="s">
        <v>186</v>
      </c>
      <c r="AV178" s="21" t="s">
        <v>166</v>
      </c>
      <c r="AW178" s="18" t="s">
        <v>166</v>
      </c>
      <c r="AX178" s="21" t="s">
        <v>166</v>
      </c>
      <c r="AY178" s="14" t="s">
        <v>187</v>
      </c>
      <c r="AZ178" s="14" t="s">
        <v>166</v>
      </c>
      <c r="BA178" s="14" t="s">
        <v>166</v>
      </c>
      <c r="BB178" s="21" t="s">
        <v>166</v>
      </c>
      <c r="BC178" s="14" t="s">
        <v>179</v>
      </c>
      <c r="BD178" s="14" t="s">
        <v>3643</v>
      </c>
      <c r="BE178" s="14" t="s">
        <v>189</v>
      </c>
      <c r="BF178" s="18">
        <v>1.7</v>
      </c>
      <c r="BG178" s="14" t="s">
        <v>190</v>
      </c>
      <c r="BH178" s="14" t="s">
        <v>166</v>
      </c>
      <c r="BI178" s="14" t="s">
        <v>166</v>
      </c>
      <c r="BJ178" s="18" t="s">
        <v>166</v>
      </c>
      <c r="BK178" s="18" t="s">
        <v>166</v>
      </c>
      <c r="BL178" s="14" t="s">
        <v>191</v>
      </c>
      <c r="BM178" s="14" t="s">
        <v>178</v>
      </c>
      <c r="BN178" s="14" t="s">
        <v>177</v>
      </c>
      <c r="BO178" s="22" t="s">
        <v>166</v>
      </c>
      <c r="BP178" s="14" t="s">
        <v>3632</v>
      </c>
      <c r="BQ178" s="21">
        <v>2</v>
      </c>
      <c r="BR178" s="14" t="s">
        <v>166</v>
      </c>
      <c r="BS178" s="21" t="s">
        <v>166</v>
      </c>
      <c r="BT178" s="14" t="s">
        <v>3644</v>
      </c>
      <c r="BU178" s="14" t="s">
        <v>166</v>
      </c>
      <c r="BV178" s="14" t="s">
        <v>166</v>
      </c>
      <c r="BW178" s="14" t="s">
        <v>166</v>
      </c>
      <c r="BX178" s="14" t="s">
        <v>166</v>
      </c>
      <c r="BY178" s="14" t="s">
        <v>166</v>
      </c>
      <c r="BZ178" s="14" t="s">
        <v>3645</v>
      </c>
      <c r="CA178" s="14" t="s">
        <v>166</v>
      </c>
      <c r="CB178" s="14" t="s">
        <v>166</v>
      </c>
      <c r="CC178" s="14" t="s">
        <v>3645</v>
      </c>
      <c r="CD178" s="14" t="s">
        <v>166</v>
      </c>
      <c r="CE178" s="18" t="s">
        <v>166</v>
      </c>
      <c r="CF178" s="16" t="s">
        <v>166</v>
      </c>
      <c r="CG178" s="17" t="s">
        <v>166</v>
      </c>
      <c r="CH178" s="16" t="s">
        <v>166</v>
      </c>
      <c r="CI178" s="16" t="s">
        <v>166</v>
      </c>
      <c r="CJ178" s="16" t="s">
        <v>166</v>
      </c>
      <c r="CK178" s="16" t="s">
        <v>166</v>
      </c>
      <c r="CL178" s="16" t="s">
        <v>166</v>
      </c>
      <c r="CM178" s="20" t="s">
        <v>166</v>
      </c>
      <c r="CN178" s="16" t="s">
        <v>166</v>
      </c>
      <c r="CO178" s="16" t="s">
        <v>166</v>
      </c>
      <c r="CP178" s="16" t="s">
        <v>166</v>
      </c>
      <c r="CQ178" s="16" t="s">
        <v>166</v>
      </c>
      <c r="CR178" s="16" t="s">
        <v>166</v>
      </c>
      <c r="CS178" s="16" t="s">
        <v>166</v>
      </c>
      <c r="CT178" s="16" t="s">
        <v>166</v>
      </c>
      <c r="CU178" s="16" t="s">
        <v>166</v>
      </c>
      <c r="CV178" s="16" t="s">
        <v>166</v>
      </c>
      <c r="CW178" s="16" t="s">
        <v>166</v>
      </c>
      <c r="CX178" s="16" t="s">
        <v>166</v>
      </c>
      <c r="CY178" s="16" t="s">
        <v>166</v>
      </c>
      <c r="CZ178" s="16" t="s">
        <v>166</v>
      </c>
      <c r="DA178" s="16" t="s">
        <v>166</v>
      </c>
      <c r="DB178" s="16" t="s">
        <v>166</v>
      </c>
      <c r="DC178" s="16" t="s">
        <v>166</v>
      </c>
      <c r="DD178" s="16" t="s">
        <v>166</v>
      </c>
      <c r="DE178" s="17" t="s">
        <v>166</v>
      </c>
      <c r="DF178" s="22">
        <v>5</v>
      </c>
      <c r="DG178" s="14" t="s">
        <v>568</v>
      </c>
      <c r="DH178" s="14" t="s">
        <v>193</v>
      </c>
      <c r="DI178" s="14" t="s">
        <v>194</v>
      </c>
      <c r="DJ178" s="14" t="s">
        <v>569</v>
      </c>
      <c r="DK178" s="14" t="s">
        <v>408</v>
      </c>
      <c r="DL178" s="21" t="s">
        <v>3646</v>
      </c>
      <c r="DM178" s="14" t="s">
        <v>198</v>
      </c>
      <c r="DN178" s="13" t="s">
        <v>3647</v>
      </c>
      <c r="DO178" s="20">
        <v>2022</v>
      </c>
      <c r="DP178" s="14" t="s">
        <v>166</v>
      </c>
      <c r="DQ178" s="14" t="s">
        <v>166</v>
      </c>
      <c r="DR178" s="18" t="s">
        <v>166</v>
      </c>
      <c r="DS178" s="16" t="s">
        <v>166</v>
      </c>
      <c r="DT178" s="19" t="s">
        <v>166</v>
      </c>
      <c r="DU178" s="14" t="s">
        <v>166</v>
      </c>
      <c r="DV178" s="18" t="s">
        <v>166</v>
      </c>
      <c r="DW178" s="18" t="s">
        <v>166</v>
      </c>
      <c r="DX178" s="16" t="s">
        <v>166</v>
      </c>
      <c r="DY178" s="16" t="s">
        <v>166</v>
      </c>
      <c r="DZ178" s="17" t="s">
        <v>166</v>
      </c>
      <c r="EA178" s="16" t="s">
        <v>166</v>
      </c>
      <c r="EB178" s="16" t="s">
        <v>166</v>
      </c>
      <c r="EC178" s="16" t="s">
        <v>166</v>
      </c>
      <c r="ED178" s="17" t="s">
        <v>166</v>
      </c>
      <c r="EE178" s="17" t="s">
        <v>166</v>
      </c>
      <c r="EF178" s="17" t="s">
        <v>166</v>
      </c>
      <c r="EG178" s="17" t="s">
        <v>166</v>
      </c>
      <c r="EH178" s="16" t="s">
        <v>166</v>
      </c>
      <c r="EI178" s="16" t="s">
        <v>166</v>
      </c>
      <c r="EJ178" s="16" t="s">
        <v>166</v>
      </c>
      <c r="EK178" s="16" t="s">
        <v>166</v>
      </c>
      <c r="EL178" s="16" t="s">
        <v>166</v>
      </c>
      <c r="EM178" s="16" t="s">
        <v>166</v>
      </c>
      <c r="EN178" s="16" t="s">
        <v>166</v>
      </c>
      <c r="EO178" s="16" t="s">
        <v>166</v>
      </c>
      <c r="EP178" s="16" t="s">
        <v>166</v>
      </c>
      <c r="EQ178" s="16" t="s">
        <v>166</v>
      </c>
      <c r="ER178" s="16" t="s">
        <v>166</v>
      </c>
      <c r="ES178" s="16" t="s">
        <v>166</v>
      </c>
      <c r="ET178" s="14" t="s">
        <v>166</v>
      </c>
      <c r="EU178" s="16" t="s">
        <v>166</v>
      </c>
      <c r="EV178" s="16" t="s">
        <v>166</v>
      </c>
      <c r="EW178" s="16" t="s">
        <v>166</v>
      </c>
      <c r="EX178" s="14" t="s">
        <v>190</v>
      </c>
      <c r="EY178" s="14" t="s">
        <v>166</v>
      </c>
      <c r="EZ178" s="16" t="s">
        <v>166</v>
      </c>
      <c r="FA178" s="15" t="s">
        <v>166</v>
      </c>
      <c r="FB178" s="15" t="s">
        <v>166</v>
      </c>
      <c r="FC178" s="15" t="s">
        <v>166</v>
      </c>
      <c r="FD178" s="15" t="s">
        <v>166</v>
      </c>
      <c r="FE178" s="15" t="s">
        <v>166</v>
      </c>
      <c r="FF178" s="15" t="s">
        <v>166</v>
      </c>
      <c r="FG178" s="14" t="s">
        <v>166</v>
      </c>
      <c r="FH178" s="3">
        <f>HYPERLINK("https://my.pitchbook.com?c=220148-20T","View Company Online")</f>
      </c>
    </row>
    <row r="179">
      <c r="A179" s="25" t="s">
        <v>3648</v>
      </c>
      <c r="B179" s="25" t="s">
        <v>3649</v>
      </c>
      <c r="C179" s="25" t="s">
        <v>3650</v>
      </c>
      <c r="D179" s="25" t="s">
        <v>166</v>
      </c>
      <c r="E179" s="34" t="s">
        <v>3651</v>
      </c>
      <c r="F179" s="32">
        <v>3</v>
      </c>
      <c r="G179" s="25" t="s">
        <v>3652</v>
      </c>
      <c r="H179" s="25" t="s">
        <v>166</v>
      </c>
      <c r="I179" s="25" t="s">
        <v>3653</v>
      </c>
      <c r="J179" s="25" t="s">
        <v>3654</v>
      </c>
      <c r="K179" s="25" t="s">
        <v>1500</v>
      </c>
      <c r="L179" s="25" t="s">
        <v>2200</v>
      </c>
      <c r="M179" s="25" t="s">
        <v>3655</v>
      </c>
      <c r="N179" s="25" t="s">
        <v>3656</v>
      </c>
      <c r="O179" s="25" t="s">
        <v>3657</v>
      </c>
      <c r="P179" s="25" t="s">
        <v>3658</v>
      </c>
      <c r="Q179" s="25" t="s">
        <v>166</v>
      </c>
      <c r="R179" s="25" t="s">
        <v>177</v>
      </c>
      <c r="S179" s="25" t="s">
        <v>2947</v>
      </c>
      <c r="T179" s="25" t="s">
        <v>179</v>
      </c>
      <c r="U179" s="25" t="s">
        <v>3659</v>
      </c>
      <c r="V179" s="25" t="s">
        <v>3660</v>
      </c>
      <c r="W179" s="32" t="s">
        <v>3661</v>
      </c>
      <c r="X179" s="25" t="s">
        <v>3662</v>
      </c>
      <c r="Y179" s="25" t="s">
        <v>3663</v>
      </c>
      <c r="Z179" s="25" t="s">
        <v>166</v>
      </c>
      <c r="AA179" s="25" t="s">
        <v>166</v>
      </c>
      <c r="AB179" s="25" t="s">
        <v>166</v>
      </c>
      <c r="AC179" s="25" t="s">
        <v>166</v>
      </c>
      <c r="AD179" s="25" t="s">
        <v>166</v>
      </c>
      <c r="AE179" s="25" t="s">
        <v>166</v>
      </c>
      <c r="AF179" s="25" t="s">
        <v>166</v>
      </c>
      <c r="AG179" s="25" t="s">
        <v>166</v>
      </c>
      <c r="AH179" s="32">
        <v>6</v>
      </c>
      <c r="AI179" s="4">
        <f>HYPERLINK("https://my.pitchbook.com/?d=213873-49T","213873-49T")</f>
      </c>
      <c r="AJ179" s="30" t="s">
        <v>166</v>
      </c>
      <c r="AK179" s="30">
        <v>44602</v>
      </c>
      <c r="AL179" s="29">
        <v>0.5</v>
      </c>
      <c r="AM179" s="25" t="s">
        <v>185</v>
      </c>
      <c r="AN179" s="29" t="s">
        <v>166</v>
      </c>
      <c r="AO179" s="29" t="s">
        <v>166</v>
      </c>
      <c r="AP179" s="25" t="s">
        <v>166</v>
      </c>
      <c r="AQ179" s="32" t="s">
        <v>166</v>
      </c>
      <c r="AR179" s="32" t="s">
        <v>166</v>
      </c>
      <c r="AS179" s="28" t="s">
        <v>166</v>
      </c>
      <c r="AT179" s="29">
        <v>0.64</v>
      </c>
      <c r="AU179" s="32" t="s">
        <v>186</v>
      </c>
      <c r="AV179" s="32" t="s">
        <v>166</v>
      </c>
      <c r="AW179" s="29" t="s">
        <v>166</v>
      </c>
      <c r="AX179" s="32" t="s">
        <v>166</v>
      </c>
      <c r="AY179" s="25" t="s">
        <v>187</v>
      </c>
      <c r="AZ179" s="25" t="s">
        <v>166</v>
      </c>
      <c r="BA179" s="25" t="s">
        <v>166</v>
      </c>
      <c r="BB179" s="32" t="s">
        <v>166</v>
      </c>
      <c r="BC179" s="25" t="s">
        <v>179</v>
      </c>
      <c r="BD179" s="25" t="s">
        <v>3664</v>
      </c>
      <c r="BE179" s="25" t="s">
        <v>189</v>
      </c>
      <c r="BF179" s="29">
        <v>0.5</v>
      </c>
      <c r="BG179" s="25" t="s">
        <v>190</v>
      </c>
      <c r="BH179" s="25" t="s">
        <v>166</v>
      </c>
      <c r="BI179" s="25" t="s">
        <v>166</v>
      </c>
      <c r="BJ179" s="29" t="s">
        <v>166</v>
      </c>
      <c r="BK179" s="29" t="s">
        <v>166</v>
      </c>
      <c r="BL179" s="25" t="s">
        <v>191</v>
      </c>
      <c r="BM179" s="25" t="s">
        <v>178</v>
      </c>
      <c r="BN179" s="25" t="s">
        <v>177</v>
      </c>
      <c r="BO179" s="33" t="s">
        <v>166</v>
      </c>
      <c r="BP179" s="25" t="s">
        <v>3665</v>
      </c>
      <c r="BQ179" s="32">
        <v>2</v>
      </c>
      <c r="BR179" s="25" t="s">
        <v>252</v>
      </c>
      <c r="BS179" s="32">
        <v>1</v>
      </c>
      <c r="BT179" s="25" t="s">
        <v>166</v>
      </c>
      <c r="BU179" s="25" t="s">
        <v>166</v>
      </c>
      <c r="BV179" s="25" t="s">
        <v>166</v>
      </c>
      <c r="BW179" s="25" t="s">
        <v>166</v>
      </c>
      <c r="BX179" s="25" t="s">
        <v>166</v>
      </c>
      <c r="BY179" s="25" t="s">
        <v>166</v>
      </c>
      <c r="BZ179" s="25" t="s">
        <v>166</v>
      </c>
      <c r="CA179" s="25" t="s">
        <v>166</v>
      </c>
      <c r="CB179" s="25" t="s">
        <v>166</v>
      </c>
      <c r="CC179" s="25" t="s">
        <v>166</v>
      </c>
      <c r="CD179" s="25" t="s">
        <v>166</v>
      </c>
      <c r="CE179" s="29" t="s">
        <v>166</v>
      </c>
      <c r="CF179" s="27" t="s">
        <v>166</v>
      </c>
      <c r="CG179" s="28" t="s">
        <v>166</v>
      </c>
      <c r="CH179" s="27" t="s">
        <v>166</v>
      </c>
      <c r="CI179" s="27" t="s">
        <v>166</v>
      </c>
      <c r="CJ179" s="27" t="s">
        <v>166</v>
      </c>
      <c r="CK179" s="27" t="s">
        <v>166</v>
      </c>
      <c r="CL179" s="27" t="s">
        <v>166</v>
      </c>
      <c r="CM179" s="31" t="s">
        <v>166</v>
      </c>
      <c r="CN179" s="27" t="s">
        <v>166</v>
      </c>
      <c r="CO179" s="27" t="s">
        <v>166</v>
      </c>
      <c r="CP179" s="27" t="s">
        <v>166</v>
      </c>
      <c r="CQ179" s="27" t="s">
        <v>166</v>
      </c>
      <c r="CR179" s="27" t="s">
        <v>166</v>
      </c>
      <c r="CS179" s="27" t="s">
        <v>166</v>
      </c>
      <c r="CT179" s="27" t="s">
        <v>166</v>
      </c>
      <c r="CU179" s="27" t="s">
        <v>166</v>
      </c>
      <c r="CV179" s="27" t="s">
        <v>166</v>
      </c>
      <c r="CW179" s="27" t="s">
        <v>166</v>
      </c>
      <c r="CX179" s="27" t="s">
        <v>166</v>
      </c>
      <c r="CY179" s="27" t="s">
        <v>166</v>
      </c>
      <c r="CZ179" s="27" t="s">
        <v>166</v>
      </c>
      <c r="DA179" s="27" t="s">
        <v>166</v>
      </c>
      <c r="DB179" s="27" t="s">
        <v>166</v>
      </c>
      <c r="DC179" s="27" t="s">
        <v>166</v>
      </c>
      <c r="DD179" s="27" t="s">
        <v>166</v>
      </c>
      <c r="DE179" s="28" t="s">
        <v>166</v>
      </c>
      <c r="DF179" s="33">
        <v>11</v>
      </c>
      <c r="DG179" s="25" t="s">
        <v>3666</v>
      </c>
      <c r="DH179" s="25" t="s">
        <v>193</v>
      </c>
      <c r="DI179" s="25" t="s">
        <v>194</v>
      </c>
      <c r="DJ179" s="25" t="s">
        <v>3667</v>
      </c>
      <c r="DK179" s="25" t="s">
        <v>386</v>
      </c>
      <c r="DL179" s="32" t="s">
        <v>3668</v>
      </c>
      <c r="DM179" s="25" t="s">
        <v>198</v>
      </c>
      <c r="DN179" s="24" t="s">
        <v>3669</v>
      </c>
      <c r="DO179" s="31">
        <v>2019</v>
      </c>
      <c r="DP179" s="25" t="s">
        <v>166</v>
      </c>
      <c r="DQ179" s="25" t="s">
        <v>166</v>
      </c>
      <c r="DR179" s="29" t="s">
        <v>166</v>
      </c>
      <c r="DS179" s="27" t="s">
        <v>166</v>
      </c>
      <c r="DT179" s="30" t="s">
        <v>166</v>
      </c>
      <c r="DU179" s="25" t="s">
        <v>166</v>
      </c>
      <c r="DV179" s="29" t="s">
        <v>166</v>
      </c>
      <c r="DW179" s="29" t="s">
        <v>166</v>
      </c>
      <c r="DX179" s="27" t="s">
        <v>166</v>
      </c>
      <c r="DY179" s="27" t="s">
        <v>166</v>
      </c>
      <c r="DZ179" s="28" t="s">
        <v>166</v>
      </c>
      <c r="EA179" s="27" t="s">
        <v>166</v>
      </c>
      <c r="EB179" s="27" t="s">
        <v>166</v>
      </c>
      <c r="EC179" s="27" t="s">
        <v>166</v>
      </c>
      <c r="ED179" s="28" t="s">
        <v>166</v>
      </c>
      <c r="EE179" s="28" t="s">
        <v>166</v>
      </c>
      <c r="EF179" s="28" t="s">
        <v>166</v>
      </c>
      <c r="EG179" s="28" t="s">
        <v>166</v>
      </c>
      <c r="EH179" s="27" t="s">
        <v>166</v>
      </c>
      <c r="EI179" s="27" t="s">
        <v>166</v>
      </c>
      <c r="EJ179" s="27" t="s">
        <v>166</v>
      </c>
      <c r="EK179" s="27" t="s">
        <v>166</v>
      </c>
      <c r="EL179" s="27" t="s">
        <v>166</v>
      </c>
      <c r="EM179" s="27" t="s">
        <v>166</v>
      </c>
      <c r="EN179" s="27" t="s">
        <v>166</v>
      </c>
      <c r="EO179" s="27" t="s">
        <v>166</v>
      </c>
      <c r="EP179" s="27" t="s">
        <v>166</v>
      </c>
      <c r="EQ179" s="27" t="s">
        <v>166</v>
      </c>
      <c r="ER179" s="27" t="s">
        <v>166</v>
      </c>
      <c r="ES179" s="27" t="s">
        <v>166</v>
      </c>
      <c r="ET179" s="25" t="s">
        <v>166</v>
      </c>
      <c r="EU179" s="27" t="s">
        <v>166</v>
      </c>
      <c r="EV179" s="27" t="s">
        <v>166</v>
      </c>
      <c r="EW179" s="27" t="s">
        <v>166</v>
      </c>
      <c r="EX179" s="25" t="s">
        <v>190</v>
      </c>
      <c r="EY179" s="25" t="s">
        <v>166</v>
      </c>
      <c r="EZ179" s="27" t="s">
        <v>166</v>
      </c>
      <c r="FA179" s="26" t="s">
        <v>166</v>
      </c>
      <c r="FB179" s="26" t="s">
        <v>166</v>
      </c>
      <c r="FC179" s="26" t="s">
        <v>166</v>
      </c>
      <c r="FD179" s="26" t="s">
        <v>166</v>
      </c>
      <c r="FE179" s="26" t="s">
        <v>166</v>
      </c>
      <c r="FF179" s="26" t="s">
        <v>166</v>
      </c>
      <c r="FG179" s="25" t="s">
        <v>166</v>
      </c>
      <c r="FH179" s="4">
        <f>HYPERLINK("https://my.pitchbook.com?c=213873-49T","View Company Online")</f>
      </c>
    </row>
    <row r="180">
      <c r="A180" s="14" t="s">
        <v>3670</v>
      </c>
      <c r="B180" s="14" t="s">
        <v>3671</v>
      </c>
      <c r="C180" s="14" t="s">
        <v>3672</v>
      </c>
      <c r="D180" s="14" t="s">
        <v>166</v>
      </c>
      <c r="E180" s="23" t="s">
        <v>3673</v>
      </c>
      <c r="F180" s="21">
        <v>1</v>
      </c>
      <c r="G180" s="14" t="s">
        <v>3674</v>
      </c>
      <c r="H180" s="14" t="s">
        <v>166</v>
      </c>
      <c r="I180" s="14" t="s">
        <v>3675</v>
      </c>
      <c r="J180" s="14" t="s">
        <v>3676</v>
      </c>
      <c r="K180" s="14" t="s">
        <v>171</v>
      </c>
      <c r="L180" s="14" t="s">
        <v>172</v>
      </c>
      <c r="M180" s="14" t="s">
        <v>1033</v>
      </c>
      <c r="N180" s="14" t="s">
        <v>3677</v>
      </c>
      <c r="O180" s="14" t="s">
        <v>3678</v>
      </c>
      <c r="P180" s="14" t="s">
        <v>3679</v>
      </c>
      <c r="Q180" s="14" t="s">
        <v>166</v>
      </c>
      <c r="R180" s="14" t="s">
        <v>177</v>
      </c>
      <c r="S180" s="14" t="s">
        <v>178</v>
      </c>
      <c r="T180" s="14" t="s">
        <v>179</v>
      </c>
      <c r="U180" s="14" t="s">
        <v>3680</v>
      </c>
      <c r="V180" s="14" t="s">
        <v>3681</v>
      </c>
      <c r="W180" s="21" t="s">
        <v>166</v>
      </c>
      <c r="X180" s="14" t="s">
        <v>166</v>
      </c>
      <c r="Y180" s="14" t="s">
        <v>3682</v>
      </c>
      <c r="Z180" s="14" t="s">
        <v>3683</v>
      </c>
      <c r="AA180" s="14" t="s">
        <v>166</v>
      </c>
      <c r="AB180" s="14" t="s">
        <v>166</v>
      </c>
      <c r="AC180" s="14" t="s">
        <v>166</v>
      </c>
      <c r="AD180" s="14" t="s">
        <v>166</v>
      </c>
      <c r="AE180" s="14" t="s">
        <v>166</v>
      </c>
      <c r="AF180" s="14" t="s">
        <v>166</v>
      </c>
      <c r="AG180" s="14" t="s">
        <v>166</v>
      </c>
      <c r="AH180" s="21">
        <v>1</v>
      </c>
      <c r="AI180" s="3">
        <f>HYPERLINK("https://my.pitchbook.com/?d=187085-71T","187085-71T")</f>
      </c>
      <c r="AJ180" s="19" t="s">
        <v>166</v>
      </c>
      <c r="AK180" s="19">
        <v>44579</v>
      </c>
      <c r="AL180" s="18">
        <v>2.85</v>
      </c>
      <c r="AM180" s="14" t="s">
        <v>185</v>
      </c>
      <c r="AN180" s="18" t="s">
        <v>166</v>
      </c>
      <c r="AO180" s="18" t="s">
        <v>166</v>
      </c>
      <c r="AP180" s="14" t="s">
        <v>166</v>
      </c>
      <c r="AQ180" s="21" t="s">
        <v>166</v>
      </c>
      <c r="AR180" s="21" t="s">
        <v>166</v>
      </c>
      <c r="AS180" s="17" t="s">
        <v>166</v>
      </c>
      <c r="AT180" s="18">
        <v>2.85</v>
      </c>
      <c r="AU180" s="21" t="s">
        <v>186</v>
      </c>
      <c r="AV180" s="21" t="s">
        <v>166</v>
      </c>
      <c r="AW180" s="18" t="s">
        <v>166</v>
      </c>
      <c r="AX180" s="21" t="s">
        <v>166</v>
      </c>
      <c r="AY180" s="14" t="s">
        <v>249</v>
      </c>
      <c r="AZ180" s="14" t="s">
        <v>166</v>
      </c>
      <c r="BA180" s="14" t="s">
        <v>166</v>
      </c>
      <c r="BB180" s="21" t="s">
        <v>166</v>
      </c>
      <c r="BC180" s="14" t="s">
        <v>179</v>
      </c>
      <c r="BD180" s="14" t="s">
        <v>3676</v>
      </c>
      <c r="BE180" s="14" t="s">
        <v>189</v>
      </c>
      <c r="BF180" s="18">
        <v>2.85</v>
      </c>
      <c r="BG180" s="14" t="s">
        <v>190</v>
      </c>
      <c r="BH180" s="14" t="s">
        <v>166</v>
      </c>
      <c r="BI180" s="14" t="s">
        <v>166</v>
      </c>
      <c r="BJ180" s="18" t="s">
        <v>166</v>
      </c>
      <c r="BK180" s="18" t="s">
        <v>166</v>
      </c>
      <c r="BL180" s="14" t="s">
        <v>191</v>
      </c>
      <c r="BM180" s="14" t="s">
        <v>178</v>
      </c>
      <c r="BN180" s="14" t="s">
        <v>177</v>
      </c>
      <c r="BO180" s="22" t="s">
        <v>166</v>
      </c>
      <c r="BP180" s="14" t="s">
        <v>3673</v>
      </c>
      <c r="BQ180" s="21">
        <v>1</v>
      </c>
      <c r="BR180" s="14" t="s">
        <v>166</v>
      </c>
      <c r="BS180" s="21" t="s">
        <v>166</v>
      </c>
      <c r="BT180" s="14" t="s">
        <v>166</v>
      </c>
      <c r="BU180" s="14" t="s">
        <v>166</v>
      </c>
      <c r="BV180" s="14" t="s">
        <v>166</v>
      </c>
      <c r="BW180" s="14" t="s">
        <v>166</v>
      </c>
      <c r="BX180" s="14" t="s">
        <v>166</v>
      </c>
      <c r="BY180" s="14" t="s">
        <v>166</v>
      </c>
      <c r="BZ180" s="14" t="s">
        <v>166</v>
      </c>
      <c r="CA180" s="14" t="s">
        <v>166</v>
      </c>
      <c r="CB180" s="14" t="s">
        <v>166</v>
      </c>
      <c r="CC180" s="14" t="s">
        <v>166</v>
      </c>
      <c r="CD180" s="14" t="s">
        <v>166</v>
      </c>
      <c r="CE180" s="18" t="s">
        <v>166</v>
      </c>
      <c r="CF180" s="16" t="s">
        <v>166</v>
      </c>
      <c r="CG180" s="17" t="s">
        <v>166</v>
      </c>
      <c r="CH180" s="16" t="s">
        <v>166</v>
      </c>
      <c r="CI180" s="16" t="s">
        <v>166</v>
      </c>
      <c r="CJ180" s="16" t="s">
        <v>166</v>
      </c>
      <c r="CK180" s="16" t="s">
        <v>166</v>
      </c>
      <c r="CL180" s="16" t="s">
        <v>166</v>
      </c>
      <c r="CM180" s="20" t="s">
        <v>166</v>
      </c>
      <c r="CN180" s="16" t="s">
        <v>166</v>
      </c>
      <c r="CO180" s="16" t="s">
        <v>166</v>
      </c>
      <c r="CP180" s="16" t="s">
        <v>166</v>
      </c>
      <c r="CQ180" s="16" t="s">
        <v>166</v>
      </c>
      <c r="CR180" s="16" t="s">
        <v>166</v>
      </c>
      <c r="CS180" s="16" t="s">
        <v>166</v>
      </c>
      <c r="CT180" s="16" t="s">
        <v>166</v>
      </c>
      <c r="CU180" s="16" t="s">
        <v>166</v>
      </c>
      <c r="CV180" s="16" t="s">
        <v>166</v>
      </c>
      <c r="CW180" s="16" t="s">
        <v>166</v>
      </c>
      <c r="CX180" s="16" t="s">
        <v>166</v>
      </c>
      <c r="CY180" s="16" t="s">
        <v>166</v>
      </c>
      <c r="CZ180" s="16" t="s">
        <v>166</v>
      </c>
      <c r="DA180" s="16" t="s">
        <v>166</v>
      </c>
      <c r="DB180" s="16" t="s">
        <v>166</v>
      </c>
      <c r="DC180" s="16" t="s">
        <v>166</v>
      </c>
      <c r="DD180" s="16" t="s">
        <v>166</v>
      </c>
      <c r="DE180" s="17" t="s">
        <v>166</v>
      </c>
      <c r="DF180" s="22" t="s">
        <v>166</v>
      </c>
      <c r="DG180" s="14" t="s">
        <v>1929</v>
      </c>
      <c r="DH180" s="14" t="s">
        <v>193</v>
      </c>
      <c r="DI180" s="14" t="s">
        <v>194</v>
      </c>
      <c r="DJ180" s="14" t="s">
        <v>1930</v>
      </c>
      <c r="DK180" s="14" t="s">
        <v>545</v>
      </c>
      <c r="DL180" s="21" t="s">
        <v>3684</v>
      </c>
      <c r="DM180" s="14" t="s">
        <v>198</v>
      </c>
      <c r="DN180" s="13" t="s">
        <v>3685</v>
      </c>
      <c r="DO180" s="20">
        <v>2011</v>
      </c>
      <c r="DP180" s="14" t="s">
        <v>166</v>
      </c>
      <c r="DQ180" s="14" t="s">
        <v>166</v>
      </c>
      <c r="DR180" s="18" t="s">
        <v>166</v>
      </c>
      <c r="DS180" s="16" t="s">
        <v>166</v>
      </c>
      <c r="DT180" s="19" t="s">
        <v>166</v>
      </c>
      <c r="DU180" s="14" t="s">
        <v>166</v>
      </c>
      <c r="DV180" s="18" t="s">
        <v>166</v>
      </c>
      <c r="DW180" s="18" t="s">
        <v>166</v>
      </c>
      <c r="DX180" s="16" t="s">
        <v>166</v>
      </c>
      <c r="DY180" s="16" t="s">
        <v>166</v>
      </c>
      <c r="DZ180" s="17" t="s">
        <v>166</v>
      </c>
      <c r="EA180" s="16" t="s">
        <v>166</v>
      </c>
      <c r="EB180" s="16" t="s">
        <v>166</v>
      </c>
      <c r="EC180" s="16" t="s">
        <v>166</v>
      </c>
      <c r="ED180" s="17" t="s">
        <v>166</v>
      </c>
      <c r="EE180" s="17" t="s">
        <v>166</v>
      </c>
      <c r="EF180" s="17" t="s">
        <v>166</v>
      </c>
      <c r="EG180" s="17" t="s">
        <v>166</v>
      </c>
      <c r="EH180" s="16" t="s">
        <v>166</v>
      </c>
      <c r="EI180" s="16" t="s">
        <v>166</v>
      </c>
      <c r="EJ180" s="16" t="s">
        <v>166</v>
      </c>
      <c r="EK180" s="16" t="s">
        <v>166</v>
      </c>
      <c r="EL180" s="16" t="s">
        <v>166</v>
      </c>
      <c r="EM180" s="16" t="s">
        <v>166</v>
      </c>
      <c r="EN180" s="16" t="s">
        <v>166</v>
      </c>
      <c r="EO180" s="16" t="s">
        <v>166</v>
      </c>
      <c r="EP180" s="16" t="s">
        <v>166</v>
      </c>
      <c r="EQ180" s="16" t="s">
        <v>166</v>
      </c>
      <c r="ER180" s="16" t="s">
        <v>166</v>
      </c>
      <c r="ES180" s="16" t="s">
        <v>166</v>
      </c>
      <c r="ET180" s="14" t="s">
        <v>166</v>
      </c>
      <c r="EU180" s="16" t="s">
        <v>166</v>
      </c>
      <c r="EV180" s="16" t="s">
        <v>166</v>
      </c>
      <c r="EW180" s="16" t="s">
        <v>166</v>
      </c>
      <c r="EX180" s="14" t="s">
        <v>190</v>
      </c>
      <c r="EY180" s="14" t="s">
        <v>166</v>
      </c>
      <c r="EZ180" s="16" t="s">
        <v>166</v>
      </c>
      <c r="FA180" s="15" t="s">
        <v>166</v>
      </c>
      <c r="FB180" s="15" t="s">
        <v>166</v>
      </c>
      <c r="FC180" s="15" t="s">
        <v>166</v>
      </c>
      <c r="FD180" s="15" t="s">
        <v>166</v>
      </c>
      <c r="FE180" s="15" t="s">
        <v>166</v>
      </c>
      <c r="FF180" s="15" t="s">
        <v>166</v>
      </c>
      <c r="FG180" s="14" t="s">
        <v>166</v>
      </c>
      <c r="FH180" s="3">
        <f>HYPERLINK("https://my.pitchbook.com?c=187085-71T","View Company Online")</f>
      </c>
    </row>
    <row r="181">
      <c r="A181" s="25" t="s">
        <v>3686</v>
      </c>
      <c r="B181" s="25" t="s">
        <v>3687</v>
      </c>
      <c r="C181" s="25" t="s">
        <v>3688</v>
      </c>
      <c r="D181" s="25" t="s">
        <v>166</v>
      </c>
      <c r="E181" s="34" t="s">
        <v>3689</v>
      </c>
      <c r="F181" s="32">
        <v>3</v>
      </c>
      <c r="G181" s="25" t="s">
        <v>3690</v>
      </c>
      <c r="H181" s="25" t="s">
        <v>166</v>
      </c>
      <c r="I181" s="25" t="s">
        <v>3691</v>
      </c>
      <c r="J181" s="25" t="s">
        <v>3692</v>
      </c>
      <c r="K181" s="25" t="s">
        <v>207</v>
      </c>
      <c r="L181" s="25" t="s">
        <v>208</v>
      </c>
      <c r="M181" s="25" t="s">
        <v>209</v>
      </c>
      <c r="N181" s="25" t="s">
        <v>269</v>
      </c>
      <c r="O181" s="25" t="s">
        <v>3693</v>
      </c>
      <c r="P181" s="25" t="s">
        <v>3694</v>
      </c>
      <c r="Q181" s="25" t="s">
        <v>166</v>
      </c>
      <c r="R181" s="25" t="s">
        <v>177</v>
      </c>
      <c r="S181" s="25" t="s">
        <v>178</v>
      </c>
      <c r="T181" s="25" t="s">
        <v>179</v>
      </c>
      <c r="U181" s="25" t="s">
        <v>3695</v>
      </c>
      <c r="V181" s="25" t="s">
        <v>3696</v>
      </c>
      <c r="W181" s="32" t="s">
        <v>166</v>
      </c>
      <c r="X181" s="25" t="s">
        <v>166</v>
      </c>
      <c r="Y181" s="25" t="s">
        <v>3697</v>
      </c>
      <c r="Z181" s="25" t="s">
        <v>166</v>
      </c>
      <c r="AA181" s="25" t="s">
        <v>242</v>
      </c>
      <c r="AB181" s="25" t="s">
        <v>243</v>
      </c>
      <c r="AC181" s="25" t="s">
        <v>244</v>
      </c>
      <c r="AD181" s="25" t="s">
        <v>243</v>
      </c>
      <c r="AE181" s="25" t="s">
        <v>243</v>
      </c>
      <c r="AF181" s="25" t="s">
        <v>166</v>
      </c>
      <c r="AG181" s="25" t="s">
        <v>807</v>
      </c>
      <c r="AH181" s="32">
        <v>1</v>
      </c>
      <c r="AI181" s="4">
        <f>HYPERLINK("https://my.pitchbook.com/?d=129558-70T","129558-70T")</f>
      </c>
      <c r="AJ181" s="30" t="s">
        <v>166</v>
      </c>
      <c r="AK181" s="30">
        <v>43840</v>
      </c>
      <c r="AL181" s="29">
        <v>2.35</v>
      </c>
      <c r="AM181" s="25" t="s">
        <v>185</v>
      </c>
      <c r="AN181" s="29">
        <v>5</v>
      </c>
      <c r="AO181" s="29">
        <v>7.35</v>
      </c>
      <c r="AP181" s="25" t="s">
        <v>185</v>
      </c>
      <c r="AQ181" s="32" t="s">
        <v>166</v>
      </c>
      <c r="AR181" s="32" t="s">
        <v>166</v>
      </c>
      <c r="AS181" s="28">
        <v>31.97</v>
      </c>
      <c r="AT181" s="29">
        <v>2.35</v>
      </c>
      <c r="AU181" s="32" t="s">
        <v>186</v>
      </c>
      <c r="AV181" s="32" t="s">
        <v>166</v>
      </c>
      <c r="AW181" s="29">
        <v>5.5</v>
      </c>
      <c r="AX181" s="32" t="s">
        <v>166</v>
      </c>
      <c r="AY181" s="25" t="s">
        <v>217</v>
      </c>
      <c r="AZ181" s="25" t="s">
        <v>217</v>
      </c>
      <c r="BA181" s="25" t="s">
        <v>166</v>
      </c>
      <c r="BB181" s="32" t="s">
        <v>166</v>
      </c>
      <c r="BC181" s="25" t="s">
        <v>179</v>
      </c>
      <c r="BD181" s="25" t="s">
        <v>3698</v>
      </c>
      <c r="BE181" s="25" t="s">
        <v>189</v>
      </c>
      <c r="BF181" s="29">
        <v>2.35</v>
      </c>
      <c r="BG181" s="25" t="s">
        <v>190</v>
      </c>
      <c r="BH181" s="25" t="s">
        <v>166</v>
      </c>
      <c r="BI181" s="25" t="s">
        <v>166</v>
      </c>
      <c r="BJ181" s="29" t="s">
        <v>166</v>
      </c>
      <c r="BK181" s="29" t="s">
        <v>166</v>
      </c>
      <c r="BL181" s="25" t="s">
        <v>191</v>
      </c>
      <c r="BM181" s="25" t="s">
        <v>178</v>
      </c>
      <c r="BN181" s="25" t="s">
        <v>177</v>
      </c>
      <c r="BO181" s="33" t="s">
        <v>166</v>
      </c>
      <c r="BP181" s="25" t="s">
        <v>3699</v>
      </c>
      <c r="BQ181" s="32">
        <v>3</v>
      </c>
      <c r="BR181" s="25" t="s">
        <v>166</v>
      </c>
      <c r="BS181" s="32" t="s">
        <v>166</v>
      </c>
      <c r="BT181" s="25" t="s">
        <v>166</v>
      </c>
      <c r="BU181" s="25" t="s">
        <v>166</v>
      </c>
      <c r="BV181" s="25" t="s">
        <v>3700</v>
      </c>
      <c r="BW181" s="25" t="s">
        <v>166</v>
      </c>
      <c r="BX181" s="25" t="s">
        <v>166</v>
      </c>
      <c r="BY181" s="25" t="s">
        <v>166</v>
      </c>
      <c r="BZ181" s="25" t="s">
        <v>166</v>
      </c>
      <c r="CA181" s="25" t="s">
        <v>166</v>
      </c>
      <c r="CB181" s="25" t="s">
        <v>166</v>
      </c>
      <c r="CC181" s="25" t="s">
        <v>166</v>
      </c>
      <c r="CD181" s="25" t="s">
        <v>166</v>
      </c>
      <c r="CE181" s="29" t="s">
        <v>166</v>
      </c>
      <c r="CF181" s="27" t="s">
        <v>166</v>
      </c>
      <c r="CG181" s="28" t="s">
        <v>166</v>
      </c>
      <c r="CH181" s="27" t="s">
        <v>166</v>
      </c>
      <c r="CI181" s="27" t="s">
        <v>166</v>
      </c>
      <c r="CJ181" s="27" t="s">
        <v>166</v>
      </c>
      <c r="CK181" s="27" t="s">
        <v>166</v>
      </c>
      <c r="CL181" s="27" t="s">
        <v>166</v>
      </c>
      <c r="CM181" s="31" t="s">
        <v>166</v>
      </c>
      <c r="CN181" s="27" t="s">
        <v>166</v>
      </c>
      <c r="CO181" s="27" t="s">
        <v>166</v>
      </c>
      <c r="CP181" s="27" t="s">
        <v>166</v>
      </c>
      <c r="CQ181" s="27" t="s">
        <v>166</v>
      </c>
      <c r="CR181" s="27" t="s">
        <v>166</v>
      </c>
      <c r="CS181" s="27" t="s">
        <v>166</v>
      </c>
      <c r="CT181" s="27" t="s">
        <v>166</v>
      </c>
      <c r="CU181" s="27" t="s">
        <v>166</v>
      </c>
      <c r="CV181" s="27" t="s">
        <v>166</v>
      </c>
      <c r="CW181" s="27" t="s">
        <v>166</v>
      </c>
      <c r="CX181" s="27" t="s">
        <v>166</v>
      </c>
      <c r="CY181" s="27" t="s">
        <v>166</v>
      </c>
      <c r="CZ181" s="27" t="s">
        <v>166</v>
      </c>
      <c r="DA181" s="27" t="s">
        <v>166</v>
      </c>
      <c r="DB181" s="27" t="s">
        <v>166</v>
      </c>
      <c r="DC181" s="27" t="s">
        <v>166</v>
      </c>
      <c r="DD181" s="27" t="s">
        <v>166</v>
      </c>
      <c r="DE181" s="28" t="s">
        <v>166</v>
      </c>
      <c r="DF181" s="33">
        <v>30</v>
      </c>
      <c r="DG181" s="25" t="s">
        <v>1886</v>
      </c>
      <c r="DH181" s="25" t="s">
        <v>193</v>
      </c>
      <c r="DI181" s="25" t="s">
        <v>194</v>
      </c>
      <c r="DJ181" s="25" t="s">
        <v>1887</v>
      </c>
      <c r="DK181" s="25" t="s">
        <v>1888</v>
      </c>
      <c r="DL181" s="32" t="s">
        <v>3701</v>
      </c>
      <c r="DM181" s="25" t="s">
        <v>198</v>
      </c>
      <c r="DN181" s="24" t="s">
        <v>3702</v>
      </c>
      <c r="DO181" s="31">
        <v>2019</v>
      </c>
      <c r="DP181" s="25" t="s">
        <v>166</v>
      </c>
      <c r="DQ181" s="25" t="s">
        <v>166</v>
      </c>
      <c r="DR181" s="29" t="s">
        <v>166</v>
      </c>
      <c r="DS181" s="27" t="s">
        <v>166</v>
      </c>
      <c r="DT181" s="30" t="s">
        <v>166</v>
      </c>
      <c r="DU181" s="25" t="s">
        <v>166</v>
      </c>
      <c r="DV181" s="29" t="s">
        <v>166</v>
      </c>
      <c r="DW181" s="29" t="s">
        <v>166</v>
      </c>
      <c r="DX181" s="27" t="s">
        <v>166</v>
      </c>
      <c r="DY181" s="27" t="s">
        <v>166</v>
      </c>
      <c r="DZ181" s="28" t="s">
        <v>166</v>
      </c>
      <c r="EA181" s="27" t="s">
        <v>166</v>
      </c>
      <c r="EB181" s="27" t="s">
        <v>166</v>
      </c>
      <c r="EC181" s="27" t="s">
        <v>166</v>
      </c>
      <c r="ED181" s="28" t="s">
        <v>166</v>
      </c>
      <c r="EE181" s="28" t="s">
        <v>166</v>
      </c>
      <c r="EF181" s="28" t="s">
        <v>166</v>
      </c>
      <c r="EG181" s="28" t="s">
        <v>166</v>
      </c>
      <c r="EH181" s="27" t="s">
        <v>166</v>
      </c>
      <c r="EI181" s="27" t="s">
        <v>166</v>
      </c>
      <c r="EJ181" s="27" t="s">
        <v>166</v>
      </c>
      <c r="EK181" s="27" t="s">
        <v>166</v>
      </c>
      <c r="EL181" s="27" t="s">
        <v>166</v>
      </c>
      <c r="EM181" s="27" t="s">
        <v>166</v>
      </c>
      <c r="EN181" s="27" t="s">
        <v>166</v>
      </c>
      <c r="EO181" s="27" t="s">
        <v>166</v>
      </c>
      <c r="EP181" s="27" t="s">
        <v>166</v>
      </c>
      <c r="EQ181" s="27" t="s">
        <v>166</v>
      </c>
      <c r="ER181" s="27" t="s">
        <v>166</v>
      </c>
      <c r="ES181" s="27" t="s">
        <v>166</v>
      </c>
      <c r="ET181" s="25" t="s">
        <v>166</v>
      </c>
      <c r="EU181" s="27" t="s">
        <v>166</v>
      </c>
      <c r="EV181" s="27" t="s">
        <v>166</v>
      </c>
      <c r="EW181" s="27" t="s">
        <v>166</v>
      </c>
      <c r="EX181" s="25" t="s">
        <v>190</v>
      </c>
      <c r="EY181" s="25" t="s">
        <v>166</v>
      </c>
      <c r="EZ181" s="27" t="s">
        <v>166</v>
      </c>
      <c r="FA181" s="26" t="s">
        <v>166</v>
      </c>
      <c r="FB181" s="26" t="s">
        <v>166</v>
      </c>
      <c r="FC181" s="26" t="s">
        <v>166</v>
      </c>
      <c r="FD181" s="26" t="s">
        <v>166</v>
      </c>
      <c r="FE181" s="26" t="s">
        <v>166</v>
      </c>
      <c r="FF181" s="26" t="s">
        <v>166</v>
      </c>
      <c r="FG181" s="25" t="s">
        <v>166</v>
      </c>
      <c r="FH181" s="4">
        <f>HYPERLINK("https://my.pitchbook.com?c=129558-70T","View Company Online")</f>
      </c>
    </row>
    <row r="182">
      <c r="A182" s="14" t="s">
        <v>3703</v>
      </c>
      <c r="B182" s="14" t="s">
        <v>3704</v>
      </c>
      <c r="C182" s="14" t="s">
        <v>3705</v>
      </c>
      <c r="D182" s="14" t="s">
        <v>166</v>
      </c>
      <c r="E182" s="23" t="s">
        <v>3706</v>
      </c>
      <c r="F182" s="21">
        <v>5</v>
      </c>
      <c r="G182" s="14" t="s">
        <v>3707</v>
      </c>
      <c r="H182" s="14" t="s">
        <v>166</v>
      </c>
      <c r="I182" s="14" t="s">
        <v>3708</v>
      </c>
      <c r="J182" s="14" t="s">
        <v>3709</v>
      </c>
      <c r="K182" s="14" t="s">
        <v>207</v>
      </c>
      <c r="L182" s="14" t="s">
        <v>208</v>
      </c>
      <c r="M182" s="14" t="s">
        <v>296</v>
      </c>
      <c r="N182" s="14" t="s">
        <v>1052</v>
      </c>
      <c r="O182" s="14" t="s">
        <v>945</v>
      </c>
      <c r="P182" s="14" t="s">
        <v>3710</v>
      </c>
      <c r="Q182" s="14" t="s">
        <v>166</v>
      </c>
      <c r="R182" s="14" t="s">
        <v>177</v>
      </c>
      <c r="S182" s="14" t="s">
        <v>178</v>
      </c>
      <c r="T182" s="14" t="s">
        <v>179</v>
      </c>
      <c r="U182" s="14" t="s">
        <v>3711</v>
      </c>
      <c r="V182" s="14" t="s">
        <v>3712</v>
      </c>
      <c r="W182" s="21" t="s">
        <v>3713</v>
      </c>
      <c r="X182" s="14" t="s">
        <v>3714</v>
      </c>
      <c r="Y182" s="14" t="s">
        <v>3715</v>
      </c>
      <c r="Z182" s="14" t="s">
        <v>166</v>
      </c>
      <c r="AA182" s="14" t="s">
        <v>242</v>
      </c>
      <c r="AB182" s="14" t="s">
        <v>243</v>
      </c>
      <c r="AC182" s="14" t="s">
        <v>244</v>
      </c>
      <c r="AD182" s="14" t="s">
        <v>243</v>
      </c>
      <c r="AE182" s="14" t="s">
        <v>243</v>
      </c>
      <c r="AF182" s="14" t="s">
        <v>166</v>
      </c>
      <c r="AG182" s="14" t="s">
        <v>246</v>
      </c>
      <c r="AH182" s="21">
        <v>1</v>
      </c>
      <c r="AI182" s="3">
        <f>HYPERLINK("https://my.pitchbook.com/?d=200981-44T","200981-44T")</f>
      </c>
      <c r="AJ182" s="19" t="s">
        <v>166</v>
      </c>
      <c r="AK182" s="19">
        <v>44764</v>
      </c>
      <c r="AL182" s="18">
        <v>2.57</v>
      </c>
      <c r="AM182" s="14" t="s">
        <v>185</v>
      </c>
      <c r="AN182" s="18">
        <v>25</v>
      </c>
      <c r="AO182" s="18">
        <v>27.57</v>
      </c>
      <c r="AP182" s="14" t="s">
        <v>185</v>
      </c>
      <c r="AQ182" s="21" t="s">
        <v>166</v>
      </c>
      <c r="AR182" s="21" t="s">
        <v>166</v>
      </c>
      <c r="AS182" s="17">
        <v>15.04</v>
      </c>
      <c r="AT182" s="18">
        <v>2.57</v>
      </c>
      <c r="AU182" s="21" t="s">
        <v>186</v>
      </c>
      <c r="AV182" s="21" t="s">
        <v>166</v>
      </c>
      <c r="AW182" s="18">
        <v>2.18</v>
      </c>
      <c r="AX182" s="21" t="s">
        <v>166</v>
      </c>
      <c r="AY182" s="14" t="s">
        <v>217</v>
      </c>
      <c r="AZ182" s="14" t="s">
        <v>217</v>
      </c>
      <c r="BA182" s="14" t="s">
        <v>166</v>
      </c>
      <c r="BB182" s="21" t="s">
        <v>166</v>
      </c>
      <c r="BC182" s="14" t="s">
        <v>179</v>
      </c>
      <c r="BD182" s="14" t="s">
        <v>3716</v>
      </c>
      <c r="BE182" s="14" t="s">
        <v>189</v>
      </c>
      <c r="BF182" s="18">
        <v>2.57</v>
      </c>
      <c r="BG182" s="14" t="s">
        <v>190</v>
      </c>
      <c r="BH182" s="14" t="s">
        <v>166</v>
      </c>
      <c r="BI182" s="14" t="s">
        <v>166</v>
      </c>
      <c r="BJ182" s="18" t="s">
        <v>166</v>
      </c>
      <c r="BK182" s="18" t="s">
        <v>166</v>
      </c>
      <c r="BL182" s="14" t="s">
        <v>191</v>
      </c>
      <c r="BM182" s="14" t="s">
        <v>178</v>
      </c>
      <c r="BN182" s="14" t="s">
        <v>177</v>
      </c>
      <c r="BO182" s="22" t="s">
        <v>166</v>
      </c>
      <c r="BP182" s="14" t="s">
        <v>3717</v>
      </c>
      <c r="BQ182" s="21">
        <v>5</v>
      </c>
      <c r="BR182" s="14" t="s">
        <v>166</v>
      </c>
      <c r="BS182" s="21" t="s">
        <v>166</v>
      </c>
      <c r="BT182" s="14" t="s">
        <v>166</v>
      </c>
      <c r="BU182" s="14" t="s">
        <v>166</v>
      </c>
      <c r="BV182" s="14" t="s">
        <v>3718</v>
      </c>
      <c r="BW182" s="14" t="s">
        <v>166</v>
      </c>
      <c r="BX182" s="14" t="s">
        <v>166</v>
      </c>
      <c r="BY182" s="14" t="s">
        <v>166</v>
      </c>
      <c r="BZ182" s="14" t="s">
        <v>166</v>
      </c>
      <c r="CA182" s="14" t="s">
        <v>166</v>
      </c>
      <c r="CB182" s="14" t="s">
        <v>166</v>
      </c>
      <c r="CC182" s="14" t="s">
        <v>166</v>
      </c>
      <c r="CD182" s="14" t="s">
        <v>166</v>
      </c>
      <c r="CE182" s="18" t="s">
        <v>166</v>
      </c>
      <c r="CF182" s="16" t="s">
        <v>166</v>
      </c>
      <c r="CG182" s="17" t="s">
        <v>166</v>
      </c>
      <c r="CH182" s="16" t="s">
        <v>166</v>
      </c>
      <c r="CI182" s="16" t="s">
        <v>166</v>
      </c>
      <c r="CJ182" s="16" t="s">
        <v>166</v>
      </c>
      <c r="CK182" s="16" t="s">
        <v>166</v>
      </c>
      <c r="CL182" s="16" t="s">
        <v>166</v>
      </c>
      <c r="CM182" s="20" t="s">
        <v>166</v>
      </c>
      <c r="CN182" s="16" t="s">
        <v>166</v>
      </c>
      <c r="CO182" s="16" t="s">
        <v>166</v>
      </c>
      <c r="CP182" s="16" t="s">
        <v>166</v>
      </c>
      <c r="CQ182" s="16" t="s">
        <v>166</v>
      </c>
      <c r="CR182" s="16" t="s">
        <v>166</v>
      </c>
      <c r="CS182" s="16" t="s">
        <v>166</v>
      </c>
      <c r="CT182" s="16" t="s">
        <v>166</v>
      </c>
      <c r="CU182" s="16" t="s">
        <v>166</v>
      </c>
      <c r="CV182" s="16" t="s">
        <v>166</v>
      </c>
      <c r="CW182" s="16" t="s">
        <v>166</v>
      </c>
      <c r="CX182" s="16" t="s">
        <v>166</v>
      </c>
      <c r="CY182" s="16" t="s">
        <v>166</v>
      </c>
      <c r="CZ182" s="16" t="s">
        <v>166</v>
      </c>
      <c r="DA182" s="16" t="s">
        <v>166</v>
      </c>
      <c r="DB182" s="16" t="s">
        <v>166</v>
      </c>
      <c r="DC182" s="16" t="s">
        <v>166</v>
      </c>
      <c r="DD182" s="16" t="s">
        <v>166</v>
      </c>
      <c r="DE182" s="17" t="s">
        <v>166</v>
      </c>
      <c r="DF182" s="22">
        <v>7</v>
      </c>
      <c r="DG182" s="14" t="s">
        <v>3719</v>
      </c>
      <c r="DH182" s="14" t="s">
        <v>193</v>
      </c>
      <c r="DI182" s="14" t="s">
        <v>194</v>
      </c>
      <c r="DJ182" s="14" t="s">
        <v>3720</v>
      </c>
      <c r="DK182" s="14" t="s">
        <v>310</v>
      </c>
      <c r="DL182" s="21" t="s">
        <v>3721</v>
      </c>
      <c r="DM182" s="14" t="s">
        <v>198</v>
      </c>
      <c r="DN182" s="13" t="s">
        <v>3722</v>
      </c>
      <c r="DO182" s="20">
        <v>2021</v>
      </c>
      <c r="DP182" s="14" t="s">
        <v>166</v>
      </c>
      <c r="DQ182" s="14" t="s">
        <v>166</v>
      </c>
      <c r="DR182" s="18" t="s">
        <v>166</v>
      </c>
      <c r="DS182" s="16" t="s">
        <v>166</v>
      </c>
      <c r="DT182" s="19" t="s">
        <v>166</v>
      </c>
      <c r="DU182" s="14" t="s">
        <v>166</v>
      </c>
      <c r="DV182" s="18" t="s">
        <v>166</v>
      </c>
      <c r="DW182" s="18" t="s">
        <v>166</v>
      </c>
      <c r="DX182" s="16" t="s">
        <v>166</v>
      </c>
      <c r="DY182" s="16" t="s">
        <v>166</v>
      </c>
      <c r="DZ182" s="17" t="s">
        <v>166</v>
      </c>
      <c r="EA182" s="16" t="s">
        <v>166</v>
      </c>
      <c r="EB182" s="16" t="s">
        <v>166</v>
      </c>
      <c r="EC182" s="16" t="s">
        <v>166</v>
      </c>
      <c r="ED182" s="17" t="s">
        <v>166</v>
      </c>
      <c r="EE182" s="17" t="s">
        <v>166</v>
      </c>
      <c r="EF182" s="17" t="s">
        <v>166</v>
      </c>
      <c r="EG182" s="17" t="s">
        <v>166</v>
      </c>
      <c r="EH182" s="16" t="s">
        <v>166</v>
      </c>
      <c r="EI182" s="16" t="s">
        <v>166</v>
      </c>
      <c r="EJ182" s="16" t="s">
        <v>166</v>
      </c>
      <c r="EK182" s="16" t="s">
        <v>166</v>
      </c>
      <c r="EL182" s="16" t="s">
        <v>166</v>
      </c>
      <c r="EM182" s="16" t="s">
        <v>166</v>
      </c>
      <c r="EN182" s="16" t="s">
        <v>166</v>
      </c>
      <c r="EO182" s="16" t="s">
        <v>166</v>
      </c>
      <c r="EP182" s="16" t="s">
        <v>166</v>
      </c>
      <c r="EQ182" s="16" t="s">
        <v>166</v>
      </c>
      <c r="ER182" s="16" t="s">
        <v>166</v>
      </c>
      <c r="ES182" s="16" t="s">
        <v>166</v>
      </c>
      <c r="ET182" s="14" t="s">
        <v>166</v>
      </c>
      <c r="EU182" s="16" t="s">
        <v>166</v>
      </c>
      <c r="EV182" s="16" t="s">
        <v>166</v>
      </c>
      <c r="EW182" s="16" t="s">
        <v>166</v>
      </c>
      <c r="EX182" s="14" t="s">
        <v>190</v>
      </c>
      <c r="EY182" s="14" t="s">
        <v>166</v>
      </c>
      <c r="EZ182" s="16" t="s">
        <v>166</v>
      </c>
      <c r="FA182" s="15" t="s">
        <v>166</v>
      </c>
      <c r="FB182" s="15" t="s">
        <v>166</v>
      </c>
      <c r="FC182" s="15" t="s">
        <v>166</v>
      </c>
      <c r="FD182" s="15" t="s">
        <v>166</v>
      </c>
      <c r="FE182" s="15" t="s">
        <v>166</v>
      </c>
      <c r="FF182" s="15" t="s">
        <v>166</v>
      </c>
      <c r="FG182" s="14" t="s">
        <v>166</v>
      </c>
      <c r="FH182" s="3">
        <f>HYPERLINK("https://my.pitchbook.com?c=200981-44T","View Company Online")</f>
      </c>
    </row>
    <row r="183">
      <c r="A183" s="25" t="s">
        <v>3723</v>
      </c>
      <c r="B183" s="25" t="s">
        <v>3724</v>
      </c>
      <c r="C183" s="25" t="s">
        <v>3725</v>
      </c>
      <c r="D183" s="25" t="s">
        <v>166</v>
      </c>
      <c r="E183" s="34" t="s">
        <v>3726</v>
      </c>
      <c r="F183" s="32">
        <v>11</v>
      </c>
      <c r="G183" s="25" t="s">
        <v>3727</v>
      </c>
      <c r="H183" s="25" t="s">
        <v>166</v>
      </c>
      <c r="I183" s="25" t="s">
        <v>3728</v>
      </c>
      <c r="J183" s="25" t="s">
        <v>3729</v>
      </c>
      <c r="K183" s="25" t="s">
        <v>207</v>
      </c>
      <c r="L183" s="25" t="s">
        <v>208</v>
      </c>
      <c r="M183" s="25" t="s">
        <v>839</v>
      </c>
      <c r="N183" s="25" t="s">
        <v>3730</v>
      </c>
      <c r="O183" s="25" t="s">
        <v>3731</v>
      </c>
      <c r="P183" s="25" t="s">
        <v>3732</v>
      </c>
      <c r="Q183" s="25" t="s">
        <v>166</v>
      </c>
      <c r="R183" s="25" t="s">
        <v>177</v>
      </c>
      <c r="S183" s="25" t="s">
        <v>178</v>
      </c>
      <c r="T183" s="25" t="s">
        <v>179</v>
      </c>
      <c r="U183" s="25" t="s">
        <v>3733</v>
      </c>
      <c r="V183" s="25" t="s">
        <v>3734</v>
      </c>
      <c r="W183" s="32" t="s">
        <v>166</v>
      </c>
      <c r="X183" s="25" t="s">
        <v>3735</v>
      </c>
      <c r="Y183" s="25" t="s">
        <v>3736</v>
      </c>
      <c r="Z183" s="25" t="s">
        <v>166</v>
      </c>
      <c r="AA183" s="25" t="s">
        <v>242</v>
      </c>
      <c r="AB183" s="25" t="s">
        <v>243</v>
      </c>
      <c r="AC183" s="25" t="s">
        <v>244</v>
      </c>
      <c r="AD183" s="25" t="s">
        <v>243</v>
      </c>
      <c r="AE183" s="25" t="s">
        <v>166</v>
      </c>
      <c r="AF183" s="25" t="s">
        <v>166</v>
      </c>
      <c r="AG183" s="25" t="s">
        <v>246</v>
      </c>
      <c r="AH183" s="32">
        <v>1</v>
      </c>
      <c r="AI183" s="4">
        <f>HYPERLINK("https://my.pitchbook.com/?d=261521-65T","261521-65T")</f>
      </c>
      <c r="AJ183" s="30">
        <v>45342</v>
      </c>
      <c r="AK183" s="30">
        <v>45449</v>
      </c>
      <c r="AL183" s="29">
        <v>9.7</v>
      </c>
      <c r="AM183" s="25" t="s">
        <v>185</v>
      </c>
      <c r="AN183" s="29">
        <v>25.3</v>
      </c>
      <c r="AO183" s="29">
        <v>35</v>
      </c>
      <c r="AP183" s="25" t="s">
        <v>185</v>
      </c>
      <c r="AQ183" s="32" t="s">
        <v>166</v>
      </c>
      <c r="AR183" s="32" t="s">
        <v>166</v>
      </c>
      <c r="AS183" s="28">
        <v>44.22</v>
      </c>
      <c r="AT183" s="29">
        <v>9.7</v>
      </c>
      <c r="AU183" s="32" t="s">
        <v>186</v>
      </c>
      <c r="AV183" s="32" t="s">
        <v>166</v>
      </c>
      <c r="AW183" s="29">
        <v>9.17</v>
      </c>
      <c r="AX183" s="32" t="s">
        <v>166</v>
      </c>
      <c r="AY183" s="25" t="s">
        <v>217</v>
      </c>
      <c r="AZ183" s="25" t="s">
        <v>217</v>
      </c>
      <c r="BA183" s="25" t="s">
        <v>166</v>
      </c>
      <c r="BB183" s="32" t="s">
        <v>166</v>
      </c>
      <c r="BC183" s="25" t="s">
        <v>179</v>
      </c>
      <c r="BD183" s="25" t="s">
        <v>3737</v>
      </c>
      <c r="BE183" s="25" t="s">
        <v>189</v>
      </c>
      <c r="BF183" s="29">
        <v>9.7</v>
      </c>
      <c r="BG183" s="25" t="s">
        <v>190</v>
      </c>
      <c r="BH183" s="25" t="s">
        <v>166</v>
      </c>
      <c r="BI183" s="25" t="s">
        <v>166</v>
      </c>
      <c r="BJ183" s="29" t="s">
        <v>166</v>
      </c>
      <c r="BK183" s="29" t="s">
        <v>166</v>
      </c>
      <c r="BL183" s="25" t="s">
        <v>191</v>
      </c>
      <c r="BM183" s="25" t="s">
        <v>178</v>
      </c>
      <c r="BN183" s="25" t="s">
        <v>177</v>
      </c>
      <c r="BO183" s="33" t="s">
        <v>166</v>
      </c>
      <c r="BP183" s="25" t="s">
        <v>3726</v>
      </c>
      <c r="BQ183" s="32">
        <v>11</v>
      </c>
      <c r="BR183" s="25" t="s">
        <v>166</v>
      </c>
      <c r="BS183" s="32" t="s">
        <v>166</v>
      </c>
      <c r="BT183" s="25" t="s">
        <v>166</v>
      </c>
      <c r="BU183" s="25" t="s">
        <v>166</v>
      </c>
      <c r="BV183" s="25" t="s">
        <v>3738</v>
      </c>
      <c r="BW183" s="25" t="s">
        <v>166</v>
      </c>
      <c r="BX183" s="25" t="s">
        <v>166</v>
      </c>
      <c r="BY183" s="25" t="s">
        <v>166</v>
      </c>
      <c r="BZ183" s="25" t="s">
        <v>3739</v>
      </c>
      <c r="CA183" s="25" t="s">
        <v>166</v>
      </c>
      <c r="CB183" s="25" t="s">
        <v>166</v>
      </c>
      <c r="CC183" s="25" t="s">
        <v>3739</v>
      </c>
      <c r="CD183" s="25" t="s">
        <v>166</v>
      </c>
      <c r="CE183" s="29" t="s">
        <v>166</v>
      </c>
      <c r="CF183" s="27" t="s">
        <v>166</v>
      </c>
      <c r="CG183" s="28" t="s">
        <v>166</v>
      </c>
      <c r="CH183" s="27" t="s">
        <v>166</v>
      </c>
      <c r="CI183" s="27" t="s">
        <v>166</v>
      </c>
      <c r="CJ183" s="27" t="s">
        <v>166</v>
      </c>
      <c r="CK183" s="27" t="s">
        <v>166</v>
      </c>
      <c r="CL183" s="27" t="s">
        <v>166</v>
      </c>
      <c r="CM183" s="31" t="s">
        <v>166</v>
      </c>
      <c r="CN183" s="27" t="s">
        <v>166</v>
      </c>
      <c r="CO183" s="27" t="s">
        <v>166</v>
      </c>
      <c r="CP183" s="27" t="s">
        <v>166</v>
      </c>
      <c r="CQ183" s="27" t="s">
        <v>166</v>
      </c>
      <c r="CR183" s="27" t="s">
        <v>166</v>
      </c>
      <c r="CS183" s="27" t="s">
        <v>166</v>
      </c>
      <c r="CT183" s="27" t="s">
        <v>166</v>
      </c>
      <c r="CU183" s="27" t="s">
        <v>166</v>
      </c>
      <c r="CV183" s="27" t="s">
        <v>166</v>
      </c>
      <c r="CW183" s="27" t="s">
        <v>166</v>
      </c>
      <c r="CX183" s="27" t="s">
        <v>166</v>
      </c>
      <c r="CY183" s="27" t="s">
        <v>166</v>
      </c>
      <c r="CZ183" s="27" t="s">
        <v>166</v>
      </c>
      <c r="DA183" s="27" t="s">
        <v>166</v>
      </c>
      <c r="DB183" s="27" t="s">
        <v>166</v>
      </c>
      <c r="DC183" s="27" t="s">
        <v>166</v>
      </c>
      <c r="DD183" s="27" t="s">
        <v>166</v>
      </c>
      <c r="DE183" s="28" t="s">
        <v>166</v>
      </c>
      <c r="DF183" s="33">
        <v>10</v>
      </c>
      <c r="DG183" s="25" t="s">
        <v>360</v>
      </c>
      <c r="DH183" s="25" t="s">
        <v>193</v>
      </c>
      <c r="DI183" s="25" t="s">
        <v>194</v>
      </c>
      <c r="DJ183" s="25" t="s">
        <v>361</v>
      </c>
      <c r="DK183" s="25" t="s">
        <v>196</v>
      </c>
      <c r="DL183" s="32" t="s">
        <v>166</v>
      </c>
      <c r="DM183" s="25" t="s">
        <v>198</v>
      </c>
      <c r="DN183" s="24" t="s">
        <v>3740</v>
      </c>
      <c r="DO183" s="31">
        <v>2022</v>
      </c>
      <c r="DP183" s="25" t="s">
        <v>166</v>
      </c>
      <c r="DQ183" s="25" t="s">
        <v>166</v>
      </c>
      <c r="DR183" s="29" t="s">
        <v>166</v>
      </c>
      <c r="DS183" s="27" t="s">
        <v>166</v>
      </c>
      <c r="DT183" s="30" t="s">
        <v>166</v>
      </c>
      <c r="DU183" s="25" t="s">
        <v>166</v>
      </c>
      <c r="DV183" s="29" t="s">
        <v>166</v>
      </c>
      <c r="DW183" s="29" t="s">
        <v>166</v>
      </c>
      <c r="DX183" s="27" t="s">
        <v>166</v>
      </c>
      <c r="DY183" s="27" t="s">
        <v>166</v>
      </c>
      <c r="DZ183" s="28" t="s">
        <v>166</v>
      </c>
      <c r="EA183" s="27" t="s">
        <v>166</v>
      </c>
      <c r="EB183" s="27" t="s">
        <v>166</v>
      </c>
      <c r="EC183" s="27" t="s">
        <v>166</v>
      </c>
      <c r="ED183" s="28" t="s">
        <v>166</v>
      </c>
      <c r="EE183" s="28" t="s">
        <v>166</v>
      </c>
      <c r="EF183" s="28" t="s">
        <v>166</v>
      </c>
      <c r="EG183" s="28" t="s">
        <v>166</v>
      </c>
      <c r="EH183" s="27" t="s">
        <v>166</v>
      </c>
      <c r="EI183" s="27" t="s">
        <v>166</v>
      </c>
      <c r="EJ183" s="27" t="s">
        <v>166</v>
      </c>
      <c r="EK183" s="27" t="s">
        <v>166</v>
      </c>
      <c r="EL183" s="27" t="s">
        <v>166</v>
      </c>
      <c r="EM183" s="27" t="s">
        <v>166</v>
      </c>
      <c r="EN183" s="27" t="s">
        <v>166</v>
      </c>
      <c r="EO183" s="27" t="s">
        <v>166</v>
      </c>
      <c r="EP183" s="27" t="s">
        <v>166</v>
      </c>
      <c r="EQ183" s="27" t="s">
        <v>166</v>
      </c>
      <c r="ER183" s="27" t="s">
        <v>166</v>
      </c>
      <c r="ES183" s="27" t="s">
        <v>166</v>
      </c>
      <c r="ET183" s="25" t="s">
        <v>166</v>
      </c>
      <c r="EU183" s="27" t="s">
        <v>166</v>
      </c>
      <c r="EV183" s="27" t="s">
        <v>166</v>
      </c>
      <c r="EW183" s="27" t="s">
        <v>166</v>
      </c>
      <c r="EX183" s="25" t="s">
        <v>190</v>
      </c>
      <c r="EY183" s="25" t="s">
        <v>166</v>
      </c>
      <c r="EZ183" s="27" t="s">
        <v>166</v>
      </c>
      <c r="FA183" s="26" t="s">
        <v>166</v>
      </c>
      <c r="FB183" s="26" t="s">
        <v>166</v>
      </c>
      <c r="FC183" s="26" t="s">
        <v>166</v>
      </c>
      <c r="FD183" s="26" t="s">
        <v>166</v>
      </c>
      <c r="FE183" s="26" t="s">
        <v>166</v>
      </c>
      <c r="FF183" s="26" t="s">
        <v>166</v>
      </c>
      <c r="FG183" s="25" t="s">
        <v>166</v>
      </c>
      <c r="FH183" s="4">
        <f>HYPERLINK("https://my.pitchbook.com?c=261521-65T","View Company Online")</f>
      </c>
    </row>
    <row r="184">
      <c r="A184" s="14" t="s">
        <v>3741</v>
      </c>
      <c r="B184" s="14" t="s">
        <v>3742</v>
      </c>
      <c r="C184" s="14" t="s">
        <v>3743</v>
      </c>
      <c r="D184" s="14" t="s">
        <v>166</v>
      </c>
      <c r="E184" s="23" t="s">
        <v>3744</v>
      </c>
      <c r="F184" s="21">
        <v>1</v>
      </c>
      <c r="G184" s="14" t="s">
        <v>3745</v>
      </c>
      <c r="H184" s="14" t="s">
        <v>166</v>
      </c>
      <c r="I184" s="14" t="s">
        <v>3746</v>
      </c>
      <c r="J184" s="14" t="s">
        <v>3747</v>
      </c>
      <c r="K184" s="14" t="s">
        <v>1455</v>
      </c>
      <c r="L184" s="14" t="s">
        <v>1984</v>
      </c>
      <c r="M184" s="14" t="s">
        <v>1985</v>
      </c>
      <c r="N184" s="14" t="s">
        <v>2661</v>
      </c>
      <c r="O184" s="14" t="s">
        <v>3748</v>
      </c>
      <c r="P184" s="14" t="s">
        <v>3749</v>
      </c>
      <c r="Q184" s="14" t="s">
        <v>166</v>
      </c>
      <c r="R184" s="14" t="s">
        <v>177</v>
      </c>
      <c r="S184" s="14" t="s">
        <v>178</v>
      </c>
      <c r="T184" s="14" t="s">
        <v>179</v>
      </c>
      <c r="U184" s="14" t="s">
        <v>3750</v>
      </c>
      <c r="V184" s="14" t="s">
        <v>3751</v>
      </c>
      <c r="W184" s="21" t="s">
        <v>166</v>
      </c>
      <c r="X184" s="14" t="s">
        <v>166</v>
      </c>
      <c r="Y184" s="14" t="s">
        <v>3752</v>
      </c>
      <c r="Z184" s="14" t="s">
        <v>3753</v>
      </c>
      <c r="AA184" s="14" t="s">
        <v>166</v>
      </c>
      <c r="AB184" s="14" t="s">
        <v>166</v>
      </c>
      <c r="AC184" s="14" t="s">
        <v>166</v>
      </c>
      <c r="AD184" s="14" t="s">
        <v>166</v>
      </c>
      <c r="AE184" s="14" t="s">
        <v>166</v>
      </c>
      <c r="AF184" s="14" t="s">
        <v>166</v>
      </c>
      <c r="AG184" s="14" t="s">
        <v>166</v>
      </c>
      <c r="AH184" s="21">
        <v>2</v>
      </c>
      <c r="AI184" s="3">
        <f>HYPERLINK("https://my.pitchbook.com/?d=225072-19T","225072-19T")</f>
      </c>
      <c r="AJ184" s="19" t="s">
        <v>166</v>
      </c>
      <c r="AK184" s="19">
        <v>45070</v>
      </c>
      <c r="AL184" s="18">
        <v>0.1</v>
      </c>
      <c r="AM184" s="14" t="s">
        <v>185</v>
      </c>
      <c r="AN184" s="18" t="s">
        <v>166</v>
      </c>
      <c r="AO184" s="18" t="s">
        <v>166</v>
      </c>
      <c r="AP184" s="14" t="s">
        <v>166</v>
      </c>
      <c r="AQ184" s="21" t="s">
        <v>166</v>
      </c>
      <c r="AR184" s="21" t="s">
        <v>166</v>
      </c>
      <c r="AS184" s="17" t="s">
        <v>166</v>
      </c>
      <c r="AT184" s="18">
        <v>0.6</v>
      </c>
      <c r="AU184" s="21" t="s">
        <v>186</v>
      </c>
      <c r="AV184" s="21" t="s">
        <v>166</v>
      </c>
      <c r="AW184" s="18" t="s">
        <v>166</v>
      </c>
      <c r="AX184" s="21" t="s">
        <v>166</v>
      </c>
      <c r="AY184" s="14" t="s">
        <v>187</v>
      </c>
      <c r="AZ184" s="14" t="s">
        <v>166</v>
      </c>
      <c r="BA184" s="14" t="s">
        <v>166</v>
      </c>
      <c r="BB184" s="21" t="s">
        <v>166</v>
      </c>
      <c r="BC184" s="14" t="s">
        <v>179</v>
      </c>
      <c r="BD184" s="14" t="s">
        <v>3754</v>
      </c>
      <c r="BE184" s="14" t="s">
        <v>189</v>
      </c>
      <c r="BF184" s="18">
        <v>0.1</v>
      </c>
      <c r="BG184" s="14" t="s">
        <v>190</v>
      </c>
      <c r="BH184" s="14" t="s">
        <v>166</v>
      </c>
      <c r="BI184" s="14" t="s">
        <v>166</v>
      </c>
      <c r="BJ184" s="18" t="s">
        <v>166</v>
      </c>
      <c r="BK184" s="18" t="s">
        <v>166</v>
      </c>
      <c r="BL184" s="14" t="s">
        <v>191</v>
      </c>
      <c r="BM184" s="14" t="s">
        <v>178</v>
      </c>
      <c r="BN184" s="14" t="s">
        <v>177</v>
      </c>
      <c r="BO184" s="22" t="s">
        <v>166</v>
      </c>
      <c r="BP184" s="14" t="s">
        <v>3744</v>
      </c>
      <c r="BQ184" s="21">
        <v>1</v>
      </c>
      <c r="BR184" s="14" t="s">
        <v>166</v>
      </c>
      <c r="BS184" s="21" t="s">
        <v>166</v>
      </c>
      <c r="BT184" s="14" t="s">
        <v>166</v>
      </c>
      <c r="BU184" s="14" t="s">
        <v>166</v>
      </c>
      <c r="BV184" s="14" t="s">
        <v>166</v>
      </c>
      <c r="BW184" s="14" t="s">
        <v>166</v>
      </c>
      <c r="BX184" s="14" t="s">
        <v>166</v>
      </c>
      <c r="BY184" s="14" t="s">
        <v>166</v>
      </c>
      <c r="BZ184" s="14" t="s">
        <v>166</v>
      </c>
      <c r="CA184" s="14" t="s">
        <v>166</v>
      </c>
      <c r="CB184" s="14" t="s">
        <v>166</v>
      </c>
      <c r="CC184" s="14" t="s">
        <v>166</v>
      </c>
      <c r="CD184" s="14" t="s">
        <v>166</v>
      </c>
      <c r="CE184" s="18" t="s">
        <v>166</v>
      </c>
      <c r="CF184" s="16" t="s">
        <v>166</v>
      </c>
      <c r="CG184" s="17" t="s">
        <v>166</v>
      </c>
      <c r="CH184" s="16" t="s">
        <v>166</v>
      </c>
      <c r="CI184" s="16" t="s">
        <v>166</v>
      </c>
      <c r="CJ184" s="16" t="s">
        <v>166</v>
      </c>
      <c r="CK184" s="16" t="s">
        <v>166</v>
      </c>
      <c r="CL184" s="16" t="s">
        <v>166</v>
      </c>
      <c r="CM184" s="20" t="s">
        <v>166</v>
      </c>
      <c r="CN184" s="16" t="s">
        <v>166</v>
      </c>
      <c r="CO184" s="16" t="s">
        <v>166</v>
      </c>
      <c r="CP184" s="16" t="s">
        <v>166</v>
      </c>
      <c r="CQ184" s="16" t="s">
        <v>166</v>
      </c>
      <c r="CR184" s="16" t="s">
        <v>166</v>
      </c>
      <c r="CS184" s="16" t="s">
        <v>166</v>
      </c>
      <c r="CT184" s="16" t="s">
        <v>166</v>
      </c>
      <c r="CU184" s="16" t="s">
        <v>166</v>
      </c>
      <c r="CV184" s="16" t="s">
        <v>166</v>
      </c>
      <c r="CW184" s="16" t="s">
        <v>166</v>
      </c>
      <c r="CX184" s="16" t="s">
        <v>166</v>
      </c>
      <c r="CY184" s="16" t="s">
        <v>166</v>
      </c>
      <c r="CZ184" s="16" t="s">
        <v>166</v>
      </c>
      <c r="DA184" s="16" t="s">
        <v>166</v>
      </c>
      <c r="DB184" s="16" t="s">
        <v>166</v>
      </c>
      <c r="DC184" s="16" t="s">
        <v>166</v>
      </c>
      <c r="DD184" s="16" t="s">
        <v>166</v>
      </c>
      <c r="DE184" s="17" t="s">
        <v>166</v>
      </c>
      <c r="DF184" s="22" t="s">
        <v>166</v>
      </c>
      <c r="DG184" s="14" t="s">
        <v>3755</v>
      </c>
      <c r="DH184" s="14" t="s">
        <v>193</v>
      </c>
      <c r="DI184" s="14" t="s">
        <v>194</v>
      </c>
      <c r="DJ184" s="14" t="s">
        <v>3756</v>
      </c>
      <c r="DK184" s="14" t="s">
        <v>545</v>
      </c>
      <c r="DL184" s="21" t="s">
        <v>166</v>
      </c>
      <c r="DM184" s="14" t="s">
        <v>198</v>
      </c>
      <c r="DN184" s="13" t="s">
        <v>3757</v>
      </c>
      <c r="DO184" s="20">
        <v>2022</v>
      </c>
      <c r="DP184" s="14" t="s">
        <v>166</v>
      </c>
      <c r="DQ184" s="14" t="s">
        <v>166</v>
      </c>
      <c r="DR184" s="18" t="s">
        <v>166</v>
      </c>
      <c r="DS184" s="16" t="s">
        <v>166</v>
      </c>
      <c r="DT184" s="19" t="s">
        <v>166</v>
      </c>
      <c r="DU184" s="14" t="s">
        <v>166</v>
      </c>
      <c r="DV184" s="18" t="s">
        <v>166</v>
      </c>
      <c r="DW184" s="18" t="s">
        <v>166</v>
      </c>
      <c r="DX184" s="16" t="s">
        <v>166</v>
      </c>
      <c r="DY184" s="16" t="s">
        <v>166</v>
      </c>
      <c r="DZ184" s="17" t="s">
        <v>166</v>
      </c>
      <c r="EA184" s="16" t="s">
        <v>166</v>
      </c>
      <c r="EB184" s="16" t="s">
        <v>166</v>
      </c>
      <c r="EC184" s="16" t="s">
        <v>166</v>
      </c>
      <c r="ED184" s="17" t="s">
        <v>166</v>
      </c>
      <c r="EE184" s="17" t="s">
        <v>166</v>
      </c>
      <c r="EF184" s="17" t="s">
        <v>166</v>
      </c>
      <c r="EG184" s="17" t="s">
        <v>166</v>
      </c>
      <c r="EH184" s="16" t="s">
        <v>166</v>
      </c>
      <c r="EI184" s="16" t="s">
        <v>166</v>
      </c>
      <c r="EJ184" s="16" t="s">
        <v>166</v>
      </c>
      <c r="EK184" s="16" t="s">
        <v>166</v>
      </c>
      <c r="EL184" s="16" t="s">
        <v>166</v>
      </c>
      <c r="EM184" s="16" t="s">
        <v>166</v>
      </c>
      <c r="EN184" s="16" t="s">
        <v>166</v>
      </c>
      <c r="EO184" s="16" t="s">
        <v>166</v>
      </c>
      <c r="EP184" s="16" t="s">
        <v>166</v>
      </c>
      <c r="EQ184" s="16" t="s">
        <v>166</v>
      </c>
      <c r="ER184" s="16" t="s">
        <v>166</v>
      </c>
      <c r="ES184" s="16" t="s">
        <v>166</v>
      </c>
      <c r="ET184" s="14" t="s">
        <v>166</v>
      </c>
      <c r="EU184" s="16" t="s">
        <v>166</v>
      </c>
      <c r="EV184" s="16" t="s">
        <v>166</v>
      </c>
      <c r="EW184" s="16" t="s">
        <v>166</v>
      </c>
      <c r="EX184" s="14" t="s">
        <v>190</v>
      </c>
      <c r="EY184" s="14" t="s">
        <v>166</v>
      </c>
      <c r="EZ184" s="16" t="s">
        <v>166</v>
      </c>
      <c r="FA184" s="15" t="s">
        <v>166</v>
      </c>
      <c r="FB184" s="15" t="s">
        <v>166</v>
      </c>
      <c r="FC184" s="15" t="s">
        <v>166</v>
      </c>
      <c r="FD184" s="15" t="s">
        <v>166</v>
      </c>
      <c r="FE184" s="15" t="s">
        <v>166</v>
      </c>
      <c r="FF184" s="15" t="s">
        <v>166</v>
      </c>
      <c r="FG184" s="14" t="s">
        <v>166</v>
      </c>
      <c r="FH184" s="3">
        <f>HYPERLINK("https://my.pitchbook.com?c=225072-19T","View Company Online")</f>
      </c>
    </row>
    <row r="185">
      <c r="A185" s="25" t="s">
        <v>3758</v>
      </c>
      <c r="B185" s="25" t="s">
        <v>3759</v>
      </c>
      <c r="C185" s="25" t="s">
        <v>3760</v>
      </c>
      <c r="D185" s="25" t="s">
        <v>166</v>
      </c>
      <c r="E185" s="34" t="s">
        <v>3761</v>
      </c>
      <c r="F185" s="32">
        <v>1</v>
      </c>
      <c r="G185" s="25" t="s">
        <v>166</v>
      </c>
      <c r="H185" s="25" t="s">
        <v>166</v>
      </c>
      <c r="I185" s="25" t="s">
        <v>3762</v>
      </c>
      <c r="J185" s="25" t="s">
        <v>3763</v>
      </c>
      <c r="K185" s="25" t="s">
        <v>207</v>
      </c>
      <c r="L185" s="25" t="s">
        <v>208</v>
      </c>
      <c r="M185" s="25" t="s">
        <v>1766</v>
      </c>
      <c r="N185" s="25" t="s">
        <v>2393</v>
      </c>
      <c r="O185" s="25" t="s">
        <v>2394</v>
      </c>
      <c r="P185" s="25" t="s">
        <v>3764</v>
      </c>
      <c r="Q185" s="25" t="s">
        <v>166</v>
      </c>
      <c r="R185" s="25" t="s">
        <v>177</v>
      </c>
      <c r="S185" s="25" t="s">
        <v>178</v>
      </c>
      <c r="T185" s="25" t="s">
        <v>179</v>
      </c>
      <c r="U185" s="25" t="s">
        <v>3765</v>
      </c>
      <c r="V185" s="25" t="s">
        <v>3766</v>
      </c>
      <c r="W185" s="32" t="s">
        <v>3767</v>
      </c>
      <c r="X185" s="25" t="s">
        <v>3768</v>
      </c>
      <c r="Y185" s="25" t="s">
        <v>3769</v>
      </c>
      <c r="Z185" s="25" t="s">
        <v>3770</v>
      </c>
      <c r="AA185" s="25" t="s">
        <v>166</v>
      </c>
      <c r="AB185" s="25" t="s">
        <v>166</v>
      </c>
      <c r="AC185" s="25" t="s">
        <v>166</v>
      </c>
      <c r="AD185" s="25" t="s">
        <v>166</v>
      </c>
      <c r="AE185" s="25" t="s">
        <v>166</v>
      </c>
      <c r="AF185" s="25" t="s">
        <v>166</v>
      </c>
      <c r="AG185" s="25" t="s">
        <v>166</v>
      </c>
      <c r="AH185" s="32">
        <v>2</v>
      </c>
      <c r="AI185" s="4">
        <f>HYPERLINK("https://my.pitchbook.com/?d=213524-29T","213524-29T")</f>
      </c>
      <c r="AJ185" s="30" t="s">
        <v>166</v>
      </c>
      <c r="AK185" s="30">
        <v>44196</v>
      </c>
      <c r="AL185" s="29">
        <v>0.4</v>
      </c>
      <c r="AM185" s="25" t="s">
        <v>185</v>
      </c>
      <c r="AN185" s="29">
        <v>7</v>
      </c>
      <c r="AO185" s="29">
        <v>7.4</v>
      </c>
      <c r="AP185" s="25" t="s">
        <v>185</v>
      </c>
      <c r="AQ185" s="32" t="s">
        <v>166</v>
      </c>
      <c r="AR185" s="32" t="s">
        <v>166</v>
      </c>
      <c r="AS185" s="28" t="s">
        <v>166</v>
      </c>
      <c r="AT185" s="29">
        <v>0.4</v>
      </c>
      <c r="AU185" s="32" t="s">
        <v>186</v>
      </c>
      <c r="AV185" s="32" t="s">
        <v>166</v>
      </c>
      <c r="AW185" s="29" t="s">
        <v>166</v>
      </c>
      <c r="AX185" s="32" t="s">
        <v>166</v>
      </c>
      <c r="AY185" s="25" t="s">
        <v>217</v>
      </c>
      <c r="AZ185" s="25" t="s">
        <v>217</v>
      </c>
      <c r="BA185" s="25" t="s">
        <v>166</v>
      </c>
      <c r="BB185" s="32" t="s">
        <v>166</v>
      </c>
      <c r="BC185" s="25" t="s">
        <v>179</v>
      </c>
      <c r="BD185" s="25" t="s">
        <v>3771</v>
      </c>
      <c r="BE185" s="25" t="s">
        <v>189</v>
      </c>
      <c r="BF185" s="29">
        <v>0.4</v>
      </c>
      <c r="BG185" s="25" t="s">
        <v>190</v>
      </c>
      <c r="BH185" s="25" t="s">
        <v>166</v>
      </c>
      <c r="BI185" s="25" t="s">
        <v>166</v>
      </c>
      <c r="BJ185" s="29" t="s">
        <v>166</v>
      </c>
      <c r="BK185" s="29" t="s">
        <v>166</v>
      </c>
      <c r="BL185" s="25" t="s">
        <v>191</v>
      </c>
      <c r="BM185" s="25" t="s">
        <v>178</v>
      </c>
      <c r="BN185" s="25" t="s">
        <v>177</v>
      </c>
      <c r="BO185" s="33" t="s">
        <v>166</v>
      </c>
      <c r="BP185" s="25" t="s">
        <v>3772</v>
      </c>
      <c r="BQ185" s="32">
        <v>1</v>
      </c>
      <c r="BR185" s="25" t="s">
        <v>166</v>
      </c>
      <c r="BS185" s="32" t="s">
        <v>166</v>
      </c>
      <c r="BT185" s="25" t="s">
        <v>166</v>
      </c>
      <c r="BU185" s="25" t="s">
        <v>166</v>
      </c>
      <c r="BV185" s="25" t="s">
        <v>166</v>
      </c>
      <c r="BW185" s="25" t="s">
        <v>166</v>
      </c>
      <c r="BX185" s="25" t="s">
        <v>166</v>
      </c>
      <c r="BY185" s="25" t="s">
        <v>166</v>
      </c>
      <c r="BZ185" s="25" t="s">
        <v>166</v>
      </c>
      <c r="CA185" s="25" t="s">
        <v>166</v>
      </c>
      <c r="CB185" s="25" t="s">
        <v>166</v>
      </c>
      <c r="CC185" s="25" t="s">
        <v>166</v>
      </c>
      <c r="CD185" s="25" t="s">
        <v>166</v>
      </c>
      <c r="CE185" s="29" t="s">
        <v>166</v>
      </c>
      <c r="CF185" s="27" t="s">
        <v>166</v>
      </c>
      <c r="CG185" s="28" t="s">
        <v>166</v>
      </c>
      <c r="CH185" s="27" t="s">
        <v>166</v>
      </c>
      <c r="CI185" s="27" t="s">
        <v>166</v>
      </c>
      <c r="CJ185" s="27" t="s">
        <v>166</v>
      </c>
      <c r="CK185" s="27" t="s">
        <v>166</v>
      </c>
      <c r="CL185" s="27" t="s">
        <v>166</v>
      </c>
      <c r="CM185" s="31" t="s">
        <v>166</v>
      </c>
      <c r="CN185" s="27" t="s">
        <v>166</v>
      </c>
      <c r="CO185" s="27" t="s">
        <v>166</v>
      </c>
      <c r="CP185" s="27" t="s">
        <v>166</v>
      </c>
      <c r="CQ185" s="27" t="s">
        <v>166</v>
      </c>
      <c r="CR185" s="27" t="s">
        <v>166</v>
      </c>
      <c r="CS185" s="27" t="s">
        <v>166</v>
      </c>
      <c r="CT185" s="27" t="s">
        <v>166</v>
      </c>
      <c r="CU185" s="27" t="s">
        <v>166</v>
      </c>
      <c r="CV185" s="27" t="s">
        <v>166</v>
      </c>
      <c r="CW185" s="27" t="s">
        <v>166</v>
      </c>
      <c r="CX185" s="27" t="s">
        <v>166</v>
      </c>
      <c r="CY185" s="27" t="s">
        <v>166</v>
      </c>
      <c r="CZ185" s="27" t="s">
        <v>166</v>
      </c>
      <c r="DA185" s="27" t="s">
        <v>166</v>
      </c>
      <c r="DB185" s="27" t="s">
        <v>166</v>
      </c>
      <c r="DC185" s="27" t="s">
        <v>166</v>
      </c>
      <c r="DD185" s="27" t="s">
        <v>166</v>
      </c>
      <c r="DE185" s="28" t="s">
        <v>166</v>
      </c>
      <c r="DF185" s="33">
        <v>47</v>
      </c>
      <c r="DG185" s="25" t="s">
        <v>309</v>
      </c>
      <c r="DH185" s="25" t="s">
        <v>193</v>
      </c>
      <c r="DI185" s="25" t="s">
        <v>194</v>
      </c>
      <c r="DJ185" s="25" t="s">
        <v>310</v>
      </c>
      <c r="DK185" s="25" t="s">
        <v>310</v>
      </c>
      <c r="DL185" s="32" t="s">
        <v>3773</v>
      </c>
      <c r="DM185" s="25" t="s">
        <v>198</v>
      </c>
      <c r="DN185" s="24" t="s">
        <v>3774</v>
      </c>
      <c r="DO185" s="31">
        <v>2015</v>
      </c>
      <c r="DP185" s="25" t="s">
        <v>166</v>
      </c>
      <c r="DQ185" s="25" t="s">
        <v>166</v>
      </c>
      <c r="DR185" s="29" t="s">
        <v>166</v>
      </c>
      <c r="DS185" s="27" t="s">
        <v>166</v>
      </c>
      <c r="DT185" s="30" t="s">
        <v>166</v>
      </c>
      <c r="DU185" s="25" t="s">
        <v>166</v>
      </c>
      <c r="DV185" s="29" t="s">
        <v>166</v>
      </c>
      <c r="DW185" s="29" t="s">
        <v>166</v>
      </c>
      <c r="DX185" s="27" t="s">
        <v>166</v>
      </c>
      <c r="DY185" s="27" t="s">
        <v>166</v>
      </c>
      <c r="DZ185" s="28" t="s">
        <v>166</v>
      </c>
      <c r="EA185" s="27" t="s">
        <v>166</v>
      </c>
      <c r="EB185" s="27" t="s">
        <v>166</v>
      </c>
      <c r="EC185" s="27" t="s">
        <v>166</v>
      </c>
      <c r="ED185" s="28" t="s">
        <v>166</v>
      </c>
      <c r="EE185" s="28" t="s">
        <v>166</v>
      </c>
      <c r="EF185" s="28" t="s">
        <v>166</v>
      </c>
      <c r="EG185" s="28" t="s">
        <v>166</v>
      </c>
      <c r="EH185" s="27" t="s">
        <v>166</v>
      </c>
      <c r="EI185" s="27" t="s">
        <v>166</v>
      </c>
      <c r="EJ185" s="27" t="s">
        <v>166</v>
      </c>
      <c r="EK185" s="27" t="s">
        <v>166</v>
      </c>
      <c r="EL185" s="27" t="s">
        <v>166</v>
      </c>
      <c r="EM185" s="27" t="s">
        <v>166</v>
      </c>
      <c r="EN185" s="27" t="s">
        <v>166</v>
      </c>
      <c r="EO185" s="27" t="s">
        <v>166</v>
      </c>
      <c r="EP185" s="27" t="s">
        <v>166</v>
      </c>
      <c r="EQ185" s="27" t="s">
        <v>166</v>
      </c>
      <c r="ER185" s="27" t="s">
        <v>166</v>
      </c>
      <c r="ES185" s="27" t="s">
        <v>166</v>
      </c>
      <c r="ET185" s="25" t="s">
        <v>166</v>
      </c>
      <c r="EU185" s="27" t="s">
        <v>166</v>
      </c>
      <c r="EV185" s="27" t="s">
        <v>166</v>
      </c>
      <c r="EW185" s="27" t="s">
        <v>166</v>
      </c>
      <c r="EX185" s="25" t="s">
        <v>190</v>
      </c>
      <c r="EY185" s="25" t="s">
        <v>166</v>
      </c>
      <c r="EZ185" s="27" t="s">
        <v>166</v>
      </c>
      <c r="FA185" s="26" t="s">
        <v>166</v>
      </c>
      <c r="FB185" s="26" t="s">
        <v>166</v>
      </c>
      <c r="FC185" s="26" t="s">
        <v>166</v>
      </c>
      <c r="FD185" s="26" t="s">
        <v>166</v>
      </c>
      <c r="FE185" s="26" t="s">
        <v>166</v>
      </c>
      <c r="FF185" s="26" t="s">
        <v>166</v>
      </c>
      <c r="FG185" s="25" t="s">
        <v>166</v>
      </c>
      <c r="FH185" s="4">
        <f>HYPERLINK("https://my.pitchbook.com?c=213524-29T","View Company Online")</f>
      </c>
    </row>
    <row r="186">
      <c r="A186" s="14" t="s">
        <v>3775</v>
      </c>
      <c r="B186" s="14" t="s">
        <v>3776</v>
      </c>
      <c r="C186" s="14" t="s">
        <v>3777</v>
      </c>
      <c r="D186" s="14" t="s">
        <v>166</v>
      </c>
      <c r="E186" s="23" t="s">
        <v>3778</v>
      </c>
      <c r="F186" s="21">
        <v>4</v>
      </c>
      <c r="G186" s="14" t="s">
        <v>3779</v>
      </c>
      <c r="H186" s="14" t="s">
        <v>166</v>
      </c>
      <c r="I186" s="14" t="s">
        <v>3780</v>
      </c>
      <c r="J186" s="14" t="s">
        <v>3781</v>
      </c>
      <c r="K186" s="14" t="s">
        <v>207</v>
      </c>
      <c r="L186" s="14" t="s">
        <v>208</v>
      </c>
      <c r="M186" s="14" t="s">
        <v>1766</v>
      </c>
      <c r="N186" s="14" t="s">
        <v>3782</v>
      </c>
      <c r="O186" s="14" t="s">
        <v>1035</v>
      </c>
      <c r="P186" s="14" t="s">
        <v>3783</v>
      </c>
      <c r="Q186" s="14" t="s">
        <v>166</v>
      </c>
      <c r="R186" s="14" t="s">
        <v>177</v>
      </c>
      <c r="S186" s="14" t="s">
        <v>178</v>
      </c>
      <c r="T186" s="14" t="s">
        <v>179</v>
      </c>
      <c r="U186" s="14" t="s">
        <v>3784</v>
      </c>
      <c r="V186" s="14" t="s">
        <v>3785</v>
      </c>
      <c r="W186" s="21" t="s">
        <v>3786</v>
      </c>
      <c r="X186" s="14" t="s">
        <v>3787</v>
      </c>
      <c r="Y186" s="14" t="s">
        <v>3788</v>
      </c>
      <c r="Z186" s="14" t="s">
        <v>3789</v>
      </c>
      <c r="AA186" s="14" t="s">
        <v>166</v>
      </c>
      <c r="AB186" s="14" t="s">
        <v>166</v>
      </c>
      <c r="AC186" s="14" t="s">
        <v>166</v>
      </c>
      <c r="AD186" s="14" t="s">
        <v>166</v>
      </c>
      <c r="AE186" s="14" t="s">
        <v>166</v>
      </c>
      <c r="AF186" s="14" t="s">
        <v>166</v>
      </c>
      <c r="AG186" s="14" t="s">
        <v>166</v>
      </c>
      <c r="AH186" s="21">
        <v>1</v>
      </c>
      <c r="AI186" s="3">
        <f>HYPERLINK("https://my.pitchbook.com/?d=140886-19T","140886-19T")</f>
      </c>
      <c r="AJ186" s="19" t="s">
        <v>166</v>
      </c>
      <c r="AK186" s="19">
        <v>43969</v>
      </c>
      <c r="AL186" s="18">
        <v>1</v>
      </c>
      <c r="AM186" s="14" t="s">
        <v>185</v>
      </c>
      <c r="AN186" s="18" t="s">
        <v>166</v>
      </c>
      <c r="AO186" s="18" t="s">
        <v>166</v>
      </c>
      <c r="AP186" s="14" t="s">
        <v>166</v>
      </c>
      <c r="AQ186" s="21" t="s">
        <v>166</v>
      </c>
      <c r="AR186" s="21" t="s">
        <v>166</v>
      </c>
      <c r="AS186" s="17" t="s">
        <v>166</v>
      </c>
      <c r="AT186" s="18">
        <v>1</v>
      </c>
      <c r="AU186" s="21" t="s">
        <v>186</v>
      </c>
      <c r="AV186" s="21" t="s">
        <v>166</v>
      </c>
      <c r="AW186" s="18" t="s">
        <v>166</v>
      </c>
      <c r="AX186" s="21" t="s">
        <v>166</v>
      </c>
      <c r="AY186" s="14" t="s">
        <v>217</v>
      </c>
      <c r="AZ186" s="14" t="s">
        <v>217</v>
      </c>
      <c r="BA186" s="14" t="s">
        <v>166</v>
      </c>
      <c r="BB186" s="21" t="s">
        <v>166</v>
      </c>
      <c r="BC186" s="14" t="s">
        <v>179</v>
      </c>
      <c r="BD186" s="14" t="s">
        <v>3790</v>
      </c>
      <c r="BE186" s="14" t="s">
        <v>189</v>
      </c>
      <c r="BF186" s="18">
        <v>1</v>
      </c>
      <c r="BG186" s="14" t="s">
        <v>190</v>
      </c>
      <c r="BH186" s="14" t="s">
        <v>166</v>
      </c>
      <c r="BI186" s="14" t="s">
        <v>166</v>
      </c>
      <c r="BJ186" s="18" t="s">
        <v>166</v>
      </c>
      <c r="BK186" s="18" t="s">
        <v>166</v>
      </c>
      <c r="BL186" s="14" t="s">
        <v>191</v>
      </c>
      <c r="BM186" s="14" t="s">
        <v>178</v>
      </c>
      <c r="BN186" s="14" t="s">
        <v>177</v>
      </c>
      <c r="BO186" s="22">
        <v>11</v>
      </c>
      <c r="BP186" s="14" t="s">
        <v>3791</v>
      </c>
      <c r="BQ186" s="21">
        <v>4</v>
      </c>
      <c r="BR186" s="14" t="s">
        <v>166</v>
      </c>
      <c r="BS186" s="21" t="s">
        <v>166</v>
      </c>
      <c r="BT186" s="14" t="s">
        <v>3792</v>
      </c>
      <c r="BU186" s="14" t="s">
        <v>166</v>
      </c>
      <c r="BV186" s="14" t="s">
        <v>3793</v>
      </c>
      <c r="BW186" s="14" t="s">
        <v>166</v>
      </c>
      <c r="BX186" s="14" t="s">
        <v>166</v>
      </c>
      <c r="BY186" s="14" t="s">
        <v>166</v>
      </c>
      <c r="BZ186" s="14" t="s">
        <v>166</v>
      </c>
      <c r="CA186" s="14" t="s">
        <v>166</v>
      </c>
      <c r="CB186" s="14" t="s">
        <v>166</v>
      </c>
      <c r="CC186" s="14" t="s">
        <v>166</v>
      </c>
      <c r="CD186" s="14" t="s">
        <v>166</v>
      </c>
      <c r="CE186" s="18" t="s">
        <v>166</v>
      </c>
      <c r="CF186" s="16" t="s">
        <v>166</v>
      </c>
      <c r="CG186" s="17" t="s">
        <v>166</v>
      </c>
      <c r="CH186" s="16" t="s">
        <v>166</v>
      </c>
      <c r="CI186" s="16" t="s">
        <v>166</v>
      </c>
      <c r="CJ186" s="16" t="s">
        <v>166</v>
      </c>
      <c r="CK186" s="16" t="s">
        <v>166</v>
      </c>
      <c r="CL186" s="16" t="s">
        <v>166</v>
      </c>
      <c r="CM186" s="20" t="s">
        <v>166</v>
      </c>
      <c r="CN186" s="16" t="s">
        <v>166</v>
      </c>
      <c r="CO186" s="16" t="s">
        <v>166</v>
      </c>
      <c r="CP186" s="16" t="s">
        <v>166</v>
      </c>
      <c r="CQ186" s="16" t="s">
        <v>166</v>
      </c>
      <c r="CR186" s="16" t="s">
        <v>166</v>
      </c>
      <c r="CS186" s="16" t="s">
        <v>166</v>
      </c>
      <c r="CT186" s="16" t="s">
        <v>166</v>
      </c>
      <c r="CU186" s="16" t="s">
        <v>166</v>
      </c>
      <c r="CV186" s="16" t="s">
        <v>166</v>
      </c>
      <c r="CW186" s="16" t="s">
        <v>166</v>
      </c>
      <c r="CX186" s="16" t="s">
        <v>166</v>
      </c>
      <c r="CY186" s="16" t="s">
        <v>166</v>
      </c>
      <c r="CZ186" s="16" t="s">
        <v>166</v>
      </c>
      <c r="DA186" s="16" t="s">
        <v>166</v>
      </c>
      <c r="DB186" s="16" t="s">
        <v>166</v>
      </c>
      <c r="DC186" s="16" t="s">
        <v>166</v>
      </c>
      <c r="DD186" s="16" t="s">
        <v>166</v>
      </c>
      <c r="DE186" s="17" t="s">
        <v>166</v>
      </c>
      <c r="DF186" s="22">
        <v>49</v>
      </c>
      <c r="DG186" s="14" t="s">
        <v>384</v>
      </c>
      <c r="DH186" s="14" t="s">
        <v>193</v>
      </c>
      <c r="DI186" s="14" t="s">
        <v>194</v>
      </c>
      <c r="DJ186" s="14" t="s">
        <v>385</v>
      </c>
      <c r="DK186" s="14" t="s">
        <v>386</v>
      </c>
      <c r="DL186" s="21" t="s">
        <v>3794</v>
      </c>
      <c r="DM186" s="14" t="s">
        <v>198</v>
      </c>
      <c r="DN186" s="13" t="s">
        <v>3795</v>
      </c>
      <c r="DO186" s="20">
        <v>2017</v>
      </c>
      <c r="DP186" s="14" t="s">
        <v>166</v>
      </c>
      <c r="DQ186" s="14" t="s">
        <v>166</v>
      </c>
      <c r="DR186" s="18" t="s">
        <v>166</v>
      </c>
      <c r="DS186" s="16" t="s">
        <v>166</v>
      </c>
      <c r="DT186" s="19" t="s">
        <v>166</v>
      </c>
      <c r="DU186" s="14" t="s">
        <v>166</v>
      </c>
      <c r="DV186" s="18" t="s">
        <v>166</v>
      </c>
      <c r="DW186" s="18" t="s">
        <v>166</v>
      </c>
      <c r="DX186" s="16" t="s">
        <v>166</v>
      </c>
      <c r="DY186" s="16" t="s">
        <v>166</v>
      </c>
      <c r="DZ186" s="17" t="s">
        <v>166</v>
      </c>
      <c r="EA186" s="16" t="s">
        <v>166</v>
      </c>
      <c r="EB186" s="16" t="s">
        <v>166</v>
      </c>
      <c r="EC186" s="16" t="s">
        <v>166</v>
      </c>
      <c r="ED186" s="17" t="s">
        <v>166</v>
      </c>
      <c r="EE186" s="17" t="s">
        <v>166</v>
      </c>
      <c r="EF186" s="17" t="s">
        <v>166</v>
      </c>
      <c r="EG186" s="17" t="s">
        <v>166</v>
      </c>
      <c r="EH186" s="16" t="s">
        <v>166</v>
      </c>
      <c r="EI186" s="16" t="s">
        <v>166</v>
      </c>
      <c r="EJ186" s="16" t="s">
        <v>166</v>
      </c>
      <c r="EK186" s="16" t="s">
        <v>166</v>
      </c>
      <c r="EL186" s="16" t="s">
        <v>166</v>
      </c>
      <c r="EM186" s="16" t="s">
        <v>166</v>
      </c>
      <c r="EN186" s="16" t="s">
        <v>166</v>
      </c>
      <c r="EO186" s="16" t="s">
        <v>166</v>
      </c>
      <c r="EP186" s="16" t="s">
        <v>166</v>
      </c>
      <c r="EQ186" s="16" t="s">
        <v>166</v>
      </c>
      <c r="ER186" s="16" t="s">
        <v>166</v>
      </c>
      <c r="ES186" s="16" t="s">
        <v>166</v>
      </c>
      <c r="ET186" s="14" t="s">
        <v>166</v>
      </c>
      <c r="EU186" s="16" t="s">
        <v>166</v>
      </c>
      <c r="EV186" s="16" t="s">
        <v>166</v>
      </c>
      <c r="EW186" s="16" t="s">
        <v>166</v>
      </c>
      <c r="EX186" s="14" t="s">
        <v>190</v>
      </c>
      <c r="EY186" s="14" t="s">
        <v>166</v>
      </c>
      <c r="EZ186" s="16" t="s">
        <v>166</v>
      </c>
      <c r="FA186" s="15" t="s">
        <v>166</v>
      </c>
      <c r="FB186" s="15" t="s">
        <v>166</v>
      </c>
      <c r="FC186" s="15" t="s">
        <v>166</v>
      </c>
      <c r="FD186" s="15" t="s">
        <v>166</v>
      </c>
      <c r="FE186" s="15" t="s">
        <v>166</v>
      </c>
      <c r="FF186" s="15" t="s">
        <v>166</v>
      </c>
      <c r="FG186" s="14" t="s">
        <v>166</v>
      </c>
      <c r="FH186" s="3">
        <f>HYPERLINK("https://my.pitchbook.com?c=140886-19T","View Company Online")</f>
      </c>
    </row>
    <row r="187">
      <c r="A187" s="25" t="s">
        <v>3796</v>
      </c>
      <c r="B187" s="25" t="s">
        <v>3797</v>
      </c>
      <c r="C187" s="25" t="s">
        <v>3798</v>
      </c>
      <c r="D187" s="25" t="s">
        <v>166</v>
      </c>
      <c r="E187" s="34" t="s">
        <v>3799</v>
      </c>
      <c r="F187" s="32">
        <v>1</v>
      </c>
      <c r="G187" s="25" t="s">
        <v>3800</v>
      </c>
      <c r="H187" s="25" t="s">
        <v>166</v>
      </c>
      <c r="I187" s="25" t="s">
        <v>3801</v>
      </c>
      <c r="J187" s="25" t="s">
        <v>3802</v>
      </c>
      <c r="K187" s="25" t="s">
        <v>207</v>
      </c>
      <c r="L187" s="25" t="s">
        <v>208</v>
      </c>
      <c r="M187" s="25" t="s">
        <v>209</v>
      </c>
      <c r="N187" s="25" t="s">
        <v>3803</v>
      </c>
      <c r="O187" s="25" t="s">
        <v>234</v>
      </c>
      <c r="P187" s="25" t="s">
        <v>3804</v>
      </c>
      <c r="Q187" s="25" t="s">
        <v>166</v>
      </c>
      <c r="R187" s="25" t="s">
        <v>177</v>
      </c>
      <c r="S187" s="25" t="s">
        <v>178</v>
      </c>
      <c r="T187" s="25" t="s">
        <v>179</v>
      </c>
      <c r="U187" s="25" t="s">
        <v>3805</v>
      </c>
      <c r="V187" s="25" t="s">
        <v>3806</v>
      </c>
      <c r="W187" s="32" t="s">
        <v>166</v>
      </c>
      <c r="X187" s="25" t="s">
        <v>3807</v>
      </c>
      <c r="Y187" s="25" t="s">
        <v>3808</v>
      </c>
      <c r="Z187" s="25" t="s">
        <v>3809</v>
      </c>
      <c r="AA187" s="25" t="s">
        <v>242</v>
      </c>
      <c r="AB187" s="25" t="s">
        <v>243</v>
      </c>
      <c r="AC187" s="25" t="s">
        <v>244</v>
      </c>
      <c r="AD187" s="25" t="s">
        <v>243</v>
      </c>
      <c r="AE187" s="25" t="s">
        <v>243</v>
      </c>
      <c r="AF187" s="25" t="s">
        <v>245</v>
      </c>
      <c r="AG187" s="25" t="s">
        <v>807</v>
      </c>
      <c r="AH187" s="32">
        <v>1</v>
      </c>
      <c r="AI187" s="4">
        <f>HYPERLINK("https://my.pitchbook.com/?d=214625-35T","214625-35T")</f>
      </c>
      <c r="AJ187" s="30" t="s">
        <v>166</v>
      </c>
      <c r="AK187" s="30">
        <v>44964</v>
      </c>
      <c r="AL187" s="29">
        <v>1.5</v>
      </c>
      <c r="AM187" s="25" t="s">
        <v>247</v>
      </c>
      <c r="AN187" s="29">
        <v>6</v>
      </c>
      <c r="AO187" s="29">
        <v>7.5</v>
      </c>
      <c r="AP187" s="25" t="s">
        <v>185</v>
      </c>
      <c r="AQ187" s="32" t="s">
        <v>166</v>
      </c>
      <c r="AR187" s="32" t="s">
        <v>166</v>
      </c>
      <c r="AS187" s="28">
        <v>20</v>
      </c>
      <c r="AT187" s="29">
        <v>1.5</v>
      </c>
      <c r="AU187" s="32" t="s">
        <v>186</v>
      </c>
      <c r="AV187" s="32" t="s">
        <v>166</v>
      </c>
      <c r="AW187" s="29">
        <v>0.27</v>
      </c>
      <c r="AX187" s="32" t="s">
        <v>166</v>
      </c>
      <c r="AY187" s="25" t="s">
        <v>217</v>
      </c>
      <c r="AZ187" s="25" t="s">
        <v>217</v>
      </c>
      <c r="BA187" s="25" t="s">
        <v>166</v>
      </c>
      <c r="BB187" s="32" t="s">
        <v>166</v>
      </c>
      <c r="BC187" s="25" t="s">
        <v>179</v>
      </c>
      <c r="BD187" s="25" t="s">
        <v>3810</v>
      </c>
      <c r="BE187" s="25" t="s">
        <v>189</v>
      </c>
      <c r="BF187" s="29">
        <v>1.5</v>
      </c>
      <c r="BG187" s="25" t="s">
        <v>190</v>
      </c>
      <c r="BH187" s="25" t="s">
        <v>166</v>
      </c>
      <c r="BI187" s="25" t="s">
        <v>166</v>
      </c>
      <c r="BJ187" s="29" t="s">
        <v>166</v>
      </c>
      <c r="BK187" s="29" t="s">
        <v>166</v>
      </c>
      <c r="BL187" s="25" t="s">
        <v>191</v>
      </c>
      <c r="BM187" s="25" t="s">
        <v>178</v>
      </c>
      <c r="BN187" s="25" t="s">
        <v>177</v>
      </c>
      <c r="BO187" s="33" t="s">
        <v>166</v>
      </c>
      <c r="BP187" s="25" t="s">
        <v>3811</v>
      </c>
      <c r="BQ187" s="32">
        <v>1</v>
      </c>
      <c r="BR187" s="25" t="s">
        <v>166</v>
      </c>
      <c r="BS187" s="32" t="s">
        <v>166</v>
      </c>
      <c r="BT187" s="25" t="s">
        <v>3799</v>
      </c>
      <c r="BU187" s="25" t="s">
        <v>166</v>
      </c>
      <c r="BV187" s="25" t="s">
        <v>166</v>
      </c>
      <c r="BW187" s="25" t="s">
        <v>166</v>
      </c>
      <c r="BX187" s="25" t="s">
        <v>166</v>
      </c>
      <c r="BY187" s="25" t="s">
        <v>166</v>
      </c>
      <c r="BZ187" s="25" t="s">
        <v>166</v>
      </c>
      <c r="CA187" s="25" t="s">
        <v>166</v>
      </c>
      <c r="CB187" s="25" t="s">
        <v>166</v>
      </c>
      <c r="CC187" s="25" t="s">
        <v>166</v>
      </c>
      <c r="CD187" s="25" t="s">
        <v>166</v>
      </c>
      <c r="CE187" s="29" t="s">
        <v>166</v>
      </c>
      <c r="CF187" s="27" t="s">
        <v>166</v>
      </c>
      <c r="CG187" s="28" t="s">
        <v>166</v>
      </c>
      <c r="CH187" s="27" t="s">
        <v>166</v>
      </c>
      <c r="CI187" s="27" t="s">
        <v>166</v>
      </c>
      <c r="CJ187" s="27" t="s">
        <v>166</v>
      </c>
      <c r="CK187" s="27" t="s">
        <v>166</v>
      </c>
      <c r="CL187" s="27" t="s">
        <v>166</v>
      </c>
      <c r="CM187" s="31" t="s">
        <v>166</v>
      </c>
      <c r="CN187" s="27" t="s">
        <v>166</v>
      </c>
      <c r="CO187" s="27" t="s">
        <v>166</v>
      </c>
      <c r="CP187" s="27" t="s">
        <v>166</v>
      </c>
      <c r="CQ187" s="27" t="s">
        <v>166</v>
      </c>
      <c r="CR187" s="27" t="s">
        <v>166</v>
      </c>
      <c r="CS187" s="27" t="s">
        <v>166</v>
      </c>
      <c r="CT187" s="27" t="s">
        <v>166</v>
      </c>
      <c r="CU187" s="27" t="s">
        <v>166</v>
      </c>
      <c r="CV187" s="27" t="s">
        <v>166</v>
      </c>
      <c r="CW187" s="27" t="s">
        <v>166</v>
      </c>
      <c r="CX187" s="27" t="s">
        <v>166</v>
      </c>
      <c r="CY187" s="27" t="s">
        <v>166</v>
      </c>
      <c r="CZ187" s="27" t="s">
        <v>166</v>
      </c>
      <c r="DA187" s="27" t="s">
        <v>166</v>
      </c>
      <c r="DB187" s="27" t="s">
        <v>166</v>
      </c>
      <c r="DC187" s="27" t="s">
        <v>166</v>
      </c>
      <c r="DD187" s="27" t="s">
        <v>166</v>
      </c>
      <c r="DE187" s="28" t="s">
        <v>166</v>
      </c>
      <c r="DF187" s="33">
        <v>16</v>
      </c>
      <c r="DG187" s="25" t="s">
        <v>673</v>
      </c>
      <c r="DH187" s="25" t="s">
        <v>193</v>
      </c>
      <c r="DI187" s="25" t="s">
        <v>194</v>
      </c>
      <c r="DJ187" s="25" t="s">
        <v>674</v>
      </c>
      <c r="DK187" s="25" t="s">
        <v>257</v>
      </c>
      <c r="DL187" s="32" t="s">
        <v>851</v>
      </c>
      <c r="DM187" s="25" t="s">
        <v>198</v>
      </c>
      <c r="DN187" s="24" t="s">
        <v>3812</v>
      </c>
      <c r="DO187" s="31">
        <v>2022</v>
      </c>
      <c r="DP187" s="25" t="s">
        <v>166</v>
      </c>
      <c r="DQ187" s="25" t="s">
        <v>166</v>
      </c>
      <c r="DR187" s="29" t="s">
        <v>166</v>
      </c>
      <c r="DS187" s="27" t="s">
        <v>166</v>
      </c>
      <c r="DT187" s="30" t="s">
        <v>166</v>
      </c>
      <c r="DU187" s="25" t="s">
        <v>166</v>
      </c>
      <c r="DV187" s="29" t="s">
        <v>166</v>
      </c>
      <c r="DW187" s="29" t="s">
        <v>166</v>
      </c>
      <c r="DX187" s="27" t="s">
        <v>166</v>
      </c>
      <c r="DY187" s="27" t="s">
        <v>166</v>
      </c>
      <c r="DZ187" s="28" t="s">
        <v>166</v>
      </c>
      <c r="EA187" s="27" t="s">
        <v>166</v>
      </c>
      <c r="EB187" s="27" t="s">
        <v>166</v>
      </c>
      <c r="EC187" s="27" t="s">
        <v>166</v>
      </c>
      <c r="ED187" s="28" t="s">
        <v>166</v>
      </c>
      <c r="EE187" s="28" t="s">
        <v>166</v>
      </c>
      <c r="EF187" s="28" t="s">
        <v>166</v>
      </c>
      <c r="EG187" s="28" t="s">
        <v>166</v>
      </c>
      <c r="EH187" s="27" t="s">
        <v>166</v>
      </c>
      <c r="EI187" s="27" t="s">
        <v>166</v>
      </c>
      <c r="EJ187" s="27" t="s">
        <v>166</v>
      </c>
      <c r="EK187" s="27" t="s">
        <v>166</v>
      </c>
      <c r="EL187" s="27" t="s">
        <v>166</v>
      </c>
      <c r="EM187" s="27" t="s">
        <v>166</v>
      </c>
      <c r="EN187" s="27" t="s">
        <v>166</v>
      </c>
      <c r="EO187" s="27" t="s">
        <v>166</v>
      </c>
      <c r="EP187" s="27" t="s">
        <v>166</v>
      </c>
      <c r="EQ187" s="27" t="s">
        <v>166</v>
      </c>
      <c r="ER187" s="27" t="s">
        <v>166</v>
      </c>
      <c r="ES187" s="27" t="s">
        <v>166</v>
      </c>
      <c r="ET187" s="25" t="s">
        <v>166</v>
      </c>
      <c r="EU187" s="27" t="s">
        <v>166</v>
      </c>
      <c r="EV187" s="27" t="s">
        <v>166</v>
      </c>
      <c r="EW187" s="27" t="s">
        <v>166</v>
      </c>
      <c r="EX187" s="25" t="s">
        <v>190</v>
      </c>
      <c r="EY187" s="25" t="s">
        <v>166</v>
      </c>
      <c r="EZ187" s="27" t="s">
        <v>166</v>
      </c>
      <c r="FA187" s="26" t="s">
        <v>166</v>
      </c>
      <c r="FB187" s="26" t="s">
        <v>166</v>
      </c>
      <c r="FC187" s="26" t="s">
        <v>166</v>
      </c>
      <c r="FD187" s="26" t="s">
        <v>166</v>
      </c>
      <c r="FE187" s="26" t="s">
        <v>166</v>
      </c>
      <c r="FF187" s="26" t="s">
        <v>166</v>
      </c>
      <c r="FG187" s="25" t="s">
        <v>166</v>
      </c>
      <c r="FH187" s="4">
        <f>HYPERLINK("https://my.pitchbook.com?c=214625-35T","View Company Online")</f>
      </c>
    </row>
    <row r="188">
      <c r="A188" s="14" t="s">
        <v>3813</v>
      </c>
      <c r="B188" s="14" t="s">
        <v>3814</v>
      </c>
      <c r="C188" s="14" t="s">
        <v>3815</v>
      </c>
      <c r="D188" s="14" t="s">
        <v>166</v>
      </c>
      <c r="E188" s="23" t="s">
        <v>3816</v>
      </c>
      <c r="F188" s="21">
        <v>2</v>
      </c>
      <c r="G188" s="14" t="s">
        <v>3817</v>
      </c>
      <c r="H188" s="14" t="s">
        <v>166</v>
      </c>
      <c r="I188" s="14" t="s">
        <v>3818</v>
      </c>
      <c r="J188" s="14" t="s">
        <v>3819</v>
      </c>
      <c r="K188" s="14" t="s">
        <v>207</v>
      </c>
      <c r="L188" s="14" t="s">
        <v>208</v>
      </c>
      <c r="M188" s="14" t="s">
        <v>209</v>
      </c>
      <c r="N188" s="14" t="s">
        <v>3407</v>
      </c>
      <c r="O188" s="14" t="s">
        <v>641</v>
      </c>
      <c r="P188" s="14" t="s">
        <v>3820</v>
      </c>
      <c r="Q188" s="14" t="s">
        <v>166</v>
      </c>
      <c r="R188" s="14" t="s">
        <v>177</v>
      </c>
      <c r="S188" s="14" t="s">
        <v>178</v>
      </c>
      <c r="T188" s="14" t="s">
        <v>179</v>
      </c>
      <c r="U188" s="14" t="s">
        <v>3821</v>
      </c>
      <c r="V188" s="14" t="s">
        <v>3822</v>
      </c>
      <c r="W188" s="21" t="s">
        <v>3823</v>
      </c>
      <c r="X188" s="14" t="s">
        <v>3824</v>
      </c>
      <c r="Y188" s="14" t="s">
        <v>3825</v>
      </c>
      <c r="Z188" s="14" t="s">
        <v>3826</v>
      </c>
      <c r="AA188" s="14" t="s">
        <v>166</v>
      </c>
      <c r="AB188" s="14" t="s">
        <v>166</v>
      </c>
      <c r="AC188" s="14" t="s">
        <v>166</v>
      </c>
      <c r="AD188" s="14" t="s">
        <v>166</v>
      </c>
      <c r="AE188" s="14" t="s">
        <v>166</v>
      </c>
      <c r="AF188" s="14" t="s">
        <v>166</v>
      </c>
      <c r="AG188" s="14" t="s">
        <v>166</v>
      </c>
      <c r="AH188" s="21">
        <v>1</v>
      </c>
      <c r="AI188" s="3">
        <f>HYPERLINK("https://my.pitchbook.com/?d=160802-74T","160802-74T")</f>
      </c>
      <c r="AJ188" s="19" t="s">
        <v>166</v>
      </c>
      <c r="AK188" s="19">
        <v>44174</v>
      </c>
      <c r="AL188" s="18">
        <v>0.75</v>
      </c>
      <c r="AM188" s="14" t="s">
        <v>247</v>
      </c>
      <c r="AN188" s="18" t="s">
        <v>166</v>
      </c>
      <c r="AO188" s="18" t="s">
        <v>166</v>
      </c>
      <c r="AP188" s="14" t="s">
        <v>166</v>
      </c>
      <c r="AQ188" s="21" t="s">
        <v>166</v>
      </c>
      <c r="AR188" s="21" t="s">
        <v>166</v>
      </c>
      <c r="AS188" s="17" t="s">
        <v>166</v>
      </c>
      <c r="AT188" s="18">
        <v>0.75</v>
      </c>
      <c r="AU188" s="21" t="s">
        <v>186</v>
      </c>
      <c r="AV188" s="21" t="s">
        <v>166</v>
      </c>
      <c r="AW188" s="18" t="s">
        <v>166</v>
      </c>
      <c r="AX188" s="21" t="s">
        <v>166</v>
      </c>
      <c r="AY188" s="14" t="s">
        <v>217</v>
      </c>
      <c r="AZ188" s="14" t="s">
        <v>217</v>
      </c>
      <c r="BA188" s="14" t="s">
        <v>166</v>
      </c>
      <c r="BB188" s="21" t="s">
        <v>166</v>
      </c>
      <c r="BC188" s="14" t="s">
        <v>179</v>
      </c>
      <c r="BD188" s="14" t="s">
        <v>3827</v>
      </c>
      <c r="BE188" s="14" t="s">
        <v>189</v>
      </c>
      <c r="BF188" s="18">
        <v>0.75</v>
      </c>
      <c r="BG188" s="14" t="s">
        <v>190</v>
      </c>
      <c r="BH188" s="14" t="s">
        <v>166</v>
      </c>
      <c r="BI188" s="14" t="s">
        <v>166</v>
      </c>
      <c r="BJ188" s="18" t="s">
        <v>166</v>
      </c>
      <c r="BK188" s="18" t="s">
        <v>166</v>
      </c>
      <c r="BL188" s="14" t="s">
        <v>191</v>
      </c>
      <c r="BM188" s="14" t="s">
        <v>178</v>
      </c>
      <c r="BN188" s="14" t="s">
        <v>177</v>
      </c>
      <c r="BO188" s="22" t="s">
        <v>166</v>
      </c>
      <c r="BP188" s="14" t="s">
        <v>3816</v>
      </c>
      <c r="BQ188" s="21">
        <v>2</v>
      </c>
      <c r="BR188" s="14" t="s">
        <v>166</v>
      </c>
      <c r="BS188" s="21" t="s">
        <v>166</v>
      </c>
      <c r="BT188" s="14" t="s">
        <v>166</v>
      </c>
      <c r="BU188" s="14" t="s">
        <v>166</v>
      </c>
      <c r="BV188" s="14" t="s">
        <v>166</v>
      </c>
      <c r="BW188" s="14" t="s">
        <v>166</v>
      </c>
      <c r="BX188" s="14" t="s">
        <v>166</v>
      </c>
      <c r="BY188" s="14" t="s">
        <v>166</v>
      </c>
      <c r="BZ188" s="14" t="s">
        <v>166</v>
      </c>
      <c r="CA188" s="14" t="s">
        <v>166</v>
      </c>
      <c r="CB188" s="14" t="s">
        <v>166</v>
      </c>
      <c r="CC188" s="14" t="s">
        <v>166</v>
      </c>
      <c r="CD188" s="14" t="s">
        <v>166</v>
      </c>
      <c r="CE188" s="18" t="s">
        <v>166</v>
      </c>
      <c r="CF188" s="16" t="s">
        <v>166</v>
      </c>
      <c r="CG188" s="17" t="s">
        <v>166</v>
      </c>
      <c r="CH188" s="16" t="s">
        <v>166</v>
      </c>
      <c r="CI188" s="16" t="s">
        <v>166</v>
      </c>
      <c r="CJ188" s="16" t="s">
        <v>166</v>
      </c>
      <c r="CK188" s="16" t="s">
        <v>166</v>
      </c>
      <c r="CL188" s="16" t="s">
        <v>166</v>
      </c>
      <c r="CM188" s="20" t="s">
        <v>166</v>
      </c>
      <c r="CN188" s="16" t="s">
        <v>166</v>
      </c>
      <c r="CO188" s="16" t="s">
        <v>166</v>
      </c>
      <c r="CP188" s="16" t="s">
        <v>166</v>
      </c>
      <c r="CQ188" s="16" t="s">
        <v>166</v>
      </c>
      <c r="CR188" s="16" t="s">
        <v>166</v>
      </c>
      <c r="CS188" s="16" t="s">
        <v>166</v>
      </c>
      <c r="CT188" s="16" t="s">
        <v>166</v>
      </c>
      <c r="CU188" s="16" t="s">
        <v>166</v>
      </c>
      <c r="CV188" s="16" t="s">
        <v>166</v>
      </c>
      <c r="CW188" s="16" t="s">
        <v>166</v>
      </c>
      <c r="CX188" s="16" t="s">
        <v>166</v>
      </c>
      <c r="CY188" s="16" t="s">
        <v>166</v>
      </c>
      <c r="CZ188" s="16" t="s">
        <v>166</v>
      </c>
      <c r="DA188" s="16" t="s">
        <v>166</v>
      </c>
      <c r="DB188" s="16" t="s">
        <v>166</v>
      </c>
      <c r="DC188" s="16" t="s">
        <v>166</v>
      </c>
      <c r="DD188" s="16" t="s">
        <v>166</v>
      </c>
      <c r="DE188" s="17" t="s">
        <v>166</v>
      </c>
      <c r="DF188" s="22">
        <v>50</v>
      </c>
      <c r="DG188" s="14" t="s">
        <v>673</v>
      </c>
      <c r="DH188" s="14" t="s">
        <v>193</v>
      </c>
      <c r="DI188" s="14" t="s">
        <v>194</v>
      </c>
      <c r="DJ188" s="14" t="s">
        <v>674</v>
      </c>
      <c r="DK188" s="14" t="s">
        <v>257</v>
      </c>
      <c r="DL188" s="21" t="s">
        <v>3828</v>
      </c>
      <c r="DM188" s="14" t="s">
        <v>198</v>
      </c>
      <c r="DN188" s="13" t="s">
        <v>3829</v>
      </c>
      <c r="DO188" s="20">
        <v>2020</v>
      </c>
      <c r="DP188" s="14" t="s">
        <v>166</v>
      </c>
      <c r="DQ188" s="14" t="s">
        <v>166</v>
      </c>
      <c r="DR188" s="18" t="s">
        <v>166</v>
      </c>
      <c r="DS188" s="16" t="s">
        <v>166</v>
      </c>
      <c r="DT188" s="19" t="s">
        <v>166</v>
      </c>
      <c r="DU188" s="14" t="s">
        <v>166</v>
      </c>
      <c r="DV188" s="18" t="s">
        <v>166</v>
      </c>
      <c r="DW188" s="18" t="s">
        <v>166</v>
      </c>
      <c r="DX188" s="16" t="s">
        <v>166</v>
      </c>
      <c r="DY188" s="16" t="s">
        <v>166</v>
      </c>
      <c r="DZ188" s="17" t="s">
        <v>166</v>
      </c>
      <c r="EA188" s="16" t="s">
        <v>166</v>
      </c>
      <c r="EB188" s="16" t="s">
        <v>166</v>
      </c>
      <c r="EC188" s="16" t="s">
        <v>166</v>
      </c>
      <c r="ED188" s="17" t="s">
        <v>166</v>
      </c>
      <c r="EE188" s="17" t="s">
        <v>166</v>
      </c>
      <c r="EF188" s="17" t="s">
        <v>166</v>
      </c>
      <c r="EG188" s="17" t="s">
        <v>166</v>
      </c>
      <c r="EH188" s="16" t="s">
        <v>166</v>
      </c>
      <c r="EI188" s="16" t="s">
        <v>166</v>
      </c>
      <c r="EJ188" s="16" t="s">
        <v>166</v>
      </c>
      <c r="EK188" s="16" t="s">
        <v>166</v>
      </c>
      <c r="EL188" s="16" t="s">
        <v>166</v>
      </c>
      <c r="EM188" s="16" t="s">
        <v>166</v>
      </c>
      <c r="EN188" s="16" t="s">
        <v>166</v>
      </c>
      <c r="EO188" s="16" t="s">
        <v>166</v>
      </c>
      <c r="EP188" s="16" t="s">
        <v>166</v>
      </c>
      <c r="EQ188" s="16" t="s">
        <v>166</v>
      </c>
      <c r="ER188" s="16" t="s">
        <v>166</v>
      </c>
      <c r="ES188" s="16" t="s">
        <v>166</v>
      </c>
      <c r="ET188" s="14" t="s">
        <v>166</v>
      </c>
      <c r="EU188" s="16" t="s">
        <v>166</v>
      </c>
      <c r="EV188" s="16" t="s">
        <v>166</v>
      </c>
      <c r="EW188" s="16" t="s">
        <v>166</v>
      </c>
      <c r="EX188" s="14" t="s">
        <v>190</v>
      </c>
      <c r="EY188" s="14" t="s">
        <v>166</v>
      </c>
      <c r="EZ188" s="16" t="s">
        <v>166</v>
      </c>
      <c r="FA188" s="15">
        <v>4</v>
      </c>
      <c r="FB188" s="15">
        <v>4</v>
      </c>
      <c r="FC188" s="15">
        <v>1</v>
      </c>
      <c r="FD188" s="15">
        <v>2</v>
      </c>
      <c r="FE188" s="15" t="s">
        <v>166</v>
      </c>
      <c r="FF188" s="15">
        <v>1</v>
      </c>
      <c r="FG188" s="14" t="s">
        <v>166</v>
      </c>
      <c r="FH188" s="3">
        <f>HYPERLINK("https://my.pitchbook.com?c=160802-74T","View Company Online")</f>
      </c>
    </row>
    <row r="189">
      <c r="A189" s="25" t="s">
        <v>3830</v>
      </c>
      <c r="B189" s="25" t="s">
        <v>3831</v>
      </c>
      <c r="C189" s="25" t="s">
        <v>3832</v>
      </c>
      <c r="D189" s="25" t="s">
        <v>166</v>
      </c>
      <c r="E189" s="34" t="s">
        <v>3833</v>
      </c>
      <c r="F189" s="32">
        <v>5</v>
      </c>
      <c r="G189" s="25" t="s">
        <v>3834</v>
      </c>
      <c r="H189" s="25" t="s">
        <v>166</v>
      </c>
      <c r="I189" s="25" t="s">
        <v>3835</v>
      </c>
      <c r="J189" s="25" t="s">
        <v>3836</v>
      </c>
      <c r="K189" s="25" t="s">
        <v>207</v>
      </c>
      <c r="L189" s="25" t="s">
        <v>208</v>
      </c>
      <c r="M189" s="25" t="s">
        <v>209</v>
      </c>
      <c r="N189" s="25" t="s">
        <v>684</v>
      </c>
      <c r="O189" s="25" t="s">
        <v>3837</v>
      </c>
      <c r="P189" s="25" t="s">
        <v>3838</v>
      </c>
      <c r="Q189" s="25" t="s">
        <v>3839</v>
      </c>
      <c r="R189" s="25" t="s">
        <v>177</v>
      </c>
      <c r="S189" s="25" t="s">
        <v>178</v>
      </c>
      <c r="T189" s="25" t="s">
        <v>179</v>
      </c>
      <c r="U189" s="25" t="s">
        <v>3840</v>
      </c>
      <c r="V189" s="25" t="s">
        <v>3841</v>
      </c>
      <c r="W189" s="32" t="s">
        <v>3842</v>
      </c>
      <c r="X189" s="25" t="s">
        <v>3843</v>
      </c>
      <c r="Y189" s="25" t="s">
        <v>3844</v>
      </c>
      <c r="Z189" s="25" t="s">
        <v>166</v>
      </c>
      <c r="AA189" s="25" t="s">
        <v>166</v>
      </c>
      <c r="AB189" s="25" t="s">
        <v>166</v>
      </c>
      <c r="AC189" s="25" t="s">
        <v>166</v>
      </c>
      <c r="AD189" s="25" t="s">
        <v>166</v>
      </c>
      <c r="AE189" s="25" t="s">
        <v>166</v>
      </c>
      <c r="AF189" s="25" t="s">
        <v>166</v>
      </c>
      <c r="AG189" s="25" t="s">
        <v>166</v>
      </c>
      <c r="AH189" s="32">
        <v>2</v>
      </c>
      <c r="AI189" s="4">
        <f>HYPERLINK("https://my.pitchbook.com/?d=212002-30T","212002-30T")</f>
      </c>
      <c r="AJ189" s="30" t="s">
        <v>166</v>
      </c>
      <c r="AK189" s="30">
        <v>44929</v>
      </c>
      <c r="AL189" s="29">
        <v>3.3</v>
      </c>
      <c r="AM189" s="25" t="s">
        <v>185</v>
      </c>
      <c r="AN189" s="29" t="s">
        <v>166</v>
      </c>
      <c r="AO189" s="29" t="s">
        <v>166</v>
      </c>
      <c r="AP189" s="25" t="s">
        <v>166</v>
      </c>
      <c r="AQ189" s="32" t="s">
        <v>166</v>
      </c>
      <c r="AR189" s="32" t="s">
        <v>166</v>
      </c>
      <c r="AS189" s="28" t="s">
        <v>166</v>
      </c>
      <c r="AT189" s="29">
        <v>3.45</v>
      </c>
      <c r="AU189" s="32" t="s">
        <v>186</v>
      </c>
      <c r="AV189" s="32" t="s">
        <v>166</v>
      </c>
      <c r="AW189" s="29" t="s">
        <v>166</v>
      </c>
      <c r="AX189" s="32" t="s">
        <v>166</v>
      </c>
      <c r="AY189" s="25" t="s">
        <v>217</v>
      </c>
      <c r="AZ189" s="25" t="s">
        <v>217</v>
      </c>
      <c r="BA189" s="25" t="s">
        <v>166</v>
      </c>
      <c r="BB189" s="32" t="s">
        <v>166</v>
      </c>
      <c r="BC189" s="25" t="s">
        <v>179</v>
      </c>
      <c r="BD189" s="25" t="s">
        <v>3845</v>
      </c>
      <c r="BE189" s="25" t="s">
        <v>189</v>
      </c>
      <c r="BF189" s="29">
        <v>3.3</v>
      </c>
      <c r="BG189" s="25" t="s">
        <v>190</v>
      </c>
      <c r="BH189" s="25" t="s">
        <v>166</v>
      </c>
      <c r="BI189" s="25" t="s">
        <v>166</v>
      </c>
      <c r="BJ189" s="29" t="s">
        <v>166</v>
      </c>
      <c r="BK189" s="29" t="s">
        <v>166</v>
      </c>
      <c r="BL189" s="25" t="s">
        <v>191</v>
      </c>
      <c r="BM189" s="25" t="s">
        <v>178</v>
      </c>
      <c r="BN189" s="25" t="s">
        <v>177</v>
      </c>
      <c r="BO189" s="33" t="s">
        <v>166</v>
      </c>
      <c r="BP189" s="25" t="s">
        <v>3846</v>
      </c>
      <c r="BQ189" s="32">
        <v>4</v>
      </c>
      <c r="BR189" s="25" t="s">
        <v>914</v>
      </c>
      <c r="BS189" s="32">
        <v>1</v>
      </c>
      <c r="BT189" s="25" t="s">
        <v>3847</v>
      </c>
      <c r="BU189" s="25" t="s">
        <v>166</v>
      </c>
      <c r="BV189" s="25" t="s">
        <v>166</v>
      </c>
      <c r="BW189" s="25" t="s">
        <v>166</v>
      </c>
      <c r="BX189" s="25" t="s">
        <v>166</v>
      </c>
      <c r="BY189" s="25" t="s">
        <v>166</v>
      </c>
      <c r="BZ189" s="25" t="s">
        <v>166</v>
      </c>
      <c r="CA189" s="25" t="s">
        <v>166</v>
      </c>
      <c r="CB189" s="25" t="s">
        <v>166</v>
      </c>
      <c r="CC189" s="25" t="s">
        <v>166</v>
      </c>
      <c r="CD189" s="25" t="s">
        <v>166</v>
      </c>
      <c r="CE189" s="29" t="s">
        <v>166</v>
      </c>
      <c r="CF189" s="27" t="s">
        <v>166</v>
      </c>
      <c r="CG189" s="28" t="s">
        <v>166</v>
      </c>
      <c r="CH189" s="27" t="s">
        <v>166</v>
      </c>
      <c r="CI189" s="27" t="s">
        <v>166</v>
      </c>
      <c r="CJ189" s="27" t="s">
        <v>166</v>
      </c>
      <c r="CK189" s="27" t="s">
        <v>166</v>
      </c>
      <c r="CL189" s="27" t="s">
        <v>166</v>
      </c>
      <c r="CM189" s="31" t="s">
        <v>166</v>
      </c>
      <c r="CN189" s="27" t="s">
        <v>166</v>
      </c>
      <c r="CO189" s="27" t="s">
        <v>166</v>
      </c>
      <c r="CP189" s="27" t="s">
        <v>166</v>
      </c>
      <c r="CQ189" s="27" t="s">
        <v>166</v>
      </c>
      <c r="CR189" s="27" t="s">
        <v>166</v>
      </c>
      <c r="CS189" s="27" t="s">
        <v>166</v>
      </c>
      <c r="CT189" s="27" t="s">
        <v>166</v>
      </c>
      <c r="CU189" s="27" t="s">
        <v>166</v>
      </c>
      <c r="CV189" s="27" t="s">
        <v>166</v>
      </c>
      <c r="CW189" s="27" t="s">
        <v>166</v>
      </c>
      <c r="CX189" s="27" t="s">
        <v>166</v>
      </c>
      <c r="CY189" s="27" t="s">
        <v>166</v>
      </c>
      <c r="CZ189" s="27" t="s">
        <v>166</v>
      </c>
      <c r="DA189" s="27" t="s">
        <v>166</v>
      </c>
      <c r="DB189" s="27" t="s">
        <v>166</v>
      </c>
      <c r="DC189" s="27" t="s">
        <v>166</v>
      </c>
      <c r="DD189" s="27" t="s">
        <v>166</v>
      </c>
      <c r="DE189" s="28" t="s">
        <v>166</v>
      </c>
      <c r="DF189" s="33">
        <v>17</v>
      </c>
      <c r="DG189" s="25" t="s">
        <v>1077</v>
      </c>
      <c r="DH189" s="25" t="s">
        <v>193</v>
      </c>
      <c r="DI189" s="25" t="s">
        <v>194</v>
      </c>
      <c r="DJ189" s="25" t="s">
        <v>1078</v>
      </c>
      <c r="DK189" s="25" t="s">
        <v>257</v>
      </c>
      <c r="DL189" s="32" t="s">
        <v>3848</v>
      </c>
      <c r="DM189" s="25" t="s">
        <v>198</v>
      </c>
      <c r="DN189" s="24" t="s">
        <v>3849</v>
      </c>
      <c r="DO189" s="31">
        <v>2019</v>
      </c>
      <c r="DP189" s="25" t="s">
        <v>166</v>
      </c>
      <c r="DQ189" s="25" t="s">
        <v>166</v>
      </c>
      <c r="DR189" s="29" t="s">
        <v>166</v>
      </c>
      <c r="DS189" s="27" t="s">
        <v>166</v>
      </c>
      <c r="DT189" s="30" t="s">
        <v>166</v>
      </c>
      <c r="DU189" s="25" t="s">
        <v>166</v>
      </c>
      <c r="DV189" s="29" t="s">
        <v>166</v>
      </c>
      <c r="DW189" s="29" t="s">
        <v>166</v>
      </c>
      <c r="DX189" s="27" t="s">
        <v>166</v>
      </c>
      <c r="DY189" s="27" t="s">
        <v>166</v>
      </c>
      <c r="DZ189" s="28" t="s">
        <v>166</v>
      </c>
      <c r="EA189" s="27" t="s">
        <v>166</v>
      </c>
      <c r="EB189" s="27" t="s">
        <v>166</v>
      </c>
      <c r="EC189" s="27" t="s">
        <v>166</v>
      </c>
      <c r="ED189" s="28" t="s">
        <v>166</v>
      </c>
      <c r="EE189" s="28" t="s">
        <v>166</v>
      </c>
      <c r="EF189" s="28" t="s">
        <v>166</v>
      </c>
      <c r="EG189" s="28" t="s">
        <v>166</v>
      </c>
      <c r="EH189" s="27" t="s">
        <v>166</v>
      </c>
      <c r="EI189" s="27" t="s">
        <v>166</v>
      </c>
      <c r="EJ189" s="27" t="s">
        <v>166</v>
      </c>
      <c r="EK189" s="27" t="s">
        <v>166</v>
      </c>
      <c r="EL189" s="27" t="s">
        <v>166</v>
      </c>
      <c r="EM189" s="27" t="s">
        <v>166</v>
      </c>
      <c r="EN189" s="27" t="s">
        <v>166</v>
      </c>
      <c r="EO189" s="27" t="s">
        <v>166</v>
      </c>
      <c r="EP189" s="27" t="s">
        <v>166</v>
      </c>
      <c r="EQ189" s="27" t="s">
        <v>166</v>
      </c>
      <c r="ER189" s="27" t="s">
        <v>166</v>
      </c>
      <c r="ES189" s="27" t="s">
        <v>166</v>
      </c>
      <c r="ET189" s="25" t="s">
        <v>166</v>
      </c>
      <c r="EU189" s="27" t="s">
        <v>166</v>
      </c>
      <c r="EV189" s="27" t="s">
        <v>166</v>
      </c>
      <c r="EW189" s="27" t="s">
        <v>166</v>
      </c>
      <c r="EX189" s="25" t="s">
        <v>190</v>
      </c>
      <c r="EY189" s="25" t="s">
        <v>166</v>
      </c>
      <c r="EZ189" s="27" t="s">
        <v>166</v>
      </c>
      <c r="FA189" s="26" t="s">
        <v>166</v>
      </c>
      <c r="FB189" s="26" t="s">
        <v>166</v>
      </c>
      <c r="FC189" s="26" t="s">
        <v>166</v>
      </c>
      <c r="FD189" s="26" t="s">
        <v>166</v>
      </c>
      <c r="FE189" s="26" t="s">
        <v>166</v>
      </c>
      <c r="FF189" s="26" t="s">
        <v>166</v>
      </c>
      <c r="FG189" s="25" t="s">
        <v>166</v>
      </c>
      <c r="FH189" s="4">
        <f>HYPERLINK("https://my.pitchbook.com?c=212002-30T","View Company Online")</f>
      </c>
    </row>
    <row r="190">
      <c r="A190" s="14" t="s">
        <v>3850</v>
      </c>
      <c r="B190" s="14" t="s">
        <v>3851</v>
      </c>
      <c r="C190" s="14" t="s">
        <v>3852</v>
      </c>
      <c r="D190" s="14" t="s">
        <v>166</v>
      </c>
      <c r="E190" s="23" t="s">
        <v>3853</v>
      </c>
      <c r="F190" s="21">
        <v>3</v>
      </c>
      <c r="G190" s="14" t="s">
        <v>3854</v>
      </c>
      <c r="H190" s="14" t="s">
        <v>166</v>
      </c>
      <c r="I190" s="14" t="s">
        <v>3855</v>
      </c>
      <c r="J190" s="14" t="s">
        <v>3856</v>
      </c>
      <c r="K190" s="14" t="s">
        <v>2151</v>
      </c>
      <c r="L190" s="14" t="s">
        <v>3857</v>
      </c>
      <c r="M190" s="14" t="s">
        <v>3858</v>
      </c>
      <c r="N190" s="14" t="s">
        <v>3859</v>
      </c>
      <c r="O190" s="14" t="s">
        <v>3860</v>
      </c>
      <c r="P190" s="14" t="s">
        <v>3861</v>
      </c>
      <c r="Q190" s="14" t="s">
        <v>3862</v>
      </c>
      <c r="R190" s="14" t="s">
        <v>177</v>
      </c>
      <c r="S190" s="14" t="s">
        <v>178</v>
      </c>
      <c r="T190" s="14" t="s">
        <v>1401</v>
      </c>
      <c r="U190" s="14" t="s">
        <v>3863</v>
      </c>
      <c r="V190" s="14" t="s">
        <v>3864</v>
      </c>
      <c r="W190" s="21" t="s">
        <v>3865</v>
      </c>
      <c r="X190" s="14" t="s">
        <v>166</v>
      </c>
      <c r="Y190" s="14" t="s">
        <v>3866</v>
      </c>
      <c r="Z190" s="14" t="s">
        <v>3867</v>
      </c>
      <c r="AA190" s="14" t="s">
        <v>242</v>
      </c>
      <c r="AB190" s="14" t="s">
        <v>243</v>
      </c>
      <c r="AC190" s="14" t="s">
        <v>244</v>
      </c>
      <c r="AD190" s="14" t="s">
        <v>243</v>
      </c>
      <c r="AE190" s="14" t="s">
        <v>243</v>
      </c>
      <c r="AF190" s="14" t="s">
        <v>166</v>
      </c>
      <c r="AG190" s="14" t="s">
        <v>246</v>
      </c>
      <c r="AH190" s="21">
        <v>5</v>
      </c>
      <c r="AI190" s="3">
        <f>HYPERLINK("https://my.pitchbook.com/?d=171544-60T","171544-60T")</f>
      </c>
      <c r="AJ190" s="19" t="s">
        <v>166</v>
      </c>
      <c r="AK190" s="19">
        <v>44302</v>
      </c>
      <c r="AL190" s="18">
        <v>0.8</v>
      </c>
      <c r="AM190" s="14" t="s">
        <v>185</v>
      </c>
      <c r="AN190" s="18">
        <v>3.5</v>
      </c>
      <c r="AO190" s="18">
        <v>4.3</v>
      </c>
      <c r="AP190" s="14" t="s">
        <v>185</v>
      </c>
      <c r="AQ190" s="21" t="s">
        <v>166</v>
      </c>
      <c r="AR190" s="21" t="s">
        <v>166</v>
      </c>
      <c r="AS190" s="17">
        <v>28.81</v>
      </c>
      <c r="AT190" s="18">
        <v>0.8</v>
      </c>
      <c r="AU190" s="21" t="s">
        <v>186</v>
      </c>
      <c r="AV190" s="21" t="s">
        <v>166</v>
      </c>
      <c r="AW190" s="18">
        <v>0.45</v>
      </c>
      <c r="AX190" s="21" t="s">
        <v>166</v>
      </c>
      <c r="AY190" s="14" t="s">
        <v>217</v>
      </c>
      <c r="AZ190" s="14" t="s">
        <v>217</v>
      </c>
      <c r="BA190" s="14" t="s">
        <v>166</v>
      </c>
      <c r="BB190" s="21" t="s">
        <v>166</v>
      </c>
      <c r="BC190" s="14" t="s">
        <v>179</v>
      </c>
      <c r="BD190" s="14" t="s">
        <v>3868</v>
      </c>
      <c r="BE190" s="14" t="s">
        <v>189</v>
      </c>
      <c r="BF190" s="18">
        <v>0.8</v>
      </c>
      <c r="BG190" s="14" t="s">
        <v>190</v>
      </c>
      <c r="BH190" s="14" t="s">
        <v>166</v>
      </c>
      <c r="BI190" s="14" t="s">
        <v>166</v>
      </c>
      <c r="BJ190" s="18" t="s">
        <v>166</v>
      </c>
      <c r="BK190" s="18" t="s">
        <v>166</v>
      </c>
      <c r="BL190" s="14" t="s">
        <v>191</v>
      </c>
      <c r="BM190" s="14" t="s">
        <v>358</v>
      </c>
      <c r="BN190" s="14" t="s">
        <v>177</v>
      </c>
      <c r="BO190" s="22">
        <v>4</v>
      </c>
      <c r="BP190" s="14" t="s">
        <v>3869</v>
      </c>
      <c r="BQ190" s="21">
        <v>3</v>
      </c>
      <c r="BR190" s="14" t="s">
        <v>166</v>
      </c>
      <c r="BS190" s="21" t="s">
        <v>166</v>
      </c>
      <c r="BT190" s="14" t="s">
        <v>3870</v>
      </c>
      <c r="BU190" s="14" t="s">
        <v>166</v>
      </c>
      <c r="BV190" s="14" t="s">
        <v>166</v>
      </c>
      <c r="BW190" s="14" t="s">
        <v>166</v>
      </c>
      <c r="BX190" s="14" t="s">
        <v>166</v>
      </c>
      <c r="BY190" s="14" t="s">
        <v>166</v>
      </c>
      <c r="BZ190" s="14" t="s">
        <v>3871</v>
      </c>
      <c r="CA190" s="14" t="s">
        <v>3871</v>
      </c>
      <c r="CB190" s="14" t="s">
        <v>166</v>
      </c>
      <c r="CC190" s="14" t="s">
        <v>166</v>
      </c>
      <c r="CD190" s="14" t="s">
        <v>166</v>
      </c>
      <c r="CE190" s="18" t="s">
        <v>166</v>
      </c>
      <c r="CF190" s="16" t="s">
        <v>166</v>
      </c>
      <c r="CG190" s="17" t="s">
        <v>166</v>
      </c>
      <c r="CH190" s="16" t="s">
        <v>166</v>
      </c>
      <c r="CI190" s="16" t="s">
        <v>166</v>
      </c>
      <c r="CJ190" s="16" t="s">
        <v>166</v>
      </c>
      <c r="CK190" s="16" t="s">
        <v>166</v>
      </c>
      <c r="CL190" s="16" t="s">
        <v>166</v>
      </c>
      <c r="CM190" s="20" t="s">
        <v>166</v>
      </c>
      <c r="CN190" s="16" t="s">
        <v>166</v>
      </c>
      <c r="CO190" s="16" t="s">
        <v>166</v>
      </c>
      <c r="CP190" s="16" t="s">
        <v>166</v>
      </c>
      <c r="CQ190" s="16" t="s">
        <v>166</v>
      </c>
      <c r="CR190" s="16" t="s">
        <v>166</v>
      </c>
      <c r="CS190" s="16" t="s">
        <v>166</v>
      </c>
      <c r="CT190" s="16" t="s">
        <v>166</v>
      </c>
      <c r="CU190" s="16" t="s">
        <v>166</v>
      </c>
      <c r="CV190" s="16" t="s">
        <v>166</v>
      </c>
      <c r="CW190" s="16" t="s">
        <v>166</v>
      </c>
      <c r="CX190" s="16" t="s">
        <v>166</v>
      </c>
      <c r="CY190" s="16" t="s">
        <v>166</v>
      </c>
      <c r="CZ190" s="16" t="s">
        <v>166</v>
      </c>
      <c r="DA190" s="16" t="s">
        <v>166</v>
      </c>
      <c r="DB190" s="16" t="s">
        <v>166</v>
      </c>
      <c r="DC190" s="16" t="s">
        <v>166</v>
      </c>
      <c r="DD190" s="16" t="s">
        <v>166</v>
      </c>
      <c r="DE190" s="17" t="s">
        <v>166</v>
      </c>
      <c r="DF190" s="22">
        <v>18</v>
      </c>
      <c r="DG190" s="14" t="s">
        <v>3872</v>
      </c>
      <c r="DH190" s="14" t="s">
        <v>193</v>
      </c>
      <c r="DI190" s="14" t="s">
        <v>194</v>
      </c>
      <c r="DJ190" s="14" t="s">
        <v>3873</v>
      </c>
      <c r="DK190" s="14" t="s">
        <v>257</v>
      </c>
      <c r="DL190" s="21" t="s">
        <v>3874</v>
      </c>
      <c r="DM190" s="14" t="s">
        <v>198</v>
      </c>
      <c r="DN190" s="13" t="s">
        <v>3875</v>
      </c>
      <c r="DO190" s="20">
        <v>2019</v>
      </c>
      <c r="DP190" s="14" t="s">
        <v>166</v>
      </c>
      <c r="DQ190" s="14" t="s">
        <v>166</v>
      </c>
      <c r="DR190" s="18" t="s">
        <v>166</v>
      </c>
      <c r="DS190" s="16" t="s">
        <v>166</v>
      </c>
      <c r="DT190" s="19" t="s">
        <v>166</v>
      </c>
      <c r="DU190" s="14" t="s">
        <v>166</v>
      </c>
      <c r="DV190" s="18" t="s">
        <v>166</v>
      </c>
      <c r="DW190" s="18" t="s">
        <v>166</v>
      </c>
      <c r="DX190" s="16" t="s">
        <v>166</v>
      </c>
      <c r="DY190" s="16" t="s">
        <v>166</v>
      </c>
      <c r="DZ190" s="17" t="s">
        <v>166</v>
      </c>
      <c r="EA190" s="16" t="s">
        <v>166</v>
      </c>
      <c r="EB190" s="16" t="s">
        <v>166</v>
      </c>
      <c r="EC190" s="16" t="s">
        <v>166</v>
      </c>
      <c r="ED190" s="17" t="s">
        <v>166</v>
      </c>
      <c r="EE190" s="17" t="s">
        <v>166</v>
      </c>
      <c r="EF190" s="17" t="s">
        <v>166</v>
      </c>
      <c r="EG190" s="17" t="s">
        <v>166</v>
      </c>
      <c r="EH190" s="16" t="s">
        <v>166</v>
      </c>
      <c r="EI190" s="16" t="s">
        <v>166</v>
      </c>
      <c r="EJ190" s="16" t="s">
        <v>166</v>
      </c>
      <c r="EK190" s="16" t="s">
        <v>166</v>
      </c>
      <c r="EL190" s="16" t="s">
        <v>166</v>
      </c>
      <c r="EM190" s="16" t="s">
        <v>166</v>
      </c>
      <c r="EN190" s="16" t="s">
        <v>166</v>
      </c>
      <c r="EO190" s="16" t="s">
        <v>166</v>
      </c>
      <c r="EP190" s="16" t="s">
        <v>166</v>
      </c>
      <c r="EQ190" s="16" t="s">
        <v>166</v>
      </c>
      <c r="ER190" s="16" t="s">
        <v>166</v>
      </c>
      <c r="ES190" s="16" t="s">
        <v>166</v>
      </c>
      <c r="ET190" s="14" t="s">
        <v>166</v>
      </c>
      <c r="EU190" s="16" t="s">
        <v>166</v>
      </c>
      <c r="EV190" s="16" t="s">
        <v>166</v>
      </c>
      <c r="EW190" s="16" t="s">
        <v>166</v>
      </c>
      <c r="EX190" s="14" t="s">
        <v>190</v>
      </c>
      <c r="EY190" s="14" t="s">
        <v>166</v>
      </c>
      <c r="EZ190" s="16" t="s">
        <v>166</v>
      </c>
      <c r="FA190" s="15" t="s">
        <v>166</v>
      </c>
      <c r="FB190" s="15" t="s">
        <v>166</v>
      </c>
      <c r="FC190" s="15" t="s">
        <v>166</v>
      </c>
      <c r="FD190" s="15" t="s">
        <v>166</v>
      </c>
      <c r="FE190" s="15" t="s">
        <v>166</v>
      </c>
      <c r="FF190" s="15" t="s">
        <v>166</v>
      </c>
      <c r="FG190" s="14" t="s">
        <v>166</v>
      </c>
      <c r="FH190" s="3">
        <f>HYPERLINK("https://my.pitchbook.com?c=171544-60T","View Company Online")</f>
      </c>
    </row>
    <row r="191">
      <c r="A191" s="25" t="s">
        <v>3876</v>
      </c>
      <c r="B191" s="25" t="s">
        <v>3877</v>
      </c>
      <c r="C191" s="25" t="s">
        <v>3878</v>
      </c>
      <c r="D191" s="25" t="s">
        <v>166</v>
      </c>
      <c r="E191" s="34" t="s">
        <v>3879</v>
      </c>
      <c r="F191" s="32">
        <v>1</v>
      </c>
      <c r="G191" s="25" t="s">
        <v>3880</v>
      </c>
      <c r="H191" s="25" t="s">
        <v>166</v>
      </c>
      <c r="I191" s="25" t="s">
        <v>3881</v>
      </c>
      <c r="J191" s="25" t="s">
        <v>3882</v>
      </c>
      <c r="K191" s="25" t="s">
        <v>207</v>
      </c>
      <c r="L191" s="25" t="s">
        <v>208</v>
      </c>
      <c r="M191" s="25" t="s">
        <v>296</v>
      </c>
      <c r="N191" s="25" t="s">
        <v>3883</v>
      </c>
      <c r="O191" s="25" t="s">
        <v>3884</v>
      </c>
      <c r="P191" s="25" t="s">
        <v>3885</v>
      </c>
      <c r="Q191" s="25" t="s">
        <v>166</v>
      </c>
      <c r="R191" s="25" t="s">
        <v>177</v>
      </c>
      <c r="S191" s="25" t="s">
        <v>178</v>
      </c>
      <c r="T191" s="25" t="s">
        <v>1401</v>
      </c>
      <c r="U191" s="25" t="s">
        <v>3886</v>
      </c>
      <c r="V191" s="25" t="s">
        <v>3887</v>
      </c>
      <c r="W191" s="32" t="s">
        <v>3888</v>
      </c>
      <c r="X191" s="25" t="s">
        <v>3889</v>
      </c>
      <c r="Y191" s="25" t="s">
        <v>3890</v>
      </c>
      <c r="Z191" s="25" t="s">
        <v>3891</v>
      </c>
      <c r="AA191" s="25" t="s">
        <v>166</v>
      </c>
      <c r="AB191" s="25" t="s">
        <v>166</v>
      </c>
      <c r="AC191" s="25" t="s">
        <v>166</v>
      </c>
      <c r="AD191" s="25" t="s">
        <v>166</v>
      </c>
      <c r="AE191" s="25" t="s">
        <v>166</v>
      </c>
      <c r="AF191" s="25" t="s">
        <v>166</v>
      </c>
      <c r="AG191" s="25" t="s">
        <v>166</v>
      </c>
      <c r="AH191" s="32">
        <v>2</v>
      </c>
      <c r="AI191" s="4">
        <f>HYPERLINK("https://my.pitchbook.com/?d=214505-56T","214505-56T")</f>
      </c>
      <c r="AJ191" s="30">
        <v>44733</v>
      </c>
      <c r="AK191" s="30">
        <v>45034</v>
      </c>
      <c r="AL191" s="29">
        <v>10</v>
      </c>
      <c r="AM191" s="25" t="s">
        <v>185</v>
      </c>
      <c r="AN191" s="29" t="s">
        <v>166</v>
      </c>
      <c r="AO191" s="29" t="s">
        <v>166</v>
      </c>
      <c r="AP191" s="25" t="s">
        <v>166</v>
      </c>
      <c r="AQ191" s="32" t="s">
        <v>166</v>
      </c>
      <c r="AR191" s="32" t="s">
        <v>166</v>
      </c>
      <c r="AS191" s="28" t="s">
        <v>166</v>
      </c>
      <c r="AT191" s="29">
        <v>10</v>
      </c>
      <c r="AU191" s="32" t="s">
        <v>186</v>
      </c>
      <c r="AV191" s="32" t="s">
        <v>166</v>
      </c>
      <c r="AW191" s="29" t="s">
        <v>166</v>
      </c>
      <c r="AX191" s="32" t="s">
        <v>166</v>
      </c>
      <c r="AY191" s="25" t="s">
        <v>217</v>
      </c>
      <c r="AZ191" s="25" t="s">
        <v>217</v>
      </c>
      <c r="BA191" s="25" t="s">
        <v>166</v>
      </c>
      <c r="BB191" s="32" t="s">
        <v>166</v>
      </c>
      <c r="BC191" s="25" t="s">
        <v>179</v>
      </c>
      <c r="BD191" s="25" t="s">
        <v>3892</v>
      </c>
      <c r="BE191" s="25" t="s">
        <v>189</v>
      </c>
      <c r="BF191" s="29">
        <v>10</v>
      </c>
      <c r="BG191" s="25" t="s">
        <v>190</v>
      </c>
      <c r="BH191" s="25" t="s">
        <v>166</v>
      </c>
      <c r="BI191" s="25" t="s">
        <v>166</v>
      </c>
      <c r="BJ191" s="29" t="s">
        <v>166</v>
      </c>
      <c r="BK191" s="29" t="s">
        <v>166</v>
      </c>
      <c r="BL191" s="25" t="s">
        <v>191</v>
      </c>
      <c r="BM191" s="25" t="s">
        <v>178</v>
      </c>
      <c r="BN191" s="25" t="s">
        <v>177</v>
      </c>
      <c r="BO191" s="33" t="s">
        <v>166</v>
      </c>
      <c r="BP191" s="25" t="s">
        <v>3893</v>
      </c>
      <c r="BQ191" s="32">
        <v>1</v>
      </c>
      <c r="BR191" s="25" t="s">
        <v>166</v>
      </c>
      <c r="BS191" s="32" t="s">
        <v>166</v>
      </c>
      <c r="BT191" s="25" t="s">
        <v>3879</v>
      </c>
      <c r="BU191" s="25" t="s">
        <v>166</v>
      </c>
      <c r="BV191" s="25" t="s">
        <v>166</v>
      </c>
      <c r="BW191" s="25" t="s">
        <v>166</v>
      </c>
      <c r="BX191" s="25" t="s">
        <v>166</v>
      </c>
      <c r="BY191" s="25" t="s">
        <v>166</v>
      </c>
      <c r="BZ191" s="25" t="s">
        <v>166</v>
      </c>
      <c r="CA191" s="25" t="s">
        <v>166</v>
      </c>
      <c r="CB191" s="25" t="s">
        <v>166</v>
      </c>
      <c r="CC191" s="25" t="s">
        <v>166</v>
      </c>
      <c r="CD191" s="25" t="s">
        <v>166</v>
      </c>
      <c r="CE191" s="29" t="s">
        <v>166</v>
      </c>
      <c r="CF191" s="27" t="s">
        <v>166</v>
      </c>
      <c r="CG191" s="28" t="s">
        <v>166</v>
      </c>
      <c r="CH191" s="27" t="s">
        <v>166</v>
      </c>
      <c r="CI191" s="27" t="s">
        <v>166</v>
      </c>
      <c r="CJ191" s="27" t="s">
        <v>166</v>
      </c>
      <c r="CK191" s="27" t="s">
        <v>166</v>
      </c>
      <c r="CL191" s="27" t="s">
        <v>166</v>
      </c>
      <c r="CM191" s="31" t="s">
        <v>166</v>
      </c>
      <c r="CN191" s="27" t="s">
        <v>166</v>
      </c>
      <c r="CO191" s="27" t="s">
        <v>166</v>
      </c>
      <c r="CP191" s="27" t="s">
        <v>166</v>
      </c>
      <c r="CQ191" s="27" t="s">
        <v>166</v>
      </c>
      <c r="CR191" s="27" t="s">
        <v>166</v>
      </c>
      <c r="CS191" s="27" t="s">
        <v>166</v>
      </c>
      <c r="CT191" s="27" t="s">
        <v>166</v>
      </c>
      <c r="CU191" s="27" t="s">
        <v>166</v>
      </c>
      <c r="CV191" s="27" t="s">
        <v>166</v>
      </c>
      <c r="CW191" s="27" t="s">
        <v>166</v>
      </c>
      <c r="CX191" s="27" t="s">
        <v>166</v>
      </c>
      <c r="CY191" s="27" t="s">
        <v>166</v>
      </c>
      <c r="CZ191" s="27" t="s">
        <v>166</v>
      </c>
      <c r="DA191" s="27" t="s">
        <v>166</v>
      </c>
      <c r="DB191" s="27" t="s">
        <v>166</v>
      </c>
      <c r="DC191" s="27" t="s">
        <v>166</v>
      </c>
      <c r="DD191" s="27" t="s">
        <v>166</v>
      </c>
      <c r="DE191" s="28" t="s">
        <v>166</v>
      </c>
      <c r="DF191" s="33">
        <v>42</v>
      </c>
      <c r="DG191" s="25" t="s">
        <v>3894</v>
      </c>
      <c r="DH191" s="25" t="s">
        <v>193</v>
      </c>
      <c r="DI191" s="25" t="s">
        <v>194</v>
      </c>
      <c r="DJ191" s="25" t="s">
        <v>3895</v>
      </c>
      <c r="DK191" s="25" t="s">
        <v>257</v>
      </c>
      <c r="DL191" s="32" t="s">
        <v>3896</v>
      </c>
      <c r="DM191" s="25" t="s">
        <v>198</v>
      </c>
      <c r="DN191" s="24" t="s">
        <v>3897</v>
      </c>
      <c r="DO191" s="31">
        <v>2016</v>
      </c>
      <c r="DP191" s="25" t="s">
        <v>166</v>
      </c>
      <c r="DQ191" s="25" t="s">
        <v>166</v>
      </c>
      <c r="DR191" s="29" t="s">
        <v>166</v>
      </c>
      <c r="DS191" s="27" t="s">
        <v>166</v>
      </c>
      <c r="DT191" s="30" t="s">
        <v>166</v>
      </c>
      <c r="DU191" s="25" t="s">
        <v>166</v>
      </c>
      <c r="DV191" s="29" t="s">
        <v>166</v>
      </c>
      <c r="DW191" s="29" t="s">
        <v>166</v>
      </c>
      <c r="DX191" s="27" t="s">
        <v>166</v>
      </c>
      <c r="DY191" s="27" t="s">
        <v>166</v>
      </c>
      <c r="DZ191" s="28" t="s">
        <v>166</v>
      </c>
      <c r="EA191" s="27" t="s">
        <v>166</v>
      </c>
      <c r="EB191" s="27" t="s">
        <v>166</v>
      </c>
      <c r="EC191" s="27" t="s">
        <v>166</v>
      </c>
      <c r="ED191" s="28" t="s">
        <v>166</v>
      </c>
      <c r="EE191" s="28" t="s">
        <v>166</v>
      </c>
      <c r="EF191" s="28" t="s">
        <v>166</v>
      </c>
      <c r="EG191" s="28" t="s">
        <v>166</v>
      </c>
      <c r="EH191" s="27" t="s">
        <v>166</v>
      </c>
      <c r="EI191" s="27" t="s">
        <v>166</v>
      </c>
      <c r="EJ191" s="27" t="s">
        <v>166</v>
      </c>
      <c r="EK191" s="27" t="s">
        <v>166</v>
      </c>
      <c r="EL191" s="27" t="s">
        <v>166</v>
      </c>
      <c r="EM191" s="27" t="s">
        <v>166</v>
      </c>
      <c r="EN191" s="27" t="s">
        <v>166</v>
      </c>
      <c r="EO191" s="27" t="s">
        <v>166</v>
      </c>
      <c r="EP191" s="27" t="s">
        <v>166</v>
      </c>
      <c r="EQ191" s="27" t="s">
        <v>166</v>
      </c>
      <c r="ER191" s="27" t="s">
        <v>166</v>
      </c>
      <c r="ES191" s="27" t="s">
        <v>166</v>
      </c>
      <c r="ET191" s="25" t="s">
        <v>166</v>
      </c>
      <c r="EU191" s="27" t="s">
        <v>166</v>
      </c>
      <c r="EV191" s="27" t="s">
        <v>166</v>
      </c>
      <c r="EW191" s="27" t="s">
        <v>166</v>
      </c>
      <c r="EX191" s="25" t="s">
        <v>190</v>
      </c>
      <c r="EY191" s="25" t="s">
        <v>166</v>
      </c>
      <c r="EZ191" s="27" t="s">
        <v>166</v>
      </c>
      <c r="FA191" s="26" t="s">
        <v>166</v>
      </c>
      <c r="FB191" s="26" t="s">
        <v>166</v>
      </c>
      <c r="FC191" s="26" t="s">
        <v>166</v>
      </c>
      <c r="FD191" s="26" t="s">
        <v>166</v>
      </c>
      <c r="FE191" s="26" t="s">
        <v>166</v>
      </c>
      <c r="FF191" s="26" t="s">
        <v>166</v>
      </c>
      <c r="FG191" s="25" t="s">
        <v>166</v>
      </c>
      <c r="FH191" s="4">
        <f>HYPERLINK("https://my.pitchbook.com?c=214505-56T","View Company Online")</f>
      </c>
    </row>
    <row r="192">
      <c r="A192" s="14" t="s">
        <v>3898</v>
      </c>
      <c r="B192" s="14" t="s">
        <v>3899</v>
      </c>
      <c r="C192" s="14" t="s">
        <v>3900</v>
      </c>
      <c r="D192" s="14" t="s">
        <v>166</v>
      </c>
      <c r="E192" s="23" t="s">
        <v>3901</v>
      </c>
      <c r="F192" s="21">
        <v>4</v>
      </c>
      <c r="G192" s="14" t="s">
        <v>3902</v>
      </c>
      <c r="H192" s="14" t="s">
        <v>166</v>
      </c>
      <c r="I192" s="14" t="s">
        <v>3903</v>
      </c>
      <c r="J192" s="14" t="s">
        <v>3904</v>
      </c>
      <c r="K192" s="14" t="s">
        <v>1500</v>
      </c>
      <c r="L192" s="14" t="s">
        <v>2200</v>
      </c>
      <c r="M192" s="14" t="s">
        <v>2201</v>
      </c>
      <c r="N192" s="14" t="s">
        <v>3905</v>
      </c>
      <c r="O192" s="14" t="s">
        <v>3906</v>
      </c>
      <c r="P192" s="14" t="s">
        <v>3907</v>
      </c>
      <c r="Q192" s="14" t="s">
        <v>166</v>
      </c>
      <c r="R192" s="14" t="s">
        <v>177</v>
      </c>
      <c r="S192" s="14" t="s">
        <v>178</v>
      </c>
      <c r="T192" s="14" t="s">
        <v>179</v>
      </c>
      <c r="U192" s="14" t="s">
        <v>3908</v>
      </c>
      <c r="V192" s="14" t="s">
        <v>3909</v>
      </c>
      <c r="W192" s="21" t="s">
        <v>3910</v>
      </c>
      <c r="X192" s="14" t="s">
        <v>3911</v>
      </c>
      <c r="Y192" s="14" t="s">
        <v>3912</v>
      </c>
      <c r="Z192" s="14" t="s">
        <v>3913</v>
      </c>
      <c r="AA192" s="14" t="s">
        <v>242</v>
      </c>
      <c r="AB192" s="14" t="s">
        <v>243</v>
      </c>
      <c r="AC192" s="14" t="s">
        <v>244</v>
      </c>
      <c r="AD192" s="14" t="s">
        <v>243</v>
      </c>
      <c r="AE192" s="14" t="s">
        <v>243</v>
      </c>
      <c r="AF192" s="14" t="s">
        <v>166</v>
      </c>
      <c r="AG192" s="14" t="s">
        <v>246</v>
      </c>
      <c r="AH192" s="21">
        <v>2</v>
      </c>
      <c r="AI192" s="3">
        <f>HYPERLINK("https://my.pitchbook.com/?d=218871-82T","218871-82T")</f>
      </c>
      <c r="AJ192" s="19" t="s">
        <v>166</v>
      </c>
      <c r="AK192" s="19">
        <v>45005</v>
      </c>
      <c r="AL192" s="18">
        <v>4.2</v>
      </c>
      <c r="AM192" s="14" t="s">
        <v>185</v>
      </c>
      <c r="AN192" s="18">
        <v>7</v>
      </c>
      <c r="AO192" s="18">
        <v>11.2</v>
      </c>
      <c r="AP192" s="14" t="s">
        <v>185</v>
      </c>
      <c r="AQ192" s="21" t="s">
        <v>166</v>
      </c>
      <c r="AR192" s="21" t="s">
        <v>166</v>
      </c>
      <c r="AS192" s="17">
        <v>38.53</v>
      </c>
      <c r="AT192" s="18">
        <v>4.2</v>
      </c>
      <c r="AU192" s="21" t="s">
        <v>186</v>
      </c>
      <c r="AV192" s="21" t="s">
        <v>166</v>
      </c>
      <c r="AW192" s="18">
        <v>2.01</v>
      </c>
      <c r="AX192" s="21" t="s">
        <v>166</v>
      </c>
      <c r="AY192" s="14" t="s">
        <v>217</v>
      </c>
      <c r="AZ192" s="14" t="s">
        <v>217</v>
      </c>
      <c r="BA192" s="14" t="s">
        <v>166</v>
      </c>
      <c r="BB192" s="21" t="s">
        <v>166</v>
      </c>
      <c r="BC192" s="14" t="s">
        <v>179</v>
      </c>
      <c r="BD192" s="14" t="s">
        <v>3904</v>
      </c>
      <c r="BE192" s="14" t="s">
        <v>189</v>
      </c>
      <c r="BF192" s="18">
        <v>4.2</v>
      </c>
      <c r="BG192" s="14" t="s">
        <v>190</v>
      </c>
      <c r="BH192" s="14" t="s">
        <v>166</v>
      </c>
      <c r="BI192" s="14" t="s">
        <v>166</v>
      </c>
      <c r="BJ192" s="18" t="s">
        <v>166</v>
      </c>
      <c r="BK192" s="18" t="s">
        <v>166</v>
      </c>
      <c r="BL192" s="14" t="s">
        <v>191</v>
      </c>
      <c r="BM192" s="14" t="s">
        <v>178</v>
      </c>
      <c r="BN192" s="14" t="s">
        <v>177</v>
      </c>
      <c r="BO192" s="22" t="s">
        <v>166</v>
      </c>
      <c r="BP192" s="14" t="s">
        <v>3914</v>
      </c>
      <c r="BQ192" s="21">
        <v>4</v>
      </c>
      <c r="BR192" s="14" t="s">
        <v>166</v>
      </c>
      <c r="BS192" s="21" t="s">
        <v>166</v>
      </c>
      <c r="BT192" s="14" t="s">
        <v>3915</v>
      </c>
      <c r="BU192" s="14" t="s">
        <v>166</v>
      </c>
      <c r="BV192" s="14" t="s">
        <v>3916</v>
      </c>
      <c r="BW192" s="14" t="s">
        <v>166</v>
      </c>
      <c r="BX192" s="14" t="s">
        <v>166</v>
      </c>
      <c r="BY192" s="14" t="s">
        <v>166</v>
      </c>
      <c r="BZ192" s="14" t="s">
        <v>166</v>
      </c>
      <c r="CA192" s="14" t="s">
        <v>166</v>
      </c>
      <c r="CB192" s="14" t="s">
        <v>166</v>
      </c>
      <c r="CC192" s="14" t="s">
        <v>166</v>
      </c>
      <c r="CD192" s="14" t="s">
        <v>166</v>
      </c>
      <c r="CE192" s="18" t="s">
        <v>166</v>
      </c>
      <c r="CF192" s="16" t="s">
        <v>166</v>
      </c>
      <c r="CG192" s="17" t="s">
        <v>166</v>
      </c>
      <c r="CH192" s="16" t="s">
        <v>166</v>
      </c>
      <c r="CI192" s="16" t="s">
        <v>166</v>
      </c>
      <c r="CJ192" s="16" t="s">
        <v>166</v>
      </c>
      <c r="CK192" s="16" t="s">
        <v>166</v>
      </c>
      <c r="CL192" s="16" t="s">
        <v>166</v>
      </c>
      <c r="CM192" s="20" t="s">
        <v>166</v>
      </c>
      <c r="CN192" s="16" t="s">
        <v>166</v>
      </c>
      <c r="CO192" s="16" t="s">
        <v>166</v>
      </c>
      <c r="CP192" s="16" t="s">
        <v>166</v>
      </c>
      <c r="CQ192" s="16" t="s">
        <v>166</v>
      </c>
      <c r="CR192" s="16" t="s">
        <v>166</v>
      </c>
      <c r="CS192" s="16" t="s">
        <v>166</v>
      </c>
      <c r="CT192" s="16" t="s">
        <v>166</v>
      </c>
      <c r="CU192" s="16" t="s">
        <v>166</v>
      </c>
      <c r="CV192" s="16" t="s">
        <v>166</v>
      </c>
      <c r="CW192" s="16" t="s">
        <v>166</v>
      </c>
      <c r="CX192" s="16" t="s">
        <v>166</v>
      </c>
      <c r="CY192" s="16" t="s">
        <v>166</v>
      </c>
      <c r="CZ192" s="16" t="s">
        <v>166</v>
      </c>
      <c r="DA192" s="16" t="s">
        <v>166</v>
      </c>
      <c r="DB192" s="16" t="s">
        <v>166</v>
      </c>
      <c r="DC192" s="16" t="s">
        <v>166</v>
      </c>
      <c r="DD192" s="16" t="s">
        <v>166</v>
      </c>
      <c r="DE192" s="17" t="s">
        <v>166</v>
      </c>
      <c r="DF192" s="22">
        <v>7</v>
      </c>
      <c r="DG192" s="14" t="s">
        <v>309</v>
      </c>
      <c r="DH192" s="14" t="s">
        <v>193</v>
      </c>
      <c r="DI192" s="14" t="s">
        <v>194</v>
      </c>
      <c r="DJ192" s="14" t="s">
        <v>310</v>
      </c>
      <c r="DK192" s="14" t="s">
        <v>310</v>
      </c>
      <c r="DL192" s="21" t="s">
        <v>311</v>
      </c>
      <c r="DM192" s="14" t="s">
        <v>198</v>
      </c>
      <c r="DN192" s="13" t="s">
        <v>3917</v>
      </c>
      <c r="DO192" s="20">
        <v>2020</v>
      </c>
      <c r="DP192" s="14" t="s">
        <v>166</v>
      </c>
      <c r="DQ192" s="14" t="s">
        <v>166</v>
      </c>
      <c r="DR192" s="18" t="s">
        <v>166</v>
      </c>
      <c r="DS192" s="16" t="s">
        <v>166</v>
      </c>
      <c r="DT192" s="19" t="s">
        <v>166</v>
      </c>
      <c r="DU192" s="14" t="s">
        <v>166</v>
      </c>
      <c r="DV192" s="18" t="s">
        <v>166</v>
      </c>
      <c r="DW192" s="18" t="s">
        <v>166</v>
      </c>
      <c r="DX192" s="16" t="s">
        <v>166</v>
      </c>
      <c r="DY192" s="16" t="s">
        <v>166</v>
      </c>
      <c r="DZ192" s="17" t="s">
        <v>166</v>
      </c>
      <c r="EA192" s="16" t="s">
        <v>166</v>
      </c>
      <c r="EB192" s="16" t="s">
        <v>166</v>
      </c>
      <c r="EC192" s="16" t="s">
        <v>166</v>
      </c>
      <c r="ED192" s="17" t="s">
        <v>166</v>
      </c>
      <c r="EE192" s="17" t="s">
        <v>166</v>
      </c>
      <c r="EF192" s="17" t="s">
        <v>166</v>
      </c>
      <c r="EG192" s="17" t="s">
        <v>166</v>
      </c>
      <c r="EH192" s="16" t="s">
        <v>166</v>
      </c>
      <c r="EI192" s="16" t="s">
        <v>166</v>
      </c>
      <c r="EJ192" s="16" t="s">
        <v>166</v>
      </c>
      <c r="EK192" s="16" t="s">
        <v>166</v>
      </c>
      <c r="EL192" s="16" t="s">
        <v>166</v>
      </c>
      <c r="EM192" s="16" t="s">
        <v>166</v>
      </c>
      <c r="EN192" s="16" t="s">
        <v>166</v>
      </c>
      <c r="EO192" s="16" t="s">
        <v>166</v>
      </c>
      <c r="EP192" s="16" t="s">
        <v>166</v>
      </c>
      <c r="EQ192" s="16" t="s">
        <v>166</v>
      </c>
      <c r="ER192" s="16" t="s">
        <v>166</v>
      </c>
      <c r="ES192" s="16" t="s">
        <v>166</v>
      </c>
      <c r="ET192" s="14" t="s">
        <v>166</v>
      </c>
      <c r="EU192" s="16" t="s">
        <v>166</v>
      </c>
      <c r="EV192" s="16" t="s">
        <v>166</v>
      </c>
      <c r="EW192" s="16" t="s">
        <v>166</v>
      </c>
      <c r="EX192" s="14" t="s">
        <v>190</v>
      </c>
      <c r="EY192" s="14" t="s">
        <v>166</v>
      </c>
      <c r="EZ192" s="16" t="s">
        <v>166</v>
      </c>
      <c r="FA192" s="15" t="s">
        <v>166</v>
      </c>
      <c r="FB192" s="15" t="s">
        <v>166</v>
      </c>
      <c r="FC192" s="15" t="s">
        <v>166</v>
      </c>
      <c r="FD192" s="15" t="s">
        <v>166</v>
      </c>
      <c r="FE192" s="15" t="s">
        <v>166</v>
      </c>
      <c r="FF192" s="15" t="s">
        <v>166</v>
      </c>
      <c r="FG192" s="14" t="s">
        <v>166</v>
      </c>
      <c r="FH192" s="3">
        <f>HYPERLINK("https://my.pitchbook.com?c=218871-82T","View Company Online")</f>
      </c>
    </row>
    <row r="193">
      <c r="A193" s="25" t="s">
        <v>3918</v>
      </c>
      <c r="B193" s="25" t="s">
        <v>3919</v>
      </c>
      <c r="C193" s="25" t="s">
        <v>3920</v>
      </c>
      <c r="D193" s="25" t="s">
        <v>166</v>
      </c>
      <c r="E193" s="34" t="s">
        <v>3921</v>
      </c>
      <c r="F193" s="32">
        <v>3</v>
      </c>
      <c r="G193" s="25" t="s">
        <v>3922</v>
      </c>
      <c r="H193" s="25" t="s">
        <v>166</v>
      </c>
      <c r="I193" s="25" t="s">
        <v>3923</v>
      </c>
      <c r="J193" s="25" t="s">
        <v>3924</v>
      </c>
      <c r="K193" s="25" t="s">
        <v>207</v>
      </c>
      <c r="L193" s="25" t="s">
        <v>208</v>
      </c>
      <c r="M193" s="25" t="s">
        <v>209</v>
      </c>
      <c r="N193" s="25" t="s">
        <v>3925</v>
      </c>
      <c r="O193" s="25" t="s">
        <v>665</v>
      </c>
      <c r="P193" s="25" t="s">
        <v>3926</v>
      </c>
      <c r="Q193" s="25" t="s">
        <v>166</v>
      </c>
      <c r="R193" s="25" t="s">
        <v>177</v>
      </c>
      <c r="S193" s="25" t="s">
        <v>178</v>
      </c>
      <c r="T193" s="25" t="s">
        <v>179</v>
      </c>
      <c r="U193" s="25" t="s">
        <v>3927</v>
      </c>
      <c r="V193" s="25" t="s">
        <v>3928</v>
      </c>
      <c r="W193" s="32" t="s">
        <v>166</v>
      </c>
      <c r="X193" s="25" t="s">
        <v>3929</v>
      </c>
      <c r="Y193" s="25" t="s">
        <v>3930</v>
      </c>
      <c r="Z193" s="25" t="s">
        <v>3931</v>
      </c>
      <c r="AA193" s="25" t="s">
        <v>166</v>
      </c>
      <c r="AB193" s="25" t="s">
        <v>166</v>
      </c>
      <c r="AC193" s="25" t="s">
        <v>166</v>
      </c>
      <c r="AD193" s="25" t="s">
        <v>166</v>
      </c>
      <c r="AE193" s="25" t="s">
        <v>166</v>
      </c>
      <c r="AF193" s="25" t="s">
        <v>166</v>
      </c>
      <c r="AG193" s="25" t="s">
        <v>166</v>
      </c>
      <c r="AH193" s="32">
        <v>3</v>
      </c>
      <c r="AI193" s="4">
        <f>HYPERLINK("https://my.pitchbook.com/?d=174461-59T","174461-59T")</f>
      </c>
      <c r="AJ193" s="30" t="s">
        <v>166</v>
      </c>
      <c r="AK193" s="30">
        <v>44363</v>
      </c>
      <c r="AL193" s="29">
        <v>0.5</v>
      </c>
      <c r="AM193" s="25" t="s">
        <v>185</v>
      </c>
      <c r="AN193" s="29" t="s">
        <v>166</v>
      </c>
      <c r="AO193" s="29" t="s">
        <v>166</v>
      </c>
      <c r="AP193" s="25" t="s">
        <v>166</v>
      </c>
      <c r="AQ193" s="32" t="s">
        <v>166</v>
      </c>
      <c r="AR193" s="32" t="s">
        <v>166</v>
      </c>
      <c r="AS193" s="28" t="s">
        <v>166</v>
      </c>
      <c r="AT193" s="29">
        <v>1.57</v>
      </c>
      <c r="AU193" s="32" t="s">
        <v>186</v>
      </c>
      <c r="AV193" s="32" t="s">
        <v>166</v>
      </c>
      <c r="AW193" s="29" t="s">
        <v>166</v>
      </c>
      <c r="AX193" s="32" t="s">
        <v>166</v>
      </c>
      <c r="AY193" s="25" t="s">
        <v>217</v>
      </c>
      <c r="AZ193" s="25" t="s">
        <v>217</v>
      </c>
      <c r="BA193" s="25" t="s">
        <v>166</v>
      </c>
      <c r="BB193" s="32" t="s">
        <v>166</v>
      </c>
      <c r="BC193" s="25" t="s">
        <v>179</v>
      </c>
      <c r="BD193" s="25" t="s">
        <v>3932</v>
      </c>
      <c r="BE193" s="25" t="s">
        <v>189</v>
      </c>
      <c r="BF193" s="29">
        <v>0.5</v>
      </c>
      <c r="BG193" s="25" t="s">
        <v>190</v>
      </c>
      <c r="BH193" s="25" t="s">
        <v>166</v>
      </c>
      <c r="BI193" s="25" t="s">
        <v>166</v>
      </c>
      <c r="BJ193" s="29" t="s">
        <v>166</v>
      </c>
      <c r="BK193" s="29" t="s">
        <v>166</v>
      </c>
      <c r="BL193" s="25" t="s">
        <v>191</v>
      </c>
      <c r="BM193" s="25" t="s">
        <v>178</v>
      </c>
      <c r="BN193" s="25" t="s">
        <v>177</v>
      </c>
      <c r="BO193" s="33" t="s">
        <v>166</v>
      </c>
      <c r="BP193" s="25" t="s">
        <v>3921</v>
      </c>
      <c r="BQ193" s="32">
        <v>3</v>
      </c>
      <c r="BR193" s="25" t="s">
        <v>166</v>
      </c>
      <c r="BS193" s="32" t="s">
        <v>166</v>
      </c>
      <c r="BT193" s="25" t="s">
        <v>166</v>
      </c>
      <c r="BU193" s="25" t="s">
        <v>166</v>
      </c>
      <c r="BV193" s="25" t="s">
        <v>3933</v>
      </c>
      <c r="BW193" s="25" t="s">
        <v>166</v>
      </c>
      <c r="BX193" s="25" t="s">
        <v>166</v>
      </c>
      <c r="BY193" s="25" t="s">
        <v>166</v>
      </c>
      <c r="BZ193" s="25" t="s">
        <v>166</v>
      </c>
      <c r="CA193" s="25" t="s">
        <v>166</v>
      </c>
      <c r="CB193" s="25" t="s">
        <v>166</v>
      </c>
      <c r="CC193" s="25" t="s">
        <v>166</v>
      </c>
      <c r="CD193" s="25" t="s">
        <v>166</v>
      </c>
      <c r="CE193" s="29" t="s">
        <v>166</v>
      </c>
      <c r="CF193" s="27" t="s">
        <v>166</v>
      </c>
      <c r="CG193" s="28" t="s">
        <v>166</v>
      </c>
      <c r="CH193" s="27" t="s">
        <v>166</v>
      </c>
      <c r="CI193" s="27" t="s">
        <v>166</v>
      </c>
      <c r="CJ193" s="27" t="s">
        <v>166</v>
      </c>
      <c r="CK193" s="27" t="s">
        <v>166</v>
      </c>
      <c r="CL193" s="27" t="s">
        <v>166</v>
      </c>
      <c r="CM193" s="31" t="s">
        <v>166</v>
      </c>
      <c r="CN193" s="27" t="s">
        <v>166</v>
      </c>
      <c r="CO193" s="27" t="s">
        <v>166</v>
      </c>
      <c r="CP193" s="27" t="s">
        <v>166</v>
      </c>
      <c r="CQ193" s="27" t="s">
        <v>166</v>
      </c>
      <c r="CR193" s="27" t="s">
        <v>166</v>
      </c>
      <c r="CS193" s="27" t="s">
        <v>166</v>
      </c>
      <c r="CT193" s="27" t="s">
        <v>166</v>
      </c>
      <c r="CU193" s="27" t="s">
        <v>166</v>
      </c>
      <c r="CV193" s="27" t="s">
        <v>166</v>
      </c>
      <c r="CW193" s="27" t="s">
        <v>166</v>
      </c>
      <c r="CX193" s="27" t="s">
        <v>166</v>
      </c>
      <c r="CY193" s="27" t="s">
        <v>166</v>
      </c>
      <c r="CZ193" s="27" t="s">
        <v>166</v>
      </c>
      <c r="DA193" s="27" t="s">
        <v>166</v>
      </c>
      <c r="DB193" s="27" t="s">
        <v>166</v>
      </c>
      <c r="DC193" s="27" t="s">
        <v>166</v>
      </c>
      <c r="DD193" s="27" t="s">
        <v>166</v>
      </c>
      <c r="DE193" s="28" t="s">
        <v>166</v>
      </c>
      <c r="DF193" s="33">
        <v>7</v>
      </c>
      <c r="DG193" s="25" t="s">
        <v>3934</v>
      </c>
      <c r="DH193" s="25" t="s">
        <v>193</v>
      </c>
      <c r="DI193" s="25" t="s">
        <v>194</v>
      </c>
      <c r="DJ193" s="25" t="s">
        <v>3935</v>
      </c>
      <c r="DK193" s="25" t="s">
        <v>1063</v>
      </c>
      <c r="DL193" s="32" t="s">
        <v>3936</v>
      </c>
      <c r="DM193" s="25" t="s">
        <v>198</v>
      </c>
      <c r="DN193" s="24" t="s">
        <v>3937</v>
      </c>
      <c r="DO193" s="31">
        <v>2020</v>
      </c>
      <c r="DP193" s="25" t="s">
        <v>166</v>
      </c>
      <c r="DQ193" s="25" t="s">
        <v>166</v>
      </c>
      <c r="DR193" s="29" t="s">
        <v>166</v>
      </c>
      <c r="DS193" s="27" t="s">
        <v>166</v>
      </c>
      <c r="DT193" s="30" t="s">
        <v>166</v>
      </c>
      <c r="DU193" s="25" t="s">
        <v>166</v>
      </c>
      <c r="DV193" s="29" t="s">
        <v>166</v>
      </c>
      <c r="DW193" s="29" t="s">
        <v>166</v>
      </c>
      <c r="DX193" s="27" t="s">
        <v>166</v>
      </c>
      <c r="DY193" s="27" t="s">
        <v>166</v>
      </c>
      <c r="DZ193" s="28" t="s">
        <v>166</v>
      </c>
      <c r="EA193" s="27" t="s">
        <v>166</v>
      </c>
      <c r="EB193" s="27" t="s">
        <v>166</v>
      </c>
      <c r="EC193" s="27" t="s">
        <v>166</v>
      </c>
      <c r="ED193" s="28" t="s">
        <v>166</v>
      </c>
      <c r="EE193" s="28" t="s">
        <v>166</v>
      </c>
      <c r="EF193" s="28" t="s">
        <v>166</v>
      </c>
      <c r="EG193" s="28" t="s">
        <v>166</v>
      </c>
      <c r="EH193" s="27" t="s">
        <v>166</v>
      </c>
      <c r="EI193" s="27" t="s">
        <v>166</v>
      </c>
      <c r="EJ193" s="27" t="s">
        <v>166</v>
      </c>
      <c r="EK193" s="27" t="s">
        <v>166</v>
      </c>
      <c r="EL193" s="27" t="s">
        <v>166</v>
      </c>
      <c r="EM193" s="27" t="s">
        <v>166</v>
      </c>
      <c r="EN193" s="27" t="s">
        <v>166</v>
      </c>
      <c r="EO193" s="27" t="s">
        <v>166</v>
      </c>
      <c r="EP193" s="27" t="s">
        <v>166</v>
      </c>
      <c r="EQ193" s="27" t="s">
        <v>166</v>
      </c>
      <c r="ER193" s="27" t="s">
        <v>166</v>
      </c>
      <c r="ES193" s="27" t="s">
        <v>166</v>
      </c>
      <c r="ET193" s="25" t="s">
        <v>166</v>
      </c>
      <c r="EU193" s="27" t="s">
        <v>166</v>
      </c>
      <c r="EV193" s="27" t="s">
        <v>166</v>
      </c>
      <c r="EW193" s="27" t="s">
        <v>166</v>
      </c>
      <c r="EX193" s="25" t="s">
        <v>190</v>
      </c>
      <c r="EY193" s="25" t="s">
        <v>166</v>
      </c>
      <c r="EZ193" s="27" t="s">
        <v>166</v>
      </c>
      <c r="FA193" s="26" t="s">
        <v>166</v>
      </c>
      <c r="FB193" s="26" t="s">
        <v>166</v>
      </c>
      <c r="FC193" s="26" t="s">
        <v>166</v>
      </c>
      <c r="FD193" s="26" t="s">
        <v>166</v>
      </c>
      <c r="FE193" s="26" t="s">
        <v>166</v>
      </c>
      <c r="FF193" s="26" t="s">
        <v>166</v>
      </c>
      <c r="FG193" s="25" t="s">
        <v>166</v>
      </c>
      <c r="FH193" s="4">
        <f>HYPERLINK("https://my.pitchbook.com?c=174461-59T","View Company Online")</f>
      </c>
    </row>
    <row r="194">
      <c r="A194" s="14" t="s">
        <v>3938</v>
      </c>
      <c r="B194" s="14" t="s">
        <v>3939</v>
      </c>
      <c r="C194" s="14" t="s">
        <v>3940</v>
      </c>
      <c r="D194" s="14" t="s">
        <v>166</v>
      </c>
      <c r="E194" s="23" t="s">
        <v>608</v>
      </c>
      <c r="F194" s="21">
        <v>1</v>
      </c>
      <c r="G194" s="14" t="s">
        <v>597</v>
      </c>
      <c r="H194" s="14" t="s">
        <v>166</v>
      </c>
      <c r="I194" s="14" t="s">
        <v>3941</v>
      </c>
      <c r="J194" s="14" t="s">
        <v>3942</v>
      </c>
      <c r="K194" s="14" t="s">
        <v>207</v>
      </c>
      <c r="L194" s="14" t="s">
        <v>208</v>
      </c>
      <c r="M194" s="14" t="s">
        <v>965</v>
      </c>
      <c r="N194" s="14" t="s">
        <v>2512</v>
      </c>
      <c r="O194" s="14" t="s">
        <v>800</v>
      </c>
      <c r="P194" s="14" t="s">
        <v>3943</v>
      </c>
      <c r="Q194" s="14" t="s">
        <v>3944</v>
      </c>
      <c r="R194" s="14" t="s">
        <v>177</v>
      </c>
      <c r="S194" s="14" t="s">
        <v>178</v>
      </c>
      <c r="T194" s="14" t="s">
        <v>179</v>
      </c>
      <c r="U194" s="14" t="s">
        <v>3945</v>
      </c>
      <c r="V194" s="14" t="s">
        <v>3946</v>
      </c>
      <c r="W194" s="21" t="s">
        <v>166</v>
      </c>
      <c r="X194" s="14" t="s">
        <v>3947</v>
      </c>
      <c r="Y194" s="14" t="s">
        <v>3948</v>
      </c>
      <c r="Z194" s="14" t="s">
        <v>166</v>
      </c>
      <c r="AA194" s="14" t="s">
        <v>166</v>
      </c>
      <c r="AB194" s="14" t="s">
        <v>166</v>
      </c>
      <c r="AC194" s="14" t="s">
        <v>166</v>
      </c>
      <c r="AD194" s="14" t="s">
        <v>166</v>
      </c>
      <c r="AE194" s="14" t="s">
        <v>166</v>
      </c>
      <c r="AF194" s="14" t="s">
        <v>166</v>
      </c>
      <c r="AG194" s="14" t="s">
        <v>166</v>
      </c>
      <c r="AH194" s="21">
        <v>2</v>
      </c>
      <c r="AI194" s="3">
        <f>HYPERLINK("https://my.pitchbook.com/?d=257311-09T","257311-09T")</f>
      </c>
      <c r="AJ194" s="19" t="s">
        <v>166</v>
      </c>
      <c r="AK194" s="19">
        <v>45376</v>
      </c>
      <c r="AL194" s="18">
        <v>0.12</v>
      </c>
      <c r="AM194" s="14" t="s">
        <v>185</v>
      </c>
      <c r="AN194" s="18" t="s">
        <v>166</v>
      </c>
      <c r="AO194" s="18" t="s">
        <v>166</v>
      </c>
      <c r="AP194" s="14" t="s">
        <v>166</v>
      </c>
      <c r="AQ194" s="21" t="s">
        <v>166</v>
      </c>
      <c r="AR194" s="21" t="s">
        <v>166</v>
      </c>
      <c r="AS194" s="17" t="s">
        <v>166</v>
      </c>
      <c r="AT194" s="18">
        <v>0.12</v>
      </c>
      <c r="AU194" s="21" t="s">
        <v>186</v>
      </c>
      <c r="AV194" s="21" t="s">
        <v>166</v>
      </c>
      <c r="AW194" s="18" t="s">
        <v>166</v>
      </c>
      <c r="AX194" s="21" t="s">
        <v>166</v>
      </c>
      <c r="AY194" s="14" t="s">
        <v>217</v>
      </c>
      <c r="AZ194" s="14" t="s">
        <v>217</v>
      </c>
      <c r="BA194" s="14" t="s">
        <v>166</v>
      </c>
      <c r="BB194" s="21" t="s">
        <v>166</v>
      </c>
      <c r="BC194" s="14" t="s">
        <v>179</v>
      </c>
      <c r="BD194" s="14" t="s">
        <v>3942</v>
      </c>
      <c r="BE194" s="14" t="s">
        <v>189</v>
      </c>
      <c r="BF194" s="18" t="s">
        <v>166</v>
      </c>
      <c r="BG194" s="14" t="s">
        <v>190</v>
      </c>
      <c r="BH194" s="14" t="s">
        <v>166</v>
      </c>
      <c r="BI194" s="14" t="s">
        <v>166</v>
      </c>
      <c r="BJ194" s="18">
        <v>0.12</v>
      </c>
      <c r="BK194" s="18" t="s">
        <v>166</v>
      </c>
      <c r="BL194" s="14" t="s">
        <v>191</v>
      </c>
      <c r="BM194" s="14" t="s">
        <v>178</v>
      </c>
      <c r="BN194" s="14" t="s">
        <v>177</v>
      </c>
      <c r="BO194" s="22" t="s">
        <v>166</v>
      </c>
      <c r="BP194" s="14" t="s">
        <v>166</v>
      </c>
      <c r="BQ194" s="21" t="s">
        <v>166</v>
      </c>
      <c r="BR194" s="14" t="s">
        <v>608</v>
      </c>
      <c r="BS194" s="21">
        <v>1</v>
      </c>
      <c r="BT194" s="14" t="s">
        <v>608</v>
      </c>
      <c r="BU194" s="14" t="s">
        <v>166</v>
      </c>
      <c r="BV194" s="14" t="s">
        <v>166</v>
      </c>
      <c r="BW194" s="14" t="s">
        <v>166</v>
      </c>
      <c r="BX194" s="14" t="s">
        <v>166</v>
      </c>
      <c r="BY194" s="14" t="s">
        <v>166</v>
      </c>
      <c r="BZ194" s="14" t="s">
        <v>166</v>
      </c>
      <c r="CA194" s="14" t="s">
        <v>166</v>
      </c>
      <c r="CB194" s="14" t="s">
        <v>166</v>
      </c>
      <c r="CC194" s="14" t="s">
        <v>166</v>
      </c>
      <c r="CD194" s="14" t="s">
        <v>166</v>
      </c>
      <c r="CE194" s="18" t="s">
        <v>166</v>
      </c>
      <c r="CF194" s="16" t="s">
        <v>166</v>
      </c>
      <c r="CG194" s="17" t="s">
        <v>166</v>
      </c>
      <c r="CH194" s="16" t="s">
        <v>166</v>
      </c>
      <c r="CI194" s="16" t="s">
        <v>166</v>
      </c>
      <c r="CJ194" s="16" t="s">
        <v>166</v>
      </c>
      <c r="CK194" s="16" t="s">
        <v>166</v>
      </c>
      <c r="CL194" s="16" t="s">
        <v>166</v>
      </c>
      <c r="CM194" s="20" t="s">
        <v>166</v>
      </c>
      <c r="CN194" s="16" t="s">
        <v>166</v>
      </c>
      <c r="CO194" s="16" t="s">
        <v>166</v>
      </c>
      <c r="CP194" s="16" t="s">
        <v>166</v>
      </c>
      <c r="CQ194" s="16" t="s">
        <v>166</v>
      </c>
      <c r="CR194" s="16" t="s">
        <v>166</v>
      </c>
      <c r="CS194" s="16" t="s">
        <v>166</v>
      </c>
      <c r="CT194" s="16" t="s">
        <v>166</v>
      </c>
      <c r="CU194" s="16" t="s">
        <v>166</v>
      </c>
      <c r="CV194" s="16" t="s">
        <v>166</v>
      </c>
      <c r="CW194" s="16" t="s">
        <v>166</v>
      </c>
      <c r="CX194" s="16" t="s">
        <v>166</v>
      </c>
      <c r="CY194" s="16" t="s">
        <v>166</v>
      </c>
      <c r="CZ194" s="16" t="s">
        <v>166</v>
      </c>
      <c r="DA194" s="16" t="s">
        <v>166</v>
      </c>
      <c r="DB194" s="16" t="s">
        <v>166</v>
      </c>
      <c r="DC194" s="16" t="s">
        <v>166</v>
      </c>
      <c r="DD194" s="16" t="s">
        <v>166</v>
      </c>
      <c r="DE194" s="17" t="s">
        <v>166</v>
      </c>
      <c r="DF194" s="22">
        <v>3</v>
      </c>
      <c r="DG194" s="14" t="s">
        <v>3949</v>
      </c>
      <c r="DH194" s="14" t="s">
        <v>193</v>
      </c>
      <c r="DI194" s="14" t="s">
        <v>194</v>
      </c>
      <c r="DJ194" s="14" t="s">
        <v>3950</v>
      </c>
      <c r="DK194" s="14" t="s">
        <v>545</v>
      </c>
      <c r="DL194" s="21" t="s">
        <v>3951</v>
      </c>
      <c r="DM194" s="14" t="s">
        <v>198</v>
      </c>
      <c r="DN194" s="13" t="s">
        <v>3952</v>
      </c>
      <c r="DO194" s="20">
        <v>2018</v>
      </c>
      <c r="DP194" s="14" t="s">
        <v>166</v>
      </c>
      <c r="DQ194" s="14" t="s">
        <v>3953</v>
      </c>
      <c r="DR194" s="18">
        <v>0.12</v>
      </c>
      <c r="DS194" s="16" t="s">
        <v>166</v>
      </c>
      <c r="DT194" s="19" t="s">
        <v>166</v>
      </c>
      <c r="DU194" s="14" t="s">
        <v>166</v>
      </c>
      <c r="DV194" s="18" t="s">
        <v>166</v>
      </c>
      <c r="DW194" s="18" t="s">
        <v>166</v>
      </c>
      <c r="DX194" s="16" t="s">
        <v>166</v>
      </c>
      <c r="DY194" s="16" t="s">
        <v>166</v>
      </c>
      <c r="DZ194" s="17" t="s">
        <v>166</v>
      </c>
      <c r="EA194" s="16" t="s">
        <v>166</v>
      </c>
      <c r="EB194" s="16" t="s">
        <v>166</v>
      </c>
      <c r="EC194" s="16" t="s">
        <v>166</v>
      </c>
      <c r="ED194" s="17" t="s">
        <v>166</v>
      </c>
      <c r="EE194" s="17" t="s">
        <v>166</v>
      </c>
      <c r="EF194" s="17" t="s">
        <v>166</v>
      </c>
      <c r="EG194" s="17" t="s">
        <v>166</v>
      </c>
      <c r="EH194" s="16" t="s">
        <v>166</v>
      </c>
      <c r="EI194" s="16" t="s">
        <v>166</v>
      </c>
      <c r="EJ194" s="16" t="s">
        <v>166</v>
      </c>
      <c r="EK194" s="16" t="s">
        <v>166</v>
      </c>
      <c r="EL194" s="16" t="s">
        <v>166</v>
      </c>
      <c r="EM194" s="16" t="s">
        <v>166</v>
      </c>
      <c r="EN194" s="16" t="s">
        <v>166</v>
      </c>
      <c r="EO194" s="16" t="s">
        <v>166</v>
      </c>
      <c r="EP194" s="16" t="s">
        <v>166</v>
      </c>
      <c r="EQ194" s="16" t="s">
        <v>166</v>
      </c>
      <c r="ER194" s="16" t="s">
        <v>166</v>
      </c>
      <c r="ES194" s="16" t="s">
        <v>166</v>
      </c>
      <c r="ET194" s="14" t="s">
        <v>166</v>
      </c>
      <c r="EU194" s="16" t="s">
        <v>166</v>
      </c>
      <c r="EV194" s="16" t="s">
        <v>166</v>
      </c>
      <c r="EW194" s="16" t="s">
        <v>166</v>
      </c>
      <c r="EX194" s="14" t="s">
        <v>190</v>
      </c>
      <c r="EY194" s="14" t="s">
        <v>190</v>
      </c>
      <c r="EZ194" s="16" t="s">
        <v>166</v>
      </c>
      <c r="FA194" s="15" t="s">
        <v>166</v>
      </c>
      <c r="FB194" s="15" t="s">
        <v>166</v>
      </c>
      <c r="FC194" s="15" t="s">
        <v>166</v>
      </c>
      <c r="FD194" s="15" t="s">
        <v>166</v>
      </c>
      <c r="FE194" s="15" t="s">
        <v>166</v>
      </c>
      <c r="FF194" s="15" t="s">
        <v>166</v>
      </c>
      <c r="FG194" s="14" t="s">
        <v>166</v>
      </c>
      <c r="FH194" s="3">
        <f>HYPERLINK("https://my.pitchbook.com?c=257311-09T","View Company Online")</f>
      </c>
    </row>
    <row r="195">
      <c r="A195" s="25" t="s">
        <v>3954</v>
      </c>
      <c r="B195" s="25" t="s">
        <v>3955</v>
      </c>
      <c r="C195" s="25" t="s">
        <v>3956</v>
      </c>
      <c r="D195" s="25" t="s">
        <v>166</v>
      </c>
      <c r="E195" s="34" t="s">
        <v>3957</v>
      </c>
      <c r="F195" s="32">
        <v>6</v>
      </c>
      <c r="G195" s="25" t="s">
        <v>3958</v>
      </c>
      <c r="H195" s="25" t="s">
        <v>166</v>
      </c>
      <c r="I195" s="25" t="s">
        <v>3959</v>
      </c>
      <c r="J195" s="25" t="s">
        <v>3960</v>
      </c>
      <c r="K195" s="25" t="s">
        <v>207</v>
      </c>
      <c r="L195" s="25" t="s">
        <v>208</v>
      </c>
      <c r="M195" s="25" t="s">
        <v>209</v>
      </c>
      <c r="N195" s="25" t="s">
        <v>3221</v>
      </c>
      <c r="O195" s="25" t="s">
        <v>1691</v>
      </c>
      <c r="P195" s="25" t="s">
        <v>3961</v>
      </c>
      <c r="Q195" s="25" t="s">
        <v>166</v>
      </c>
      <c r="R195" s="25" t="s">
        <v>177</v>
      </c>
      <c r="S195" s="25" t="s">
        <v>358</v>
      </c>
      <c r="T195" s="25" t="s">
        <v>179</v>
      </c>
      <c r="U195" s="25" t="s">
        <v>3962</v>
      </c>
      <c r="V195" s="25" t="s">
        <v>3963</v>
      </c>
      <c r="W195" s="32" t="s">
        <v>3964</v>
      </c>
      <c r="X195" s="25" t="s">
        <v>3965</v>
      </c>
      <c r="Y195" s="25" t="s">
        <v>3966</v>
      </c>
      <c r="Z195" s="25" t="s">
        <v>166</v>
      </c>
      <c r="AA195" s="25" t="s">
        <v>242</v>
      </c>
      <c r="AB195" s="25" t="s">
        <v>243</v>
      </c>
      <c r="AC195" s="25" t="s">
        <v>244</v>
      </c>
      <c r="AD195" s="25" t="s">
        <v>243</v>
      </c>
      <c r="AE195" s="25" t="s">
        <v>243</v>
      </c>
      <c r="AF195" s="25" t="s">
        <v>166</v>
      </c>
      <c r="AG195" s="25" t="s">
        <v>807</v>
      </c>
      <c r="AH195" s="32">
        <v>3</v>
      </c>
      <c r="AI195" s="4">
        <f>HYPERLINK("https://my.pitchbook.com/?d=192708-10T","192708-10T")</f>
      </c>
      <c r="AJ195" s="30" t="s">
        <v>166</v>
      </c>
      <c r="AK195" s="30">
        <v>44673</v>
      </c>
      <c r="AL195" s="29">
        <v>5</v>
      </c>
      <c r="AM195" s="25" t="s">
        <v>185</v>
      </c>
      <c r="AN195" s="29">
        <v>5.5</v>
      </c>
      <c r="AO195" s="29">
        <v>10.5</v>
      </c>
      <c r="AP195" s="25" t="s">
        <v>185</v>
      </c>
      <c r="AQ195" s="32" t="s">
        <v>166</v>
      </c>
      <c r="AR195" s="32" t="s">
        <v>166</v>
      </c>
      <c r="AS195" s="28">
        <v>47.64</v>
      </c>
      <c r="AT195" s="29">
        <v>5</v>
      </c>
      <c r="AU195" s="32" t="s">
        <v>186</v>
      </c>
      <c r="AV195" s="32" t="s">
        <v>166</v>
      </c>
      <c r="AW195" s="29">
        <v>0.54</v>
      </c>
      <c r="AX195" s="32" t="s">
        <v>166</v>
      </c>
      <c r="AY195" s="25" t="s">
        <v>217</v>
      </c>
      <c r="AZ195" s="25" t="s">
        <v>217</v>
      </c>
      <c r="BA195" s="25" t="s">
        <v>166</v>
      </c>
      <c r="BB195" s="32" t="s">
        <v>166</v>
      </c>
      <c r="BC195" s="25" t="s">
        <v>179</v>
      </c>
      <c r="BD195" s="25" t="s">
        <v>3967</v>
      </c>
      <c r="BE195" s="25" t="s">
        <v>189</v>
      </c>
      <c r="BF195" s="29">
        <v>5</v>
      </c>
      <c r="BG195" s="25" t="s">
        <v>190</v>
      </c>
      <c r="BH195" s="25" t="s">
        <v>166</v>
      </c>
      <c r="BI195" s="25" t="s">
        <v>166</v>
      </c>
      <c r="BJ195" s="29" t="s">
        <v>166</v>
      </c>
      <c r="BK195" s="29" t="s">
        <v>166</v>
      </c>
      <c r="BL195" s="25" t="s">
        <v>191</v>
      </c>
      <c r="BM195" s="25" t="s">
        <v>358</v>
      </c>
      <c r="BN195" s="25" t="s">
        <v>177</v>
      </c>
      <c r="BO195" s="33" t="s">
        <v>166</v>
      </c>
      <c r="BP195" s="25" t="s">
        <v>3968</v>
      </c>
      <c r="BQ195" s="32">
        <v>6</v>
      </c>
      <c r="BR195" s="25" t="s">
        <v>166</v>
      </c>
      <c r="BS195" s="32" t="s">
        <v>166</v>
      </c>
      <c r="BT195" s="25" t="s">
        <v>3969</v>
      </c>
      <c r="BU195" s="25" t="s">
        <v>166</v>
      </c>
      <c r="BV195" s="25" t="s">
        <v>3970</v>
      </c>
      <c r="BW195" s="25" t="s">
        <v>166</v>
      </c>
      <c r="BX195" s="25" t="s">
        <v>166</v>
      </c>
      <c r="BY195" s="25" t="s">
        <v>166</v>
      </c>
      <c r="BZ195" s="25" t="s">
        <v>3971</v>
      </c>
      <c r="CA195" s="25" t="s">
        <v>3971</v>
      </c>
      <c r="CB195" s="25" t="s">
        <v>166</v>
      </c>
      <c r="CC195" s="25" t="s">
        <v>166</v>
      </c>
      <c r="CD195" s="25" t="s">
        <v>166</v>
      </c>
      <c r="CE195" s="29" t="s">
        <v>166</v>
      </c>
      <c r="CF195" s="27" t="s">
        <v>166</v>
      </c>
      <c r="CG195" s="28" t="s">
        <v>166</v>
      </c>
      <c r="CH195" s="27" t="s">
        <v>166</v>
      </c>
      <c r="CI195" s="27" t="s">
        <v>166</v>
      </c>
      <c r="CJ195" s="27" t="s">
        <v>166</v>
      </c>
      <c r="CK195" s="27" t="s">
        <v>166</v>
      </c>
      <c r="CL195" s="27" t="s">
        <v>166</v>
      </c>
      <c r="CM195" s="31" t="s">
        <v>166</v>
      </c>
      <c r="CN195" s="27" t="s">
        <v>166</v>
      </c>
      <c r="CO195" s="27" t="s">
        <v>166</v>
      </c>
      <c r="CP195" s="27" t="s">
        <v>166</v>
      </c>
      <c r="CQ195" s="27" t="s">
        <v>166</v>
      </c>
      <c r="CR195" s="27" t="s">
        <v>166</v>
      </c>
      <c r="CS195" s="27" t="s">
        <v>166</v>
      </c>
      <c r="CT195" s="27" t="s">
        <v>166</v>
      </c>
      <c r="CU195" s="27" t="s">
        <v>166</v>
      </c>
      <c r="CV195" s="27" t="s">
        <v>166</v>
      </c>
      <c r="CW195" s="27" t="s">
        <v>166</v>
      </c>
      <c r="CX195" s="27" t="s">
        <v>166</v>
      </c>
      <c r="CY195" s="27" t="s">
        <v>166</v>
      </c>
      <c r="CZ195" s="27" t="s">
        <v>166</v>
      </c>
      <c r="DA195" s="27" t="s">
        <v>166</v>
      </c>
      <c r="DB195" s="27" t="s">
        <v>166</v>
      </c>
      <c r="DC195" s="27" t="s">
        <v>166</v>
      </c>
      <c r="DD195" s="27" t="s">
        <v>166</v>
      </c>
      <c r="DE195" s="28" t="s">
        <v>166</v>
      </c>
      <c r="DF195" s="33">
        <v>11</v>
      </c>
      <c r="DG195" s="25" t="s">
        <v>3972</v>
      </c>
      <c r="DH195" s="25" t="s">
        <v>193</v>
      </c>
      <c r="DI195" s="25" t="s">
        <v>194</v>
      </c>
      <c r="DJ195" s="25" t="s">
        <v>3973</v>
      </c>
      <c r="DK195" s="25" t="s">
        <v>3974</v>
      </c>
      <c r="DL195" s="32" t="s">
        <v>3975</v>
      </c>
      <c r="DM195" s="25" t="s">
        <v>198</v>
      </c>
      <c r="DN195" s="24" t="s">
        <v>3976</v>
      </c>
      <c r="DO195" s="31">
        <v>2020</v>
      </c>
      <c r="DP195" s="25" t="s">
        <v>166</v>
      </c>
      <c r="DQ195" s="25" t="s">
        <v>166</v>
      </c>
      <c r="DR195" s="29" t="s">
        <v>166</v>
      </c>
      <c r="DS195" s="27" t="s">
        <v>166</v>
      </c>
      <c r="DT195" s="30" t="s">
        <v>166</v>
      </c>
      <c r="DU195" s="25" t="s">
        <v>166</v>
      </c>
      <c r="DV195" s="29" t="s">
        <v>166</v>
      </c>
      <c r="DW195" s="29" t="s">
        <v>166</v>
      </c>
      <c r="DX195" s="27" t="s">
        <v>166</v>
      </c>
      <c r="DY195" s="27" t="s">
        <v>166</v>
      </c>
      <c r="DZ195" s="28" t="s">
        <v>166</v>
      </c>
      <c r="EA195" s="27" t="s">
        <v>166</v>
      </c>
      <c r="EB195" s="27" t="s">
        <v>166</v>
      </c>
      <c r="EC195" s="27" t="s">
        <v>166</v>
      </c>
      <c r="ED195" s="28" t="s">
        <v>166</v>
      </c>
      <c r="EE195" s="28" t="s">
        <v>166</v>
      </c>
      <c r="EF195" s="28" t="s">
        <v>166</v>
      </c>
      <c r="EG195" s="28" t="s">
        <v>166</v>
      </c>
      <c r="EH195" s="27" t="s">
        <v>166</v>
      </c>
      <c r="EI195" s="27" t="s">
        <v>166</v>
      </c>
      <c r="EJ195" s="27" t="s">
        <v>166</v>
      </c>
      <c r="EK195" s="27" t="s">
        <v>166</v>
      </c>
      <c r="EL195" s="27" t="s">
        <v>166</v>
      </c>
      <c r="EM195" s="27" t="s">
        <v>166</v>
      </c>
      <c r="EN195" s="27" t="s">
        <v>166</v>
      </c>
      <c r="EO195" s="27" t="s">
        <v>166</v>
      </c>
      <c r="EP195" s="27" t="s">
        <v>166</v>
      </c>
      <c r="EQ195" s="27" t="s">
        <v>166</v>
      </c>
      <c r="ER195" s="27" t="s">
        <v>166</v>
      </c>
      <c r="ES195" s="27" t="s">
        <v>166</v>
      </c>
      <c r="ET195" s="25" t="s">
        <v>166</v>
      </c>
      <c r="EU195" s="27" t="s">
        <v>166</v>
      </c>
      <c r="EV195" s="27" t="s">
        <v>166</v>
      </c>
      <c r="EW195" s="27" t="s">
        <v>166</v>
      </c>
      <c r="EX195" s="25" t="s">
        <v>190</v>
      </c>
      <c r="EY195" s="25" t="s">
        <v>166</v>
      </c>
      <c r="EZ195" s="27" t="s">
        <v>166</v>
      </c>
      <c r="FA195" s="26" t="s">
        <v>166</v>
      </c>
      <c r="FB195" s="26" t="s">
        <v>166</v>
      </c>
      <c r="FC195" s="26" t="s">
        <v>166</v>
      </c>
      <c r="FD195" s="26" t="s">
        <v>166</v>
      </c>
      <c r="FE195" s="26" t="s">
        <v>166</v>
      </c>
      <c r="FF195" s="26" t="s">
        <v>166</v>
      </c>
      <c r="FG195" s="25" t="s">
        <v>166</v>
      </c>
      <c r="FH195" s="4">
        <f>HYPERLINK("https://my.pitchbook.com?c=192708-10T","View Company Online")</f>
      </c>
    </row>
    <row r="196">
      <c r="A196" s="14" t="s">
        <v>3977</v>
      </c>
      <c r="B196" s="14" t="s">
        <v>3978</v>
      </c>
      <c r="C196" s="14" t="s">
        <v>3979</v>
      </c>
      <c r="D196" s="14" t="s">
        <v>166</v>
      </c>
      <c r="E196" s="23" t="s">
        <v>3980</v>
      </c>
      <c r="F196" s="21">
        <v>6</v>
      </c>
      <c r="G196" s="14" t="s">
        <v>3981</v>
      </c>
      <c r="H196" s="14" t="s">
        <v>166</v>
      </c>
      <c r="I196" s="14" t="s">
        <v>3982</v>
      </c>
      <c r="J196" s="14" t="s">
        <v>3983</v>
      </c>
      <c r="K196" s="14" t="s">
        <v>207</v>
      </c>
      <c r="L196" s="14" t="s">
        <v>208</v>
      </c>
      <c r="M196" s="14" t="s">
        <v>1766</v>
      </c>
      <c r="N196" s="14" t="s">
        <v>3782</v>
      </c>
      <c r="O196" s="14" t="s">
        <v>3984</v>
      </c>
      <c r="P196" s="14" t="s">
        <v>3985</v>
      </c>
      <c r="Q196" s="14" t="s">
        <v>166</v>
      </c>
      <c r="R196" s="14" t="s">
        <v>177</v>
      </c>
      <c r="S196" s="14" t="s">
        <v>178</v>
      </c>
      <c r="T196" s="14" t="s">
        <v>179</v>
      </c>
      <c r="U196" s="14" t="s">
        <v>3986</v>
      </c>
      <c r="V196" s="14" t="s">
        <v>3987</v>
      </c>
      <c r="W196" s="21" t="s">
        <v>166</v>
      </c>
      <c r="X196" s="14" t="s">
        <v>3988</v>
      </c>
      <c r="Y196" s="14" t="s">
        <v>3989</v>
      </c>
      <c r="Z196" s="14" t="s">
        <v>166</v>
      </c>
      <c r="AA196" s="14" t="s">
        <v>166</v>
      </c>
      <c r="AB196" s="14" t="s">
        <v>166</v>
      </c>
      <c r="AC196" s="14" t="s">
        <v>166</v>
      </c>
      <c r="AD196" s="14" t="s">
        <v>166</v>
      </c>
      <c r="AE196" s="14" t="s">
        <v>166</v>
      </c>
      <c r="AF196" s="14" t="s">
        <v>166</v>
      </c>
      <c r="AG196" s="14" t="s">
        <v>166</v>
      </c>
      <c r="AH196" s="21">
        <v>1</v>
      </c>
      <c r="AI196" s="3">
        <f>HYPERLINK("https://my.pitchbook.com/?d=233856-82T","233856-82T")</f>
      </c>
      <c r="AJ196" s="19" t="s">
        <v>166</v>
      </c>
      <c r="AK196" s="19">
        <v>45204</v>
      </c>
      <c r="AL196" s="18">
        <v>4</v>
      </c>
      <c r="AM196" s="14" t="s">
        <v>185</v>
      </c>
      <c r="AN196" s="18" t="s">
        <v>166</v>
      </c>
      <c r="AO196" s="18" t="s">
        <v>166</v>
      </c>
      <c r="AP196" s="14" t="s">
        <v>166</v>
      </c>
      <c r="AQ196" s="21" t="s">
        <v>166</v>
      </c>
      <c r="AR196" s="21" t="s">
        <v>166</v>
      </c>
      <c r="AS196" s="17" t="s">
        <v>166</v>
      </c>
      <c r="AT196" s="18">
        <v>4</v>
      </c>
      <c r="AU196" s="21" t="s">
        <v>186</v>
      </c>
      <c r="AV196" s="21" t="s">
        <v>166</v>
      </c>
      <c r="AW196" s="18" t="s">
        <v>166</v>
      </c>
      <c r="AX196" s="21" t="s">
        <v>166</v>
      </c>
      <c r="AY196" s="14" t="s">
        <v>217</v>
      </c>
      <c r="AZ196" s="14" t="s">
        <v>217</v>
      </c>
      <c r="BA196" s="14" t="s">
        <v>166</v>
      </c>
      <c r="BB196" s="21" t="s">
        <v>166</v>
      </c>
      <c r="BC196" s="14" t="s">
        <v>179</v>
      </c>
      <c r="BD196" s="14" t="s">
        <v>3983</v>
      </c>
      <c r="BE196" s="14" t="s">
        <v>189</v>
      </c>
      <c r="BF196" s="18">
        <v>4</v>
      </c>
      <c r="BG196" s="14" t="s">
        <v>190</v>
      </c>
      <c r="BH196" s="14" t="s">
        <v>166</v>
      </c>
      <c r="BI196" s="14" t="s">
        <v>166</v>
      </c>
      <c r="BJ196" s="18" t="s">
        <v>166</v>
      </c>
      <c r="BK196" s="18" t="s">
        <v>166</v>
      </c>
      <c r="BL196" s="14" t="s">
        <v>191</v>
      </c>
      <c r="BM196" s="14" t="s">
        <v>178</v>
      </c>
      <c r="BN196" s="14" t="s">
        <v>177</v>
      </c>
      <c r="BO196" s="22" t="s">
        <v>166</v>
      </c>
      <c r="BP196" s="14" t="s">
        <v>3990</v>
      </c>
      <c r="BQ196" s="21">
        <v>6</v>
      </c>
      <c r="BR196" s="14" t="s">
        <v>166</v>
      </c>
      <c r="BS196" s="21" t="s">
        <v>166</v>
      </c>
      <c r="BT196" s="14" t="s">
        <v>3991</v>
      </c>
      <c r="BU196" s="14" t="s">
        <v>166</v>
      </c>
      <c r="BV196" s="14" t="s">
        <v>3992</v>
      </c>
      <c r="BW196" s="14" t="s">
        <v>166</v>
      </c>
      <c r="BX196" s="14" t="s">
        <v>166</v>
      </c>
      <c r="BY196" s="14" t="s">
        <v>166</v>
      </c>
      <c r="BZ196" s="14" t="s">
        <v>3993</v>
      </c>
      <c r="CA196" s="14" t="s">
        <v>3993</v>
      </c>
      <c r="CB196" s="14" t="s">
        <v>166</v>
      </c>
      <c r="CC196" s="14" t="s">
        <v>166</v>
      </c>
      <c r="CD196" s="14" t="s">
        <v>166</v>
      </c>
      <c r="CE196" s="18" t="s">
        <v>166</v>
      </c>
      <c r="CF196" s="16" t="s">
        <v>166</v>
      </c>
      <c r="CG196" s="17" t="s">
        <v>166</v>
      </c>
      <c r="CH196" s="16" t="s">
        <v>166</v>
      </c>
      <c r="CI196" s="16" t="s">
        <v>166</v>
      </c>
      <c r="CJ196" s="16" t="s">
        <v>166</v>
      </c>
      <c r="CK196" s="16" t="s">
        <v>166</v>
      </c>
      <c r="CL196" s="16" t="s">
        <v>166</v>
      </c>
      <c r="CM196" s="20" t="s">
        <v>166</v>
      </c>
      <c r="CN196" s="16" t="s">
        <v>166</v>
      </c>
      <c r="CO196" s="16" t="s">
        <v>166</v>
      </c>
      <c r="CP196" s="16" t="s">
        <v>166</v>
      </c>
      <c r="CQ196" s="16" t="s">
        <v>166</v>
      </c>
      <c r="CR196" s="16" t="s">
        <v>166</v>
      </c>
      <c r="CS196" s="16" t="s">
        <v>166</v>
      </c>
      <c r="CT196" s="16" t="s">
        <v>166</v>
      </c>
      <c r="CU196" s="16" t="s">
        <v>166</v>
      </c>
      <c r="CV196" s="16" t="s">
        <v>166</v>
      </c>
      <c r="CW196" s="16" t="s">
        <v>166</v>
      </c>
      <c r="CX196" s="16" t="s">
        <v>166</v>
      </c>
      <c r="CY196" s="16" t="s">
        <v>166</v>
      </c>
      <c r="CZ196" s="16" t="s">
        <v>166</v>
      </c>
      <c r="DA196" s="16" t="s">
        <v>166</v>
      </c>
      <c r="DB196" s="16" t="s">
        <v>166</v>
      </c>
      <c r="DC196" s="16" t="s">
        <v>166</v>
      </c>
      <c r="DD196" s="16" t="s">
        <v>166</v>
      </c>
      <c r="DE196" s="17" t="s">
        <v>166</v>
      </c>
      <c r="DF196" s="22">
        <v>9</v>
      </c>
      <c r="DG196" s="14" t="s">
        <v>673</v>
      </c>
      <c r="DH196" s="14" t="s">
        <v>193</v>
      </c>
      <c r="DI196" s="14" t="s">
        <v>194</v>
      </c>
      <c r="DJ196" s="14" t="s">
        <v>674</v>
      </c>
      <c r="DK196" s="14" t="s">
        <v>257</v>
      </c>
      <c r="DL196" s="21" t="s">
        <v>3994</v>
      </c>
      <c r="DM196" s="14" t="s">
        <v>198</v>
      </c>
      <c r="DN196" s="13" t="s">
        <v>3995</v>
      </c>
      <c r="DO196" s="20">
        <v>2023</v>
      </c>
      <c r="DP196" s="14" t="s">
        <v>166</v>
      </c>
      <c r="DQ196" s="14" t="s">
        <v>166</v>
      </c>
      <c r="DR196" s="18" t="s">
        <v>166</v>
      </c>
      <c r="DS196" s="16" t="s">
        <v>166</v>
      </c>
      <c r="DT196" s="19" t="s">
        <v>166</v>
      </c>
      <c r="DU196" s="14" t="s">
        <v>166</v>
      </c>
      <c r="DV196" s="18" t="s">
        <v>166</v>
      </c>
      <c r="DW196" s="18" t="s">
        <v>166</v>
      </c>
      <c r="DX196" s="16" t="s">
        <v>166</v>
      </c>
      <c r="DY196" s="16" t="s">
        <v>166</v>
      </c>
      <c r="DZ196" s="17" t="s">
        <v>166</v>
      </c>
      <c r="EA196" s="16" t="s">
        <v>166</v>
      </c>
      <c r="EB196" s="16" t="s">
        <v>166</v>
      </c>
      <c r="EC196" s="16" t="s">
        <v>166</v>
      </c>
      <c r="ED196" s="17" t="s">
        <v>166</v>
      </c>
      <c r="EE196" s="17" t="s">
        <v>166</v>
      </c>
      <c r="EF196" s="17" t="s">
        <v>166</v>
      </c>
      <c r="EG196" s="17" t="s">
        <v>166</v>
      </c>
      <c r="EH196" s="16" t="s">
        <v>166</v>
      </c>
      <c r="EI196" s="16" t="s">
        <v>166</v>
      </c>
      <c r="EJ196" s="16" t="s">
        <v>166</v>
      </c>
      <c r="EK196" s="16" t="s">
        <v>166</v>
      </c>
      <c r="EL196" s="16" t="s">
        <v>166</v>
      </c>
      <c r="EM196" s="16" t="s">
        <v>166</v>
      </c>
      <c r="EN196" s="16" t="s">
        <v>166</v>
      </c>
      <c r="EO196" s="16" t="s">
        <v>166</v>
      </c>
      <c r="EP196" s="16" t="s">
        <v>166</v>
      </c>
      <c r="EQ196" s="16" t="s">
        <v>166</v>
      </c>
      <c r="ER196" s="16" t="s">
        <v>166</v>
      </c>
      <c r="ES196" s="16" t="s">
        <v>166</v>
      </c>
      <c r="ET196" s="14" t="s">
        <v>166</v>
      </c>
      <c r="EU196" s="16" t="s">
        <v>166</v>
      </c>
      <c r="EV196" s="16" t="s">
        <v>166</v>
      </c>
      <c r="EW196" s="16" t="s">
        <v>166</v>
      </c>
      <c r="EX196" s="14" t="s">
        <v>190</v>
      </c>
      <c r="EY196" s="14" t="s">
        <v>166</v>
      </c>
      <c r="EZ196" s="16" t="s">
        <v>166</v>
      </c>
      <c r="FA196" s="15" t="s">
        <v>166</v>
      </c>
      <c r="FB196" s="15" t="s">
        <v>166</v>
      </c>
      <c r="FC196" s="15" t="s">
        <v>166</v>
      </c>
      <c r="FD196" s="15" t="s">
        <v>166</v>
      </c>
      <c r="FE196" s="15" t="s">
        <v>166</v>
      </c>
      <c r="FF196" s="15" t="s">
        <v>166</v>
      </c>
      <c r="FG196" s="14" t="s">
        <v>166</v>
      </c>
      <c r="FH196" s="3">
        <f>HYPERLINK("https://my.pitchbook.com?c=233856-82T","View Company Online")</f>
      </c>
    </row>
    <row r="197">
      <c r="A197" s="25" t="s">
        <v>3996</v>
      </c>
      <c r="B197" s="25" t="s">
        <v>3997</v>
      </c>
      <c r="C197" s="25" t="s">
        <v>3998</v>
      </c>
      <c r="D197" s="25" t="s">
        <v>166</v>
      </c>
      <c r="E197" s="34" t="s">
        <v>3999</v>
      </c>
      <c r="F197" s="32">
        <v>3</v>
      </c>
      <c r="G197" s="25" t="s">
        <v>4000</v>
      </c>
      <c r="H197" s="25" t="s">
        <v>166</v>
      </c>
      <c r="I197" s="25" t="s">
        <v>4001</v>
      </c>
      <c r="J197" s="25" t="s">
        <v>4002</v>
      </c>
      <c r="K197" s="25" t="s">
        <v>207</v>
      </c>
      <c r="L197" s="25" t="s">
        <v>208</v>
      </c>
      <c r="M197" s="25" t="s">
        <v>1766</v>
      </c>
      <c r="N197" s="25" t="s">
        <v>2393</v>
      </c>
      <c r="O197" s="25" t="s">
        <v>2394</v>
      </c>
      <c r="P197" s="25" t="s">
        <v>4003</v>
      </c>
      <c r="Q197" s="25" t="s">
        <v>166</v>
      </c>
      <c r="R197" s="25" t="s">
        <v>177</v>
      </c>
      <c r="S197" s="25" t="s">
        <v>178</v>
      </c>
      <c r="T197" s="25" t="s">
        <v>179</v>
      </c>
      <c r="U197" s="25" t="s">
        <v>4004</v>
      </c>
      <c r="V197" s="25" t="s">
        <v>4005</v>
      </c>
      <c r="W197" s="32" t="s">
        <v>166</v>
      </c>
      <c r="X197" s="25" t="s">
        <v>4006</v>
      </c>
      <c r="Y197" s="25" t="s">
        <v>4007</v>
      </c>
      <c r="Z197" s="25" t="s">
        <v>166</v>
      </c>
      <c r="AA197" s="25" t="s">
        <v>166</v>
      </c>
      <c r="AB197" s="25" t="s">
        <v>166</v>
      </c>
      <c r="AC197" s="25" t="s">
        <v>166</v>
      </c>
      <c r="AD197" s="25" t="s">
        <v>166</v>
      </c>
      <c r="AE197" s="25" t="s">
        <v>166</v>
      </c>
      <c r="AF197" s="25" t="s">
        <v>166</v>
      </c>
      <c r="AG197" s="25" t="s">
        <v>166</v>
      </c>
      <c r="AH197" s="32">
        <v>2</v>
      </c>
      <c r="AI197" s="4">
        <f>HYPERLINK("https://my.pitchbook.com/?d=266665-60T","266665-60T")</f>
      </c>
      <c r="AJ197" s="30" t="s">
        <v>166</v>
      </c>
      <c r="AK197" s="30">
        <v>45552</v>
      </c>
      <c r="AL197" s="29">
        <v>1</v>
      </c>
      <c r="AM197" s="25" t="s">
        <v>185</v>
      </c>
      <c r="AN197" s="29" t="s">
        <v>166</v>
      </c>
      <c r="AO197" s="29" t="s">
        <v>166</v>
      </c>
      <c r="AP197" s="25" t="s">
        <v>166</v>
      </c>
      <c r="AQ197" s="32" t="s">
        <v>166</v>
      </c>
      <c r="AR197" s="32" t="s">
        <v>166</v>
      </c>
      <c r="AS197" s="28" t="s">
        <v>166</v>
      </c>
      <c r="AT197" s="29">
        <v>1</v>
      </c>
      <c r="AU197" s="32" t="s">
        <v>186</v>
      </c>
      <c r="AV197" s="32" t="s">
        <v>166</v>
      </c>
      <c r="AW197" s="29" t="s">
        <v>166</v>
      </c>
      <c r="AX197" s="32" t="s">
        <v>166</v>
      </c>
      <c r="AY197" s="25" t="s">
        <v>217</v>
      </c>
      <c r="AZ197" s="25" t="s">
        <v>217</v>
      </c>
      <c r="BA197" s="25" t="s">
        <v>166</v>
      </c>
      <c r="BB197" s="32" t="s">
        <v>166</v>
      </c>
      <c r="BC197" s="25" t="s">
        <v>179</v>
      </c>
      <c r="BD197" s="25" t="s">
        <v>4008</v>
      </c>
      <c r="BE197" s="25" t="s">
        <v>189</v>
      </c>
      <c r="BF197" s="29">
        <v>1</v>
      </c>
      <c r="BG197" s="25" t="s">
        <v>190</v>
      </c>
      <c r="BH197" s="25" t="s">
        <v>166</v>
      </c>
      <c r="BI197" s="25" t="s">
        <v>166</v>
      </c>
      <c r="BJ197" s="29" t="s">
        <v>166</v>
      </c>
      <c r="BK197" s="29" t="s">
        <v>166</v>
      </c>
      <c r="BL197" s="25" t="s">
        <v>191</v>
      </c>
      <c r="BM197" s="25" t="s">
        <v>178</v>
      </c>
      <c r="BN197" s="25" t="s">
        <v>177</v>
      </c>
      <c r="BO197" s="33" t="s">
        <v>166</v>
      </c>
      <c r="BP197" s="25" t="s">
        <v>3999</v>
      </c>
      <c r="BQ197" s="32">
        <v>3</v>
      </c>
      <c r="BR197" s="25" t="s">
        <v>166</v>
      </c>
      <c r="BS197" s="32" t="s">
        <v>166</v>
      </c>
      <c r="BT197" s="25" t="s">
        <v>166</v>
      </c>
      <c r="BU197" s="25" t="s">
        <v>166</v>
      </c>
      <c r="BV197" s="25" t="s">
        <v>166</v>
      </c>
      <c r="BW197" s="25" t="s">
        <v>166</v>
      </c>
      <c r="BX197" s="25" t="s">
        <v>166</v>
      </c>
      <c r="BY197" s="25" t="s">
        <v>166</v>
      </c>
      <c r="BZ197" s="25" t="s">
        <v>166</v>
      </c>
      <c r="CA197" s="25" t="s">
        <v>166</v>
      </c>
      <c r="CB197" s="25" t="s">
        <v>166</v>
      </c>
      <c r="CC197" s="25" t="s">
        <v>166</v>
      </c>
      <c r="CD197" s="25" t="s">
        <v>166</v>
      </c>
      <c r="CE197" s="29" t="s">
        <v>166</v>
      </c>
      <c r="CF197" s="27" t="s">
        <v>166</v>
      </c>
      <c r="CG197" s="28" t="s">
        <v>166</v>
      </c>
      <c r="CH197" s="27" t="s">
        <v>166</v>
      </c>
      <c r="CI197" s="27" t="s">
        <v>166</v>
      </c>
      <c r="CJ197" s="27" t="s">
        <v>166</v>
      </c>
      <c r="CK197" s="27" t="s">
        <v>166</v>
      </c>
      <c r="CL197" s="27" t="s">
        <v>166</v>
      </c>
      <c r="CM197" s="31" t="s">
        <v>166</v>
      </c>
      <c r="CN197" s="27" t="s">
        <v>166</v>
      </c>
      <c r="CO197" s="27" t="s">
        <v>166</v>
      </c>
      <c r="CP197" s="27" t="s">
        <v>166</v>
      </c>
      <c r="CQ197" s="27" t="s">
        <v>166</v>
      </c>
      <c r="CR197" s="27" t="s">
        <v>166</v>
      </c>
      <c r="CS197" s="27" t="s">
        <v>166</v>
      </c>
      <c r="CT197" s="27" t="s">
        <v>166</v>
      </c>
      <c r="CU197" s="27" t="s">
        <v>166</v>
      </c>
      <c r="CV197" s="27" t="s">
        <v>166</v>
      </c>
      <c r="CW197" s="27" t="s">
        <v>166</v>
      </c>
      <c r="CX197" s="27" t="s">
        <v>166</v>
      </c>
      <c r="CY197" s="27" t="s">
        <v>166</v>
      </c>
      <c r="CZ197" s="27" t="s">
        <v>166</v>
      </c>
      <c r="DA197" s="27" t="s">
        <v>166</v>
      </c>
      <c r="DB197" s="27" t="s">
        <v>166</v>
      </c>
      <c r="DC197" s="27" t="s">
        <v>166</v>
      </c>
      <c r="DD197" s="27" t="s">
        <v>166</v>
      </c>
      <c r="DE197" s="28" t="s">
        <v>166</v>
      </c>
      <c r="DF197" s="33">
        <v>3</v>
      </c>
      <c r="DG197" s="25" t="s">
        <v>4009</v>
      </c>
      <c r="DH197" s="25" t="s">
        <v>193</v>
      </c>
      <c r="DI197" s="25" t="s">
        <v>194</v>
      </c>
      <c r="DJ197" s="25" t="s">
        <v>4010</v>
      </c>
      <c r="DK197" s="25" t="s">
        <v>2102</v>
      </c>
      <c r="DL197" s="32" t="s">
        <v>4011</v>
      </c>
      <c r="DM197" s="25" t="s">
        <v>198</v>
      </c>
      <c r="DN197" s="24" t="s">
        <v>4012</v>
      </c>
      <c r="DO197" s="31">
        <v>2021</v>
      </c>
      <c r="DP197" s="25" t="s">
        <v>166</v>
      </c>
      <c r="DQ197" s="25" t="s">
        <v>166</v>
      </c>
      <c r="DR197" s="29" t="s">
        <v>166</v>
      </c>
      <c r="DS197" s="27" t="s">
        <v>166</v>
      </c>
      <c r="DT197" s="30" t="s">
        <v>166</v>
      </c>
      <c r="DU197" s="25" t="s">
        <v>166</v>
      </c>
      <c r="DV197" s="29" t="s">
        <v>166</v>
      </c>
      <c r="DW197" s="29" t="s">
        <v>166</v>
      </c>
      <c r="DX197" s="27" t="s">
        <v>166</v>
      </c>
      <c r="DY197" s="27" t="s">
        <v>166</v>
      </c>
      <c r="DZ197" s="28" t="s">
        <v>166</v>
      </c>
      <c r="EA197" s="27" t="s">
        <v>166</v>
      </c>
      <c r="EB197" s="27" t="s">
        <v>166</v>
      </c>
      <c r="EC197" s="27" t="s">
        <v>166</v>
      </c>
      <c r="ED197" s="28" t="s">
        <v>166</v>
      </c>
      <c r="EE197" s="28" t="s">
        <v>166</v>
      </c>
      <c r="EF197" s="28" t="s">
        <v>166</v>
      </c>
      <c r="EG197" s="28" t="s">
        <v>166</v>
      </c>
      <c r="EH197" s="27" t="s">
        <v>166</v>
      </c>
      <c r="EI197" s="27" t="s">
        <v>166</v>
      </c>
      <c r="EJ197" s="27" t="s">
        <v>166</v>
      </c>
      <c r="EK197" s="27" t="s">
        <v>166</v>
      </c>
      <c r="EL197" s="27" t="s">
        <v>166</v>
      </c>
      <c r="EM197" s="27" t="s">
        <v>166</v>
      </c>
      <c r="EN197" s="27" t="s">
        <v>166</v>
      </c>
      <c r="EO197" s="27" t="s">
        <v>166</v>
      </c>
      <c r="EP197" s="27" t="s">
        <v>166</v>
      </c>
      <c r="EQ197" s="27" t="s">
        <v>166</v>
      </c>
      <c r="ER197" s="27" t="s">
        <v>166</v>
      </c>
      <c r="ES197" s="27" t="s">
        <v>166</v>
      </c>
      <c r="ET197" s="25" t="s">
        <v>166</v>
      </c>
      <c r="EU197" s="27" t="s">
        <v>166</v>
      </c>
      <c r="EV197" s="27" t="s">
        <v>166</v>
      </c>
      <c r="EW197" s="27" t="s">
        <v>166</v>
      </c>
      <c r="EX197" s="25" t="s">
        <v>190</v>
      </c>
      <c r="EY197" s="25" t="s">
        <v>166</v>
      </c>
      <c r="EZ197" s="27" t="s">
        <v>166</v>
      </c>
      <c r="FA197" s="26" t="s">
        <v>166</v>
      </c>
      <c r="FB197" s="26" t="s">
        <v>166</v>
      </c>
      <c r="FC197" s="26" t="s">
        <v>166</v>
      </c>
      <c r="FD197" s="26" t="s">
        <v>166</v>
      </c>
      <c r="FE197" s="26" t="s">
        <v>166</v>
      </c>
      <c r="FF197" s="26" t="s">
        <v>166</v>
      </c>
      <c r="FG197" s="25" t="s">
        <v>166</v>
      </c>
      <c r="FH197" s="4">
        <f>HYPERLINK("https://my.pitchbook.com?c=266665-60T","View Company Online")</f>
      </c>
    </row>
    <row r="198">
      <c r="A198" s="14" t="s">
        <v>4013</v>
      </c>
      <c r="B198" s="14" t="s">
        <v>4014</v>
      </c>
      <c r="C198" s="14" t="s">
        <v>4015</v>
      </c>
      <c r="D198" s="14" t="s">
        <v>166</v>
      </c>
      <c r="E198" s="23" t="s">
        <v>4016</v>
      </c>
      <c r="F198" s="21">
        <v>23</v>
      </c>
      <c r="G198" s="14" t="s">
        <v>4017</v>
      </c>
      <c r="H198" s="14" t="s">
        <v>166</v>
      </c>
      <c r="I198" s="14" t="s">
        <v>4018</v>
      </c>
      <c r="J198" s="14" t="s">
        <v>4019</v>
      </c>
      <c r="K198" s="14" t="s">
        <v>207</v>
      </c>
      <c r="L198" s="14" t="s">
        <v>208</v>
      </c>
      <c r="M198" s="14" t="s">
        <v>209</v>
      </c>
      <c r="N198" s="14" t="s">
        <v>4020</v>
      </c>
      <c r="O198" s="14" t="s">
        <v>4021</v>
      </c>
      <c r="P198" s="14" t="s">
        <v>4022</v>
      </c>
      <c r="Q198" s="14" t="s">
        <v>166</v>
      </c>
      <c r="R198" s="14" t="s">
        <v>177</v>
      </c>
      <c r="S198" s="14" t="s">
        <v>178</v>
      </c>
      <c r="T198" s="14" t="s">
        <v>179</v>
      </c>
      <c r="U198" s="14" t="s">
        <v>4023</v>
      </c>
      <c r="V198" s="14" t="s">
        <v>4024</v>
      </c>
      <c r="W198" s="21" t="s">
        <v>4025</v>
      </c>
      <c r="X198" s="14" t="s">
        <v>4026</v>
      </c>
      <c r="Y198" s="14" t="s">
        <v>4027</v>
      </c>
      <c r="Z198" s="14" t="s">
        <v>4028</v>
      </c>
      <c r="AA198" s="14" t="s">
        <v>242</v>
      </c>
      <c r="AB198" s="14" t="s">
        <v>243</v>
      </c>
      <c r="AC198" s="14" t="s">
        <v>244</v>
      </c>
      <c r="AD198" s="14" t="s">
        <v>243</v>
      </c>
      <c r="AE198" s="14" t="s">
        <v>243</v>
      </c>
      <c r="AF198" s="14" t="s">
        <v>166</v>
      </c>
      <c r="AG198" s="14" t="s">
        <v>246</v>
      </c>
      <c r="AH198" s="21">
        <v>1</v>
      </c>
      <c r="AI198" s="3">
        <f>HYPERLINK("https://my.pitchbook.com/?d=178997-14T","178997-14T")</f>
      </c>
      <c r="AJ198" s="19">
        <v>44418</v>
      </c>
      <c r="AK198" s="19">
        <v>44433</v>
      </c>
      <c r="AL198" s="18">
        <v>3.5</v>
      </c>
      <c r="AM198" s="14" t="s">
        <v>185</v>
      </c>
      <c r="AN198" s="18">
        <v>12</v>
      </c>
      <c r="AO198" s="18">
        <v>15.5</v>
      </c>
      <c r="AP198" s="14" t="s">
        <v>185</v>
      </c>
      <c r="AQ198" s="21" t="s">
        <v>166</v>
      </c>
      <c r="AR198" s="21" t="s">
        <v>166</v>
      </c>
      <c r="AS198" s="17">
        <v>25.15</v>
      </c>
      <c r="AT198" s="18">
        <v>3.5</v>
      </c>
      <c r="AU198" s="21" t="s">
        <v>186</v>
      </c>
      <c r="AV198" s="21" t="s">
        <v>166</v>
      </c>
      <c r="AW198" s="18">
        <v>1.65</v>
      </c>
      <c r="AX198" s="21" t="s">
        <v>166</v>
      </c>
      <c r="AY198" s="14" t="s">
        <v>217</v>
      </c>
      <c r="AZ198" s="14" t="s">
        <v>217</v>
      </c>
      <c r="BA198" s="14" t="s">
        <v>166</v>
      </c>
      <c r="BB198" s="21" t="s">
        <v>166</v>
      </c>
      <c r="BC198" s="14" t="s">
        <v>179</v>
      </c>
      <c r="BD198" s="14" t="s">
        <v>4029</v>
      </c>
      <c r="BE198" s="14" t="s">
        <v>189</v>
      </c>
      <c r="BF198" s="18">
        <v>3.5</v>
      </c>
      <c r="BG198" s="14" t="s">
        <v>190</v>
      </c>
      <c r="BH198" s="14" t="s">
        <v>166</v>
      </c>
      <c r="BI198" s="14" t="s">
        <v>166</v>
      </c>
      <c r="BJ198" s="18" t="s">
        <v>166</v>
      </c>
      <c r="BK198" s="18" t="s">
        <v>166</v>
      </c>
      <c r="BL198" s="14" t="s">
        <v>191</v>
      </c>
      <c r="BM198" s="14" t="s">
        <v>178</v>
      </c>
      <c r="BN198" s="14" t="s">
        <v>177</v>
      </c>
      <c r="BO198" s="22" t="s">
        <v>166</v>
      </c>
      <c r="BP198" s="14" t="s">
        <v>4030</v>
      </c>
      <c r="BQ198" s="21">
        <v>23</v>
      </c>
      <c r="BR198" s="14" t="s">
        <v>166</v>
      </c>
      <c r="BS198" s="21" t="s">
        <v>166</v>
      </c>
      <c r="BT198" s="14" t="s">
        <v>4031</v>
      </c>
      <c r="BU198" s="14" t="s">
        <v>166</v>
      </c>
      <c r="BV198" s="14" t="s">
        <v>4032</v>
      </c>
      <c r="BW198" s="14" t="s">
        <v>166</v>
      </c>
      <c r="BX198" s="14" t="s">
        <v>166</v>
      </c>
      <c r="BY198" s="14" t="s">
        <v>166</v>
      </c>
      <c r="BZ198" s="14" t="s">
        <v>1327</v>
      </c>
      <c r="CA198" s="14" t="s">
        <v>1327</v>
      </c>
      <c r="CB198" s="14" t="s">
        <v>166</v>
      </c>
      <c r="CC198" s="14" t="s">
        <v>166</v>
      </c>
      <c r="CD198" s="14" t="s">
        <v>166</v>
      </c>
      <c r="CE198" s="18" t="s">
        <v>166</v>
      </c>
      <c r="CF198" s="16" t="s">
        <v>166</v>
      </c>
      <c r="CG198" s="17" t="s">
        <v>166</v>
      </c>
      <c r="CH198" s="16" t="s">
        <v>166</v>
      </c>
      <c r="CI198" s="16" t="s">
        <v>166</v>
      </c>
      <c r="CJ198" s="16" t="s">
        <v>166</v>
      </c>
      <c r="CK198" s="16" t="s">
        <v>166</v>
      </c>
      <c r="CL198" s="16" t="s">
        <v>166</v>
      </c>
      <c r="CM198" s="20" t="s">
        <v>166</v>
      </c>
      <c r="CN198" s="16" t="s">
        <v>166</v>
      </c>
      <c r="CO198" s="16" t="s">
        <v>166</v>
      </c>
      <c r="CP198" s="16" t="s">
        <v>166</v>
      </c>
      <c r="CQ198" s="16" t="s">
        <v>166</v>
      </c>
      <c r="CR198" s="16" t="s">
        <v>166</v>
      </c>
      <c r="CS198" s="16" t="s">
        <v>166</v>
      </c>
      <c r="CT198" s="16" t="s">
        <v>166</v>
      </c>
      <c r="CU198" s="16" t="s">
        <v>166</v>
      </c>
      <c r="CV198" s="16" t="s">
        <v>166</v>
      </c>
      <c r="CW198" s="16" t="s">
        <v>166</v>
      </c>
      <c r="CX198" s="16" t="s">
        <v>166</v>
      </c>
      <c r="CY198" s="16" t="s">
        <v>166</v>
      </c>
      <c r="CZ198" s="16" t="s">
        <v>166</v>
      </c>
      <c r="DA198" s="16" t="s">
        <v>166</v>
      </c>
      <c r="DB198" s="16" t="s">
        <v>166</v>
      </c>
      <c r="DC198" s="16" t="s">
        <v>166</v>
      </c>
      <c r="DD198" s="16" t="s">
        <v>166</v>
      </c>
      <c r="DE198" s="17" t="s">
        <v>166</v>
      </c>
      <c r="DF198" s="22">
        <v>26</v>
      </c>
      <c r="DG198" s="14" t="s">
        <v>1634</v>
      </c>
      <c r="DH198" s="14" t="s">
        <v>193</v>
      </c>
      <c r="DI198" s="14" t="s">
        <v>194</v>
      </c>
      <c r="DJ198" s="14" t="s">
        <v>1635</v>
      </c>
      <c r="DK198" s="14" t="s">
        <v>408</v>
      </c>
      <c r="DL198" s="21" t="s">
        <v>4033</v>
      </c>
      <c r="DM198" s="14" t="s">
        <v>198</v>
      </c>
      <c r="DN198" s="13" t="s">
        <v>4034</v>
      </c>
      <c r="DO198" s="20">
        <v>2020</v>
      </c>
      <c r="DP198" s="14" t="s">
        <v>166</v>
      </c>
      <c r="DQ198" s="14" t="s">
        <v>166</v>
      </c>
      <c r="DR198" s="18" t="s">
        <v>166</v>
      </c>
      <c r="DS198" s="16" t="s">
        <v>166</v>
      </c>
      <c r="DT198" s="19" t="s">
        <v>166</v>
      </c>
      <c r="DU198" s="14" t="s">
        <v>166</v>
      </c>
      <c r="DV198" s="18" t="s">
        <v>166</v>
      </c>
      <c r="DW198" s="18" t="s">
        <v>166</v>
      </c>
      <c r="DX198" s="16" t="s">
        <v>166</v>
      </c>
      <c r="DY198" s="16" t="s">
        <v>166</v>
      </c>
      <c r="DZ198" s="17" t="s">
        <v>166</v>
      </c>
      <c r="EA198" s="16" t="s">
        <v>166</v>
      </c>
      <c r="EB198" s="16" t="s">
        <v>166</v>
      </c>
      <c r="EC198" s="16" t="s">
        <v>166</v>
      </c>
      <c r="ED198" s="17" t="s">
        <v>166</v>
      </c>
      <c r="EE198" s="17" t="s">
        <v>166</v>
      </c>
      <c r="EF198" s="17" t="s">
        <v>166</v>
      </c>
      <c r="EG198" s="17" t="s">
        <v>166</v>
      </c>
      <c r="EH198" s="16" t="s">
        <v>166</v>
      </c>
      <c r="EI198" s="16" t="s">
        <v>166</v>
      </c>
      <c r="EJ198" s="16" t="s">
        <v>166</v>
      </c>
      <c r="EK198" s="16" t="s">
        <v>166</v>
      </c>
      <c r="EL198" s="16" t="s">
        <v>166</v>
      </c>
      <c r="EM198" s="16" t="s">
        <v>166</v>
      </c>
      <c r="EN198" s="16" t="s">
        <v>166</v>
      </c>
      <c r="EO198" s="16" t="s">
        <v>166</v>
      </c>
      <c r="EP198" s="16" t="s">
        <v>166</v>
      </c>
      <c r="EQ198" s="16" t="s">
        <v>166</v>
      </c>
      <c r="ER198" s="16" t="s">
        <v>166</v>
      </c>
      <c r="ES198" s="16" t="s">
        <v>166</v>
      </c>
      <c r="ET198" s="14" t="s">
        <v>166</v>
      </c>
      <c r="EU198" s="16" t="s">
        <v>166</v>
      </c>
      <c r="EV198" s="16" t="s">
        <v>166</v>
      </c>
      <c r="EW198" s="16" t="s">
        <v>166</v>
      </c>
      <c r="EX198" s="14" t="s">
        <v>190</v>
      </c>
      <c r="EY198" s="14" t="s">
        <v>166</v>
      </c>
      <c r="EZ198" s="16" t="s">
        <v>166</v>
      </c>
      <c r="FA198" s="15">
        <v>21</v>
      </c>
      <c r="FB198" s="15">
        <v>5</v>
      </c>
      <c r="FC198" s="15">
        <v>10</v>
      </c>
      <c r="FD198" s="15">
        <v>11</v>
      </c>
      <c r="FE198" s="15" t="s">
        <v>166</v>
      </c>
      <c r="FF198" s="15" t="s">
        <v>166</v>
      </c>
      <c r="FG198" s="14" t="s">
        <v>457</v>
      </c>
      <c r="FH198" s="3">
        <f>HYPERLINK("https://my.pitchbook.com?c=178997-14T","View Company Online")</f>
      </c>
    </row>
    <row r="199">
      <c r="A199" s="25" t="s">
        <v>4035</v>
      </c>
      <c r="B199" s="25" t="s">
        <v>4036</v>
      </c>
      <c r="C199" s="25" t="s">
        <v>4037</v>
      </c>
      <c r="D199" s="25" t="s">
        <v>166</v>
      </c>
      <c r="E199" s="34" t="s">
        <v>4038</v>
      </c>
      <c r="F199" s="32">
        <v>11</v>
      </c>
      <c r="G199" s="25" t="s">
        <v>4039</v>
      </c>
      <c r="H199" s="25" t="s">
        <v>166</v>
      </c>
      <c r="I199" s="25" t="s">
        <v>4040</v>
      </c>
      <c r="J199" s="25" t="s">
        <v>4041</v>
      </c>
      <c r="K199" s="25" t="s">
        <v>207</v>
      </c>
      <c r="L199" s="25" t="s">
        <v>208</v>
      </c>
      <c r="M199" s="25" t="s">
        <v>296</v>
      </c>
      <c r="N199" s="25" t="s">
        <v>1052</v>
      </c>
      <c r="O199" s="25" t="s">
        <v>4042</v>
      </c>
      <c r="P199" s="25" t="s">
        <v>4043</v>
      </c>
      <c r="Q199" s="25" t="s">
        <v>4044</v>
      </c>
      <c r="R199" s="25" t="s">
        <v>177</v>
      </c>
      <c r="S199" s="25" t="s">
        <v>178</v>
      </c>
      <c r="T199" s="25" t="s">
        <v>179</v>
      </c>
      <c r="U199" s="25" t="s">
        <v>4045</v>
      </c>
      <c r="V199" s="25" t="s">
        <v>4046</v>
      </c>
      <c r="W199" s="32" t="s">
        <v>166</v>
      </c>
      <c r="X199" s="25" t="s">
        <v>166</v>
      </c>
      <c r="Y199" s="25" t="s">
        <v>4047</v>
      </c>
      <c r="Z199" s="25" t="s">
        <v>166</v>
      </c>
      <c r="AA199" s="25" t="s">
        <v>166</v>
      </c>
      <c r="AB199" s="25" t="s">
        <v>166</v>
      </c>
      <c r="AC199" s="25" t="s">
        <v>166</v>
      </c>
      <c r="AD199" s="25" t="s">
        <v>166</v>
      </c>
      <c r="AE199" s="25" t="s">
        <v>166</v>
      </c>
      <c r="AF199" s="25" t="s">
        <v>166</v>
      </c>
      <c r="AG199" s="25" t="s">
        <v>166</v>
      </c>
      <c r="AH199" s="32">
        <v>2</v>
      </c>
      <c r="AI199" s="4">
        <f>HYPERLINK("https://my.pitchbook.com/?d=234772-66T","234772-66T")</f>
      </c>
      <c r="AJ199" s="30">
        <v>45261</v>
      </c>
      <c r="AK199" s="30">
        <v>45299</v>
      </c>
      <c r="AL199" s="29">
        <v>1.5</v>
      </c>
      <c r="AM199" s="25" t="s">
        <v>185</v>
      </c>
      <c r="AN199" s="29" t="s">
        <v>166</v>
      </c>
      <c r="AO199" s="29" t="s">
        <v>166</v>
      </c>
      <c r="AP199" s="25" t="s">
        <v>166</v>
      </c>
      <c r="AQ199" s="32" t="s">
        <v>166</v>
      </c>
      <c r="AR199" s="32" t="s">
        <v>166</v>
      </c>
      <c r="AS199" s="28" t="s">
        <v>166</v>
      </c>
      <c r="AT199" s="29">
        <v>2</v>
      </c>
      <c r="AU199" s="32" t="s">
        <v>186</v>
      </c>
      <c r="AV199" s="32" t="s">
        <v>166</v>
      </c>
      <c r="AW199" s="29" t="s">
        <v>166</v>
      </c>
      <c r="AX199" s="32" t="s">
        <v>166</v>
      </c>
      <c r="AY199" s="25" t="s">
        <v>217</v>
      </c>
      <c r="AZ199" s="25" t="s">
        <v>217</v>
      </c>
      <c r="BA199" s="25" t="s">
        <v>166</v>
      </c>
      <c r="BB199" s="32" t="s">
        <v>166</v>
      </c>
      <c r="BC199" s="25" t="s">
        <v>179</v>
      </c>
      <c r="BD199" s="25" t="s">
        <v>4048</v>
      </c>
      <c r="BE199" s="25" t="s">
        <v>189</v>
      </c>
      <c r="BF199" s="29">
        <v>1.5</v>
      </c>
      <c r="BG199" s="25" t="s">
        <v>190</v>
      </c>
      <c r="BH199" s="25" t="s">
        <v>166</v>
      </c>
      <c r="BI199" s="25" t="s">
        <v>166</v>
      </c>
      <c r="BJ199" s="29" t="s">
        <v>166</v>
      </c>
      <c r="BK199" s="29" t="s">
        <v>166</v>
      </c>
      <c r="BL199" s="25" t="s">
        <v>191</v>
      </c>
      <c r="BM199" s="25" t="s">
        <v>178</v>
      </c>
      <c r="BN199" s="25" t="s">
        <v>177</v>
      </c>
      <c r="BO199" s="33" t="s">
        <v>166</v>
      </c>
      <c r="BP199" s="25" t="s">
        <v>4049</v>
      </c>
      <c r="BQ199" s="32">
        <v>10</v>
      </c>
      <c r="BR199" s="25" t="s">
        <v>914</v>
      </c>
      <c r="BS199" s="32">
        <v>1</v>
      </c>
      <c r="BT199" s="25" t="s">
        <v>4050</v>
      </c>
      <c r="BU199" s="25" t="s">
        <v>166</v>
      </c>
      <c r="BV199" s="25" t="s">
        <v>4051</v>
      </c>
      <c r="BW199" s="25" t="s">
        <v>166</v>
      </c>
      <c r="BX199" s="25" t="s">
        <v>166</v>
      </c>
      <c r="BY199" s="25" t="s">
        <v>166</v>
      </c>
      <c r="BZ199" s="25" t="s">
        <v>4052</v>
      </c>
      <c r="CA199" s="25" t="s">
        <v>4052</v>
      </c>
      <c r="CB199" s="25" t="s">
        <v>166</v>
      </c>
      <c r="CC199" s="25" t="s">
        <v>166</v>
      </c>
      <c r="CD199" s="25" t="s">
        <v>166</v>
      </c>
      <c r="CE199" s="29" t="s">
        <v>166</v>
      </c>
      <c r="CF199" s="27" t="s">
        <v>166</v>
      </c>
      <c r="CG199" s="28" t="s">
        <v>166</v>
      </c>
      <c r="CH199" s="27" t="s">
        <v>166</v>
      </c>
      <c r="CI199" s="27" t="s">
        <v>166</v>
      </c>
      <c r="CJ199" s="27" t="s">
        <v>166</v>
      </c>
      <c r="CK199" s="27" t="s">
        <v>166</v>
      </c>
      <c r="CL199" s="27" t="s">
        <v>166</v>
      </c>
      <c r="CM199" s="31" t="s">
        <v>166</v>
      </c>
      <c r="CN199" s="27" t="s">
        <v>166</v>
      </c>
      <c r="CO199" s="27" t="s">
        <v>166</v>
      </c>
      <c r="CP199" s="27" t="s">
        <v>166</v>
      </c>
      <c r="CQ199" s="27" t="s">
        <v>166</v>
      </c>
      <c r="CR199" s="27" t="s">
        <v>166</v>
      </c>
      <c r="CS199" s="27" t="s">
        <v>166</v>
      </c>
      <c r="CT199" s="27" t="s">
        <v>166</v>
      </c>
      <c r="CU199" s="27" t="s">
        <v>166</v>
      </c>
      <c r="CV199" s="27" t="s">
        <v>166</v>
      </c>
      <c r="CW199" s="27" t="s">
        <v>166</v>
      </c>
      <c r="CX199" s="27" t="s">
        <v>166</v>
      </c>
      <c r="CY199" s="27" t="s">
        <v>166</v>
      </c>
      <c r="CZ199" s="27" t="s">
        <v>166</v>
      </c>
      <c r="DA199" s="27" t="s">
        <v>166</v>
      </c>
      <c r="DB199" s="27" t="s">
        <v>166</v>
      </c>
      <c r="DC199" s="27" t="s">
        <v>166</v>
      </c>
      <c r="DD199" s="27" t="s">
        <v>166</v>
      </c>
      <c r="DE199" s="28" t="s">
        <v>166</v>
      </c>
      <c r="DF199" s="33">
        <v>24</v>
      </c>
      <c r="DG199" s="25" t="s">
        <v>4053</v>
      </c>
      <c r="DH199" s="25" t="s">
        <v>193</v>
      </c>
      <c r="DI199" s="25" t="s">
        <v>194</v>
      </c>
      <c r="DJ199" s="25" t="s">
        <v>4054</v>
      </c>
      <c r="DK199" s="25" t="s">
        <v>1063</v>
      </c>
      <c r="DL199" s="32" t="s">
        <v>1233</v>
      </c>
      <c r="DM199" s="25" t="s">
        <v>198</v>
      </c>
      <c r="DN199" s="24" t="s">
        <v>4055</v>
      </c>
      <c r="DO199" s="31">
        <v>2023</v>
      </c>
      <c r="DP199" s="25" t="s">
        <v>166</v>
      </c>
      <c r="DQ199" s="25" t="s">
        <v>166</v>
      </c>
      <c r="DR199" s="29" t="s">
        <v>166</v>
      </c>
      <c r="DS199" s="27" t="s">
        <v>166</v>
      </c>
      <c r="DT199" s="30" t="s">
        <v>166</v>
      </c>
      <c r="DU199" s="25" t="s">
        <v>166</v>
      </c>
      <c r="DV199" s="29" t="s">
        <v>166</v>
      </c>
      <c r="DW199" s="29" t="s">
        <v>166</v>
      </c>
      <c r="DX199" s="27" t="s">
        <v>166</v>
      </c>
      <c r="DY199" s="27" t="s">
        <v>166</v>
      </c>
      <c r="DZ199" s="28" t="s">
        <v>166</v>
      </c>
      <c r="EA199" s="27" t="s">
        <v>166</v>
      </c>
      <c r="EB199" s="27" t="s">
        <v>166</v>
      </c>
      <c r="EC199" s="27" t="s">
        <v>166</v>
      </c>
      <c r="ED199" s="28" t="s">
        <v>166</v>
      </c>
      <c r="EE199" s="28" t="s">
        <v>166</v>
      </c>
      <c r="EF199" s="28" t="s">
        <v>166</v>
      </c>
      <c r="EG199" s="28" t="s">
        <v>166</v>
      </c>
      <c r="EH199" s="27" t="s">
        <v>166</v>
      </c>
      <c r="EI199" s="27" t="s">
        <v>166</v>
      </c>
      <c r="EJ199" s="27" t="s">
        <v>166</v>
      </c>
      <c r="EK199" s="27" t="s">
        <v>166</v>
      </c>
      <c r="EL199" s="27" t="s">
        <v>166</v>
      </c>
      <c r="EM199" s="27" t="s">
        <v>166</v>
      </c>
      <c r="EN199" s="27" t="s">
        <v>166</v>
      </c>
      <c r="EO199" s="27" t="s">
        <v>166</v>
      </c>
      <c r="EP199" s="27" t="s">
        <v>166</v>
      </c>
      <c r="EQ199" s="27" t="s">
        <v>166</v>
      </c>
      <c r="ER199" s="27" t="s">
        <v>166</v>
      </c>
      <c r="ES199" s="27" t="s">
        <v>166</v>
      </c>
      <c r="ET199" s="25" t="s">
        <v>166</v>
      </c>
      <c r="EU199" s="27" t="s">
        <v>166</v>
      </c>
      <c r="EV199" s="27" t="s">
        <v>166</v>
      </c>
      <c r="EW199" s="27" t="s">
        <v>166</v>
      </c>
      <c r="EX199" s="25" t="s">
        <v>190</v>
      </c>
      <c r="EY199" s="25" t="s">
        <v>166</v>
      </c>
      <c r="EZ199" s="27" t="s">
        <v>166</v>
      </c>
      <c r="FA199" s="26" t="s">
        <v>166</v>
      </c>
      <c r="FB199" s="26" t="s">
        <v>166</v>
      </c>
      <c r="FC199" s="26" t="s">
        <v>166</v>
      </c>
      <c r="FD199" s="26" t="s">
        <v>166</v>
      </c>
      <c r="FE199" s="26" t="s">
        <v>166</v>
      </c>
      <c r="FF199" s="26" t="s">
        <v>166</v>
      </c>
      <c r="FG199" s="25" t="s">
        <v>166</v>
      </c>
      <c r="FH199" s="4">
        <f>HYPERLINK("https://my.pitchbook.com?c=234772-66T","View Company Online")</f>
      </c>
    </row>
    <row r="200">
      <c r="A200" s="14" t="s">
        <v>4056</v>
      </c>
      <c r="B200" s="14" t="s">
        <v>4057</v>
      </c>
      <c r="C200" s="14" t="s">
        <v>4058</v>
      </c>
      <c r="D200" s="14" t="s">
        <v>166</v>
      </c>
      <c r="E200" s="23" t="s">
        <v>4059</v>
      </c>
      <c r="F200" s="21">
        <v>1</v>
      </c>
      <c r="G200" s="14" t="s">
        <v>4060</v>
      </c>
      <c r="H200" s="14" t="s">
        <v>166</v>
      </c>
      <c r="I200" s="14" t="s">
        <v>4061</v>
      </c>
      <c r="J200" s="14" t="s">
        <v>4062</v>
      </c>
      <c r="K200" s="14" t="s">
        <v>207</v>
      </c>
      <c r="L200" s="14" t="s">
        <v>208</v>
      </c>
      <c r="M200" s="14" t="s">
        <v>639</v>
      </c>
      <c r="N200" s="14" t="s">
        <v>2719</v>
      </c>
      <c r="O200" s="14" t="s">
        <v>1842</v>
      </c>
      <c r="P200" s="14" t="s">
        <v>4063</v>
      </c>
      <c r="Q200" s="14" t="s">
        <v>166</v>
      </c>
      <c r="R200" s="14" t="s">
        <v>177</v>
      </c>
      <c r="S200" s="14" t="s">
        <v>178</v>
      </c>
      <c r="T200" s="14" t="s">
        <v>179</v>
      </c>
      <c r="U200" s="14" t="s">
        <v>4064</v>
      </c>
      <c r="V200" s="14" t="s">
        <v>4065</v>
      </c>
      <c r="W200" s="21" t="s">
        <v>4066</v>
      </c>
      <c r="X200" s="14" t="s">
        <v>4067</v>
      </c>
      <c r="Y200" s="14" t="s">
        <v>4068</v>
      </c>
      <c r="Z200" s="14" t="s">
        <v>4069</v>
      </c>
      <c r="AA200" s="14" t="s">
        <v>166</v>
      </c>
      <c r="AB200" s="14" t="s">
        <v>166</v>
      </c>
      <c r="AC200" s="14" t="s">
        <v>166</v>
      </c>
      <c r="AD200" s="14" t="s">
        <v>166</v>
      </c>
      <c r="AE200" s="14" t="s">
        <v>166</v>
      </c>
      <c r="AF200" s="14" t="s">
        <v>166</v>
      </c>
      <c r="AG200" s="14" t="s">
        <v>166</v>
      </c>
      <c r="AH200" s="21">
        <v>2</v>
      </c>
      <c r="AI200" s="3">
        <f>HYPERLINK("https://my.pitchbook.com/?d=191489-50T","191489-50T")</f>
      </c>
      <c r="AJ200" s="19" t="s">
        <v>166</v>
      </c>
      <c r="AK200" s="19">
        <v>45107</v>
      </c>
      <c r="AL200" s="18">
        <v>0.76</v>
      </c>
      <c r="AM200" s="14" t="s">
        <v>185</v>
      </c>
      <c r="AN200" s="18" t="s">
        <v>166</v>
      </c>
      <c r="AO200" s="18" t="s">
        <v>166</v>
      </c>
      <c r="AP200" s="14" t="s">
        <v>166</v>
      </c>
      <c r="AQ200" s="21" t="s">
        <v>166</v>
      </c>
      <c r="AR200" s="21" t="s">
        <v>166</v>
      </c>
      <c r="AS200" s="17" t="s">
        <v>166</v>
      </c>
      <c r="AT200" s="18">
        <v>0.89</v>
      </c>
      <c r="AU200" s="21" t="s">
        <v>186</v>
      </c>
      <c r="AV200" s="21" t="s">
        <v>166</v>
      </c>
      <c r="AW200" s="18" t="s">
        <v>166</v>
      </c>
      <c r="AX200" s="21" t="s">
        <v>166</v>
      </c>
      <c r="AY200" s="14" t="s">
        <v>217</v>
      </c>
      <c r="AZ200" s="14" t="s">
        <v>217</v>
      </c>
      <c r="BA200" s="14" t="s">
        <v>166</v>
      </c>
      <c r="BB200" s="21" t="s">
        <v>166</v>
      </c>
      <c r="BC200" s="14" t="s">
        <v>179</v>
      </c>
      <c r="BD200" s="14" t="s">
        <v>4062</v>
      </c>
      <c r="BE200" s="14" t="s">
        <v>189</v>
      </c>
      <c r="BF200" s="18" t="s">
        <v>166</v>
      </c>
      <c r="BG200" s="14" t="s">
        <v>190</v>
      </c>
      <c r="BH200" s="14" t="s">
        <v>166</v>
      </c>
      <c r="BI200" s="14" t="s">
        <v>166</v>
      </c>
      <c r="BJ200" s="18" t="s">
        <v>166</v>
      </c>
      <c r="BK200" s="18" t="s">
        <v>166</v>
      </c>
      <c r="BL200" s="14" t="s">
        <v>191</v>
      </c>
      <c r="BM200" s="14" t="s">
        <v>178</v>
      </c>
      <c r="BN200" s="14" t="s">
        <v>177</v>
      </c>
      <c r="BO200" s="22" t="s">
        <v>166</v>
      </c>
      <c r="BP200" s="14" t="s">
        <v>4059</v>
      </c>
      <c r="BQ200" s="21">
        <v>1</v>
      </c>
      <c r="BR200" s="14" t="s">
        <v>166</v>
      </c>
      <c r="BS200" s="21" t="s">
        <v>166</v>
      </c>
      <c r="BT200" s="14" t="s">
        <v>166</v>
      </c>
      <c r="BU200" s="14" t="s">
        <v>166</v>
      </c>
      <c r="BV200" s="14" t="s">
        <v>166</v>
      </c>
      <c r="BW200" s="14" t="s">
        <v>166</v>
      </c>
      <c r="BX200" s="14" t="s">
        <v>166</v>
      </c>
      <c r="BY200" s="14" t="s">
        <v>166</v>
      </c>
      <c r="BZ200" s="14" t="s">
        <v>166</v>
      </c>
      <c r="CA200" s="14" t="s">
        <v>166</v>
      </c>
      <c r="CB200" s="14" t="s">
        <v>166</v>
      </c>
      <c r="CC200" s="14" t="s">
        <v>166</v>
      </c>
      <c r="CD200" s="14" t="s">
        <v>166</v>
      </c>
      <c r="CE200" s="18" t="s">
        <v>166</v>
      </c>
      <c r="CF200" s="16" t="s">
        <v>166</v>
      </c>
      <c r="CG200" s="17" t="s">
        <v>166</v>
      </c>
      <c r="CH200" s="16" t="s">
        <v>166</v>
      </c>
      <c r="CI200" s="16">
        <v>-0.07</v>
      </c>
      <c r="CJ200" s="16" t="s">
        <v>166</v>
      </c>
      <c r="CK200" s="16" t="s">
        <v>166</v>
      </c>
      <c r="CL200" s="16" t="s">
        <v>166</v>
      </c>
      <c r="CM200" s="20">
        <v>2022</v>
      </c>
      <c r="CN200" s="16" t="s">
        <v>166</v>
      </c>
      <c r="CO200" s="16" t="s">
        <v>166</v>
      </c>
      <c r="CP200" s="16" t="s">
        <v>166</v>
      </c>
      <c r="CQ200" s="16" t="s">
        <v>166</v>
      </c>
      <c r="CR200" s="16" t="s">
        <v>166</v>
      </c>
      <c r="CS200" s="16" t="s">
        <v>166</v>
      </c>
      <c r="CT200" s="16" t="s">
        <v>166</v>
      </c>
      <c r="CU200" s="16">
        <v>-11.37</v>
      </c>
      <c r="CV200" s="16" t="s">
        <v>166</v>
      </c>
      <c r="CW200" s="16" t="s">
        <v>166</v>
      </c>
      <c r="CX200" s="16" t="s">
        <v>166</v>
      </c>
      <c r="CY200" s="16" t="s">
        <v>166</v>
      </c>
      <c r="CZ200" s="16" t="s">
        <v>166</v>
      </c>
      <c r="DA200" s="16" t="s">
        <v>166</v>
      </c>
      <c r="DB200" s="16" t="s">
        <v>166</v>
      </c>
      <c r="DC200" s="16" t="s">
        <v>166</v>
      </c>
      <c r="DD200" s="16" t="s">
        <v>166</v>
      </c>
      <c r="DE200" s="17" t="s">
        <v>166</v>
      </c>
      <c r="DF200" s="22">
        <v>9</v>
      </c>
      <c r="DG200" s="14" t="s">
        <v>4070</v>
      </c>
      <c r="DH200" s="14" t="s">
        <v>193</v>
      </c>
      <c r="DI200" s="14" t="s">
        <v>194</v>
      </c>
      <c r="DJ200" s="14" t="s">
        <v>4071</v>
      </c>
      <c r="DK200" s="14" t="s">
        <v>1000</v>
      </c>
      <c r="DL200" s="21" t="s">
        <v>4072</v>
      </c>
      <c r="DM200" s="14" t="s">
        <v>198</v>
      </c>
      <c r="DN200" s="13" t="s">
        <v>4073</v>
      </c>
      <c r="DO200" s="20">
        <v>2020</v>
      </c>
      <c r="DP200" s="14" t="s">
        <v>166</v>
      </c>
      <c r="DQ200" s="14" t="s">
        <v>166</v>
      </c>
      <c r="DR200" s="18" t="s">
        <v>166</v>
      </c>
      <c r="DS200" s="16" t="s">
        <v>166</v>
      </c>
      <c r="DT200" s="19" t="s">
        <v>166</v>
      </c>
      <c r="DU200" s="14" t="s">
        <v>166</v>
      </c>
      <c r="DV200" s="18" t="s">
        <v>166</v>
      </c>
      <c r="DW200" s="18" t="s">
        <v>166</v>
      </c>
      <c r="DX200" s="16" t="s">
        <v>166</v>
      </c>
      <c r="DY200" s="16" t="s">
        <v>166</v>
      </c>
      <c r="DZ200" s="17" t="s">
        <v>166</v>
      </c>
      <c r="EA200" s="16" t="s">
        <v>166</v>
      </c>
      <c r="EB200" s="16" t="s">
        <v>166</v>
      </c>
      <c r="EC200" s="16" t="s">
        <v>166</v>
      </c>
      <c r="ED200" s="17" t="s">
        <v>166</v>
      </c>
      <c r="EE200" s="17" t="s">
        <v>166</v>
      </c>
      <c r="EF200" s="17" t="s">
        <v>166</v>
      </c>
      <c r="EG200" s="17" t="s">
        <v>166</v>
      </c>
      <c r="EH200" s="16" t="s">
        <v>166</v>
      </c>
      <c r="EI200" s="16" t="s">
        <v>166</v>
      </c>
      <c r="EJ200" s="16" t="s">
        <v>166</v>
      </c>
      <c r="EK200" s="16" t="s">
        <v>166</v>
      </c>
      <c r="EL200" s="16" t="s">
        <v>166</v>
      </c>
      <c r="EM200" s="16" t="s">
        <v>166</v>
      </c>
      <c r="EN200" s="16" t="s">
        <v>166</v>
      </c>
      <c r="EO200" s="16" t="s">
        <v>166</v>
      </c>
      <c r="EP200" s="16" t="s">
        <v>166</v>
      </c>
      <c r="EQ200" s="16" t="s">
        <v>166</v>
      </c>
      <c r="ER200" s="16" t="s">
        <v>166</v>
      </c>
      <c r="ES200" s="16" t="s">
        <v>166</v>
      </c>
      <c r="ET200" s="14" t="s">
        <v>166</v>
      </c>
      <c r="EU200" s="16" t="s">
        <v>166</v>
      </c>
      <c r="EV200" s="16" t="s">
        <v>166</v>
      </c>
      <c r="EW200" s="16" t="s">
        <v>166</v>
      </c>
      <c r="EX200" s="14" t="s">
        <v>190</v>
      </c>
      <c r="EY200" s="14" t="s">
        <v>166</v>
      </c>
      <c r="EZ200" s="16" t="s">
        <v>166</v>
      </c>
      <c r="FA200" s="15" t="s">
        <v>166</v>
      </c>
      <c r="FB200" s="15" t="s">
        <v>166</v>
      </c>
      <c r="FC200" s="15" t="s">
        <v>166</v>
      </c>
      <c r="FD200" s="15" t="s">
        <v>166</v>
      </c>
      <c r="FE200" s="15" t="s">
        <v>166</v>
      </c>
      <c r="FF200" s="15" t="s">
        <v>166</v>
      </c>
      <c r="FG200" s="14" t="s">
        <v>166</v>
      </c>
      <c r="FH200" s="3">
        <f>HYPERLINK("https://my.pitchbook.com?c=191489-50T","View Company Online")</f>
      </c>
    </row>
    <row r="201">
      <c r="A201" s="25" t="s">
        <v>4074</v>
      </c>
      <c r="B201" s="25" t="s">
        <v>4075</v>
      </c>
      <c r="C201" s="25" t="s">
        <v>4076</v>
      </c>
      <c r="D201" s="25" t="s">
        <v>166</v>
      </c>
      <c r="E201" s="34" t="s">
        <v>4077</v>
      </c>
      <c r="F201" s="32">
        <v>1</v>
      </c>
      <c r="G201" s="25" t="s">
        <v>166</v>
      </c>
      <c r="H201" s="25" t="s">
        <v>166</v>
      </c>
      <c r="I201" s="25" t="s">
        <v>4078</v>
      </c>
      <c r="J201" s="25" t="s">
        <v>4079</v>
      </c>
      <c r="K201" s="25" t="s">
        <v>207</v>
      </c>
      <c r="L201" s="25" t="s">
        <v>208</v>
      </c>
      <c r="M201" s="25" t="s">
        <v>1220</v>
      </c>
      <c r="N201" s="25" t="s">
        <v>4080</v>
      </c>
      <c r="O201" s="25" t="s">
        <v>4042</v>
      </c>
      <c r="P201" s="25" t="s">
        <v>4081</v>
      </c>
      <c r="Q201" s="25" t="s">
        <v>4082</v>
      </c>
      <c r="R201" s="25" t="s">
        <v>177</v>
      </c>
      <c r="S201" s="25" t="s">
        <v>178</v>
      </c>
      <c r="T201" s="25" t="s">
        <v>179</v>
      </c>
      <c r="U201" s="25" t="s">
        <v>4083</v>
      </c>
      <c r="V201" s="25" t="s">
        <v>4084</v>
      </c>
      <c r="W201" s="32" t="s">
        <v>4085</v>
      </c>
      <c r="X201" s="25" t="s">
        <v>166</v>
      </c>
      <c r="Y201" s="25" t="s">
        <v>4086</v>
      </c>
      <c r="Z201" s="25" t="s">
        <v>166</v>
      </c>
      <c r="AA201" s="25" t="s">
        <v>166</v>
      </c>
      <c r="AB201" s="25" t="s">
        <v>166</v>
      </c>
      <c r="AC201" s="25" t="s">
        <v>166</v>
      </c>
      <c r="AD201" s="25" t="s">
        <v>166</v>
      </c>
      <c r="AE201" s="25" t="s">
        <v>166</v>
      </c>
      <c r="AF201" s="25" t="s">
        <v>166</v>
      </c>
      <c r="AG201" s="25" t="s">
        <v>166</v>
      </c>
      <c r="AH201" s="32">
        <v>3</v>
      </c>
      <c r="AI201" s="4">
        <f>HYPERLINK("https://my.pitchbook.com/?d=166040-38T","166040-38T")</f>
      </c>
      <c r="AJ201" s="30">
        <v>44213</v>
      </c>
      <c r="AK201" s="30">
        <v>44228</v>
      </c>
      <c r="AL201" s="29">
        <v>0.5</v>
      </c>
      <c r="AM201" s="25" t="s">
        <v>185</v>
      </c>
      <c r="AN201" s="29" t="s">
        <v>166</v>
      </c>
      <c r="AO201" s="29" t="s">
        <v>166</v>
      </c>
      <c r="AP201" s="25" t="s">
        <v>166</v>
      </c>
      <c r="AQ201" s="32" t="s">
        <v>166</v>
      </c>
      <c r="AR201" s="32" t="s">
        <v>166</v>
      </c>
      <c r="AS201" s="28" t="s">
        <v>166</v>
      </c>
      <c r="AT201" s="29">
        <v>0.5</v>
      </c>
      <c r="AU201" s="32" t="s">
        <v>186</v>
      </c>
      <c r="AV201" s="32" t="s">
        <v>166</v>
      </c>
      <c r="AW201" s="29" t="s">
        <v>166</v>
      </c>
      <c r="AX201" s="32" t="s">
        <v>166</v>
      </c>
      <c r="AY201" s="25" t="s">
        <v>217</v>
      </c>
      <c r="AZ201" s="25" t="s">
        <v>217</v>
      </c>
      <c r="BA201" s="25" t="s">
        <v>166</v>
      </c>
      <c r="BB201" s="32" t="s">
        <v>166</v>
      </c>
      <c r="BC201" s="25" t="s">
        <v>179</v>
      </c>
      <c r="BD201" s="25" t="s">
        <v>4087</v>
      </c>
      <c r="BE201" s="25" t="s">
        <v>189</v>
      </c>
      <c r="BF201" s="29">
        <v>0.5</v>
      </c>
      <c r="BG201" s="25" t="s">
        <v>190</v>
      </c>
      <c r="BH201" s="25" t="s">
        <v>166</v>
      </c>
      <c r="BI201" s="25" t="s">
        <v>166</v>
      </c>
      <c r="BJ201" s="29" t="s">
        <v>166</v>
      </c>
      <c r="BK201" s="29" t="s">
        <v>166</v>
      </c>
      <c r="BL201" s="25" t="s">
        <v>191</v>
      </c>
      <c r="BM201" s="25" t="s">
        <v>178</v>
      </c>
      <c r="BN201" s="25" t="s">
        <v>177</v>
      </c>
      <c r="BO201" s="33" t="s">
        <v>166</v>
      </c>
      <c r="BP201" s="25" t="s">
        <v>4088</v>
      </c>
      <c r="BQ201" s="32">
        <v>1</v>
      </c>
      <c r="BR201" s="25" t="s">
        <v>166</v>
      </c>
      <c r="BS201" s="32" t="s">
        <v>166</v>
      </c>
      <c r="BT201" s="25" t="s">
        <v>166</v>
      </c>
      <c r="BU201" s="25" t="s">
        <v>166</v>
      </c>
      <c r="BV201" s="25" t="s">
        <v>166</v>
      </c>
      <c r="BW201" s="25" t="s">
        <v>166</v>
      </c>
      <c r="BX201" s="25" t="s">
        <v>166</v>
      </c>
      <c r="BY201" s="25" t="s">
        <v>166</v>
      </c>
      <c r="BZ201" s="25" t="s">
        <v>166</v>
      </c>
      <c r="CA201" s="25" t="s">
        <v>166</v>
      </c>
      <c r="CB201" s="25" t="s">
        <v>166</v>
      </c>
      <c r="CC201" s="25" t="s">
        <v>166</v>
      </c>
      <c r="CD201" s="25" t="s">
        <v>166</v>
      </c>
      <c r="CE201" s="29" t="s">
        <v>166</v>
      </c>
      <c r="CF201" s="27">
        <v>0.01</v>
      </c>
      <c r="CG201" s="28" t="s">
        <v>166</v>
      </c>
      <c r="CH201" s="27" t="s">
        <v>166</v>
      </c>
      <c r="CI201" s="27">
        <v>-0.01</v>
      </c>
      <c r="CJ201" s="27" t="s">
        <v>166</v>
      </c>
      <c r="CK201" s="27" t="s">
        <v>166</v>
      </c>
      <c r="CL201" s="27" t="s">
        <v>166</v>
      </c>
      <c r="CM201" s="31">
        <v>2020</v>
      </c>
      <c r="CN201" s="27" t="s">
        <v>166</v>
      </c>
      <c r="CO201" s="27" t="s">
        <v>166</v>
      </c>
      <c r="CP201" s="27" t="s">
        <v>166</v>
      </c>
      <c r="CQ201" s="27" t="s">
        <v>166</v>
      </c>
      <c r="CR201" s="27" t="s">
        <v>166</v>
      </c>
      <c r="CS201" s="27" t="s">
        <v>166</v>
      </c>
      <c r="CT201" s="27" t="s">
        <v>166</v>
      </c>
      <c r="CU201" s="27">
        <v>-178.32</v>
      </c>
      <c r="CV201" s="27">
        <v>476.64</v>
      </c>
      <c r="CW201" s="27" t="s">
        <v>166</v>
      </c>
      <c r="CX201" s="27" t="s">
        <v>166</v>
      </c>
      <c r="CY201" s="27" t="s">
        <v>166</v>
      </c>
      <c r="CZ201" s="27" t="s">
        <v>166</v>
      </c>
      <c r="DA201" s="27" t="s">
        <v>166</v>
      </c>
      <c r="DB201" s="27" t="s">
        <v>166</v>
      </c>
      <c r="DC201" s="27" t="s">
        <v>166</v>
      </c>
      <c r="DD201" s="27" t="s">
        <v>166</v>
      </c>
      <c r="DE201" s="28" t="s">
        <v>166</v>
      </c>
      <c r="DF201" s="33">
        <v>26</v>
      </c>
      <c r="DG201" s="25" t="s">
        <v>384</v>
      </c>
      <c r="DH201" s="25" t="s">
        <v>193</v>
      </c>
      <c r="DI201" s="25" t="s">
        <v>194</v>
      </c>
      <c r="DJ201" s="25" t="s">
        <v>385</v>
      </c>
      <c r="DK201" s="25" t="s">
        <v>386</v>
      </c>
      <c r="DL201" s="32" t="s">
        <v>4089</v>
      </c>
      <c r="DM201" s="25" t="s">
        <v>198</v>
      </c>
      <c r="DN201" s="24" t="s">
        <v>4090</v>
      </c>
      <c r="DO201" s="31">
        <v>2018</v>
      </c>
      <c r="DP201" s="25" t="s">
        <v>166</v>
      </c>
      <c r="DQ201" s="25" t="s">
        <v>166</v>
      </c>
      <c r="DR201" s="29" t="s">
        <v>166</v>
      </c>
      <c r="DS201" s="27" t="s">
        <v>166</v>
      </c>
      <c r="DT201" s="30" t="s">
        <v>166</v>
      </c>
      <c r="DU201" s="25" t="s">
        <v>166</v>
      </c>
      <c r="DV201" s="29" t="s">
        <v>166</v>
      </c>
      <c r="DW201" s="29" t="s">
        <v>166</v>
      </c>
      <c r="DX201" s="27" t="s">
        <v>166</v>
      </c>
      <c r="DY201" s="27" t="s">
        <v>166</v>
      </c>
      <c r="DZ201" s="28" t="s">
        <v>166</v>
      </c>
      <c r="EA201" s="27" t="s">
        <v>166</v>
      </c>
      <c r="EB201" s="27" t="s">
        <v>166</v>
      </c>
      <c r="EC201" s="27" t="s">
        <v>166</v>
      </c>
      <c r="ED201" s="28" t="s">
        <v>166</v>
      </c>
      <c r="EE201" s="28" t="s">
        <v>166</v>
      </c>
      <c r="EF201" s="28" t="s">
        <v>166</v>
      </c>
      <c r="EG201" s="28" t="s">
        <v>166</v>
      </c>
      <c r="EH201" s="27" t="s">
        <v>166</v>
      </c>
      <c r="EI201" s="27" t="s">
        <v>166</v>
      </c>
      <c r="EJ201" s="27" t="s">
        <v>166</v>
      </c>
      <c r="EK201" s="27" t="s">
        <v>166</v>
      </c>
      <c r="EL201" s="27" t="s">
        <v>166</v>
      </c>
      <c r="EM201" s="27" t="s">
        <v>166</v>
      </c>
      <c r="EN201" s="27" t="s">
        <v>166</v>
      </c>
      <c r="EO201" s="27" t="s">
        <v>166</v>
      </c>
      <c r="EP201" s="27" t="s">
        <v>166</v>
      </c>
      <c r="EQ201" s="27" t="s">
        <v>166</v>
      </c>
      <c r="ER201" s="27" t="s">
        <v>166</v>
      </c>
      <c r="ES201" s="27" t="s">
        <v>166</v>
      </c>
      <c r="ET201" s="25" t="s">
        <v>166</v>
      </c>
      <c r="EU201" s="27" t="s">
        <v>166</v>
      </c>
      <c r="EV201" s="27" t="s">
        <v>166</v>
      </c>
      <c r="EW201" s="27" t="s">
        <v>166</v>
      </c>
      <c r="EX201" s="25" t="s">
        <v>190</v>
      </c>
      <c r="EY201" s="25" t="s">
        <v>166</v>
      </c>
      <c r="EZ201" s="27" t="s">
        <v>166</v>
      </c>
      <c r="FA201" s="26">
        <v>5</v>
      </c>
      <c r="FB201" s="26">
        <v>4</v>
      </c>
      <c r="FC201" s="26">
        <v>2</v>
      </c>
      <c r="FD201" s="26">
        <v>2</v>
      </c>
      <c r="FE201" s="26" t="s">
        <v>166</v>
      </c>
      <c r="FF201" s="26">
        <v>1</v>
      </c>
      <c r="FG201" s="25" t="s">
        <v>364</v>
      </c>
      <c r="FH201" s="4">
        <f>HYPERLINK("https://my.pitchbook.com?c=166040-38T","View Company Online")</f>
      </c>
    </row>
    <row r="202">
      <c r="A202" s="14" t="s">
        <v>4091</v>
      </c>
      <c r="B202" s="14" t="s">
        <v>4092</v>
      </c>
      <c r="C202" s="14" t="s">
        <v>4093</v>
      </c>
      <c r="D202" s="14" t="s">
        <v>166</v>
      </c>
      <c r="E202" s="23" t="s">
        <v>4094</v>
      </c>
      <c r="F202" s="21">
        <v>1</v>
      </c>
      <c r="G202" s="14" t="s">
        <v>4095</v>
      </c>
      <c r="H202" s="14" t="s">
        <v>166</v>
      </c>
      <c r="I202" s="14" t="s">
        <v>4096</v>
      </c>
      <c r="J202" s="14" t="s">
        <v>4097</v>
      </c>
      <c r="K202" s="14" t="s">
        <v>207</v>
      </c>
      <c r="L202" s="14" t="s">
        <v>208</v>
      </c>
      <c r="M202" s="14" t="s">
        <v>209</v>
      </c>
      <c r="N202" s="14" t="s">
        <v>269</v>
      </c>
      <c r="O202" s="14" t="s">
        <v>4098</v>
      </c>
      <c r="P202" s="14" t="s">
        <v>4099</v>
      </c>
      <c r="Q202" s="14" t="s">
        <v>166</v>
      </c>
      <c r="R202" s="14" t="s">
        <v>177</v>
      </c>
      <c r="S202" s="14" t="s">
        <v>178</v>
      </c>
      <c r="T202" s="14" t="s">
        <v>179</v>
      </c>
      <c r="U202" s="14" t="s">
        <v>4100</v>
      </c>
      <c r="V202" s="14" t="s">
        <v>4101</v>
      </c>
      <c r="W202" s="21" t="s">
        <v>4102</v>
      </c>
      <c r="X202" s="14" t="s">
        <v>4103</v>
      </c>
      <c r="Y202" s="14" t="s">
        <v>4104</v>
      </c>
      <c r="Z202" s="14" t="s">
        <v>4105</v>
      </c>
      <c r="AA202" s="14" t="s">
        <v>242</v>
      </c>
      <c r="AB202" s="14" t="s">
        <v>243</v>
      </c>
      <c r="AC202" s="14" t="s">
        <v>244</v>
      </c>
      <c r="AD202" s="14" t="s">
        <v>243</v>
      </c>
      <c r="AE202" s="14" t="s">
        <v>243</v>
      </c>
      <c r="AF202" s="14" t="s">
        <v>245</v>
      </c>
      <c r="AG202" s="14" t="s">
        <v>246</v>
      </c>
      <c r="AH202" s="21">
        <v>1</v>
      </c>
      <c r="AI202" s="3">
        <f>HYPERLINK("https://my.pitchbook.com/?d=169543-99T","169543-99T")</f>
      </c>
      <c r="AJ202" s="19" t="s">
        <v>166</v>
      </c>
      <c r="AK202" s="19">
        <v>44246</v>
      </c>
      <c r="AL202" s="18">
        <v>5.2</v>
      </c>
      <c r="AM202" s="14" t="s">
        <v>185</v>
      </c>
      <c r="AN202" s="18">
        <v>10</v>
      </c>
      <c r="AO202" s="18">
        <v>15.2</v>
      </c>
      <c r="AP202" s="14" t="s">
        <v>185</v>
      </c>
      <c r="AQ202" s="21" t="s">
        <v>166</v>
      </c>
      <c r="AR202" s="21" t="s">
        <v>166</v>
      </c>
      <c r="AS202" s="17">
        <v>39.08</v>
      </c>
      <c r="AT202" s="18">
        <v>5.2</v>
      </c>
      <c r="AU202" s="21" t="s">
        <v>186</v>
      </c>
      <c r="AV202" s="21" t="s">
        <v>166</v>
      </c>
      <c r="AW202" s="18">
        <v>0.78</v>
      </c>
      <c r="AX202" s="21" t="s">
        <v>746</v>
      </c>
      <c r="AY202" s="14" t="s">
        <v>217</v>
      </c>
      <c r="AZ202" s="14" t="s">
        <v>746</v>
      </c>
      <c r="BA202" s="14" t="s">
        <v>166</v>
      </c>
      <c r="BB202" s="21" t="s">
        <v>166</v>
      </c>
      <c r="BC202" s="14" t="s">
        <v>179</v>
      </c>
      <c r="BD202" s="14" t="s">
        <v>4106</v>
      </c>
      <c r="BE202" s="14" t="s">
        <v>189</v>
      </c>
      <c r="BF202" s="18">
        <v>5.2</v>
      </c>
      <c r="BG202" s="14" t="s">
        <v>190</v>
      </c>
      <c r="BH202" s="14" t="s">
        <v>166</v>
      </c>
      <c r="BI202" s="14" t="s">
        <v>166</v>
      </c>
      <c r="BJ202" s="18" t="s">
        <v>166</v>
      </c>
      <c r="BK202" s="18" t="s">
        <v>166</v>
      </c>
      <c r="BL202" s="14" t="s">
        <v>191</v>
      </c>
      <c r="BM202" s="14" t="s">
        <v>178</v>
      </c>
      <c r="BN202" s="14" t="s">
        <v>177</v>
      </c>
      <c r="BO202" s="22" t="s">
        <v>166</v>
      </c>
      <c r="BP202" s="14" t="s">
        <v>4094</v>
      </c>
      <c r="BQ202" s="21">
        <v>1</v>
      </c>
      <c r="BR202" s="14" t="s">
        <v>166</v>
      </c>
      <c r="BS202" s="21" t="s">
        <v>166</v>
      </c>
      <c r="BT202" s="14" t="s">
        <v>166</v>
      </c>
      <c r="BU202" s="14" t="s">
        <v>166</v>
      </c>
      <c r="BV202" s="14" t="s">
        <v>4107</v>
      </c>
      <c r="BW202" s="14" t="s">
        <v>166</v>
      </c>
      <c r="BX202" s="14" t="s">
        <v>166</v>
      </c>
      <c r="BY202" s="14" t="s">
        <v>166</v>
      </c>
      <c r="BZ202" s="14" t="s">
        <v>166</v>
      </c>
      <c r="CA202" s="14" t="s">
        <v>166</v>
      </c>
      <c r="CB202" s="14" t="s">
        <v>166</v>
      </c>
      <c r="CC202" s="14" t="s">
        <v>166</v>
      </c>
      <c r="CD202" s="14" t="s">
        <v>166</v>
      </c>
      <c r="CE202" s="18" t="s">
        <v>166</v>
      </c>
      <c r="CF202" s="16" t="s">
        <v>166</v>
      </c>
      <c r="CG202" s="17" t="s">
        <v>166</v>
      </c>
      <c r="CH202" s="16" t="s">
        <v>166</v>
      </c>
      <c r="CI202" s="16" t="s">
        <v>166</v>
      </c>
      <c r="CJ202" s="16" t="s">
        <v>166</v>
      </c>
      <c r="CK202" s="16" t="s">
        <v>166</v>
      </c>
      <c r="CL202" s="16" t="s">
        <v>166</v>
      </c>
      <c r="CM202" s="20" t="s">
        <v>166</v>
      </c>
      <c r="CN202" s="16" t="s">
        <v>166</v>
      </c>
      <c r="CO202" s="16" t="s">
        <v>166</v>
      </c>
      <c r="CP202" s="16" t="s">
        <v>166</v>
      </c>
      <c r="CQ202" s="16" t="s">
        <v>166</v>
      </c>
      <c r="CR202" s="16" t="s">
        <v>166</v>
      </c>
      <c r="CS202" s="16" t="s">
        <v>166</v>
      </c>
      <c r="CT202" s="16" t="s">
        <v>166</v>
      </c>
      <c r="CU202" s="16" t="s">
        <v>166</v>
      </c>
      <c r="CV202" s="16" t="s">
        <v>166</v>
      </c>
      <c r="CW202" s="16" t="s">
        <v>166</v>
      </c>
      <c r="CX202" s="16" t="s">
        <v>166</v>
      </c>
      <c r="CY202" s="16" t="s">
        <v>166</v>
      </c>
      <c r="CZ202" s="16" t="s">
        <v>166</v>
      </c>
      <c r="DA202" s="16" t="s">
        <v>166</v>
      </c>
      <c r="DB202" s="16" t="s">
        <v>166</v>
      </c>
      <c r="DC202" s="16" t="s">
        <v>166</v>
      </c>
      <c r="DD202" s="16" t="s">
        <v>166</v>
      </c>
      <c r="DE202" s="17" t="s">
        <v>166</v>
      </c>
      <c r="DF202" s="22">
        <v>41</v>
      </c>
      <c r="DG202" s="14" t="s">
        <v>1077</v>
      </c>
      <c r="DH202" s="14" t="s">
        <v>193</v>
      </c>
      <c r="DI202" s="14" t="s">
        <v>194</v>
      </c>
      <c r="DJ202" s="14" t="s">
        <v>1078</v>
      </c>
      <c r="DK202" s="14" t="s">
        <v>257</v>
      </c>
      <c r="DL202" s="21" t="s">
        <v>4108</v>
      </c>
      <c r="DM202" s="14" t="s">
        <v>198</v>
      </c>
      <c r="DN202" s="13" t="s">
        <v>4109</v>
      </c>
      <c r="DO202" s="20">
        <v>2019</v>
      </c>
      <c r="DP202" s="14" t="s">
        <v>166</v>
      </c>
      <c r="DQ202" s="14" t="s">
        <v>166</v>
      </c>
      <c r="DR202" s="18" t="s">
        <v>166</v>
      </c>
      <c r="DS202" s="16" t="s">
        <v>166</v>
      </c>
      <c r="DT202" s="19" t="s">
        <v>166</v>
      </c>
      <c r="DU202" s="14" t="s">
        <v>166</v>
      </c>
      <c r="DV202" s="18" t="s">
        <v>166</v>
      </c>
      <c r="DW202" s="18" t="s">
        <v>166</v>
      </c>
      <c r="DX202" s="16" t="s">
        <v>166</v>
      </c>
      <c r="DY202" s="16" t="s">
        <v>166</v>
      </c>
      <c r="DZ202" s="17" t="s">
        <v>166</v>
      </c>
      <c r="EA202" s="16" t="s">
        <v>166</v>
      </c>
      <c r="EB202" s="16" t="s">
        <v>166</v>
      </c>
      <c r="EC202" s="16" t="s">
        <v>166</v>
      </c>
      <c r="ED202" s="17" t="s">
        <v>166</v>
      </c>
      <c r="EE202" s="17" t="s">
        <v>166</v>
      </c>
      <c r="EF202" s="17" t="s">
        <v>166</v>
      </c>
      <c r="EG202" s="17" t="s">
        <v>166</v>
      </c>
      <c r="EH202" s="16" t="s">
        <v>166</v>
      </c>
      <c r="EI202" s="16" t="s">
        <v>166</v>
      </c>
      <c r="EJ202" s="16" t="s">
        <v>166</v>
      </c>
      <c r="EK202" s="16" t="s">
        <v>166</v>
      </c>
      <c r="EL202" s="16" t="s">
        <v>166</v>
      </c>
      <c r="EM202" s="16" t="s">
        <v>166</v>
      </c>
      <c r="EN202" s="16" t="s">
        <v>166</v>
      </c>
      <c r="EO202" s="16" t="s">
        <v>166</v>
      </c>
      <c r="EP202" s="16" t="s">
        <v>166</v>
      </c>
      <c r="EQ202" s="16" t="s">
        <v>166</v>
      </c>
      <c r="ER202" s="16" t="s">
        <v>166</v>
      </c>
      <c r="ES202" s="16" t="s">
        <v>166</v>
      </c>
      <c r="ET202" s="14" t="s">
        <v>166</v>
      </c>
      <c r="EU202" s="16" t="s">
        <v>166</v>
      </c>
      <c r="EV202" s="16" t="s">
        <v>166</v>
      </c>
      <c r="EW202" s="16" t="s">
        <v>166</v>
      </c>
      <c r="EX202" s="14" t="s">
        <v>190</v>
      </c>
      <c r="EY202" s="14" t="s">
        <v>166</v>
      </c>
      <c r="EZ202" s="16" t="s">
        <v>166</v>
      </c>
      <c r="FA202" s="15" t="s">
        <v>166</v>
      </c>
      <c r="FB202" s="15" t="s">
        <v>166</v>
      </c>
      <c r="FC202" s="15" t="s">
        <v>166</v>
      </c>
      <c r="FD202" s="15" t="s">
        <v>166</v>
      </c>
      <c r="FE202" s="15" t="s">
        <v>166</v>
      </c>
      <c r="FF202" s="15" t="s">
        <v>166</v>
      </c>
      <c r="FG202" s="14" t="s">
        <v>166</v>
      </c>
      <c r="FH202" s="3">
        <f>HYPERLINK("https://my.pitchbook.com?c=169543-99T","View Company Online")</f>
      </c>
    </row>
    <row r="203">
      <c r="A203" s="25" t="s">
        <v>4110</v>
      </c>
      <c r="B203" s="25" t="s">
        <v>4111</v>
      </c>
      <c r="C203" s="25" t="s">
        <v>4112</v>
      </c>
      <c r="D203" s="25" t="s">
        <v>166</v>
      </c>
      <c r="E203" s="34" t="s">
        <v>4113</v>
      </c>
      <c r="F203" s="32">
        <v>3</v>
      </c>
      <c r="G203" s="25" t="s">
        <v>4114</v>
      </c>
      <c r="H203" s="25" t="s">
        <v>166</v>
      </c>
      <c r="I203" s="25" t="s">
        <v>4115</v>
      </c>
      <c r="J203" s="25" t="s">
        <v>4116</v>
      </c>
      <c r="K203" s="25" t="s">
        <v>171</v>
      </c>
      <c r="L203" s="25" t="s">
        <v>172</v>
      </c>
      <c r="M203" s="25" t="s">
        <v>1033</v>
      </c>
      <c r="N203" s="25" t="s">
        <v>4117</v>
      </c>
      <c r="O203" s="25" t="s">
        <v>1295</v>
      </c>
      <c r="P203" s="25" t="s">
        <v>4118</v>
      </c>
      <c r="Q203" s="25" t="s">
        <v>166</v>
      </c>
      <c r="R203" s="25" t="s">
        <v>3334</v>
      </c>
      <c r="S203" s="25" t="s">
        <v>178</v>
      </c>
      <c r="T203" s="25" t="s">
        <v>4119</v>
      </c>
      <c r="U203" s="25" t="s">
        <v>4120</v>
      </c>
      <c r="V203" s="25" t="s">
        <v>4121</v>
      </c>
      <c r="W203" s="32" t="s">
        <v>4122</v>
      </c>
      <c r="X203" s="25" t="s">
        <v>4123</v>
      </c>
      <c r="Y203" s="25" t="s">
        <v>4124</v>
      </c>
      <c r="Z203" s="25" t="s">
        <v>166</v>
      </c>
      <c r="AA203" s="25" t="s">
        <v>166</v>
      </c>
      <c r="AB203" s="25" t="s">
        <v>166</v>
      </c>
      <c r="AC203" s="25" t="s">
        <v>166</v>
      </c>
      <c r="AD203" s="25" t="s">
        <v>166</v>
      </c>
      <c r="AE203" s="25" t="s">
        <v>166</v>
      </c>
      <c r="AF203" s="25" t="s">
        <v>166</v>
      </c>
      <c r="AG203" s="25" t="s">
        <v>166</v>
      </c>
      <c r="AH203" s="32">
        <v>1</v>
      </c>
      <c r="AI203" s="4">
        <f>HYPERLINK("https://my.pitchbook.com/?d=188005-15T","188005-15T")</f>
      </c>
      <c r="AJ203" s="30" t="s">
        <v>166</v>
      </c>
      <c r="AK203" s="30">
        <v>44599</v>
      </c>
      <c r="AL203" s="29">
        <v>1.35</v>
      </c>
      <c r="AM203" s="25" t="s">
        <v>185</v>
      </c>
      <c r="AN203" s="29" t="s">
        <v>166</v>
      </c>
      <c r="AO203" s="29" t="s">
        <v>166</v>
      </c>
      <c r="AP203" s="25" t="s">
        <v>166</v>
      </c>
      <c r="AQ203" s="32" t="s">
        <v>166</v>
      </c>
      <c r="AR203" s="32" t="s">
        <v>166</v>
      </c>
      <c r="AS203" s="28" t="s">
        <v>166</v>
      </c>
      <c r="AT203" s="29">
        <v>1.35</v>
      </c>
      <c r="AU203" s="32" t="s">
        <v>186</v>
      </c>
      <c r="AV203" s="32" t="s">
        <v>166</v>
      </c>
      <c r="AW203" s="29" t="s">
        <v>166</v>
      </c>
      <c r="AX203" s="32" t="s">
        <v>166</v>
      </c>
      <c r="AY203" s="25" t="s">
        <v>187</v>
      </c>
      <c r="AZ203" s="25" t="s">
        <v>166</v>
      </c>
      <c r="BA203" s="25" t="s">
        <v>166</v>
      </c>
      <c r="BB203" s="32" t="s">
        <v>166</v>
      </c>
      <c r="BC203" s="25" t="s">
        <v>179</v>
      </c>
      <c r="BD203" s="25" t="s">
        <v>4125</v>
      </c>
      <c r="BE203" s="25" t="s">
        <v>189</v>
      </c>
      <c r="BF203" s="29">
        <v>1.35</v>
      </c>
      <c r="BG203" s="25" t="s">
        <v>190</v>
      </c>
      <c r="BH203" s="25" t="s">
        <v>166</v>
      </c>
      <c r="BI203" s="25" t="s">
        <v>166</v>
      </c>
      <c r="BJ203" s="29" t="s">
        <v>166</v>
      </c>
      <c r="BK203" s="29" t="s">
        <v>166</v>
      </c>
      <c r="BL203" s="25" t="s">
        <v>191</v>
      </c>
      <c r="BM203" s="25" t="s">
        <v>178</v>
      </c>
      <c r="BN203" s="25" t="s">
        <v>177</v>
      </c>
      <c r="BO203" s="33">
        <v>11</v>
      </c>
      <c r="BP203" s="25" t="s">
        <v>4126</v>
      </c>
      <c r="BQ203" s="32">
        <v>3</v>
      </c>
      <c r="BR203" s="25" t="s">
        <v>166</v>
      </c>
      <c r="BS203" s="32" t="s">
        <v>166</v>
      </c>
      <c r="BT203" s="25" t="s">
        <v>4127</v>
      </c>
      <c r="BU203" s="25" t="s">
        <v>166</v>
      </c>
      <c r="BV203" s="25" t="s">
        <v>4128</v>
      </c>
      <c r="BW203" s="25" t="s">
        <v>166</v>
      </c>
      <c r="BX203" s="25" t="s">
        <v>166</v>
      </c>
      <c r="BY203" s="25" t="s">
        <v>166</v>
      </c>
      <c r="BZ203" s="25" t="s">
        <v>4129</v>
      </c>
      <c r="CA203" s="25" t="s">
        <v>4129</v>
      </c>
      <c r="CB203" s="25" t="s">
        <v>166</v>
      </c>
      <c r="CC203" s="25" t="s">
        <v>166</v>
      </c>
      <c r="CD203" s="25" t="s">
        <v>166</v>
      </c>
      <c r="CE203" s="29" t="s">
        <v>166</v>
      </c>
      <c r="CF203" s="27" t="s">
        <v>166</v>
      </c>
      <c r="CG203" s="28" t="s">
        <v>166</v>
      </c>
      <c r="CH203" s="27" t="s">
        <v>166</v>
      </c>
      <c r="CI203" s="27" t="s">
        <v>166</v>
      </c>
      <c r="CJ203" s="27" t="s">
        <v>166</v>
      </c>
      <c r="CK203" s="27" t="s">
        <v>166</v>
      </c>
      <c r="CL203" s="27" t="s">
        <v>166</v>
      </c>
      <c r="CM203" s="31" t="s">
        <v>166</v>
      </c>
      <c r="CN203" s="27" t="s">
        <v>166</v>
      </c>
      <c r="CO203" s="27" t="s">
        <v>166</v>
      </c>
      <c r="CP203" s="27" t="s">
        <v>166</v>
      </c>
      <c r="CQ203" s="27" t="s">
        <v>166</v>
      </c>
      <c r="CR203" s="27" t="s">
        <v>166</v>
      </c>
      <c r="CS203" s="27" t="s">
        <v>166</v>
      </c>
      <c r="CT203" s="27" t="s">
        <v>166</v>
      </c>
      <c r="CU203" s="27" t="s">
        <v>166</v>
      </c>
      <c r="CV203" s="27" t="s">
        <v>166</v>
      </c>
      <c r="CW203" s="27" t="s">
        <v>166</v>
      </c>
      <c r="CX203" s="27" t="s">
        <v>166</v>
      </c>
      <c r="CY203" s="27" t="s">
        <v>166</v>
      </c>
      <c r="CZ203" s="27" t="s">
        <v>166</v>
      </c>
      <c r="DA203" s="27" t="s">
        <v>166</v>
      </c>
      <c r="DB203" s="27" t="s">
        <v>166</v>
      </c>
      <c r="DC203" s="27" t="s">
        <v>166</v>
      </c>
      <c r="DD203" s="27" t="s">
        <v>166</v>
      </c>
      <c r="DE203" s="28" t="s">
        <v>166</v>
      </c>
      <c r="DF203" s="33">
        <v>22</v>
      </c>
      <c r="DG203" s="25" t="s">
        <v>2859</v>
      </c>
      <c r="DH203" s="25" t="s">
        <v>193</v>
      </c>
      <c r="DI203" s="25" t="s">
        <v>194</v>
      </c>
      <c r="DJ203" s="25" t="s">
        <v>2860</v>
      </c>
      <c r="DK203" s="25" t="s">
        <v>2861</v>
      </c>
      <c r="DL203" s="32" t="s">
        <v>4130</v>
      </c>
      <c r="DM203" s="25" t="s">
        <v>198</v>
      </c>
      <c r="DN203" s="24" t="s">
        <v>4131</v>
      </c>
      <c r="DO203" s="31">
        <v>2018</v>
      </c>
      <c r="DP203" s="25" t="s">
        <v>166</v>
      </c>
      <c r="DQ203" s="25" t="s">
        <v>166</v>
      </c>
      <c r="DR203" s="29" t="s">
        <v>166</v>
      </c>
      <c r="DS203" s="27" t="s">
        <v>166</v>
      </c>
      <c r="DT203" s="30" t="s">
        <v>166</v>
      </c>
      <c r="DU203" s="25" t="s">
        <v>166</v>
      </c>
      <c r="DV203" s="29" t="s">
        <v>166</v>
      </c>
      <c r="DW203" s="29" t="s">
        <v>166</v>
      </c>
      <c r="DX203" s="27" t="s">
        <v>166</v>
      </c>
      <c r="DY203" s="27" t="s">
        <v>166</v>
      </c>
      <c r="DZ203" s="28" t="s">
        <v>166</v>
      </c>
      <c r="EA203" s="27" t="s">
        <v>166</v>
      </c>
      <c r="EB203" s="27" t="s">
        <v>166</v>
      </c>
      <c r="EC203" s="27" t="s">
        <v>166</v>
      </c>
      <c r="ED203" s="28" t="s">
        <v>166</v>
      </c>
      <c r="EE203" s="28" t="s">
        <v>166</v>
      </c>
      <c r="EF203" s="28" t="s">
        <v>166</v>
      </c>
      <c r="EG203" s="28" t="s">
        <v>166</v>
      </c>
      <c r="EH203" s="27" t="s">
        <v>166</v>
      </c>
      <c r="EI203" s="27" t="s">
        <v>166</v>
      </c>
      <c r="EJ203" s="27" t="s">
        <v>166</v>
      </c>
      <c r="EK203" s="27" t="s">
        <v>166</v>
      </c>
      <c r="EL203" s="27" t="s">
        <v>166</v>
      </c>
      <c r="EM203" s="27" t="s">
        <v>166</v>
      </c>
      <c r="EN203" s="27" t="s">
        <v>166</v>
      </c>
      <c r="EO203" s="27" t="s">
        <v>166</v>
      </c>
      <c r="EP203" s="27" t="s">
        <v>166</v>
      </c>
      <c r="EQ203" s="27" t="s">
        <v>166</v>
      </c>
      <c r="ER203" s="27" t="s">
        <v>166</v>
      </c>
      <c r="ES203" s="27" t="s">
        <v>166</v>
      </c>
      <c r="ET203" s="25" t="s">
        <v>166</v>
      </c>
      <c r="EU203" s="27" t="s">
        <v>166</v>
      </c>
      <c r="EV203" s="27" t="s">
        <v>166</v>
      </c>
      <c r="EW203" s="27" t="s">
        <v>166</v>
      </c>
      <c r="EX203" s="25" t="s">
        <v>190</v>
      </c>
      <c r="EY203" s="25" t="s">
        <v>166</v>
      </c>
      <c r="EZ203" s="27" t="s">
        <v>166</v>
      </c>
      <c r="FA203" s="26" t="s">
        <v>166</v>
      </c>
      <c r="FB203" s="26" t="s">
        <v>166</v>
      </c>
      <c r="FC203" s="26" t="s">
        <v>166</v>
      </c>
      <c r="FD203" s="26" t="s">
        <v>166</v>
      </c>
      <c r="FE203" s="26" t="s">
        <v>166</v>
      </c>
      <c r="FF203" s="26" t="s">
        <v>166</v>
      </c>
      <c r="FG203" s="25" t="s">
        <v>166</v>
      </c>
      <c r="FH203" s="4">
        <f>HYPERLINK("https://my.pitchbook.com?c=188005-15T","View Company Online")</f>
      </c>
    </row>
    <row r="204">
      <c r="A204" s="14" t="s">
        <v>4132</v>
      </c>
      <c r="B204" s="14" t="s">
        <v>4133</v>
      </c>
      <c r="C204" s="14" t="s">
        <v>4134</v>
      </c>
      <c r="D204" s="14" t="s">
        <v>166</v>
      </c>
      <c r="E204" s="23" t="s">
        <v>4135</v>
      </c>
      <c r="F204" s="21">
        <v>5</v>
      </c>
      <c r="G204" s="14" t="s">
        <v>4136</v>
      </c>
      <c r="H204" s="14" t="s">
        <v>166</v>
      </c>
      <c r="I204" s="14" t="s">
        <v>4137</v>
      </c>
      <c r="J204" s="14" t="s">
        <v>4138</v>
      </c>
      <c r="K204" s="14" t="s">
        <v>207</v>
      </c>
      <c r="L204" s="14" t="s">
        <v>208</v>
      </c>
      <c r="M204" s="14" t="s">
        <v>209</v>
      </c>
      <c r="N204" s="14" t="s">
        <v>269</v>
      </c>
      <c r="O204" s="14" t="s">
        <v>665</v>
      </c>
      <c r="P204" s="14" t="s">
        <v>4139</v>
      </c>
      <c r="Q204" s="14" t="s">
        <v>166</v>
      </c>
      <c r="R204" s="14" t="s">
        <v>177</v>
      </c>
      <c r="S204" s="14" t="s">
        <v>178</v>
      </c>
      <c r="T204" s="14" t="s">
        <v>179</v>
      </c>
      <c r="U204" s="14" t="s">
        <v>4140</v>
      </c>
      <c r="V204" s="14" t="s">
        <v>4141</v>
      </c>
      <c r="W204" s="21" t="s">
        <v>4142</v>
      </c>
      <c r="X204" s="14" t="s">
        <v>4143</v>
      </c>
      <c r="Y204" s="14" t="s">
        <v>4144</v>
      </c>
      <c r="Z204" s="14" t="s">
        <v>4145</v>
      </c>
      <c r="AA204" s="14" t="s">
        <v>166</v>
      </c>
      <c r="AB204" s="14" t="s">
        <v>166</v>
      </c>
      <c r="AC204" s="14" t="s">
        <v>166</v>
      </c>
      <c r="AD204" s="14" t="s">
        <v>166</v>
      </c>
      <c r="AE204" s="14" t="s">
        <v>166</v>
      </c>
      <c r="AF204" s="14" t="s">
        <v>166</v>
      </c>
      <c r="AG204" s="14" t="s">
        <v>166</v>
      </c>
      <c r="AH204" s="21">
        <v>3</v>
      </c>
      <c r="AI204" s="3">
        <f>HYPERLINK("https://my.pitchbook.com/?d=190170-73T","190170-73T")</f>
      </c>
      <c r="AJ204" s="19">
        <v>44545</v>
      </c>
      <c r="AK204" s="19">
        <v>44557</v>
      </c>
      <c r="AL204" s="18">
        <v>3</v>
      </c>
      <c r="AM204" s="14" t="s">
        <v>185</v>
      </c>
      <c r="AN204" s="18" t="s">
        <v>166</v>
      </c>
      <c r="AO204" s="18" t="s">
        <v>166</v>
      </c>
      <c r="AP204" s="14" t="s">
        <v>166</v>
      </c>
      <c r="AQ204" s="21" t="s">
        <v>166</v>
      </c>
      <c r="AR204" s="21" t="s">
        <v>166</v>
      </c>
      <c r="AS204" s="17" t="s">
        <v>166</v>
      </c>
      <c r="AT204" s="18">
        <v>3.5</v>
      </c>
      <c r="AU204" s="21" t="s">
        <v>186</v>
      </c>
      <c r="AV204" s="21" t="s">
        <v>166</v>
      </c>
      <c r="AW204" s="18" t="s">
        <v>166</v>
      </c>
      <c r="AX204" s="21" t="s">
        <v>166</v>
      </c>
      <c r="AY204" s="14" t="s">
        <v>217</v>
      </c>
      <c r="AZ204" s="14" t="s">
        <v>217</v>
      </c>
      <c r="BA204" s="14" t="s">
        <v>166</v>
      </c>
      <c r="BB204" s="21" t="s">
        <v>166</v>
      </c>
      <c r="BC204" s="14" t="s">
        <v>179</v>
      </c>
      <c r="BD204" s="14" t="s">
        <v>4146</v>
      </c>
      <c r="BE204" s="14" t="s">
        <v>189</v>
      </c>
      <c r="BF204" s="18">
        <v>3</v>
      </c>
      <c r="BG204" s="14" t="s">
        <v>190</v>
      </c>
      <c r="BH204" s="14" t="s">
        <v>166</v>
      </c>
      <c r="BI204" s="14" t="s">
        <v>166</v>
      </c>
      <c r="BJ204" s="18" t="s">
        <v>166</v>
      </c>
      <c r="BK204" s="18" t="s">
        <v>166</v>
      </c>
      <c r="BL204" s="14" t="s">
        <v>191</v>
      </c>
      <c r="BM204" s="14" t="s">
        <v>178</v>
      </c>
      <c r="BN204" s="14" t="s">
        <v>177</v>
      </c>
      <c r="BO204" s="22" t="s">
        <v>166</v>
      </c>
      <c r="BP204" s="14" t="s">
        <v>4147</v>
      </c>
      <c r="BQ204" s="21">
        <v>5</v>
      </c>
      <c r="BR204" s="14" t="s">
        <v>166</v>
      </c>
      <c r="BS204" s="21" t="s">
        <v>166</v>
      </c>
      <c r="BT204" s="14" t="s">
        <v>166</v>
      </c>
      <c r="BU204" s="14" t="s">
        <v>166</v>
      </c>
      <c r="BV204" s="14" t="s">
        <v>4148</v>
      </c>
      <c r="BW204" s="14" t="s">
        <v>166</v>
      </c>
      <c r="BX204" s="14" t="s">
        <v>166</v>
      </c>
      <c r="BY204" s="14" t="s">
        <v>166</v>
      </c>
      <c r="BZ204" s="14" t="s">
        <v>166</v>
      </c>
      <c r="CA204" s="14" t="s">
        <v>166</v>
      </c>
      <c r="CB204" s="14" t="s">
        <v>166</v>
      </c>
      <c r="CC204" s="14" t="s">
        <v>166</v>
      </c>
      <c r="CD204" s="14" t="s">
        <v>166</v>
      </c>
      <c r="CE204" s="18" t="s">
        <v>166</v>
      </c>
      <c r="CF204" s="16" t="s">
        <v>166</v>
      </c>
      <c r="CG204" s="17" t="s">
        <v>166</v>
      </c>
      <c r="CH204" s="16" t="s">
        <v>166</v>
      </c>
      <c r="CI204" s="16" t="s">
        <v>166</v>
      </c>
      <c r="CJ204" s="16" t="s">
        <v>166</v>
      </c>
      <c r="CK204" s="16" t="s">
        <v>166</v>
      </c>
      <c r="CL204" s="16" t="s">
        <v>166</v>
      </c>
      <c r="CM204" s="20" t="s">
        <v>166</v>
      </c>
      <c r="CN204" s="16" t="s">
        <v>166</v>
      </c>
      <c r="CO204" s="16" t="s">
        <v>166</v>
      </c>
      <c r="CP204" s="16" t="s">
        <v>166</v>
      </c>
      <c r="CQ204" s="16" t="s">
        <v>166</v>
      </c>
      <c r="CR204" s="16" t="s">
        <v>166</v>
      </c>
      <c r="CS204" s="16" t="s">
        <v>166</v>
      </c>
      <c r="CT204" s="16" t="s">
        <v>166</v>
      </c>
      <c r="CU204" s="16" t="s">
        <v>166</v>
      </c>
      <c r="CV204" s="16" t="s">
        <v>166</v>
      </c>
      <c r="CW204" s="16" t="s">
        <v>166</v>
      </c>
      <c r="CX204" s="16" t="s">
        <v>166</v>
      </c>
      <c r="CY204" s="16" t="s">
        <v>166</v>
      </c>
      <c r="CZ204" s="16" t="s">
        <v>166</v>
      </c>
      <c r="DA204" s="16" t="s">
        <v>166</v>
      </c>
      <c r="DB204" s="16" t="s">
        <v>166</v>
      </c>
      <c r="DC204" s="16" t="s">
        <v>166</v>
      </c>
      <c r="DD204" s="16" t="s">
        <v>166</v>
      </c>
      <c r="DE204" s="17" t="s">
        <v>166</v>
      </c>
      <c r="DF204" s="22">
        <v>76</v>
      </c>
      <c r="DG204" s="14" t="s">
        <v>1077</v>
      </c>
      <c r="DH204" s="14" t="s">
        <v>193</v>
      </c>
      <c r="DI204" s="14" t="s">
        <v>194</v>
      </c>
      <c r="DJ204" s="14" t="s">
        <v>1078</v>
      </c>
      <c r="DK204" s="14" t="s">
        <v>257</v>
      </c>
      <c r="DL204" s="21" t="s">
        <v>1079</v>
      </c>
      <c r="DM204" s="14" t="s">
        <v>198</v>
      </c>
      <c r="DN204" s="13" t="s">
        <v>4149</v>
      </c>
      <c r="DO204" s="20">
        <v>2020</v>
      </c>
      <c r="DP204" s="14" t="s">
        <v>166</v>
      </c>
      <c r="DQ204" s="14" t="s">
        <v>166</v>
      </c>
      <c r="DR204" s="18" t="s">
        <v>166</v>
      </c>
      <c r="DS204" s="16" t="s">
        <v>166</v>
      </c>
      <c r="DT204" s="19" t="s">
        <v>166</v>
      </c>
      <c r="DU204" s="14" t="s">
        <v>166</v>
      </c>
      <c r="DV204" s="18" t="s">
        <v>166</v>
      </c>
      <c r="DW204" s="18" t="s">
        <v>166</v>
      </c>
      <c r="DX204" s="16" t="s">
        <v>166</v>
      </c>
      <c r="DY204" s="16" t="s">
        <v>166</v>
      </c>
      <c r="DZ204" s="17" t="s">
        <v>166</v>
      </c>
      <c r="EA204" s="16" t="s">
        <v>166</v>
      </c>
      <c r="EB204" s="16" t="s">
        <v>166</v>
      </c>
      <c r="EC204" s="16" t="s">
        <v>166</v>
      </c>
      <c r="ED204" s="17" t="s">
        <v>166</v>
      </c>
      <c r="EE204" s="17" t="s">
        <v>166</v>
      </c>
      <c r="EF204" s="17" t="s">
        <v>166</v>
      </c>
      <c r="EG204" s="17" t="s">
        <v>166</v>
      </c>
      <c r="EH204" s="16" t="s">
        <v>166</v>
      </c>
      <c r="EI204" s="16" t="s">
        <v>166</v>
      </c>
      <c r="EJ204" s="16" t="s">
        <v>166</v>
      </c>
      <c r="EK204" s="16" t="s">
        <v>166</v>
      </c>
      <c r="EL204" s="16" t="s">
        <v>166</v>
      </c>
      <c r="EM204" s="16" t="s">
        <v>166</v>
      </c>
      <c r="EN204" s="16" t="s">
        <v>166</v>
      </c>
      <c r="EO204" s="16" t="s">
        <v>166</v>
      </c>
      <c r="EP204" s="16" t="s">
        <v>166</v>
      </c>
      <c r="EQ204" s="16" t="s">
        <v>166</v>
      </c>
      <c r="ER204" s="16" t="s">
        <v>166</v>
      </c>
      <c r="ES204" s="16" t="s">
        <v>166</v>
      </c>
      <c r="ET204" s="14" t="s">
        <v>166</v>
      </c>
      <c r="EU204" s="16" t="s">
        <v>166</v>
      </c>
      <c r="EV204" s="16" t="s">
        <v>166</v>
      </c>
      <c r="EW204" s="16" t="s">
        <v>166</v>
      </c>
      <c r="EX204" s="14" t="s">
        <v>190</v>
      </c>
      <c r="EY204" s="14" t="s">
        <v>166</v>
      </c>
      <c r="EZ204" s="16" t="s">
        <v>166</v>
      </c>
      <c r="FA204" s="15" t="s">
        <v>166</v>
      </c>
      <c r="FB204" s="15" t="s">
        <v>166</v>
      </c>
      <c r="FC204" s="15" t="s">
        <v>166</v>
      </c>
      <c r="FD204" s="15" t="s">
        <v>166</v>
      </c>
      <c r="FE204" s="15" t="s">
        <v>166</v>
      </c>
      <c r="FF204" s="15" t="s">
        <v>166</v>
      </c>
      <c r="FG204" s="14" t="s">
        <v>166</v>
      </c>
      <c r="FH204" s="3">
        <f>HYPERLINK("https://my.pitchbook.com?c=190170-73T","View Company Online")</f>
      </c>
    </row>
    <row r="205">
      <c r="A205" s="25" t="s">
        <v>4150</v>
      </c>
      <c r="B205" s="25" t="s">
        <v>4151</v>
      </c>
      <c r="C205" s="25" t="s">
        <v>4152</v>
      </c>
      <c r="D205" s="25" t="s">
        <v>166</v>
      </c>
      <c r="E205" s="34" t="s">
        <v>4153</v>
      </c>
      <c r="F205" s="32">
        <v>4</v>
      </c>
      <c r="G205" s="25" t="s">
        <v>4154</v>
      </c>
      <c r="H205" s="25" t="s">
        <v>166</v>
      </c>
      <c r="I205" s="25" t="s">
        <v>4155</v>
      </c>
      <c r="J205" s="25" t="s">
        <v>4156</v>
      </c>
      <c r="K205" s="25" t="s">
        <v>207</v>
      </c>
      <c r="L205" s="25" t="s">
        <v>208</v>
      </c>
      <c r="M205" s="25" t="s">
        <v>209</v>
      </c>
      <c r="N205" s="25" t="s">
        <v>4157</v>
      </c>
      <c r="O205" s="25" t="s">
        <v>4158</v>
      </c>
      <c r="P205" s="25" t="s">
        <v>4159</v>
      </c>
      <c r="Q205" s="25" t="s">
        <v>4160</v>
      </c>
      <c r="R205" s="25" t="s">
        <v>177</v>
      </c>
      <c r="S205" s="25" t="s">
        <v>178</v>
      </c>
      <c r="T205" s="25" t="s">
        <v>273</v>
      </c>
      <c r="U205" s="25" t="s">
        <v>4161</v>
      </c>
      <c r="V205" s="25" t="s">
        <v>4162</v>
      </c>
      <c r="W205" s="32" t="s">
        <v>166</v>
      </c>
      <c r="X205" s="25" t="s">
        <v>4163</v>
      </c>
      <c r="Y205" s="25" t="s">
        <v>4164</v>
      </c>
      <c r="Z205" s="25" t="s">
        <v>4165</v>
      </c>
      <c r="AA205" s="25" t="s">
        <v>166</v>
      </c>
      <c r="AB205" s="25" t="s">
        <v>166</v>
      </c>
      <c r="AC205" s="25" t="s">
        <v>166</v>
      </c>
      <c r="AD205" s="25" t="s">
        <v>166</v>
      </c>
      <c r="AE205" s="25" t="s">
        <v>166</v>
      </c>
      <c r="AF205" s="25" t="s">
        <v>166</v>
      </c>
      <c r="AG205" s="25" t="s">
        <v>166</v>
      </c>
      <c r="AH205" s="32">
        <v>2</v>
      </c>
      <c r="AI205" s="4">
        <f>HYPERLINK("https://my.pitchbook.com/?d=139931-92T","139931-92T")</f>
      </c>
      <c r="AJ205" s="30" t="s">
        <v>166</v>
      </c>
      <c r="AK205" s="30">
        <v>44017</v>
      </c>
      <c r="AL205" s="29">
        <v>83.03</v>
      </c>
      <c r="AM205" s="25" t="s">
        <v>185</v>
      </c>
      <c r="AN205" s="29">
        <v>853.27</v>
      </c>
      <c r="AO205" s="29">
        <v>936.3</v>
      </c>
      <c r="AP205" s="25" t="s">
        <v>185</v>
      </c>
      <c r="AQ205" s="32" t="s">
        <v>166</v>
      </c>
      <c r="AR205" s="32" t="s">
        <v>166</v>
      </c>
      <c r="AS205" s="28">
        <v>8.87</v>
      </c>
      <c r="AT205" s="29">
        <v>83.03</v>
      </c>
      <c r="AU205" s="32" t="s">
        <v>186</v>
      </c>
      <c r="AV205" s="32" t="s">
        <v>166</v>
      </c>
      <c r="AW205" s="29">
        <v>3.34</v>
      </c>
      <c r="AX205" s="32" t="s">
        <v>166</v>
      </c>
      <c r="AY205" s="25" t="s">
        <v>187</v>
      </c>
      <c r="AZ205" s="25" t="s">
        <v>166</v>
      </c>
      <c r="BA205" s="25" t="s">
        <v>166</v>
      </c>
      <c r="BB205" s="32" t="s">
        <v>166</v>
      </c>
      <c r="BC205" s="25" t="s">
        <v>179</v>
      </c>
      <c r="BD205" s="25" t="s">
        <v>4166</v>
      </c>
      <c r="BE205" s="25" t="s">
        <v>189</v>
      </c>
      <c r="BF205" s="29">
        <v>83.03</v>
      </c>
      <c r="BG205" s="25" t="s">
        <v>190</v>
      </c>
      <c r="BH205" s="25" t="s">
        <v>166</v>
      </c>
      <c r="BI205" s="25" t="s">
        <v>166</v>
      </c>
      <c r="BJ205" s="29" t="s">
        <v>166</v>
      </c>
      <c r="BK205" s="29" t="s">
        <v>166</v>
      </c>
      <c r="BL205" s="25" t="s">
        <v>191</v>
      </c>
      <c r="BM205" s="25" t="s">
        <v>178</v>
      </c>
      <c r="BN205" s="25" t="s">
        <v>177</v>
      </c>
      <c r="BO205" s="33" t="s">
        <v>166</v>
      </c>
      <c r="BP205" s="25" t="s">
        <v>4167</v>
      </c>
      <c r="BQ205" s="32">
        <v>3</v>
      </c>
      <c r="BR205" s="25" t="s">
        <v>4168</v>
      </c>
      <c r="BS205" s="32">
        <v>1</v>
      </c>
      <c r="BT205" s="25" t="s">
        <v>166</v>
      </c>
      <c r="BU205" s="25" t="s">
        <v>166</v>
      </c>
      <c r="BV205" s="25" t="s">
        <v>4169</v>
      </c>
      <c r="BW205" s="25" t="s">
        <v>166</v>
      </c>
      <c r="BX205" s="25" t="s">
        <v>166</v>
      </c>
      <c r="BY205" s="25" t="s">
        <v>166</v>
      </c>
      <c r="BZ205" s="25" t="s">
        <v>4170</v>
      </c>
      <c r="CA205" s="25" t="s">
        <v>166</v>
      </c>
      <c r="CB205" s="25" t="s">
        <v>166</v>
      </c>
      <c r="CC205" s="25" t="s">
        <v>4170</v>
      </c>
      <c r="CD205" s="25" t="s">
        <v>166</v>
      </c>
      <c r="CE205" s="29" t="s">
        <v>166</v>
      </c>
      <c r="CF205" s="27" t="s">
        <v>166</v>
      </c>
      <c r="CG205" s="28" t="s">
        <v>166</v>
      </c>
      <c r="CH205" s="27" t="s">
        <v>166</v>
      </c>
      <c r="CI205" s="27" t="s">
        <v>166</v>
      </c>
      <c r="CJ205" s="27" t="s">
        <v>166</v>
      </c>
      <c r="CK205" s="27" t="s">
        <v>166</v>
      </c>
      <c r="CL205" s="27" t="s">
        <v>166</v>
      </c>
      <c r="CM205" s="31" t="s">
        <v>166</v>
      </c>
      <c r="CN205" s="27" t="s">
        <v>166</v>
      </c>
      <c r="CO205" s="27" t="s">
        <v>166</v>
      </c>
      <c r="CP205" s="27" t="s">
        <v>166</v>
      </c>
      <c r="CQ205" s="27" t="s">
        <v>166</v>
      </c>
      <c r="CR205" s="27" t="s">
        <v>166</v>
      </c>
      <c r="CS205" s="27" t="s">
        <v>166</v>
      </c>
      <c r="CT205" s="27" t="s">
        <v>166</v>
      </c>
      <c r="CU205" s="27" t="s">
        <v>166</v>
      </c>
      <c r="CV205" s="27" t="s">
        <v>166</v>
      </c>
      <c r="CW205" s="27" t="s">
        <v>166</v>
      </c>
      <c r="CX205" s="27" t="s">
        <v>166</v>
      </c>
      <c r="CY205" s="27" t="s">
        <v>166</v>
      </c>
      <c r="CZ205" s="27" t="s">
        <v>166</v>
      </c>
      <c r="DA205" s="27" t="s">
        <v>166</v>
      </c>
      <c r="DB205" s="27" t="s">
        <v>166</v>
      </c>
      <c r="DC205" s="27" t="s">
        <v>166</v>
      </c>
      <c r="DD205" s="27" t="s">
        <v>166</v>
      </c>
      <c r="DE205" s="28" t="s">
        <v>166</v>
      </c>
      <c r="DF205" s="33">
        <v>68</v>
      </c>
      <c r="DG205" s="25" t="s">
        <v>1077</v>
      </c>
      <c r="DH205" s="25" t="s">
        <v>193</v>
      </c>
      <c r="DI205" s="25" t="s">
        <v>194</v>
      </c>
      <c r="DJ205" s="25" t="s">
        <v>1078</v>
      </c>
      <c r="DK205" s="25" t="s">
        <v>257</v>
      </c>
      <c r="DL205" s="32" t="s">
        <v>1079</v>
      </c>
      <c r="DM205" s="25" t="s">
        <v>198</v>
      </c>
      <c r="DN205" s="24" t="s">
        <v>4171</v>
      </c>
      <c r="DO205" s="31">
        <v>2020</v>
      </c>
      <c r="DP205" s="25" t="s">
        <v>166</v>
      </c>
      <c r="DQ205" s="25" t="s">
        <v>166</v>
      </c>
      <c r="DR205" s="29" t="s">
        <v>166</v>
      </c>
      <c r="DS205" s="27" t="s">
        <v>166</v>
      </c>
      <c r="DT205" s="30" t="s">
        <v>166</v>
      </c>
      <c r="DU205" s="25" t="s">
        <v>166</v>
      </c>
      <c r="DV205" s="29" t="s">
        <v>166</v>
      </c>
      <c r="DW205" s="29" t="s">
        <v>166</v>
      </c>
      <c r="DX205" s="27" t="s">
        <v>166</v>
      </c>
      <c r="DY205" s="27" t="s">
        <v>166</v>
      </c>
      <c r="DZ205" s="28" t="s">
        <v>166</v>
      </c>
      <c r="EA205" s="27" t="s">
        <v>166</v>
      </c>
      <c r="EB205" s="27" t="s">
        <v>166</v>
      </c>
      <c r="EC205" s="27" t="s">
        <v>166</v>
      </c>
      <c r="ED205" s="28" t="s">
        <v>166</v>
      </c>
      <c r="EE205" s="28" t="s">
        <v>166</v>
      </c>
      <c r="EF205" s="28" t="s">
        <v>166</v>
      </c>
      <c r="EG205" s="28" t="s">
        <v>166</v>
      </c>
      <c r="EH205" s="27" t="s">
        <v>166</v>
      </c>
      <c r="EI205" s="27" t="s">
        <v>166</v>
      </c>
      <c r="EJ205" s="27" t="s">
        <v>166</v>
      </c>
      <c r="EK205" s="27" t="s">
        <v>166</v>
      </c>
      <c r="EL205" s="27" t="s">
        <v>166</v>
      </c>
      <c r="EM205" s="27" t="s">
        <v>166</v>
      </c>
      <c r="EN205" s="27" t="s">
        <v>166</v>
      </c>
      <c r="EO205" s="27" t="s">
        <v>166</v>
      </c>
      <c r="EP205" s="27" t="s">
        <v>166</v>
      </c>
      <c r="EQ205" s="27" t="s">
        <v>166</v>
      </c>
      <c r="ER205" s="27" t="s">
        <v>166</v>
      </c>
      <c r="ES205" s="27" t="s">
        <v>166</v>
      </c>
      <c r="ET205" s="25" t="s">
        <v>166</v>
      </c>
      <c r="EU205" s="27" t="s">
        <v>166</v>
      </c>
      <c r="EV205" s="27" t="s">
        <v>166</v>
      </c>
      <c r="EW205" s="27" t="s">
        <v>166</v>
      </c>
      <c r="EX205" s="25" t="s">
        <v>190</v>
      </c>
      <c r="EY205" s="25" t="s">
        <v>166</v>
      </c>
      <c r="EZ205" s="27" t="s">
        <v>166</v>
      </c>
      <c r="FA205" s="26" t="s">
        <v>166</v>
      </c>
      <c r="FB205" s="26" t="s">
        <v>166</v>
      </c>
      <c r="FC205" s="26" t="s">
        <v>166</v>
      </c>
      <c r="FD205" s="26" t="s">
        <v>166</v>
      </c>
      <c r="FE205" s="26" t="s">
        <v>166</v>
      </c>
      <c r="FF205" s="26" t="s">
        <v>166</v>
      </c>
      <c r="FG205" s="25" t="s">
        <v>166</v>
      </c>
      <c r="FH205" s="4">
        <f>HYPERLINK("https://my.pitchbook.com?c=139931-92T","View Company Online")</f>
      </c>
    </row>
    <row r="206">
      <c r="A206" s="14" t="s">
        <v>4172</v>
      </c>
      <c r="B206" s="14" t="s">
        <v>4173</v>
      </c>
      <c r="C206" s="14" t="s">
        <v>4174</v>
      </c>
      <c r="D206" s="14" t="s">
        <v>166</v>
      </c>
      <c r="E206" s="23" t="s">
        <v>4175</v>
      </c>
      <c r="F206" s="21">
        <v>5</v>
      </c>
      <c r="G206" s="14" t="s">
        <v>4176</v>
      </c>
      <c r="H206" s="14" t="s">
        <v>166</v>
      </c>
      <c r="I206" s="14" t="s">
        <v>4177</v>
      </c>
      <c r="J206" s="14" t="s">
        <v>4178</v>
      </c>
      <c r="K206" s="14" t="s">
        <v>1455</v>
      </c>
      <c r="L206" s="14" t="s">
        <v>1984</v>
      </c>
      <c r="M206" s="14" t="s">
        <v>2112</v>
      </c>
      <c r="N206" s="14" t="s">
        <v>4179</v>
      </c>
      <c r="O206" s="14" t="s">
        <v>1842</v>
      </c>
      <c r="P206" s="14" t="s">
        <v>4180</v>
      </c>
      <c r="Q206" s="14" t="s">
        <v>166</v>
      </c>
      <c r="R206" s="14" t="s">
        <v>4181</v>
      </c>
      <c r="S206" s="14" t="s">
        <v>178</v>
      </c>
      <c r="T206" s="14" t="s">
        <v>179</v>
      </c>
      <c r="U206" s="14" t="s">
        <v>4182</v>
      </c>
      <c r="V206" s="14" t="s">
        <v>4183</v>
      </c>
      <c r="W206" s="21" t="s">
        <v>4184</v>
      </c>
      <c r="X206" s="14" t="s">
        <v>4185</v>
      </c>
      <c r="Y206" s="14" t="s">
        <v>4186</v>
      </c>
      <c r="Z206" s="14" t="s">
        <v>166</v>
      </c>
      <c r="AA206" s="14" t="s">
        <v>166</v>
      </c>
      <c r="AB206" s="14" t="s">
        <v>166</v>
      </c>
      <c r="AC206" s="14" t="s">
        <v>166</v>
      </c>
      <c r="AD206" s="14" t="s">
        <v>166</v>
      </c>
      <c r="AE206" s="14" t="s">
        <v>166</v>
      </c>
      <c r="AF206" s="14" t="s">
        <v>166</v>
      </c>
      <c r="AG206" s="14" t="s">
        <v>166</v>
      </c>
      <c r="AH206" s="21">
        <v>3</v>
      </c>
      <c r="AI206" s="3">
        <f>HYPERLINK("https://my.pitchbook.com/?d=193346-11T","193346-11T")</f>
      </c>
      <c r="AJ206" s="19">
        <v>44378</v>
      </c>
      <c r="AK206" s="19">
        <v>44778</v>
      </c>
      <c r="AL206" s="18">
        <v>1.8</v>
      </c>
      <c r="AM206" s="14" t="s">
        <v>185</v>
      </c>
      <c r="AN206" s="18">
        <v>6.2</v>
      </c>
      <c r="AO206" s="18">
        <v>8</v>
      </c>
      <c r="AP206" s="14" t="s">
        <v>185</v>
      </c>
      <c r="AQ206" s="21">
        <v>12.4</v>
      </c>
      <c r="AR206" s="21" t="s">
        <v>166</v>
      </c>
      <c r="AS206" s="17">
        <v>15</v>
      </c>
      <c r="AT206" s="18">
        <v>1.91</v>
      </c>
      <c r="AU206" s="21" t="s">
        <v>186</v>
      </c>
      <c r="AV206" s="21" t="s">
        <v>4187</v>
      </c>
      <c r="AW206" s="18" t="s">
        <v>166</v>
      </c>
      <c r="AX206" s="21" t="s">
        <v>166</v>
      </c>
      <c r="AY206" s="14" t="s">
        <v>217</v>
      </c>
      <c r="AZ206" s="14" t="s">
        <v>217</v>
      </c>
      <c r="BA206" s="14" t="s">
        <v>166</v>
      </c>
      <c r="BB206" s="21" t="s">
        <v>166</v>
      </c>
      <c r="BC206" s="14" t="s">
        <v>179</v>
      </c>
      <c r="BD206" s="14" t="s">
        <v>4188</v>
      </c>
      <c r="BE206" s="14" t="s">
        <v>189</v>
      </c>
      <c r="BF206" s="18">
        <v>1.8</v>
      </c>
      <c r="BG206" s="14" t="s">
        <v>190</v>
      </c>
      <c r="BH206" s="14" t="s">
        <v>166</v>
      </c>
      <c r="BI206" s="14" t="s">
        <v>166</v>
      </c>
      <c r="BJ206" s="18" t="s">
        <v>166</v>
      </c>
      <c r="BK206" s="18" t="s">
        <v>166</v>
      </c>
      <c r="BL206" s="14" t="s">
        <v>191</v>
      </c>
      <c r="BM206" s="14" t="s">
        <v>178</v>
      </c>
      <c r="BN206" s="14" t="s">
        <v>177</v>
      </c>
      <c r="BO206" s="22">
        <v>4</v>
      </c>
      <c r="BP206" s="14" t="s">
        <v>4175</v>
      </c>
      <c r="BQ206" s="21">
        <v>5</v>
      </c>
      <c r="BR206" s="14" t="s">
        <v>166</v>
      </c>
      <c r="BS206" s="21" t="s">
        <v>166</v>
      </c>
      <c r="BT206" s="14" t="s">
        <v>1812</v>
      </c>
      <c r="BU206" s="14" t="s">
        <v>166</v>
      </c>
      <c r="BV206" s="14" t="s">
        <v>4189</v>
      </c>
      <c r="BW206" s="14" t="s">
        <v>166</v>
      </c>
      <c r="BX206" s="14" t="s">
        <v>166</v>
      </c>
      <c r="BY206" s="14" t="s">
        <v>166</v>
      </c>
      <c r="BZ206" s="14" t="s">
        <v>166</v>
      </c>
      <c r="CA206" s="14" t="s">
        <v>166</v>
      </c>
      <c r="CB206" s="14" t="s">
        <v>166</v>
      </c>
      <c r="CC206" s="14" t="s">
        <v>166</v>
      </c>
      <c r="CD206" s="14" t="s">
        <v>166</v>
      </c>
      <c r="CE206" s="18" t="s">
        <v>166</v>
      </c>
      <c r="CF206" s="16" t="s">
        <v>166</v>
      </c>
      <c r="CG206" s="17" t="s">
        <v>166</v>
      </c>
      <c r="CH206" s="16" t="s">
        <v>166</v>
      </c>
      <c r="CI206" s="16" t="s">
        <v>166</v>
      </c>
      <c r="CJ206" s="16" t="s">
        <v>166</v>
      </c>
      <c r="CK206" s="16" t="s">
        <v>166</v>
      </c>
      <c r="CL206" s="16" t="s">
        <v>166</v>
      </c>
      <c r="CM206" s="20" t="s">
        <v>166</v>
      </c>
      <c r="CN206" s="16" t="s">
        <v>166</v>
      </c>
      <c r="CO206" s="16" t="s">
        <v>166</v>
      </c>
      <c r="CP206" s="16" t="s">
        <v>166</v>
      </c>
      <c r="CQ206" s="16" t="s">
        <v>166</v>
      </c>
      <c r="CR206" s="16" t="s">
        <v>166</v>
      </c>
      <c r="CS206" s="16" t="s">
        <v>166</v>
      </c>
      <c r="CT206" s="16" t="s">
        <v>166</v>
      </c>
      <c r="CU206" s="16" t="s">
        <v>166</v>
      </c>
      <c r="CV206" s="16" t="s">
        <v>166</v>
      </c>
      <c r="CW206" s="16" t="s">
        <v>166</v>
      </c>
      <c r="CX206" s="16" t="s">
        <v>166</v>
      </c>
      <c r="CY206" s="16" t="s">
        <v>166</v>
      </c>
      <c r="CZ206" s="16" t="s">
        <v>166</v>
      </c>
      <c r="DA206" s="16" t="s">
        <v>166</v>
      </c>
      <c r="DB206" s="16" t="s">
        <v>166</v>
      </c>
      <c r="DC206" s="16" t="s">
        <v>166</v>
      </c>
      <c r="DD206" s="16" t="s">
        <v>166</v>
      </c>
      <c r="DE206" s="17" t="s">
        <v>166</v>
      </c>
      <c r="DF206" s="22">
        <v>4</v>
      </c>
      <c r="DG206" s="14" t="s">
        <v>706</v>
      </c>
      <c r="DH206" s="14" t="s">
        <v>193</v>
      </c>
      <c r="DI206" s="14" t="s">
        <v>194</v>
      </c>
      <c r="DJ206" s="14" t="s">
        <v>707</v>
      </c>
      <c r="DK206" s="14" t="s">
        <v>386</v>
      </c>
      <c r="DL206" s="21" t="s">
        <v>4190</v>
      </c>
      <c r="DM206" s="14" t="s">
        <v>198</v>
      </c>
      <c r="DN206" s="13" t="s">
        <v>4191</v>
      </c>
      <c r="DO206" s="20">
        <v>2019</v>
      </c>
      <c r="DP206" s="14" t="s">
        <v>166</v>
      </c>
      <c r="DQ206" s="14" t="s">
        <v>166</v>
      </c>
      <c r="DR206" s="18" t="s">
        <v>166</v>
      </c>
      <c r="DS206" s="16" t="s">
        <v>166</v>
      </c>
      <c r="DT206" s="19" t="s">
        <v>166</v>
      </c>
      <c r="DU206" s="14" t="s">
        <v>166</v>
      </c>
      <c r="DV206" s="18" t="s">
        <v>166</v>
      </c>
      <c r="DW206" s="18" t="s">
        <v>166</v>
      </c>
      <c r="DX206" s="16" t="s">
        <v>166</v>
      </c>
      <c r="DY206" s="16" t="s">
        <v>166</v>
      </c>
      <c r="DZ206" s="17" t="s">
        <v>166</v>
      </c>
      <c r="EA206" s="16" t="s">
        <v>166</v>
      </c>
      <c r="EB206" s="16" t="s">
        <v>166</v>
      </c>
      <c r="EC206" s="16" t="s">
        <v>166</v>
      </c>
      <c r="ED206" s="17" t="s">
        <v>166</v>
      </c>
      <c r="EE206" s="17" t="s">
        <v>166</v>
      </c>
      <c r="EF206" s="17" t="s">
        <v>166</v>
      </c>
      <c r="EG206" s="17" t="s">
        <v>166</v>
      </c>
      <c r="EH206" s="16" t="s">
        <v>166</v>
      </c>
      <c r="EI206" s="16" t="s">
        <v>166</v>
      </c>
      <c r="EJ206" s="16" t="s">
        <v>166</v>
      </c>
      <c r="EK206" s="16" t="s">
        <v>166</v>
      </c>
      <c r="EL206" s="16" t="s">
        <v>166</v>
      </c>
      <c r="EM206" s="16" t="s">
        <v>166</v>
      </c>
      <c r="EN206" s="16" t="s">
        <v>166</v>
      </c>
      <c r="EO206" s="16" t="s">
        <v>166</v>
      </c>
      <c r="EP206" s="16" t="s">
        <v>166</v>
      </c>
      <c r="EQ206" s="16" t="s">
        <v>166</v>
      </c>
      <c r="ER206" s="16" t="s">
        <v>166</v>
      </c>
      <c r="ES206" s="16" t="s">
        <v>166</v>
      </c>
      <c r="ET206" s="14" t="s">
        <v>166</v>
      </c>
      <c r="EU206" s="16" t="s">
        <v>166</v>
      </c>
      <c r="EV206" s="16" t="s">
        <v>166</v>
      </c>
      <c r="EW206" s="16" t="s">
        <v>166</v>
      </c>
      <c r="EX206" s="14" t="s">
        <v>190</v>
      </c>
      <c r="EY206" s="14" t="s">
        <v>166</v>
      </c>
      <c r="EZ206" s="16" t="s">
        <v>166</v>
      </c>
      <c r="FA206" s="15" t="s">
        <v>166</v>
      </c>
      <c r="FB206" s="15" t="s">
        <v>166</v>
      </c>
      <c r="FC206" s="15" t="s">
        <v>166</v>
      </c>
      <c r="FD206" s="15" t="s">
        <v>166</v>
      </c>
      <c r="FE206" s="15" t="s">
        <v>166</v>
      </c>
      <c r="FF206" s="15" t="s">
        <v>166</v>
      </c>
      <c r="FG206" s="14" t="s">
        <v>166</v>
      </c>
      <c r="FH206" s="3">
        <f>HYPERLINK("https://my.pitchbook.com?c=193346-11T","View Company Online")</f>
      </c>
    </row>
    <row r="207">
      <c r="A207" s="25" t="s">
        <v>4192</v>
      </c>
      <c r="B207" s="25" t="s">
        <v>4193</v>
      </c>
      <c r="C207" s="25" t="s">
        <v>4194</v>
      </c>
      <c r="D207" s="25" t="s">
        <v>166</v>
      </c>
      <c r="E207" s="34" t="s">
        <v>4195</v>
      </c>
      <c r="F207" s="32">
        <v>4</v>
      </c>
      <c r="G207" s="25" t="s">
        <v>4196</v>
      </c>
      <c r="H207" s="25" t="s">
        <v>166</v>
      </c>
      <c r="I207" s="25" t="s">
        <v>4197</v>
      </c>
      <c r="J207" s="25" t="s">
        <v>4198</v>
      </c>
      <c r="K207" s="25" t="s">
        <v>207</v>
      </c>
      <c r="L207" s="25" t="s">
        <v>208</v>
      </c>
      <c r="M207" s="25" t="s">
        <v>296</v>
      </c>
      <c r="N207" s="25" t="s">
        <v>1052</v>
      </c>
      <c r="O207" s="25" t="s">
        <v>4199</v>
      </c>
      <c r="P207" s="25" t="s">
        <v>4200</v>
      </c>
      <c r="Q207" s="25" t="s">
        <v>2555</v>
      </c>
      <c r="R207" s="25" t="s">
        <v>177</v>
      </c>
      <c r="S207" s="25" t="s">
        <v>358</v>
      </c>
      <c r="T207" s="25" t="s">
        <v>179</v>
      </c>
      <c r="U207" s="25" t="s">
        <v>4201</v>
      </c>
      <c r="V207" s="25" t="s">
        <v>4202</v>
      </c>
      <c r="W207" s="32" t="s">
        <v>166</v>
      </c>
      <c r="X207" s="25" t="s">
        <v>4203</v>
      </c>
      <c r="Y207" s="25" t="s">
        <v>4204</v>
      </c>
      <c r="Z207" s="25" t="s">
        <v>4205</v>
      </c>
      <c r="AA207" s="25" t="s">
        <v>166</v>
      </c>
      <c r="AB207" s="25" t="s">
        <v>166</v>
      </c>
      <c r="AC207" s="25" t="s">
        <v>166</v>
      </c>
      <c r="AD207" s="25" t="s">
        <v>166</v>
      </c>
      <c r="AE207" s="25" t="s">
        <v>166</v>
      </c>
      <c r="AF207" s="25" t="s">
        <v>166</v>
      </c>
      <c r="AG207" s="25" t="s">
        <v>166</v>
      </c>
      <c r="AH207" s="32">
        <v>1</v>
      </c>
      <c r="AI207" s="4">
        <f>HYPERLINK("https://my.pitchbook.com/?d=191818-36T","191818-36T")</f>
      </c>
      <c r="AJ207" s="30" t="s">
        <v>166</v>
      </c>
      <c r="AK207" s="30">
        <v>44593</v>
      </c>
      <c r="AL207" s="29">
        <v>0.8</v>
      </c>
      <c r="AM207" s="25" t="s">
        <v>185</v>
      </c>
      <c r="AN207" s="29" t="s">
        <v>166</v>
      </c>
      <c r="AO207" s="29" t="s">
        <v>166</v>
      </c>
      <c r="AP207" s="25" t="s">
        <v>166</v>
      </c>
      <c r="AQ207" s="32" t="s">
        <v>166</v>
      </c>
      <c r="AR207" s="32" t="s">
        <v>166</v>
      </c>
      <c r="AS207" s="28" t="s">
        <v>166</v>
      </c>
      <c r="AT207" s="29">
        <v>0.8</v>
      </c>
      <c r="AU207" s="32" t="s">
        <v>186</v>
      </c>
      <c r="AV207" s="32" t="s">
        <v>166</v>
      </c>
      <c r="AW207" s="29" t="s">
        <v>166</v>
      </c>
      <c r="AX207" s="32" t="s">
        <v>166</v>
      </c>
      <c r="AY207" s="25" t="s">
        <v>217</v>
      </c>
      <c r="AZ207" s="25" t="s">
        <v>217</v>
      </c>
      <c r="BA207" s="25" t="s">
        <v>166</v>
      </c>
      <c r="BB207" s="32" t="s">
        <v>166</v>
      </c>
      <c r="BC207" s="25" t="s">
        <v>179</v>
      </c>
      <c r="BD207" s="25" t="s">
        <v>4198</v>
      </c>
      <c r="BE207" s="25" t="s">
        <v>189</v>
      </c>
      <c r="BF207" s="29">
        <v>0.8</v>
      </c>
      <c r="BG207" s="25" t="s">
        <v>190</v>
      </c>
      <c r="BH207" s="25" t="s">
        <v>166</v>
      </c>
      <c r="BI207" s="25" t="s">
        <v>166</v>
      </c>
      <c r="BJ207" s="29" t="s">
        <v>166</v>
      </c>
      <c r="BK207" s="29" t="s">
        <v>166</v>
      </c>
      <c r="BL207" s="25" t="s">
        <v>191</v>
      </c>
      <c r="BM207" s="25" t="s">
        <v>358</v>
      </c>
      <c r="BN207" s="25" t="s">
        <v>177</v>
      </c>
      <c r="BO207" s="33" t="s">
        <v>166</v>
      </c>
      <c r="BP207" s="25" t="s">
        <v>4206</v>
      </c>
      <c r="BQ207" s="32">
        <v>4</v>
      </c>
      <c r="BR207" s="25" t="s">
        <v>166</v>
      </c>
      <c r="BS207" s="32" t="s">
        <v>166</v>
      </c>
      <c r="BT207" s="25" t="s">
        <v>4207</v>
      </c>
      <c r="BU207" s="25" t="s">
        <v>166</v>
      </c>
      <c r="BV207" s="25" t="s">
        <v>4208</v>
      </c>
      <c r="BW207" s="25" t="s">
        <v>166</v>
      </c>
      <c r="BX207" s="25" t="s">
        <v>166</v>
      </c>
      <c r="BY207" s="25" t="s">
        <v>166</v>
      </c>
      <c r="BZ207" s="25" t="s">
        <v>166</v>
      </c>
      <c r="CA207" s="25" t="s">
        <v>166</v>
      </c>
      <c r="CB207" s="25" t="s">
        <v>166</v>
      </c>
      <c r="CC207" s="25" t="s">
        <v>166</v>
      </c>
      <c r="CD207" s="25" t="s">
        <v>166</v>
      </c>
      <c r="CE207" s="29" t="s">
        <v>166</v>
      </c>
      <c r="CF207" s="27" t="s">
        <v>166</v>
      </c>
      <c r="CG207" s="28" t="s">
        <v>166</v>
      </c>
      <c r="CH207" s="27" t="s">
        <v>166</v>
      </c>
      <c r="CI207" s="27" t="s">
        <v>166</v>
      </c>
      <c r="CJ207" s="27" t="s">
        <v>166</v>
      </c>
      <c r="CK207" s="27" t="s">
        <v>166</v>
      </c>
      <c r="CL207" s="27" t="s">
        <v>166</v>
      </c>
      <c r="CM207" s="31" t="s">
        <v>166</v>
      </c>
      <c r="CN207" s="27" t="s">
        <v>166</v>
      </c>
      <c r="CO207" s="27" t="s">
        <v>166</v>
      </c>
      <c r="CP207" s="27" t="s">
        <v>166</v>
      </c>
      <c r="CQ207" s="27" t="s">
        <v>166</v>
      </c>
      <c r="CR207" s="27" t="s">
        <v>166</v>
      </c>
      <c r="CS207" s="27" t="s">
        <v>166</v>
      </c>
      <c r="CT207" s="27" t="s">
        <v>166</v>
      </c>
      <c r="CU207" s="27" t="s">
        <v>166</v>
      </c>
      <c r="CV207" s="27" t="s">
        <v>166</v>
      </c>
      <c r="CW207" s="27" t="s">
        <v>166</v>
      </c>
      <c r="CX207" s="27" t="s">
        <v>166</v>
      </c>
      <c r="CY207" s="27" t="s">
        <v>166</v>
      </c>
      <c r="CZ207" s="27" t="s">
        <v>166</v>
      </c>
      <c r="DA207" s="27" t="s">
        <v>166</v>
      </c>
      <c r="DB207" s="27" t="s">
        <v>166</v>
      </c>
      <c r="DC207" s="27" t="s">
        <v>166</v>
      </c>
      <c r="DD207" s="27" t="s">
        <v>166</v>
      </c>
      <c r="DE207" s="28" t="s">
        <v>166</v>
      </c>
      <c r="DF207" s="33">
        <v>7</v>
      </c>
      <c r="DG207" s="25" t="s">
        <v>1540</v>
      </c>
      <c r="DH207" s="25" t="s">
        <v>193</v>
      </c>
      <c r="DI207" s="25" t="s">
        <v>194</v>
      </c>
      <c r="DJ207" s="25" t="s">
        <v>1541</v>
      </c>
      <c r="DK207" s="25" t="s">
        <v>257</v>
      </c>
      <c r="DL207" s="32" t="s">
        <v>4209</v>
      </c>
      <c r="DM207" s="25" t="s">
        <v>198</v>
      </c>
      <c r="DN207" s="24" t="s">
        <v>4210</v>
      </c>
      <c r="DO207" s="31">
        <v>2021</v>
      </c>
      <c r="DP207" s="25" t="s">
        <v>166</v>
      </c>
      <c r="DQ207" s="25" t="s">
        <v>166</v>
      </c>
      <c r="DR207" s="29" t="s">
        <v>166</v>
      </c>
      <c r="DS207" s="27" t="s">
        <v>166</v>
      </c>
      <c r="DT207" s="30" t="s">
        <v>166</v>
      </c>
      <c r="DU207" s="25" t="s">
        <v>166</v>
      </c>
      <c r="DV207" s="29" t="s">
        <v>166</v>
      </c>
      <c r="DW207" s="29" t="s">
        <v>166</v>
      </c>
      <c r="DX207" s="27" t="s">
        <v>166</v>
      </c>
      <c r="DY207" s="27" t="s">
        <v>166</v>
      </c>
      <c r="DZ207" s="28" t="s">
        <v>166</v>
      </c>
      <c r="EA207" s="27" t="s">
        <v>166</v>
      </c>
      <c r="EB207" s="27" t="s">
        <v>166</v>
      </c>
      <c r="EC207" s="27" t="s">
        <v>166</v>
      </c>
      <c r="ED207" s="28" t="s">
        <v>166</v>
      </c>
      <c r="EE207" s="28" t="s">
        <v>166</v>
      </c>
      <c r="EF207" s="28" t="s">
        <v>166</v>
      </c>
      <c r="EG207" s="28" t="s">
        <v>166</v>
      </c>
      <c r="EH207" s="27" t="s">
        <v>166</v>
      </c>
      <c r="EI207" s="27" t="s">
        <v>166</v>
      </c>
      <c r="EJ207" s="27" t="s">
        <v>166</v>
      </c>
      <c r="EK207" s="27" t="s">
        <v>166</v>
      </c>
      <c r="EL207" s="27" t="s">
        <v>166</v>
      </c>
      <c r="EM207" s="27" t="s">
        <v>166</v>
      </c>
      <c r="EN207" s="27" t="s">
        <v>166</v>
      </c>
      <c r="EO207" s="27" t="s">
        <v>166</v>
      </c>
      <c r="EP207" s="27" t="s">
        <v>166</v>
      </c>
      <c r="EQ207" s="27" t="s">
        <v>166</v>
      </c>
      <c r="ER207" s="27" t="s">
        <v>166</v>
      </c>
      <c r="ES207" s="27" t="s">
        <v>166</v>
      </c>
      <c r="ET207" s="25" t="s">
        <v>166</v>
      </c>
      <c r="EU207" s="27" t="s">
        <v>166</v>
      </c>
      <c r="EV207" s="27" t="s">
        <v>166</v>
      </c>
      <c r="EW207" s="27" t="s">
        <v>166</v>
      </c>
      <c r="EX207" s="25" t="s">
        <v>190</v>
      </c>
      <c r="EY207" s="25" t="s">
        <v>166</v>
      </c>
      <c r="EZ207" s="27" t="s">
        <v>166</v>
      </c>
      <c r="FA207" s="26" t="s">
        <v>166</v>
      </c>
      <c r="FB207" s="26" t="s">
        <v>166</v>
      </c>
      <c r="FC207" s="26" t="s">
        <v>166</v>
      </c>
      <c r="FD207" s="26" t="s">
        <v>166</v>
      </c>
      <c r="FE207" s="26" t="s">
        <v>166</v>
      </c>
      <c r="FF207" s="26" t="s">
        <v>166</v>
      </c>
      <c r="FG207" s="25" t="s">
        <v>166</v>
      </c>
      <c r="FH207" s="4">
        <f>HYPERLINK("https://my.pitchbook.com?c=191818-36T","View Company Online")</f>
      </c>
    </row>
    <row r="208">
      <c r="A208" s="14" t="s">
        <v>4211</v>
      </c>
      <c r="B208" s="14" t="s">
        <v>4212</v>
      </c>
      <c r="C208" s="14" t="s">
        <v>4213</v>
      </c>
      <c r="D208" s="14" t="s">
        <v>166</v>
      </c>
      <c r="E208" s="23" t="s">
        <v>4214</v>
      </c>
      <c r="F208" s="21">
        <v>1</v>
      </c>
      <c r="G208" s="14" t="s">
        <v>4215</v>
      </c>
      <c r="H208" s="14" t="s">
        <v>166</v>
      </c>
      <c r="I208" s="14" t="s">
        <v>4216</v>
      </c>
      <c r="J208" s="14" t="s">
        <v>4217</v>
      </c>
      <c r="K208" s="14" t="s">
        <v>207</v>
      </c>
      <c r="L208" s="14" t="s">
        <v>208</v>
      </c>
      <c r="M208" s="14" t="s">
        <v>1766</v>
      </c>
      <c r="N208" s="14" t="s">
        <v>2393</v>
      </c>
      <c r="O208" s="14" t="s">
        <v>2394</v>
      </c>
      <c r="P208" s="14" t="s">
        <v>4218</v>
      </c>
      <c r="Q208" s="14" t="s">
        <v>166</v>
      </c>
      <c r="R208" s="14" t="s">
        <v>177</v>
      </c>
      <c r="S208" s="14" t="s">
        <v>178</v>
      </c>
      <c r="T208" s="14" t="s">
        <v>179</v>
      </c>
      <c r="U208" s="14" t="s">
        <v>4219</v>
      </c>
      <c r="V208" s="14" t="s">
        <v>4220</v>
      </c>
      <c r="W208" s="21" t="s">
        <v>166</v>
      </c>
      <c r="X208" s="14" t="s">
        <v>4221</v>
      </c>
      <c r="Y208" s="14" t="s">
        <v>4222</v>
      </c>
      <c r="Z208" s="14" t="s">
        <v>166</v>
      </c>
      <c r="AA208" s="14" t="s">
        <v>166</v>
      </c>
      <c r="AB208" s="14" t="s">
        <v>166</v>
      </c>
      <c r="AC208" s="14" t="s">
        <v>166</v>
      </c>
      <c r="AD208" s="14" t="s">
        <v>166</v>
      </c>
      <c r="AE208" s="14" t="s">
        <v>166</v>
      </c>
      <c r="AF208" s="14" t="s">
        <v>166</v>
      </c>
      <c r="AG208" s="14" t="s">
        <v>166</v>
      </c>
      <c r="AH208" s="21">
        <v>2</v>
      </c>
      <c r="AI208" s="3">
        <f>HYPERLINK("https://my.pitchbook.com/?d=179789-50T","179789-50T")</f>
      </c>
      <c r="AJ208" s="19" t="s">
        <v>166</v>
      </c>
      <c r="AK208" s="19">
        <v>44379</v>
      </c>
      <c r="AL208" s="18">
        <v>0.1</v>
      </c>
      <c r="AM208" s="14" t="s">
        <v>185</v>
      </c>
      <c r="AN208" s="18" t="s">
        <v>166</v>
      </c>
      <c r="AO208" s="18" t="s">
        <v>166</v>
      </c>
      <c r="AP208" s="14" t="s">
        <v>166</v>
      </c>
      <c r="AQ208" s="21" t="s">
        <v>166</v>
      </c>
      <c r="AR208" s="21" t="s">
        <v>166</v>
      </c>
      <c r="AS208" s="17" t="s">
        <v>166</v>
      </c>
      <c r="AT208" s="18">
        <v>0.1</v>
      </c>
      <c r="AU208" s="21" t="s">
        <v>186</v>
      </c>
      <c r="AV208" s="21" t="s">
        <v>166</v>
      </c>
      <c r="AW208" s="18" t="s">
        <v>166</v>
      </c>
      <c r="AX208" s="21" t="s">
        <v>166</v>
      </c>
      <c r="AY208" s="14" t="s">
        <v>217</v>
      </c>
      <c r="AZ208" s="14" t="s">
        <v>217</v>
      </c>
      <c r="BA208" s="14" t="s">
        <v>166</v>
      </c>
      <c r="BB208" s="21" t="s">
        <v>166</v>
      </c>
      <c r="BC208" s="14" t="s">
        <v>179</v>
      </c>
      <c r="BD208" s="14" t="s">
        <v>4223</v>
      </c>
      <c r="BE208" s="14" t="s">
        <v>189</v>
      </c>
      <c r="BF208" s="18" t="s">
        <v>166</v>
      </c>
      <c r="BG208" s="14" t="s">
        <v>190</v>
      </c>
      <c r="BH208" s="14" t="s">
        <v>166</v>
      </c>
      <c r="BI208" s="14" t="s">
        <v>166</v>
      </c>
      <c r="BJ208" s="18">
        <v>0.1</v>
      </c>
      <c r="BK208" s="18" t="s">
        <v>166</v>
      </c>
      <c r="BL208" s="14" t="s">
        <v>191</v>
      </c>
      <c r="BM208" s="14" t="s">
        <v>178</v>
      </c>
      <c r="BN208" s="14" t="s">
        <v>177</v>
      </c>
      <c r="BO208" s="22" t="s">
        <v>166</v>
      </c>
      <c r="BP208" s="14" t="s">
        <v>4214</v>
      </c>
      <c r="BQ208" s="21">
        <v>1</v>
      </c>
      <c r="BR208" s="14" t="s">
        <v>166</v>
      </c>
      <c r="BS208" s="21" t="s">
        <v>166</v>
      </c>
      <c r="BT208" s="14" t="s">
        <v>166</v>
      </c>
      <c r="BU208" s="14" t="s">
        <v>166</v>
      </c>
      <c r="BV208" s="14" t="s">
        <v>166</v>
      </c>
      <c r="BW208" s="14" t="s">
        <v>166</v>
      </c>
      <c r="BX208" s="14" t="s">
        <v>166</v>
      </c>
      <c r="BY208" s="14" t="s">
        <v>166</v>
      </c>
      <c r="BZ208" s="14" t="s">
        <v>166</v>
      </c>
      <c r="CA208" s="14" t="s">
        <v>166</v>
      </c>
      <c r="CB208" s="14" t="s">
        <v>166</v>
      </c>
      <c r="CC208" s="14" t="s">
        <v>166</v>
      </c>
      <c r="CD208" s="14" t="s">
        <v>166</v>
      </c>
      <c r="CE208" s="18" t="s">
        <v>166</v>
      </c>
      <c r="CF208" s="16" t="s">
        <v>166</v>
      </c>
      <c r="CG208" s="17" t="s">
        <v>166</v>
      </c>
      <c r="CH208" s="16" t="s">
        <v>166</v>
      </c>
      <c r="CI208" s="16" t="s">
        <v>166</v>
      </c>
      <c r="CJ208" s="16" t="s">
        <v>166</v>
      </c>
      <c r="CK208" s="16" t="s">
        <v>166</v>
      </c>
      <c r="CL208" s="16" t="s">
        <v>166</v>
      </c>
      <c r="CM208" s="20" t="s">
        <v>166</v>
      </c>
      <c r="CN208" s="16" t="s">
        <v>166</v>
      </c>
      <c r="CO208" s="16" t="s">
        <v>166</v>
      </c>
      <c r="CP208" s="16" t="s">
        <v>166</v>
      </c>
      <c r="CQ208" s="16" t="s">
        <v>166</v>
      </c>
      <c r="CR208" s="16" t="s">
        <v>166</v>
      </c>
      <c r="CS208" s="16" t="s">
        <v>166</v>
      </c>
      <c r="CT208" s="16" t="s">
        <v>166</v>
      </c>
      <c r="CU208" s="16" t="s">
        <v>166</v>
      </c>
      <c r="CV208" s="16" t="s">
        <v>166</v>
      </c>
      <c r="CW208" s="16" t="s">
        <v>166</v>
      </c>
      <c r="CX208" s="16" t="s">
        <v>166</v>
      </c>
      <c r="CY208" s="16" t="s">
        <v>166</v>
      </c>
      <c r="CZ208" s="16" t="s">
        <v>166</v>
      </c>
      <c r="DA208" s="16" t="s">
        <v>166</v>
      </c>
      <c r="DB208" s="16" t="s">
        <v>166</v>
      </c>
      <c r="DC208" s="16" t="s">
        <v>166</v>
      </c>
      <c r="DD208" s="16" t="s">
        <v>166</v>
      </c>
      <c r="DE208" s="17" t="s">
        <v>166</v>
      </c>
      <c r="DF208" s="22">
        <v>6</v>
      </c>
      <c r="DG208" s="14" t="s">
        <v>4224</v>
      </c>
      <c r="DH208" s="14" t="s">
        <v>193</v>
      </c>
      <c r="DI208" s="14" t="s">
        <v>194</v>
      </c>
      <c r="DJ208" s="14" t="s">
        <v>4225</v>
      </c>
      <c r="DK208" s="14" t="s">
        <v>4226</v>
      </c>
      <c r="DL208" s="21" t="s">
        <v>4227</v>
      </c>
      <c r="DM208" s="14" t="s">
        <v>198</v>
      </c>
      <c r="DN208" s="13" t="s">
        <v>4228</v>
      </c>
      <c r="DO208" s="20">
        <v>2018</v>
      </c>
      <c r="DP208" s="14" t="s">
        <v>166</v>
      </c>
      <c r="DQ208" s="14" t="s">
        <v>4229</v>
      </c>
      <c r="DR208" s="18">
        <v>0.1</v>
      </c>
      <c r="DS208" s="16" t="s">
        <v>166</v>
      </c>
      <c r="DT208" s="19" t="s">
        <v>166</v>
      </c>
      <c r="DU208" s="14" t="s">
        <v>166</v>
      </c>
      <c r="DV208" s="18" t="s">
        <v>166</v>
      </c>
      <c r="DW208" s="18" t="s">
        <v>166</v>
      </c>
      <c r="DX208" s="16" t="s">
        <v>166</v>
      </c>
      <c r="DY208" s="16" t="s">
        <v>166</v>
      </c>
      <c r="DZ208" s="17" t="s">
        <v>166</v>
      </c>
      <c r="EA208" s="16" t="s">
        <v>166</v>
      </c>
      <c r="EB208" s="16" t="s">
        <v>166</v>
      </c>
      <c r="EC208" s="16" t="s">
        <v>166</v>
      </c>
      <c r="ED208" s="17" t="s">
        <v>166</v>
      </c>
      <c r="EE208" s="17" t="s">
        <v>166</v>
      </c>
      <c r="EF208" s="17" t="s">
        <v>166</v>
      </c>
      <c r="EG208" s="17" t="s">
        <v>166</v>
      </c>
      <c r="EH208" s="16" t="s">
        <v>166</v>
      </c>
      <c r="EI208" s="16" t="s">
        <v>166</v>
      </c>
      <c r="EJ208" s="16" t="s">
        <v>166</v>
      </c>
      <c r="EK208" s="16" t="s">
        <v>166</v>
      </c>
      <c r="EL208" s="16" t="s">
        <v>166</v>
      </c>
      <c r="EM208" s="16" t="s">
        <v>166</v>
      </c>
      <c r="EN208" s="16" t="s">
        <v>166</v>
      </c>
      <c r="EO208" s="16" t="s">
        <v>166</v>
      </c>
      <c r="EP208" s="16" t="s">
        <v>166</v>
      </c>
      <c r="EQ208" s="16" t="s">
        <v>166</v>
      </c>
      <c r="ER208" s="16" t="s">
        <v>166</v>
      </c>
      <c r="ES208" s="16" t="s">
        <v>166</v>
      </c>
      <c r="ET208" s="14" t="s">
        <v>166</v>
      </c>
      <c r="EU208" s="16" t="s">
        <v>166</v>
      </c>
      <c r="EV208" s="16" t="s">
        <v>166</v>
      </c>
      <c r="EW208" s="16" t="s">
        <v>166</v>
      </c>
      <c r="EX208" s="14" t="s">
        <v>190</v>
      </c>
      <c r="EY208" s="14" t="s">
        <v>190</v>
      </c>
      <c r="EZ208" s="16" t="s">
        <v>166</v>
      </c>
      <c r="FA208" s="15" t="s">
        <v>166</v>
      </c>
      <c r="FB208" s="15" t="s">
        <v>166</v>
      </c>
      <c r="FC208" s="15" t="s">
        <v>166</v>
      </c>
      <c r="FD208" s="15" t="s">
        <v>166</v>
      </c>
      <c r="FE208" s="15" t="s">
        <v>166</v>
      </c>
      <c r="FF208" s="15" t="s">
        <v>166</v>
      </c>
      <c r="FG208" s="14" t="s">
        <v>166</v>
      </c>
      <c r="FH208" s="3">
        <f>HYPERLINK("https://my.pitchbook.com?c=179789-50T","View Company Online")</f>
      </c>
    </row>
    <row r="209">
      <c r="A209" s="25" t="s">
        <v>4230</v>
      </c>
      <c r="B209" s="25" t="s">
        <v>4231</v>
      </c>
      <c r="C209" s="25" t="s">
        <v>4232</v>
      </c>
      <c r="D209" s="25" t="s">
        <v>166</v>
      </c>
      <c r="E209" s="34" t="s">
        <v>4233</v>
      </c>
      <c r="F209" s="32">
        <v>3</v>
      </c>
      <c r="G209" s="25" t="s">
        <v>4234</v>
      </c>
      <c r="H209" s="25" t="s">
        <v>166</v>
      </c>
      <c r="I209" s="25" t="s">
        <v>4235</v>
      </c>
      <c r="J209" s="25" t="s">
        <v>4236</v>
      </c>
      <c r="K209" s="25" t="s">
        <v>207</v>
      </c>
      <c r="L209" s="25" t="s">
        <v>208</v>
      </c>
      <c r="M209" s="25" t="s">
        <v>209</v>
      </c>
      <c r="N209" s="25" t="s">
        <v>2471</v>
      </c>
      <c r="O209" s="25" t="s">
        <v>166</v>
      </c>
      <c r="P209" s="25" t="s">
        <v>4237</v>
      </c>
      <c r="Q209" s="25" t="s">
        <v>166</v>
      </c>
      <c r="R209" s="25" t="s">
        <v>177</v>
      </c>
      <c r="S209" s="25" t="s">
        <v>178</v>
      </c>
      <c r="T209" s="25" t="s">
        <v>179</v>
      </c>
      <c r="U209" s="25" t="s">
        <v>4238</v>
      </c>
      <c r="V209" s="25" t="s">
        <v>4239</v>
      </c>
      <c r="W209" s="32" t="s">
        <v>4240</v>
      </c>
      <c r="X209" s="25" t="s">
        <v>4241</v>
      </c>
      <c r="Y209" s="25" t="s">
        <v>4242</v>
      </c>
      <c r="Z209" s="25" t="s">
        <v>166</v>
      </c>
      <c r="AA209" s="25" t="s">
        <v>166</v>
      </c>
      <c r="AB209" s="25" t="s">
        <v>166</v>
      </c>
      <c r="AC209" s="25" t="s">
        <v>166</v>
      </c>
      <c r="AD209" s="25" t="s">
        <v>166</v>
      </c>
      <c r="AE209" s="25" t="s">
        <v>166</v>
      </c>
      <c r="AF209" s="25" t="s">
        <v>166</v>
      </c>
      <c r="AG209" s="25" t="s">
        <v>166</v>
      </c>
      <c r="AH209" s="32">
        <v>3</v>
      </c>
      <c r="AI209" s="4">
        <f>HYPERLINK("https://my.pitchbook.com/?d=244099-90T","244099-90T")</f>
      </c>
      <c r="AJ209" s="30">
        <v>45224</v>
      </c>
      <c r="AK209" s="30">
        <v>45337</v>
      </c>
      <c r="AL209" s="29">
        <v>1</v>
      </c>
      <c r="AM209" s="25" t="s">
        <v>185</v>
      </c>
      <c r="AN209" s="29" t="s">
        <v>166</v>
      </c>
      <c r="AO209" s="29" t="s">
        <v>166</v>
      </c>
      <c r="AP209" s="25" t="s">
        <v>166</v>
      </c>
      <c r="AQ209" s="32" t="s">
        <v>166</v>
      </c>
      <c r="AR209" s="32" t="s">
        <v>166</v>
      </c>
      <c r="AS209" s="28" t="s">
        <v>166</v>
      </c>
      <c r="AT209" s="29">
        <v>1.12</v>
      </c>
      <c r="AU209" s="32" t="s">
        <v>186</v>
      </c>
      <c r="AV209" s="32" t="s">
        <v>166</v>
      </c>
      <c r="AW209" s="29" t="s">
        <v>166</v>
      </c>
      <c r="AX209" s="32" t="s">
        <v>166</v>
      </c>
      <c r="AY209" s="25" t="s">
        <v>187</v>
      </c>
      <c r="AZ209" s="25" t="s">
        <v>166</v>
      </c>
      <c r="BA209" s="25" t="s">
        <v>166</v>
      </c>
      <c r="BB209" s="32" t="s">
        <v>166</v>
      </c>
      <c r="BC209" s="25" t="s">
        <v>179</v>
      </c>
      <c r="BD209" s="25" t="s">
        <v>4236</v>
      </c>
      <c r="BE209" s="25" t="s">
        <v>189</v>
      </c>
      <c r="BF209" s="29" t="s">
        <v>166</v>
      </c>
      <c r="BG209" s="25" t="s">
        <v>190</v>
      </c>
      <c r="BH209" s="25" t="s">
        <v>166</v>
      </c>
      <c r="BI209" s="25" t="s">
        <v>166</v>
      </c>
      <c r="BJ209" s="29" t="s">
        <v>166</v>
      </c>
      <c r="BK209" s="29" t="s">
        <v>166</v>
      </c>
      <c r="BL209" s="25" t="s">
        <v>191</v>
      </c>
      <c r="BM209" s="25" t="s">
        <v>178</v>
      </c>
      <c r="BN209" s="25" t="s">
        <v>177</v>
      </c>
      <c r="BO209" s="33" t="s">
        <v>166</v>
      </c>
      <c r="BP209" s="25" t="s">
        <v>4243</v>
      </c>
      <c r="BQ209" s="32">
        <v>2</v>
      </c>
      <c r="BR209" s="25" t="s">
        <v>252</v>
      </c>
      <c r="BS209" s="32">
        <v>1</v>
      </c>
      <c r="BT209" s="25" t="s">
        <v>166</v>
      </c>
      <c r="BU209" s="25" t="s">
        <v>166</v>
      </c>
      <c r="BV209" s="25" t="s">
        <v>4244</v>
      </c>
      <c r="BW209" s="25" t="s">
        <v>166</v>
      </c>
      <c r="BX209" s="25" t="s">
        <v>166</v>
      </c>
      <c r="BY209" s="25" t="s">
        <v>166</v>
      </c>
      <c r="BZ209" s="25" t="s">
        <v>166</v>
      </c>
      <c r="CA209" s="25" t="s">
        <v>166</v>
      </c>
      <c r="CB209" s="25" t="s">
        <v>166</v>
      </c>
      <c r="CC209" s="25" t="s">
        <v>166</v>
      </c>
      <c r="CD209" s="25" t="s">
        <v>166</v>
      </c>
      <c r="CE209" s="29" t="s">
        <v>166</v>
      </c>
      <c r="CF209" s="27" t="s">
        <v>166</v>
      </c>
      <c r="CG209" s="28" t="s">
        <v>166</v>
      </c>
      <c r="CH209" s="27" t="s">
        <v>166</v>
      </c>
      <c r="CI209" s="27" t="s">
        <v>166</v>
      </c>
      <c r="CJ209" s="27" t="s">
        <v>166</v>
      </c>
      <c r="CK209" s="27" t="s">
        <v>166</v>
      </c>
      <c r="CL209" s="27" t="s">
        <v>166</v>
      </c>
      <c r="CM209" s="31" t="s">
        <v>166</v>
      </c>
      <c r="CN209" s="27" t="s">
        <v>166</v>
      </c>
      <c r="CO209" s="27" t="s">
        <v>166</v>
      </c>
      <c r="CP209" s="27" t="s">
        <v>166</v>
      </c>
      <c r="CQ209" s="27" t="s">
        <v>166</v>
      </c>
      <c r="CR209" s="27" t="s">
        <v>166</v>
      </c>
      <c r="CS209" s="27" t="s">
        <v>166</v>
      </c>
      <c r="CT209" s="27" t="s">
        <v>166</v>
      </c>
      <c r="CU209" s="27" t="s">
        <v>166</v>
      </c>
      <c r="CV209" s="27" t="s">
        <v>166</v>
      </c>
      <c r="CW209" s="27" t="s">
        <v>166</v>
      </c>
      <c r="CX209" s="27" t="s">
        <v>166</v>
      </c>
      <c r="CY209" s="27" t="s">
        <v>166</v>
      </c>
      <c r="CZ209" s="27" t="s">
        <v>166</v>
      </c>
      <c r="DA209" s="27" t="s">
        <v>166</v>
      </c>
      <c r="DB209" s="27" t="s">
        <v>166</v>
      </c>
      <c r="DC209" s="27" t="s">
        <v>166</v>
      </c>
      <c r="DD209" s="27" t="s">
        <v>166</v>
      </c>
      <c r="DE209" s="28" t="s">
        <v>166</v>
      </c>
      <c r="DF209" s="33">
        <v>16</v>
      </c>
      <c r="DG209" s="25" t="s">
        <v>4245</v>
      </c>
      <c r="DH209" s="25" t="s">
        <v>193</v>
      </c>
      <c r="DI209" s="25" t="s">
        <v>194</v>
      </c>
      <c r="DJ209" s="25" t="s">
        <v>4246</v>
      </c>
      <c r="DK209" s="25" t="s">
        <v>257</v>
      </c>
      <c r="DL209" s="32" t="s">
        <v>4247</v>
      </c>
      <c r="DM209" s="25" t="s">
        <v>198</v>
      </c>
      <c r="DN209" s="24" t="s">
        <v>4248</v>
      </c>
      <c r="DO209" s="31">
        <v>2020</v>
      </c>
      <c r="DP209" s="25" t="s">
        <v>166</v>
      </c>
      <c r="DQ209" s="25" t="s">
        <v>4249</v>
      </c>
      <c r="DR209" s="29" t="s">
        <v>166</v>
      </c>
      <c r="DS209" s="27" t="s">
        <v>166</v>
      </c>
      <c r="DT209" s="30" t="s">
        <v>166</v>
      </c>
      <c r="DU209" s="25" t="s">
        <v>166</v>
      </c>
      <c r="DV209" s="29" t="s">
        <v>166</v>
      </c>
      <c r="DW209" s="29" t="s">
        <v>166</v>
      </c>
      <c r="DX209" s="27" t="s">
        <v>166</v>
      </c>
      <c r="DY209" s="27" t="s">
        <v>166</v>
      </c>
      <c r="DZ209" s="28" t="s">
        <v>166</v>
      </c>
      <c r="EA209" s="27" t="s">
        <v>166</v>
      </c>
      <c r="EB209" s="27" t="s">
        <v>166</v>
      </c>
      <c r="EC209" s="27" t="s">
        <v>166</v>
      </c>
      <c r="ED209" s="28" t="s">
        <v>166</v>
      </c>
      <c r="EE209" s="28" t="s">
        <v>166</v>
      </c>
      <c r="EF209" s="28" t="s">
        <v>166</v>
      </c>
      <c r="EG209" s="28" t="s">
        <v>166</v>
      </c>
      <c r="EH209" s="27" t="s">
        <v>166</v>
      </c>
      <c r="EI209" s="27" t="s">
        <v>166</v>
      </c>
      <c r="EJ209" s="27" t="s">
        <v>166</v>
      </c>
      <c r="EK209" s="27" t="s">
        <v>166</v>
      </c>
      <c r="EL209" s="27" t="s">
        <v>166</v>
      </c>
      <c r="EM209" s="27" t="s">
        <v>166</v>
      </c>
      <c r="EN209" s="27" t="s">
        <v>166</v>
      </c>
      <c r="EO209" s="27" t="s">
        <v>166</v>
      </c>
      <c r="EP209" s="27" t="s">
        <v>166</v>
      </c>
      <c r="EQ209" s="27" t="s">
        <v>166</v>
      </c>
      <c r="ER209" s="27" t="s">
        <v>166</v>
      </c>
      <c r="ES209" s="27" t="s">
        <v>166</v>
      </c>
      <c r="ET209" s="25" t="s">
        <v>166</v>
      </c>
      <c r="EU209" s="27" t="s">
        <v>166</v>
      </c>
      <c r="EV209" s="27" t="s">
        <v>166</v>
      </c>
      <c r="EW209" s="27" t="s">
        <v>166</v>
      </c>
      <c r="EX209" s="25" t="s">
        <v>190</v>
      </c>
      <c r="EY209" s="25" t="s">
        <v>190</v>
      </c>
      <c r="EZ209" s="27" t="s">
        <v>166</v>
      </c>
      <c r="FA209" s="26" t="s">
        <v>166</v>
      </c>
      <c r="FB209" s="26" t="s">
        <v>166</v>
      </c>
      <c r="FC209" s="26" t="s">
        <v>166</v>
      </c>
      <c r="FD209" s="26" t="s">
        <v>166</v>
      </c>
      <c r="FE209" s="26" t="s">
        <v>166</v>
      </c>
      <c r="FF209" s="26" t="s">
        <v>166</v>
      </c>
      <c r="FG209" s="25" t="s">
        <v>166</v>
      </c>
      <c r="FH209" s="4">
        <f>HYPERLINK("https://my.pitchbook.com?c=244099-90T","View Company Online")</f>
      </c>
    </row>
    <row r="210">
      <c r="A210" s="14" t="s">
        <v>4250</v>
      </c>
      <c r="B210" s="14" t="s">
        <v>4251</v>
      </c>
      <c r="C210" s="14" t="s">
        <v>4252</v>
      </c>
      <c r="D210" s="14" t="s">
        <v>166</v>
      </c>
      <c r="E210" s="23" t="s">
        <v>4253</v>
      </c>
      <c r="F210" s="21">
        <v>1</v>
      </c>
      <c r="G210" s="14" t="s">
        <v>4254</v>
      </c>
      <c r="H210" s="14" t="s">
        <v>166</v>
      </c>
      <c r="I210" s="14" t="s">
        <v>4255</v>
      </c>
      <c r="J210" s="14" t="s">
        <v>4256</v>
      </c>
      <c r="K210" s="14" t="s">
        <v>207</v>
      </c>
      <c r="L210" s="14" t="s">
        <v>208</v>
      </c>
      <c r="M210" s="14" t="s">
        <v>209</v>
      </c>
      <c r="N210" s="14" t="s">
        <v>269</v>
      </c>
      <c r="O210" s="14" t="s">
        <v>4257</v>
      </c>
      <c r="P210" s="14" t="s">
        <v>4258</v>
      </c>
      <c r="Q210" s="14" t="s">
        <v>166</v>
      </c>
      <c r="R210" s="14" t="s">
        <v>177</v>
      </c>
      <c r="S210" s="14" t="s">
        <v>178</v>
      </c>
      <c r="T210" s="14" t="s">
        <v>179</v>
      </c>
      <c r="U210" s="14" t="s">
        <v>4259</v>
      </c>
      <c r="V210" s="14" t="s">
        <v>4260</v>
      </c>
      <c r="W210" s="21" t="s">
        <v>4261</v>
      </c>
      <c r="X210" s="14" t="s">
        <v>4262</v>
      </c>
      <c r="Y210" s="14" t="s">
        <v>4263</v>
      </c>
      <c r="Z210" s="14" t="s">
        <v>166</v>
      </c>
      <c r="AA210" s="14" t="s">
        <v>166</v>
      </c>
      <c r="AB210" s="14" t="s">
        <v>166</v>
      </c>
      <c r="AC210" s="14" t="s">
        <v>166</v>
      </c>
      <c r="AD210" s="14" t="s">
        <v>166</v>
      </c>
      <c r="AE210" s="14" t="s">
        <v>166</v>
      </c>
      <c r="AF210" s="14" t="s">
        <v>166</v>
      </c>
      <c r="AG210" s="14" t="s">
        <v>166</v>
      </c>
      <c r="AH210" s="21">
        <v>1</v>
      </c>
      <c r="AI210" s="3">
        <f>HYPERLINK("https://my.pitchbook.com/?d=211340-35T","211340-35T")</f>
      </c>
      <c r="AJ210" s="19" t="s">
        <v>166</v>
      </c>
      <c r="AK210" s="19">
        <v>44183</v>
      </c>
      <c r="AL210" s="18">
        <v>0.53</v>
      </c>
      <c r="AM210" s="14" t="s">
        <v>185</v>
      </c>
      <c r="AN210" s="18" t="s">
        <v>166</v>
      </c>
      <c r="AO210" s="18" t="s">
        <v>166</v>
      </c>
      <c r="AP210" s="14" t="s">
        <v>166</v>
      </c>
      <c r="AQ210" s="21" t="s">
        <v>166</v>
      </c>
      <c r="AR210" s="21" t="s">
        <v>166</v>
      </c>
      <c r="AS210" s="17" t="s">
        <v>166</v>
      </c>
      <c r="AT210" s="18">
        <v>0.41</v>
      </c>
      <c r="AU210" s="21" t="s">
        <v>186</v>
      </c>
      <c r="AV210" s="21" t="s">
        <v>166</v>
      </c>
      <c r="AW210" s="18" t="s">
        <v>166</v>
      </c>
      <c r="AX210" s="21" t="s">
        <v>166</v>
      </c>
      <c r="AY210" s="14" t="s">
        <v>217</v>
      </c>
      <c r="AZ210" s="14" t="s">
        <v>217</v>
      </c>
      <c r="BA210" s="14" t="s">
        <v>166</v>
      </c>
      <c r="BB210" s="21" t="s">
        <v>166</v>
      </c>
      <c r="BC210" s="14" t="s">
        <v>179</v>
      </c>
      <c r="BD210" s="14" t="s">
        <v>4264</v>
      </c>
      <c r="BE210" s="14" t="s">
        <v>189</v>
      </c>
      <c r="BF210" s="18">
        <v>0.41</v>
      </c>
      <c r="BG210" s="14" t="s">
        <v>190</v>
      </c>
      <c r="BH210" s="14" t="s">
        <v>166</v>
      </c>
      <c r="BI210" s="14" t="s">
        <v>166</v>
      </c>
      <c r="BJ210" s="18" t="s">
        <v>166</v>
      </c>
      <c r="BK210" s="18" t="s">
        <v>166</v>
      </c>
      <c r="BL210" s="14" t="s">
        <v>191</v>
      </c>
      <c r="BM210" s="14" t="s">
        <v>358</v>
      </c>
      <c r="BN210" s="14" t="s">
        <v>177</v>
      </c>
      <c r="BO210" s="22" t="s">
        <v>166</v>
      </c>
      <c r="BP210" s="14" t="s">
        <v>4253</v>
      </c>
      <c r="BQ210" s="21">
        <v>1</v>
      </c>
      <c r="BR210" s="14" t="s">
        <v>166</v>
      </c>
      <c r="BS210" s="21" t="s">
        <v>166</v>
      </c>
      <c r="BT210" s="14" t="s">
        <v>166</v>
      </c>
      <c r="BU210" s="14" t="s">
        <v>166</v>
      </c>
      <c r="BV210" s="14" t="s">
        <v>166</v>
      </c>
      <c r="BW210" s="14" t="s">
        <v>166</v>
      </c>
      <c r="BX210" s="14" t="s">
        <v>166</v>
      </c>
      <c r="BY210" s="14" t="s">
        <v>166</v>
      </c>
      <c r="BZ210" s="14" t="s">
        <v>166</v>
      </c>
      <c r="CA210" s="14" t="s">
        <v>166</v>
      </c>
      <c r="CB210" s="14" t="s">
        <v>166</v>
      </c>
      <c r="CC210" s="14" t="s">
        <v>166</v>
      </c>
      <c r="CD210" s="14" t="s">
        <v>166</v>
      </c>
      <c r="CE210" s="18" t="s">
        <v>166</v>
      </c>
      <c r="CF210" s="16" t="s">
        <v>166</v>
      </c>
      <c r="CG210" s="17" t="s">
        <v>166</v>
      </c>
      <c r="CH210" s="16" t="s">
        <v>166</v>
      </c>
      <c r="CI210" s="16" t="s">
        <v>166</v>
      </c>
      <c r="CJ210" s="16" t="s">
        <v>166</v>
      </c>
      <c r="CK210" s="16" t="s">
        <v>166</v>
      </c>
      <c r="CL210" s="16" t="s">
        <v>166</v>
      </c>
      <c r="CM210" s="20" t="s">
        <v>166</v>
      </c>
      <c r="CN210" s="16" t="s">
        <v>166</v>
      </c>
      <c r="CO210" s="16" t="s">
        <v>166</v>
      </c>
      <c r="CP210" s="16" t="s">
        <v>166</v>
      </c>
      <c r="CQ210" s="16" t="s">
        <v>166</v>
      </c>
      <c r="CR210" s="16" t="s">
        <v>166</v>
      </c>
      <c r="CS210" s="16" t="s">
        <v>166</v>
      </c>
      <c r="CT210" s="16" t="s">
        <v>166</v>
      </c>
      <c r="CU210" s="16" t="s">
        <v>166</v>
      </c>
      <c r="CV210" s="16" t="s">
        <v>166</v>
      </c>
      <c r="CW210" s="16" t="s">
        <v>166</v>
      </c>
      <c r="CX210" s="16" t="s">
        <v>166</v>
      </c>
      <c r="CY210" s="16" t="s">
        <v>166</v>
      </c>
      <c r="CZ210" s="16" t="s">
        <v>166</v>
      </c>
      <c r="DA210" s="16" t="s">
        <v>166</v>
      </c>
      <c r="DB210" s="16" t="s">
        <v>166</v>
      </c>
      <c r="DC210" s="16" t="s">
        <v>166</v>
      </c>
      <c r="DD210" s="16" t="s">
        <v>166</v>
      </c>
      <c r="DE210" s="17" t="s">
        <v>166</v>
      </c>
      <c r="DF210" s="22">
        <v>16</v>
      </c>
      <c r="DG210" s="14" t="s">
        <v>309</v>
      </c>
      <c r="DH210" s="14" t="s">
        <v>193</v>
      </c>
      <c r="DI210" s="14" t="s">
        <v>194</v>
      </c>
      <c r="DJ210" s="14" t="s">
        <v>310</v>
      </c>
      <c r="DK210" s="14" t="s">
        <v>310</v>
      </c>
      <c r="DL210" s="21" t="s">
        <v>4265</v>
      </c>
      <c r="DM210" s="14" t="s">
        <v>198</v>
      </c>
      <c r="DN210" s="13" t="s">
        <v>4266</v>
      </c>
      <c r="DO210" s="20">
        <v>2018</v>
      </c>
      <c r="DP210" s="14" t="s">
        <v>166</v>
      </c>
      <c r="DQ210" s="14" t="s">
        <v>166</v>
      </c>
      <c r="DR210" s="18" t="s">
        <v>166</v>
      </c>
      <c r="DS210" s="16" t="s">
        <v>166</v>
      </c>
      <c r="DT210" s="19" t="s">
        <v>166</v>
      </c>
      <c r="DU210" s="14" t="s">
        <v>166</v>
      </c>
      <c r="DV210" s="18" t="s">
        <v>166</v>
      </c>
      <c r="DW210" s="18" t="s">
        <v>166</v>
      </c>
      <c r="DX210" s="16" t="s">
        <v>166</v>
      </c>
      <c r="DY210" s="16" t="s">
        <v>166</v>
      </c>
      <c r="DZ210" s="17" t="s">
        <v>166</v>
      </c>
      <c r="EA210" s="16" t="s">
        <v>166</v>
      </c>
      <c r="EB210" s="16" t="s">
        <v>166</v>
      </c>
      <c r="EC210" s="16" t="s">
        <v>166</v>
      </c>
      <c r="ED210" s="17" t="s">
        <v>166</v>
      </c>
      <c r="EE210" s="17" t="s">
        <v>166</v>
      </c>
      <c r="EF210" s="17" t="s">
        <v>166</v>
      </c>
      <c r="EG210" s="17" t="s">
        <v>166</v>
      </c>
      <c r="EH210" s="16" t="s">
        <v>166</v>
      </c>
      <c r="EI210" s="16" t="s">
        <v>166</v>
      </c>
      <c r="EJ210" s="16" t="s">
        <v>166</v>
      </c>
      <c r="EK210" s="16" t="s">
        <v>166</v>
      </c>
      <c r="EL210" s="16" t="s">
        <v>166</v>
      </c>
      <c r="EM210" s="16" t="s">
        <v>166</v>
      </c>
      <c r="EN210" s="16" t="s">
        <v>166</v>
      </c>
      <c r="EO210" s="16" t="s">
        <v>166</v>
      </c>
      <c r="EP210" s="16" t="s">
        <v>166</v>
      </c>
      <c r="EQ210" s="16" t="s">
        <v>166</v>
      </c>
      <c r="ER210" s="16" t="s">
        <v>166</v>
      </c>
      <c r="ES210" s="16" t="s">
        <v>166</v>
      </c>
      <c r="ET210" s="14" t="s">
        <v>166</v>
      </c>
      <c r="EU210" s="16" t="s">
        <v>166</v>
      </c>
      <c r="EV210" s="16" t="s">
        <v>166</v>
      </c>
      <c r="EW210" s="16" t="s">
        <v>166</v>
      </c>
      <c r="EX210" s="14" t="s">
        <v>190</v>
      </c>
      <c r="EY210" s="14" t="s">
        <v>166</v>
      </c>
      <c r="EZ210" s="16" t="s">
        <v>166</v>
      </c>
      <c r="FA210" s="15">
        <v>3</v>
      </c>
      <c r="FB210" s="15">
        <v>2</v>
      </c>
      <c r="FC210" s="15">
        <v>2</v>
      </c>
      <c r="FD210" s="15">
        <v>1</v>
      </c>
      <c r="FE210" s="15" t="s">
        <v>166</v>
      </c>
      <c r="FF210" s="15" t="s">
        <v>166</v>
      </c>
      <c r="FG210" s="14" t="s">
        <v>4267</v>
      </c>
      <c r="FH210" s="3">
        <f>HYPERLINK("https://my.pitchbook.com?c=211340-35T","View Company Online")</f>
      </c>
    </row>
    <row r="211">
      <c r="A211" s="25" t="s">
        <v>4268</v>
      </c>
      <c r="B211" s="25" t="s">
        <v>4269</v>
      </c>
      <c r="C211" s="25" t="s">
        <v>4270</v>
      </c>
      <c r="D211" s="25" t="s">
        <v>166</v>
      </c>
      <c r="E211" s="34" t="s">
        <v>4271</v>
      </c>
      <c r="F211" s="32">
        <v>14</v>
      </c>
      <c r="G211" s="25" t="s">
        <v>4272</v>
      </c>
      <c r="H211" s="25" t="s">
        <v>166</v>
      </c>
      <c r="I211" s="25" t="s">
        <v>4273</v>
      </c>
      <c r="J211" s="25" t="s">
        <v>4274</v>
      </c>
      <c r="K211" s="25" t="s">
        <v>1455</v>
      </c>
      <c r="L211" s="25" t="s">
        <v>1456</v>
      </c>
      <c r="M211" s="25" t="s">
        <v>1457</v>
      </c>
      <c r="N211" s="25" t="s">
        <v>4275</v>
      </c>
      <c r="O211" s="25" t="s">
        <v>166</v>
      </c>
      <c r="P211" s="25" t="s">
        <v>4276</v>
      </c>
      <c r="Q211" s="25" t="s">
        <v>166</v>
      </c>
      <c r="R211" s="25" t="s">
        <v>177</v>
      </c>
      <c r="S211" s="25" t="s">
        <v>178</v>
      </c>
      <c r="T211" s="25" t="s">
        <v>179</v>
      </c>
      <c r="U211" s="25" t="s">
        <v>4277</v>
      </c>
      <c r="V211" s="25" t="s">
        <v>4278</v>
      </c>
      <c r="W211" s="32" t="s">
        <v>4279</v>
      </c>
      <c r="X211" s="25" t="s">
        <v>4280</v>
      </c>
      <c r="Y211" s="25" t="s">
        <v>4281</v>
      </c>
      <c r="Z211" s="25" t="s">
        <v>4282</v>
      </c>
      <c r="AA211" s="25" t="s">
        <v>166</v>
      </c>
      <c r="AB211" s="25" t="s">
        <v>166</v>
      </c>
      <c r="AC211" s="25" t="s">
        <v>166</v>
      </c>
      <c r="AD211" s="25" t="s">
        <v>166</v>
      </c>
      <c r="AE211" s="25" t="s">
        <v>166</v>
      </c>
      <c r="AF211" s="25" t="s">
        <v>166</v>
      </c>
      <c r="AG211" s="25" t="s">
        <v>166</v>
      </c>
      <c r="AH211" s="32">
        <v>1</v>
      </c>
      <c r="AI211" s="4">
        <f>HYPERLINK("https://my.pitchbook.com/?d=193824-73T","193824-73T")</f>
      </c>
      <c r="AJ211" s="30" t="s">
        <v>166</v>
      </c>
      <c r="AK211" s="30">
        <v>44691</v>
      </c>
      <c r="AL211" s="29">
        <v>25</v>
      </c>
      <c r="AM211" s="25" t="s">
        <v>185</v>
      </c>
      <c r="AN211" s="29" t="s">
        <v>166</v>
      </c>
      <c r="AO211" s="29" t="s">
        <v>166</v>
      </c>
      <c r="AP211" s="25" t="s">
        <v>166</v>
      </c>
      <c r="AQ211" s="32" t="s">
        <v>166</v>
      </c>
      <c r="AR211" s="32" t="s">
        <v>166</v>
      </c>
      <c r="AS211" s="28" t="s">
        <v>166</v>
      </c>
      <c r="AT211" s="29">
        <v>25</v>
      </c>
      <c r="AU211" s="32" t="s">
        <v>186</v>
      </c>
      <c r="AV211" s="32" t="s">
        <v>166</v>
      </c>
      <c r="AW211" s="29" t="s">
        <v>166</v>
      </c>
      <c r="AX211" s="32" t="s">
        <v>166</v>
      </c>
      <c r="AY211" s="25" t="s">
        <v>217</v>
      </c>
      <c r="AZ211" s="25" t="s">
        <v>217</v>
      </c>
      <c r="BA211" s="25" t="s">
        <v>166</v>
      </c>
      <c r="BB211" s="32" t="s">
        <v>166</v>
      </c>
      <c r="BC211" s="25" t="s">
        <v>179</v>
      </c>
      <c r="BD211" s="25" t="s">
        <v>4283</v>
      </c>
      <c r="BE211" s="25" t="s">
        <v>189</v>
      </c>
      <c r="BF211" s="29">
        <v>25</v>
      </c>
      <c r="BG211" s="25" t="s">
        <v>190</v>
      </c>
      <c r="BH211" s="25" t="s">
        <v>166</v>
      </c>
      <c r="BI211" s="25" t="s">
        <v>166</v>
      </c>
      <c r="BJ211" s="29" t="s">
        <v>166</v>
      </c>
      <c r="BK211" s="29" t="s">
        <v>166</v>
      </c>
      <c r="BL211" s="25" t="s">
        <v>191</v>
      </c>
      <c r="BM211" s="25" t="s">
        <v>178</v>
      </c>
      <c r="BN211" s="25" t="s">
        <v>177</v>
      </c>
      <c r="BO211" s="33">
        <v>10</v>
      </c>
      <c r="BP211" s="25" t="s">
        <v>4284</v>
      </c>
      <c r="BQ211" s="32">
        <v>14</v>
      </c>
      <c r="BR211" s="25" t="s">
        <v>166</v>
      </c>
      <c r="BS211" s="32" t="s">
        <v>166</v>
      </c>
      <c r="BT211" s="25" t="s">
        <v>4285</v>
      </c>
      <c r="BU211" s="25" t="s">
        <v>166</v>
      </c>
      <c r="BV211" s="25" t="s">
        <v>4286</v>
      </c>
      <c r="BW211" s="25" t="s">
        <v>166</v>
      </c>
      <c r="BX211" s="25" t="s">
        <v>166</v>
      </c>
      <c r="BY211" s="25" t="s">
        <v>166</v>
      </c>
      <c r="BZ211" s="25" t="s">
        <v>4287</v>
      </c>
      <c r="CA211" s="25" t="s">
        <v>1232</v>
      </c>
      <c r="CB211" s="25" t="s">
        <v>166</v>
      </c>
      <c r="CC211" s="25" t="s">
        <v>4288</v>
      </c>
      <c r="CD211" s="25" t="s">
        <v>166</v>
      </c>
      <c r="CE211" s="29" t="s">
        <v>166</v>
      </c>
      <c r="CF211" s="27" t="s">
        <v>166</v>
      </c>
      <c r="CG211" s="28" t="s">
        <v>166</v>
      </c>
      <c r="CH211" s="27" t="s">
        <v>166</v>
      </c>
      <c r="CI211" s="27" t="s">
        <v>166</v>
      </c>
      <c r="CJ211" s="27" t="s">
        <v>166</v>
      </c>
      <c r="CK211" s="27" t="s">
        <v>166</v>
      </c>
      <c r="CL211" s="27" t="s">
        <v>166</v>
      </c>
      <c r="CM211" s="31" t="s">
        <v>166</v>
      </c>
      <c r="CN211" s="27" t="s">
        <v>166</v>
      </c>
      <c r="CO211" s="27" t="s">
        <v>166</v>
      </c>
      <c r="CP211" s="27" t="s">
        <v>166</v>
      </c>
      <c r="CQ211" s="27" t="s">
        <v>166</v>
      </c>
      <c r="CR211" s="27" t="s">
        <v>166</v>
      </c>
      <c r="CS211" s="27" t="s">
        <v>166</v>
      </c>
      <c r="CT211" s="27" t="s">
        <v>166</v>
      </c>
      <c r="CU211" s="27" t="s">
        <v>166</v>
      </c>
      <c r="CV211" s="27" t="s">
        <v>166</v>
      </c>
      <c r="CW211" s="27" t="s">
        <v>166</v>
      </c>
      <c r="CX211" s="27" t="s">
        <v>166</v>
      </c>
      <c r="CY211" s="27" t="s">
        <v>166</v>
      </c>
      <c r="CZ211" s="27" t="s">
        <v>166</v>
      </c>
      <c r="DA211" s="27" t="s">
        <v>166</v>
      </c>
      <c r="DB211" s="27" t="s">
        <v>166</v>
      </c>
      <c r="DC211" s="27" t="s">
        <v>166</v>
      </c>
      <c r="DD211" s="27" t="s">
        <v>166</v>
      </c>
      <c r="DE211" s="28" t="s">
        <v>166</v>
      </c>
      <c r="DF211" s="33">
        <v>16</v>
      </c>
      <c r="DG211" s="25" t="s">
        <v>4289</v>
      </c>
      <c r="DH211" s="25" t="s">
        <v>193</v>
      </c>
      <c r="DI211" s="25" t="s">
        <v>194</v>
      </c>
      <c r="DJ211" s="25" t="s">
        <v>4290</v>
      </c>
      <c r="DK211" s="25" t="s">
        <v>257</v>
      </c>
      <c r="DL211" s="32" t="s">
        <v>166</v>
      </c>
      <c r="DM211" s="25" t="s">
        <v>198</v>
      </c>
      <c r="DN211" s="24" t="s">
        <v>4291</v>
      </c>
      <c r="DO211" s="31">
        <v>2022</v>
      </c>
      <c r="DP211" s="25" t="s">
        <v>166</v>
      </c>
      <c r="DQ211" s="25" t="s">
        <v>166</v>
      </c>
      <c r="DR211" s="29" t="s">
        <v>166</v>
      </c>
      <c r="DS211" s="27" t="s">
        <v>166</v>
      </c>
      <c r="DT211" s="30" t="s">
        <v>166</v>
      </c>
      <c r="DU211" s="25" t="s">
        <v>166</v>
      </c>
      <c r="DV211" s="29" t="s">
        <v>166</v>
      </c>
      <c r="DW211" s="29" t="s">
        <v>166</v>
      </c>
      <c r="DX211" s="27" t="s">
        <v>166</v>
      </c>
      <c r="DY211" s="27" t="s">
        <v>166</v>
      </c>
      <c r="DZ211" s="28" t="s">
        <v>166</v>
      </c>
      <c r="EA211" s="27" t="s">
        <v>166</v>
      </c>
      <c r="EB211" s="27" t="s">
        <v>166</v>
      </c>
      <c r="EC211" s="27" t="s">
        <v>166</v>
      </c>
      <c r="ED211" s="28" t="s">
        <v>166</v>
      </c>
      <c r="EE211" s="28" t="s">
        <v>166</v>
      </c>
      <c r="EF211" s="28" t="s">
        <v>166</v>
      </c>
      <c r="EG211" s="28" t="s">
        <v>166</v>
      </c>
      <c r="EH211" s="27" t="s">
        <v>166</v>
      </c>
      <c r="EI211" s="27" t="s">
        <v>166</v>
      </c>
      <c r="EJ211" s="27" t="s">
        <v>166</v>
      </c>
      <c r="EK211" s="27" t="s">
        <v>166</v>
      </c>
      <c r="EL211" s="27" t="s">
        <v>166</v>
      </c>
      <c r="EM211" s="27" t="s">
        <v>166</v>
      </c>
      <c r="EN211" s="27" t="s">
        <v>166</v>
      </c>
      <c r="EO211" s="27" t="s">
        <v>166</v>
      </c>
      <c r="EP211" s="27" t="s">
        <v>166</v>
      </c>
      <c r="EQ211" s="27" t="s">
        <v>166</v>
      </c>
      <c r="ER211" s="27" t="s">
        <v>166</v>
      </c>
      <c r="ES211" s="27" t="s">
        <v>166</v>
      </c>
      <c r="ET211" s="25" t="s">
        <v>166</v>
      </c>
      <c r="EU211" s="27" t="s">
        <v>166</v>
      </c>
      <c r="EV211" s="27" t="s">
        <v>166</v>
      </c>
      <c r="EW211" s="27" t="s">
        <v>166</v>
      </c>
      <c r="EX211" s="25" t="s">
        <v>190</v>
      </c>
      <c r="EY211" s="25" t="s">
        <v>166</v>
      </c>
      <c r="EZ211" s="27" t="s">
        <v>166</v>
      </c>
      <c r="FA211" s="26" t="s">
        <v>166</v>
      </c>
      <c r="FB211" s="26" t="s">
        <v>166</v>
      </c>
      <c r="FC211" s="26" t="s">
        <v>166</v>
      </c>
      <c r="FD211" s="26" t="s">
        <v>166</v>
      </c>
      <c r="FE211" s="26" t="s">
        <v>166</v>
      </c>
      <c r="FF211" s="26" t="s">
        <v>166</v>
      </c>
      <c r="FG211" s="25" t="s">
        <v>166</v>
      </c>
      <c r="FH211" s="4">
        <f>HYPERLINK("https://my.pitchbook.com?c=193824-73T","View Company Online")</f>
      </c>
    </row>
    <row r="212">
      <c r="A212" s="14" t="s">
        <v>4292</v>
      </c>
      <c r="B212" s="14" t="s">
        <v>4293</v>
      </c>
      <c r="C212" s="14" t="s">
        <v>4294</v>
      </c>
      <c r="D212" s="14" t="s">
        <v>166</v>
      </c>
      <c r="E212" s="23" t="s">
        <v>4295</v>
      </c>
      <c r="F212" s="21">
        <v>4</v>
      </c>
      <c r="G212" s="14" t="s">
        <v>4296</v>
      </c>
      <c r="H212" s="14" t="s">
        <v>166</v>
      </c>
      <c r="I212" s="14" t="s">
        <v>4297</v>
      </c>
      <c r="J212" s="14" t="s">
        <v>4298</v>
      </c>
      <c r="K212" s="14" t="s">
        <v>207</v>
      </c>
      <c r="L212" s="14" t="s">
        <v>208</v>
      </c>
      <c r="M212" s="14" t="s">
        <v>639</v>
      </c>
      <c r="N212" s="14" t="s">
        <v>2719</v>
      </c>
      <c r="O212" s="14" t="s">
        <v>4299</v>
      </c>
      <c r="P212" s="14" t="s">
        <v>4300</v>
      </c>
      <c r="Q212" s="14" t="s">
        <v>166</v>
      </c>
      <c r="R212" s="14" t="s">
        <v>177</v>
      </c>
      <c r="S212" s="14" t="s">
        <v>178</v>
      </c>
      <c r="T212" s="14" t="s">
        <v>179</v>
      </c>
      <c r="U212" s="14" t="s">
        <v>4301</v>
      </c>
      <c r="V212" s="14" t="s">
        <v>4302</v>
      </c>
      <c r="W212" s="21" t="s">
        <v>4303</v>
      </c>
      <c r="X212" s="14" t="s">
        <v>4304</v>
      </c>
      <c r="Y212" s="14" t="s">
        <v>4305</v>
      </c>
      <c r="Z212" s="14" t="s">
        <v>4306</v>
      </c>
      <c r="AA212" s="14" t="s">
        <v>166</v>
      </c>
      <c r="AB212" s="14" t="s">
        <v>166</v>
      </c>
      <c r="AC212" s="14" t="s">
        <v>166</v>
      </c>
      <c r="AD212" s="14" t="s">
        <v>166</v>
      </c>
      <c r="AE212" s="14" t="s">
        <v>166</v>
      </c>
      <c r="AF212" s="14" t="s">
        <v>166</v>
      </c>
      <c r="AG212" s="14" t="s">
        <v>166</v>
      </c>
      <c r="AH212" s="21">
        <v>2</v>
      </c>
      <c r="AI212" s="3">
        <f>HYPERLINK("https://my.pitchbook.com/?d=158166-55T","158166-55T")</f>
      </c>
      <c r="AJ212" s="19" t="s">
        <v>166</v>
      </c>
      <c r="AK212" s="19">
        <v>44130</v>
      </c>
      <c r="AL212" s="18">
        <v>3.3</v>
      </c>
      <c r="AM212" s="14" t="s">
        <v>185</v>
      </c>
      <c r="AN212" s="18" t="s">
        <v>166</v>
      </c>
      <c r="AO212" s="18" t="s">
        <v>166</v>
      </c>
      <c r="AP212" s="14" t="s">
        <v>166</v>
      </c>
      <c r="AQ212" s="21" t="s">
        <v>166</v>
      </c>
      <c r="AR212" s="21" t="s">
        <v>166</v>
      </c>
      <c r="AS212" s="17" t="s">
        <v>166</v>
      </c>
      <c r="AT212" s="18">
        <v>3.3</v>
      </c>
      <c r="AU212" s="21" t="s">
        <v>186</v>
      </c>
      <c r="AV212" s="21" t="s">
        <v>166</v>
      </c>
      <c r="AW212" s="18" t="s">
        <v>166</v>
      </c>
      <c r="AX212" s="21" t="s">
        <v>166</v>
      </c>
      <c r="AY212" s="14" t="s">
        <v>217</v>
      </c>
      <c r="AZ212" s="14" t="s">
        <v>217</v>
      </c>
      <c r="BA212" s="14" t="s">
        <v>166</v>
      </c>
      <c r="BB212" s="21" t="s">
        <v>166</v>
      </c>
      <c r="BC212" s="14" t="s">
        <v>179</v>
      </c>
      <c r="BD212" s="14" t="s">
        <v>4307</v>
      </c>
      <c r="BE212" s="14" t="s">
        <v>189</v>
      </c>
      <c r="BF212" s="18">
        <v>3.3</v>
      </c>
      <c r="BG212" s="14" t="s">
        <v>190</v>
      </c>
      <c r="BH212" s="14" t="s">
        <v>166</v>
      </c>
      <c r="BI212" s="14" t="s">
        <v>166</v>
      </c>
      <c r="BJ212" s="18" t="s">
        <v>166</v>
      </c>
      <c r="BK212" s="18" t="s">
        <v>166</v>
      </c>
      <c r="BL212" s="14" t="s">
        <v>191</v>
      </c>
      <c r="BM212" s="14" t="s">
        <v>178</v>
      </c>
      <c r="BN212" s="14" t="s">
        <v>177</v>
      </c>
      <c r="BO212" s="22">
        <v>1</v>
      </c>
      <c r="BP212" s="14" t="s">
        <v>4308</v>
      </c>
      <c r="BQ212" s="21">
        <v>4</v>
      </c>
      <c r="BR212" s="14" t="s">
        <v>166</v>
      </c>
      <c r="BS212" s="21" t="s">
        <v>166</v>
      </c>
      <c r="BT212" s="14" t="s">
        <v>166</v>
      </c>
      <c r="BU212" s="14" t="s">
        <v>166</v>
      </c>
      <c r="BV212" s="14" t="s">
        <v>166</v>
      </c>
      <c r="BW212" s="14" t="s">
        <v>166</v>
      </c>
      <c r="BX212" s="14" t="s">
        <v>166</v>
      </c>
      <c r="BY212" s="14" t="s">
        <v>166</v>
      </c>
      <c r="BZ212" s="14" t="s">
        <v>4309</v>
      </c>
      <c r="CA212" s="14" t="s">
        <v>4309</v>
      </c>
      <c r="CB212" s="14" t="s">
        <v>166</v>
      </c>
      <c r="CC212" s="14" t="s">
        <v>166</v>
      </c>
      <c r="CD212" s="14" t="s">
        <v>166</v>
      </c>
      <c r="CE212" s="18" t="s">
        <v>166</v>
      </c>
      <c r="CF212" s="16" t="s">
        <v>166</v>
      </c>
      <c r="CG212" s="17" t="s">
        <v>166</v>
      </c>
      <c r="CH212" s="16" t="s">
        <v>166</v>
      </c>
      <c r="CI212" s="16" t="s">
        <v>166</v>
      </c>
      <c r="CJ212" s="16" t="s">
        <v>166</v>
      </c>
      <c r="CK212" s="16" t="s">
        <v>166</v>
      </c>
      <c r="CL212" s="16" t="s">
        <v>166</v>
      </c>
      <c r="CM212" s="20" t="s">
        <v>166</v>
      </c>
      <c r="CN212" s="16" t="s">
        <v>166</v>
      </c>
      <c r="CO212" s="16" t="s">
        <v>166</v>
      </c>
      <c r="CP212" s="16" t="s">
        <v>166</v>
      </c>
      <c r="CQ212" s="16" t="s">
        <v>166</v>
      </c>
      <c r="CR212" s="16" t="s">
        <v>166</v>
      </c>
      <c r="CS212" s="16" t="s">
        <v>166</v>
      </c>
      <c r="CT212" s="16" t="s">
        <v>166</v>
      </c>
      <c r="CU212" s="16" t="s">
        <v>166</v>
      </c>
      <c r="CV212" s="16" t="s">
        <v>166</v>
      </c>
      <c r="CW212" s="16" t="s">
        <v>166</v>
      </c>
      <c r="CX212" s="16" t="s">
        <v>166</v>
      </c>
      <c r="CY212" s="16" t="s">
        <v>166</v>
      </c>
      <c r="CZ212" s="16" t="s">
        <v>166</v>
      </c>
      <c r="DA212" s="16" t="s">
        <v>166</v>
      </c>
      <c r="DB212" s="16" t="s">
        <v>166</v>
      </c>
      <c r="DC212" s="16" t="s">
        <v>166</v>
      </c>
      <c r="DD212" s="16" t="s">
        <v>166</v>
      </c>
      <c r="DE212" s="17" t="s">
        <v>166</v>
      </c>
      <c r="DF212" s="22">
        <v>10</v>
      </c>
      <c r="DG212" s="14" t="s">
        <v>4310</v>
      </c>
      <c r="DH212" s="14" t="s">
        <v>193</v>
      </c>
      <c r="DI212" s="14" t="s">
        <v>194</v>
      </c>
      <c r="DJ212" s="14" t="s">
        <v>4311</v>
      </c>
      <c r="DK212" s="14" t="s">
        <v>196</v>
      </c>
      <c r="DL212" s="21" t="s">
        <v>4312</v>
      </c>
      <c r="DM212" s="14" t="s">
        <v>198</v>
      </c>
      <c r="DN212" s="13" t="s">
        <v>4313</v>
      </c>
      <c r="DO212" s="20">
        <v>2019</v>
      </c>
      <c r="DP212" s="14" t="s">
        <v>166</v>
      </c>
      <c r="DQ212" s="14" t="s">
        <v>166</v>
      </c>
      <c r="DR212" s="18" t="s">
        <v>166</v>
      </c>
      <c r="DS212" s="16" t="s">
        <v>166</v>
      </c>
      <c r="DT212" s="19" t="s">
        <v>166</v>
      </c>
      <c r="DU212" s="14" t="s">
        <v>166</v>
      </c>
      <c r="DV212" s="18" t="s">
        <v>166</v>
      </c>
      <c r="DW212" s="18" t="s">
        <v>166</v>
      </c>
      <c r="DX212" s="16" t="s">
        <v>166</v>
      </c>
      <c r="DY212" s="16" t="s">
        <v>166</v>
      </c>
      <c r="DZ212" s="17" t="s">
        <v>166</v>
      </c>
      <c r="EA212" s="16" t="s">
        <v>166</v>
      </c>
      <c r="EB212" s="16" t="s">
        <v>166</v>
      </c>
      <c r="EC212" s="16" t="s">
        <v>166</v>
      </c>
      <c r="ED212" s="17" t="s">
        <v>166</v>
      </c>
      <c r="EE212" s="17" t="s">
        <v>166</v>
      </c>
      <c r="EF212" s="17" t="s">
        <v>166</v>
      </c>
      <c r="EG212" s="17" t="s">
        <v>166</v>
      </c>
      <c r="EH212" s="16" t="s">
        <v>166</v>
      </c>
      <c r="EI212" s="16" t="s">
        <v>166</v>
      </c>
      <c r="EJ212" s="16" t="s">
        <v>166</v>
      </c>
      <c r="EK212" s="16" t="s">
        <v>166</v>
      </c>
      <c r="EL212" s="16" t="s">
        <v>166</v>
      </c>
      <c r="EM212" s="16" t="s">
        <v>166</v>
      </c>
      <c r="EN212" s="16" t="s">
        <v>166</v>
      </c>
      <c r="EO212" s="16" t="s">
        <v>166</v>
      </c>
      <c r="EP212" s="16" t="s">
        <v>166</v>
      </c>
      <c r="EQ212" s="16" t="s">
        <v>166</v>
      </c>
      <c r="ER212" s="16" t="s">
        <v>166</v>
      </c>
      <c r="ES212" s="16" t="s">
        <v>166</v>
      </c>
      <c r="ET212" s="14" t="s">
        <v>166</v>
      </c>
      <c r="EU212" s="16" t="s">
        <v>166</v>
      </c>
      <c r="EV212" s="16" t="s">
        <v>166</v>
      </c>
      <c r="EW212" s="16" t="s">
        <v>166</v>
      </c>
      <c r="EX212" s="14" t="s">
        <v>190</v>
      </c>
      <c r="EY212" s="14" t="s">
        <v>166</v>
      </c>
      <c r="EZ212" s="16" t="s">
        <v>166</v>
      </c>
      <c r="FA212" s="15">
        <v>1</v>
      </c>
      <c r="FB212" s="15">
        <v>1</v>
      </c>
      <c r="FC212" s="15" t="s">
        <v>166</v>
      </c>
      <c r="FD212" s="15" t="s">
        <v>166</v>
      </c>
      <c r="FE212" s="15" t="s">
        <v>166</v>
      </c>
      <c r="FF212" s="15">
        <v>1</v>
      </c>
      <c r="FG212" s="14" t="s">
        <v>166</v>
      </c>
      <c r="FH212" s="3">
        <f>HYPERLINK("https://my.pitchbook.com?c=158166-55T","View Company Online")</f>
      </c>
    </row>
    <row r="213">
      <c r="A213" s="25" t="s">
        <v>4314</v>
      </c>
      <c r="B213" s="25" t="s">
        <v>4315</v>
      </c>
      <c r="C213" s="25" t="s">
        <v>4316</v>
      </c>
      <c r="D213" s="25" t="s">
        <v>166</v>
      </c>
      <c r="E213" s="34" t="s">
        <v>4317</v>
      </c>
      <c r="F213" s="32">
        <v>2</v>
      </c>
      <c r="G213" s="25" t="s">
        <v>4318</v>
      </c>
      <c r="H213" s="25" t="s">
        <v>166</v>
      </c>
      <c r="I213" s="25" t="s">
        <v>4319</v>
      </c>
      <c r="J213" s="25" t="s">
        <v>4320</v>
      </c>
      <c r="K213" s="25" t="s">
        <v>207</v>
      </c>
      <c r="L213" s="25" t="s">
        <v>208</v>
      </c>
      <c r="M213" s="25" t="s">
        <v>296</v>
      </c>
      <c r="N213" s="25" t="s">
        <v>1202</v>
      </c>
      <c r="O213" s="25" t="s">
        <v>1318</v>
      </c>
      <c r="P213" s="25" t="s">
        <v>4321</v>
      </c>
      <c r="Q213" s="25" t="s">
        <v>166</v>
      </c>
      <c r="R213" s="25" t="s">
        <v>177</v>
      </c>
      <c r="S213" s="25" t="s">
        <v>178</v>
      </c>
      <c r="T213" s="25" t="s">
        <v>179</v>
      </c>
      <c r="U213" s="25" t="s">
        <v>4322</v>
      </c>
      <c r="V213" s="25" t="s">
        <v>4323</v>
      </c>
      <c r="W213" s="32" t="s">
        <v>166</v>
      </c>
      <c r="X213" s="25" t="s">
        <v>166</v>
      </c>
      <c r="Y213" s="25" t="s">
        <v>4324</v>
      </c>
      <c r="Z213" s="25" t="s">
        <v>166</v>
      </c>
      <c r="AA213" s="25" t="s">
        <v>242</v>
      </c>
      <c r="AB213" s="25" t="s">
        <v>243</v>
      </c>
      <c r="AC213" s="25" t="s">
        <v>244</v>
      </c>
      <c r="AD213" s="25" t="s">
        <v>243</v>
      </c>
      <c r="AE213" s="25" t="s">
        <v>243</v>
      </c>
      <c r="AF213" s="25" t="s">
        <v>166</v>
      </c>
      <c r="AG213" s="25" t="s">
        <v>246</v>
      </c>
      <c r="AH213" s="32">
        <v>1</v>
      </c>
      <c r="AI213" s="4">
        <f>HYPERLINK("https://my.pitchbook.com/?d=212553-01T","212553-01T")</f>
      </c>
      <c r="AJ213" s="30" t="s">
        <v>166</v>
      </c>
      <c r="AK213" s="30">
        <v>44837</v>
      </c>
      <c r="AL213" s="29">
        <v>4</v>
      </c>
      <c r="AM213" s="25" t="s">
        <v>247</v>
      </c>
      <c r="AN213" s="29">
        <v>10</v>
      </c>
      <c r="AO213" s="29">
        <v>14</v>
      </c>
      <c r="AP213" s="25" t="s">
        <v>185</v>
      </c>
      <c r="AQ213" s="32" t="s">
        <v>166</v>
      </c>
      <c r="AR213" s="32" t="s">
        <v>166</v>
      </c>
      <c r="AS213" s="28">
        <v>46.52</v>
      </c>
      <c r="AT213" s="29">
        <v>4</v>
      </c>
      <c r="AU213" s="32" t="s">
        <v>186</v>
      </c>
      <c r="AV213" s="32" t="s">
        <v>166</v>
      </c>
      <c r="AW213" s="29">
        <v>1.2</v>
      </c>
      <c r="AX213" s="32" t="s">
        <v>166</v>
      </c>
      <c r="AY213" s="25" t="s">
        <v>217</v>
      </c>
      <c r="AZ213" s="25" t="s">
        <v>217</v>
      </c>
      <c r="BA213" s="25" t="s">
        <v>166</v>
      </c>
      <c r="BB213" s="32" t="s">
        <v>166</v>
      </c>
      <c r="BC213" s="25" t="s">
        <v>179</v>
      </c>
      <c r="BD213" s="25" t="s">
        <v>4320</v>
      </c>
      <c r="BE213" s="25" t="s">
        <v>189</v>
      </c>
      <c r="BF213" s="29">
        <v>4</v>
      </c>
      <c r="BG213" s="25" t="s">
        <v>190</v>
      </c>
      <c r="BH213" s="25" t="s">
        <v>166</v>
      </c>
      <c r="BI213" s="25" t="s">
        <v>166</v>
      </c>
      <c r="BJ213" s="29" t="s">
        <v>166</v>
      </c>
      <c r="BK213" s="29" t="s">
        <v>166</v>
      </c>
      <c r="BL213" s="25" t="s">
        <v>191</v>
      </c>
      <c r="BM213" s="25" t="s">
        <v>178</v>
      </c>
      <c r="BN213" s="25" t="s">
        <v>177</v>
      </c>
      <c r="BO213" s="33" t="s">
        <v>166</v>
      </c>
      <c r="BP213" s="25" t="s">
        <v>4317</v>
      </c>
      <c r="BQ213" s="32">
        <v>2</v>
      </c>
      <c r="BR213" s="25" t="s">
        <v>166</v>
      </c>
      <c r="BS213" s="32" t="s">
        <v>166</v>
      </c>
      <c r="BT213" s="25" t="s">
        <v>166</v>
      </c>
      <c r="BU213" s="25" t="s">
        <v>166</v>
      </c>
      <c r="BV213" s="25" t="s">
        <v>166</v>
      </c>
      <c r="BW213" s="25" t="s">
        <v>166</v>
      </c>
      <c r="BX213" s="25" t="s">
        <v>166</v>
      </c>
      <c r="BY213" s="25" t="s">
        <v>166</v>
      </c>
      <c r="BZ213" s="25" t="s">
        <v>166</v>
      </c>
      <c r="CA213" s="25" t="s">
        <v>166</v>
      </c>
      <c r="CB213" s="25" t="s">
        <v>166</v>
      </c>
      <c r="CC213" s="25" t="s">
        <v>166</v>
      </c>
      <c r="CD213" s="25" t="s">
        <v>166</v>
      </c>
      <c r="CE213" s="29" t="s">
        <v>166</v>
      </c>
      <c r="CF213" s="27" t="s">
        <v>166</v>
      </c>
      <c r="CG213" s="28" t="s">
        <v>166</v>
      </c>
      <c r="CH213" s="27" t="s">
        <v>166</v>
      </c>
      <c r="CI213" s="27" t="s">
        <v>166</v>
      </c>
      <c r="CJ213" s="27" t="s">
        <v>166</v>
      </c>
      <c r="CK213" s="27" t="s">
        <v>166</v>
      </c>
      <c r="CL213" s="27" t="s">
        <v>166</v>
      </c>
      <c r="CM213" s="31" t="s">
        <v>166</v>
      </c>
      <c r="CN213" s="27" t="s">
        <v>166</v>
      </c>
      <c r="CO213" s="27" t="s">
        <v>166</v>
      </c>
      <c r="CP213" s="27" t="s">
        <v>166</v>
      </c>
      <c r="CQ213" s="27" t="s">
        <v>166</v>
      </c>
      <c r="CR213" s="27" t="s">
        <v>166</v>
      </c>
      <c r="CS213" s="27" t="s">
        <v>166</v>
      </c>
      <c r="CT213" s="27" t="s">
        <v>166</v>
      </c>
      <c r="CU213" s="27" t="s">
        <v>166</v>
      </c>
      <c r="CV213" s="27" t="s">
        <v>166</v>
      </c>
      <c r="CW213" s="27" t="s">
        <v>166</v>
      </c>
      <c r="CX213" s="27" t="s">
        <v>166</v>
      </c>
      <c r="CY213" s="27" t="s">
        <v>166</v>
      </c>
      <c r="CZ213" s="27" t="s">
        <v>166</v>
      </c>
      <c r="DA213" s="27" t="s">
        <v>166</v>
      </c>
      <c r="DB213" s="27" t="s">
        <v>166</v>
      </c>
      <c r="DC213" s="27" t="s">
        <v>166</v>
      </c>
      <c r="DD213" s="27" t="s">
        <v>166</v>
      </c>
      <c r="DE213" s="28" t="s">
        <v>166</v>
      </c>
      <c r="DF213" s="33">
        <v>12</v>
      </c>
      <c r="DG213" s="25" t="s">
        <v>1955</v>
      </c>
      <c r="DH213" s="25" t="s">
        <v>193</v>
      </c>
      <c r="DI213" s="25" t="s">
        <v>194</v>
      </c>
      <c r="DJ213" s="25" t="s">
        <v>1956</v>
      </c>
      <c r="DK213" s="25" t="s">
        <v>257</v>
      </c>
      <c r="DL213" s="32" t="s">
        <v>1957</v>
      </c>
      <c r="DM213" s="25" t="s">
        <v>198</v>
      </c>
      <c r="DN213" s="24" t="s">
        <v>4325</v>
      </c>
      <c r="DO213" s="31">
        <v>2019</v>
      </c>
      <c r="DP213" s="25" t="s">
        <v>166</v>
      </c>
      <c r="DQ213" s="25" t="s">
        <v>166</v>
      </c>
      <c r="DR213" s="29" t="s">
        <v>166</v>
      </c>
      <c r="DS213" s="27" t="s">
        <v>166</v>
      </c>
      <c r="DT213" s="30" t="s">
        <v>166</v>
      </c>
      <c r="DU213" s="25" t="s">
        <v>166</v>
      </c>
      <c r="DV213" s="29" t="s">
        <v>166</v>
      </c>
      <c r="DW213" s="29" t="s">
        <v>166</v>
      </c>
      <c r="DX213" s="27" t="s">
        <v>166</v>
      </c>
      <c r="DY213" s="27" t="s">
        <v>166</v>
      </c>
      <c r="DZ213" s="28" t="s">
        <v>166</v>
      </c>
      <c r="EA213" s="27" t="s">
        <v>166</v>
      </c>
      <c r="EB213" s="27" t="s">
        <v>166</v>
      </c>
      <c r="EC213" s="27" t="s">
        <v>166</v>
      </c>
      <c r="ED213" s="28" t="s">
        <v>166</v>
      </c>
      <c r="EE213" s="28" t="s">
        <v>166</v>
      </c>
      <c r="EF213" s="28" t="s">
        <v>166</v>
      </c>
      <c r="EG213" s="28" t="s">
        <v>166</v>
      </c>
      <c r="EH213" s="27" t="s">
        <v>166</v>
      </c>
      <c r="EI213" s="27" t="s">
        <v>166</v>
      </c>
      <c r="EJ213" s="27" t="s">
        <v>166</v>
      </c>
      <c r="EK213" s="27" t="s">
        <v>166</v>
      </c>
      <c r="EL213" s="27" t="s">
        <v>166</v>
      </c>
      <c r="EM213" s="27" t="s">
        <v>166</v>
      </c>
      <c r="EN213" s="27" t="s">
        <v>166</v>
      </c>
      <c r="EO213" s="27" t="s">
        <v>166</v>
      </c>
      <c r="EP213" s="27" t="s">
        <v>166</v>
      </c>
      <c r="EQ213" s="27" t="s">
        <v>166</v>
      </c>
      <c r="ER213" s="27" t="s">
        <v>166</v>
      </c>
      <c r="ES213" s="27" t="s">
        <v>166</v>
      </c>
      <c r="ET213" s="25" t="s">
        <v>166</v>
      </c>
      <c r="EU213" s="27" t="s">
        <v>166</v>
      </c>
      <c r="EV213" s="27" t="s">
        <v>166</v>
      </c>
      <c r="EW213" s="27" t="s">
        <v>166</v>
      </c>
      <c r="EX213" s="25" t="s">
        <v>190</v>
      </c>
      <c r="EY213" s="25" t="s">
        <v>166</v>
      </c>
      <c r="EZ213" s="27" t="s">
        <v>166</v>
      </c>
      <c r="FA213" s="26" t="s">
        <v>166</v>
      </c>
      <c r="FB213" s="26" t="s">
        <v>166</v>
      </c>
      <c r="FC213" s="26" t="s">
        <v>166</v>
      </c>
      <c r="FD213" s="26" t="s">
        <v>166</v>
      </c>
      <c r="FE213" s="26" t="s">
        <v>166</v>
      </c>
      <c r="FF213" s="26" t="s">
        <v>166</v>
      </c>
      <c r="FG213" s="25" t="s">
        <v>166</v>
      </c>
      <c r="FH213" s="4">
        <f>HYPERLINK("https://my.pitchbook.com?c=212553-01T","View Company Online")</f>
      </c>
    </row>
    <row r="214">
      <c r="A214" s="14" t="s">
        <v>4326</v>
      </c>
      <c r="B214" s="14" t="s">
        <v>4327</v>
      </c>
      <c r="C214" s="14" t="s">
        <v>4328</v>
      </c>
      <c r="D214" s="14" t="s">
        <v>166</v>
      </c>
      <c r="E214" s="23" t="s">
        <v>4329</v>
      </c>
      <c r="F214" s="21">
        <v>4</v>
      </c>
      <c r="G214" s="14" t="s">
        <v>4330</v>
      </c>
      <c r="H214" s="14" t="s">
        <v>166</v>
      </c>
      <c r="I214" s="14" t="s">
        <v>4331</v>
      </c>
      <c r="J214" s="14" t="s">
        <v>4332</v>
      </c>
      <c r="K214" s="14" t="s">
        <v>207</v>
      </c>
      <c r="L214" s="14" t="s">
        <v>208</v>
      </c>
      <c r="M214" s="14" t="s">
        <v>209</v>
      </c>
      <c r="N214" s="14" t="s">
        <v>1627</v>
      </c>
      <c r="O214" s="14" t="s">
        <v>1691</v>
      </c>
      <c r="P214" s="14" t="s">
        <v>4333</v>
      </c>
      <c r="Q214" s="14" t="s">
        <v>166</v>
      </c>
      <c r="R214" s="14" t="s">
        <v>177</v>
      </c>
      <c r="S214" s="14" t="s">
        <v>178</v>
      </c>
      <c r="T214" s="14" t="s">
        <v>179</v>
      </c>
      <c r="U214" s="14" t="s">
        <v>4334</v>
      </c>
      <c r="V214" s="14" t="s">
        <v>4335</v>
      </c>
      <c r="W214" s="21" t="s">
        <v>4336</v>
      </c>
      <c r="X214" s="14" t="s">
        <v>4337</v>
      </c>
      <c r="Y214" s="14" t="s">
        <v>4338</v>
      </c>
      <c r="Z214" s="14" t="s">
        <v>166</v>
      </c>
      <c r="AA214" s="14" t="s">
        <v>242</v>
      </c>
      <c r="AB214" s="14" t="s">
        <v>243</v>
      </c>
      <c r="AC214" s="14" t="s">
        <v>244</v>
      </c>
      <c r="AD214" s="14" t="s">
        <v>243</v>
      </c>
      <c r="AE214" s="14" t="s">
        <v>243</v>
      </c>
      <c r="AF214" s="14" t="s">
        <v>166</v>
      </c>
      <c r="AG214" s="14" t="s">
        <v>246</v>
      </c>
      <c r="AH214" s="21">
        <v>1</v>
      </c>
      <c r="AI214" s="3">
        <f>HYPERLINK("https://my.pitchbook.com/?d=165338-02T","165338-02T")</f>
      </c>
      <c r="AJ214" s="19" t="s">
        <v>166</v>
      </c>
      <c r="AK214" s="19">
        <v>44166</v>
      </c>
      <c r="AL214" s="18">
        <v>5.5</v>
      </c>
      <c r="AM214" s="14" t="s">
        <v>185</v>
      </c>
      <c r="AN214" s="18">
        <v>26</v>
      </c>
      <c r="AO214" s="18">
        <v>31.5</v>
      </c>
      <c r="AP214" s="14" t="s">
        <v>185</v>
      </c>
      <c r="AQ214" s="21" t="s">
        <v>166</v>
      </c>
      <c r="AR214" s="21" t="s">
        <v>166</v>
      </c>
      <c r="AS214" s="17">
        <v>24.11</v>
      </c>
      <c r="AT214" s="18">
        <v>5.5</v>
      </c>
      <c r="AU214" s="21" t="s">
        <v>186</v>
      </c>
      <c r="AV214" s="21" t="s">
        <v>166</v>
      </c>
      <c r="AW214" s="18">
        <v>0.86</v>
      </c>
      <c r="AX214" s="21" t="s">
        <v>166</v>
      </c>
      <c r="AY214" s="14" t="s">
        <v>217</v>
      </c>
      <c r="AZ214" s="14" t="s">
        <v>217</v>
      </c>
      <c r="BA214" s="14" t="s">
        <v>166</v>
      </c>
      <c r="BB214" s="21" t="s">
        <v>166</v>
      </c>
      <c r="BC214" s="14" t="s">
        <v>179</v>
      </c>
      <c r="BD214" s="14" t="s">
        <v>4339</v>
      </c>
      <c r="BE214" s="14" t="s">
        <v>189</v>
      </c>
      <c r="BF214" s="18">
        <v>5.5</v>
      </c>
      <c r="BG214" s="14" t="s">
        <v>190</v>
      </c>
      <c r="BH214" s="14" t="s">
        <v>166</v>
      </c>
      <c r="BI214" s="14" t="s">
        <v>166</v>
      </c>
      <c r="BJ214" s="18" t="s">
        <v>166</v>
      </c>
      <c r="BK214" s="18" t="s">
        <v>166</v>
      </c>
      <c r="BL214" s="14" t="s">
        <v>191</v>
      </c>
      <c r="BM214" s="14" t="s">
        <v>358</v>
      </c>
      <c r="BN214" s="14" t="s">
        <v>177</v>
      </c>
      <c r="BO214" s="22" t="s">
        <v>166</v>
      </c>
      <c r="BP214" s="14" t="s">
        <v>4329</v>
      </c>
      <c r="BQ214" s="21">
        <v>4</v>
      </c>
      <c r="BR214" s="14" t="s">
        <v>166</v>
      </c>
      <c r="BS214" s="21" t="s">
        <v>166</v>
      </c>
      <c r="BT214" s="14" t="s">
        <v>166</v>
      </c>
      <c r="BU214" s="14" t="s">
        <v>166</v>
      </c>
      <c r="BV214" s="14" t="s">
        <v>4340</v>
      </c>
      <c r="BW214" s="14" t="s">
        <v>166</v>
      </c>
      <c r="BX214" s="14" t="s">
        <v>166</v>
      </c>
      <c r="BY214" s="14" t="s">
        <v>166</v>
      </c>
      <c r="BZ214" s="14" t="s">
        <v>1232</v>
      </c>
      <c r="CA214" s="14" t="s">
        <v>1232</v>
      </c>
      <c r="CB214" s="14" t="s">
        <v>166</v>
      </c>
      <c r="CC214" s="14" t="s">
        <v>166</v>
      </c>
      <c r="CD214" s="14" t="s">
        <v>166</v>
      </c>
      <c r="CE214" s="18" t="s">
        <v>166</v>
      </c>
      <c r="CF214" s="16" t="s">
        <v>166</v>
      </c>
      <c r="CG214" s="17" t="s">
        <v>166</v>
      </c>
      <c r="CH214" s="16" t="s">
        <v>166</v>
      </c>
      <c r="CI214" s="16" t="s">
        <v>166</v>
      </c>
      <c r="CJ214" s="16" t="s">
        <v>166</v>
      </c>
      <c r="CK214" s="16" t="s">
        <v>166</v>
      </c>
      <c r="CL214" s="16" t="s">
        <v>166</v>
      </c>
      <c r="CM214" s="20" t="s">
        <v>166</v>
      </c>
      <c r="CN214" s="16" t="s">
        <v>166</v>
      </c>
      <c r="CO214" s="16" t="s">
        <v>166</v>
      </c>
      <c r="CP214" s="16" t="s">
        <v>166</v>
      </c>
      <c r="CQ214" s="16" t="s">
        <v>166</v>
      </c>
      <c r="CR214" s="16" t="s">
        <v>166</v>
      </c>
      <c r="CS214" s="16" t="s">
        <v>166</v>
      </c>
      <c r="CT214" s="16" t="s">
        <v>166</v>
      </c>
      <c r="CU214" s="16" t="s">
        <v>166</v>
      </c>
      <c r="CV214" s="16" t="s">
        <v>166</v>
      </c>
      <c r="CW214" s="16" t="s">
        <v>166</v>
      </c>
      <c r="CX214" s="16" t="s">
        <v>166</v>
      </c>
      <c r="CY214" s="16" t="s">
        <v>166</v>
      </c>
      <c r="CZ214" s="16" t="s">
        <v>166</v>
      </c>
      <c r="DA214" s="16" t="s">
        <v>166</v>
      </c>
      <c r="DB214" s="16" t="s">
        <v>166</v>
      </c>
      <c r="DC214" s="16" t="s">
        <v>166</v>
      </c>
      <c r="DD214" s="16" t="s">
        <v>166</v>
      </c>
      <c r="DE214" s="17" t="s">
        <v>166</v>
      </c>
      <c r="DF214" s="22">
        <v>157</v>
      </c>
      <c r="DG214" s="14" t="s">
        <v>673</v>
      </c>
      <c r="DH214" s="14" t="s">
        <v>193</v>
      </c>
      <c r="DI214" s="14" t="s">
        <v>194</v>
      </c>
      <c r="DJ214" s="14" t="s">
        <v>674</v>
      </c>
      <c r="DK214" s="14" t="s">
        <v>257</v>
      </c>
      <c r="DL214" s="21" t="s">
        <v>4341</v>
      </c>
      <c r="DM214" s="14" t="s">
        <v>198</v>
      </c>
      <c r="DN214" s="13" t="s">
        <v>4342</v>
      </c>
      <c r="DO214" s="20">
        <v>2020</v>
      </c>
      <c r="DP214" s="14" t="s">
        <v>166</v>
      </c>
      <c r="DQ214" s="14" t="s">
        <v>166</v>
      </c>
      <c r="DR214" s="18" t="s">
        <v>166</v>
      </c>
      <c r="DS214" s="16" t="s">
        <v>166</v>
      </c>
      <c r="DT214" s="19" t="s">
        <v>166</v>
      </c>
      <c r="DU214" s="14" t="s">
        <v>166</v>
      </c>
      <c r="DV214" s="18" t="s">
        <v>166</v>
      </c>
      <c r="DW214" s="18" t="s">
        <v>166</v>
      </c>
      <c r="DX214" s="16" t="s">
        <v>166</v>
      </c>
      <c r="DY214" s="16" t="s">
        <v>166</v>
      </c>
      <c r="DZ214" s="17" t="s">
        <v>166</v>
      </c>
      <c r="EA214" s="16" t="s">
        <v>166</v>
      </c>
      <c r="EB214" s="16" t="s">
        <v>166</v>
      </c>
      <c r="EC214" s="16" t="s">
        <v>166</v>
      </c>
      <c r="ED214" s="17" t="s">
        <v>166</v>
      </c>
      <c r="EE214" s="17" t="s">
        <v>166</v>
      </c>
      <c r="EF214" s="17" t="s">
        <v>166</v>
      </c>
      <c r="EG214" s="17" t="s">
        <v>166</v>
      </c>
      <c r="EH214" s="16" t="s">
        <v>166</v>
      </c>
      <c r="EI214" s="16" t="s">
        <v>166</v>
      </c>
      <c r="EJ214" s="16" t="s">
        <v>166</v>
      </c>
      <c r="EK214" s="16" t="s">
        <v>166</v>
      </c>
      <c r="EL214" s="16" t="s">
        <v>166</v>
      </c>
      <c r="EM214" s="16" t="s">
        <v>166</v>
      </c>
      <c r="EN214" s="16" t="s">
        <v>166</v>
      </c>
      <c r="EO214" s="16" t="s">
        <v>166</v>
      </c>
      <c r="EP214" s="16" t="s">
        <v>166</v>
      </c>
      <c r="EQ214" s="16" t="s">
        <v>166</v>
      </c>
      <c r="ER214" s="16" t="s">
        <v>166</v>
      </c>
      <c r="ES214" s="16" t="s">
        <v>166</v>
      </c>
      <c r="ET214" s="14" t="s">
        <v>166</v>
      </c>
      <c r="EU214" s="16" t="s">
        <v>166</v>
      </c>
      <c r="EV214" s="16" t="s">
        <v>166</v>
      </c>
      <c r="EW214" s="16" t="s">
        <v>166</v>
      </c>
      <c r="EX214" s="14" t="s">
        <v>190</v>
      </c>
      <c r="EY214" s="14" t="s">
        <v>166</v>
      </c>
      <c r="EZ214" s="16" t="s">
        <v>166</v>
      </c>
      <c r="FA214" s="15" t="s">
        <v>166</v>
      </c>
      <c r="FB214" s="15" t="s">
        <v>166</v>
      </c>
      <c r="FC214" s="15" t="s">
        <v>166</v>
      </c>
      <c r="FD214" s="15" t="s">
        <v>166</v>
      </c>
      <c r="FE214" s="15" t="s">
        <v>166</v>
      </c>
      <c r="FF214" s="15" t="s">
        <v>166</v>
      </c>
      <c r="FG214" s="14" t="s">
        <v>166</v>
      </c>
      <c r="FH214" s="3">
        <f>HYPERLINK("https://my.pitchbook.com?c=165338-02T","View Company Online")</f>
      </c>
    </row>
    <row r="215">
      <c r="A215" s="25" t="s">
        <v>4343</v>
      </c>
      <c r="B215" s="25" t="s">
        <v>4344</v>
      </c>
      <c r="C215" s="25" t="s">
        <v>4345</v>
      </c>
      <c r="D215" s="25" t="s">
        <v>166</v>
      </c>
      <c r="E215" s="34" t="s">
        <v>4346</v>
      </c>
      <c r="F215" s="32">
        <v>2</v>
      </c>
      <c r="G215" s="25" t="s">
        <v>4347</v>
      </c>
      <c r="H215" s="25" t="s">
        <v>166</v>
      </c>
      <c r="I215" s="25" t="s">
        <v>4348</v>
      </c>
      <c r="J215" s="25" t="s">
        <v>4349</v>
      </c>
      <c r="K215" s="25" t="s">
        <v>1455</v>
      </c>
      <c r="L215" s="25" t="s">
        <v>1984</v>
      </c>
      <c r="M215" s="25" t="s">
        <v>1985</v>
      </c>
      <c r="N215" s="25" t="s">
        <v>2661</v>
      </c>
      <c r="O215" s="25" t="s">
        <v>1035</v>
      </c>
      <c r="P215" s="25" t="s">
        <v>4350</v>
      </c>
      <c r="Q215" s="25" t="s">
        <v>166</v>
      </c>
      <c r="R215" s="25" t="s">
        <v>177</v>
      </c>
      <c r="S215" s="25" t="s">
        <v>178</v>
      </c>
      <c r="T215" s="25" t="s">
        <v>179</v>
      </c>
      <c r="U215" s="25" t="s">
        <v>4351</v>
      </c>
      <c r="V215" s="25" t="s">
        <v>4352</v>
      </c>
      <c r="W215" s="32" t="s">
        <v>4353</v>
      </c>
      <c r="X215" s="25" t="s">
        <v>4354</v>
      </c>
      <c r="Y215" s="25" t="s">
        <v>4355</v>
      </c>
      <c r="Z215" s="25" t="s">
        <v>4356</v>
      </c>
      <c r="AA215" s="25" t="s">
        <v>166</v>
      </c>
      <c r="AB215" s="25" t="s">
        <v>166</v>
      </c>
      <c r="AC215" s="25" t="s">
        <v>166</v>
      </c>
      <c r="AD215" s="25" t="s">
        <v>166</v>
      </c>
      <c r="AE215" s="25" t="s">
        <v>166</v>
      </c>
      <c r="AF215" s="25" t="s">
        <v>166</v>
      </c>
      <c r="AG215" s="25" t="s">
        <v>166</v>
      </c>
      <c r="AH215" s="32">
        <v>4</v>
      </c>
      <c r="AI215" s="4">
        <f>HYPERLINK("https://my.pitchbook.com/?d=133250-32T","133250-32T")</f>
      </c>
      <c r="AJ215" s="30">
        <v>43943</v>
      </c>
      <c r="AK215" s="30">
        <v>43958</v>
      </c>
      <c r="AL215" s="29">
        <v>0.15</v>
      </c>
      <c r="AM215" s="25" t="s">
        <v>185</v>
      </c>
      <c r="AN215" s="29" t="s">
        <v>166</v>
      </c>
      <c r="AO215" s="29" t="s">
        <v>166</v>
      </c>
      <c r="AP215" s="25" t="s">
        <v>166</v>
      </c>
      <c r="AQ215" s="32" t="s">
        <v>166</v>
      </c>
      <c r="AR215" s="32" t="s">
        <v>166</v>
      </c>
      <c r="AS215" s="28" t="s">
        <v>166</v>
      </c>
      <c r="AT215" s="29">
        <v>1.02</v>
      </c>
      <c r="AU215" s="32" t="s">
        <v>186</v>
      </c>
      <c r="AV215" s="32" t="s">
        <v>166</v>
      </c>
      <c r="AW215" s="29" t="s">
        <v>166</v>
      </c>
      <c r="AX215" s="32" t="s">
        <v>166</v>
      </c>
      <c r="AY215" s="25" t="s">
        <v>217</v>
      </c>
      <c r="AZ215" s="25" t="s">
        <v>217</v>
      </c>
      <c r="BA215" s="25" t="s">
        <v>166</v>
      </c>
      <c r="BB215" s="32" t="s">
        <v>166</v>
      </c>
      <c r="BC215" s="25" t="s">
        <v>179</v>
      </c>
      <c r="BD215" s="25" t="s">
        <v>4357</v>
      </c>
      <c r="BE215" s="25" t="s">
        <v>189</v>
      </c>
      <c r="BF215" s="29" t="s">
        <v>166</v>
      </c>
      <c r="BG215" s="25" t="s">
        <v>190</v>
      </c>
      <c r="BH215" s="25" t="s">
        <v>166</v>
      </c>
      <c r="BI215" s="25" t="s">
        <v>166</v>
      </c>
      <c r="BJ215" s="29">
        <v>0.15</v>
      </c>
      <c r="BK215" s="29" t="s">
        <v>166</v>
      </c>
      <c r="BL215" s="25" t="s">
        <v>191</v>
      </c>
      <c r="BM215" s="25" t="s">
        <v>178</v>
      </c>
      <c r="BN215" s="25" t="s">
        <v>177</v>
      </c>
      <c r="BO215" s="33" t="s">
        <v>166</v>
      </c>
      <c r="BP215" s="25" t="s">
        <v>4346</v>
      </c>
      <c r="BQ215" s="32">
        <v>2</v>
      </c>
      <c r="BR215" s="25" t="s">
        <v>166</v>
      </c>
      <c r="BS215" s="32" t="s">
        <v>166</v>
      </c>
      <c r="BT215" s="25" t="s">
        <v>166</v>
      </c>
      <c r="BU215" s="25" t="s">
        <v>166</v>
      </c>
      <c r="BV215" s="25" t="s">
        <v>4358</v>
      </c>
      <c r="BW215" s="25" t="s">
        <v>166</v>
      </c>
      <c r="BX215" s="25" t="s">
        <v>166</v>
      </c>
      <c r="BY215" s="25" t="s">
        <v>166</v>
      </c>
      <c r="BZ215" s="25" t="s">
        <v>166</v>
      </c>
      <c r="CA215" s="25" t="s">
        <v>166</v>
      </c>
      <c r="CB215" s="25" t="s">
        <v>166</v>
      </c>
      <c r="CC215" s="25" t="s">
        <v>166</v>
      </c>
      <c r="CD215" s="25" t="s">
        <v>166</v>
      </c>
      <c r="CE215" s="29" t="s">
        <v>166</v>
      </c>
      <c r="CF215" s="27" t="s">
        <v>166</v>
      </c>
      <c r="CG215" s="28" t="s">
        <v>166</v>
      </c>
      <c r="CH215" s="27" t="s">
        <v>166</v>
      </c>
      <c r="CI215" s="27" t="s">
        <v>166</v>
      </c>
      <c r="CJ215" s="27" t="s">
        <v>166</v>
      </c>
      <c r="CK215" s="27" t="s">
        <v>166</v>
      </c>
      <c r="CL215" s="27" t="s">
        <v>166</v>
      </c>
      <c r="CM215" s="31" t="s">
        <v>166</v>
      </c>
      <c r="CN215" s="27" t="s">
        <v>166</v>
      </c>
      <c r="CO215" s="27" t="s">
        <v>166</v>
      </c>
      <c r="CP215" s="27" t="s">
        <v>166</v>
      </c>
      <c r="CQ215" s="27" t="s">
        <v>166</v>
      </c>
      <c r="CR215" s="27" t="s">
        <v>166</v>
      </c>
      <c r="CS215" s="27" t="s">
        <v>166</v>
      </c>
      <c r="CT215" s="27" t="s">
        <v>166</v>
      </c>
      <c r="CU215" s="27" t="s">
        <v>166</v>
      </c>
      <c r="CV215" s="27" t="s">
        <v>166</v>
      </c>
      <c r="CW215" s="27" t="s">
        <v>166</v>
      </c>
      <c r="CX215" s="27" t="s">
        <v>166</v>
      </c>
      <c r="CY215" s="27" t="s">
        <v>166</v>
      </c>
      <c r="CZ215" s="27" t="s">
        <v>166</v>
      </c>
      <c r="DA215" s="27" t="s">
        <v>166</v>
      </c>
      <c r="DB215" s="27" t="s">
        <v>166</v>
      </c>
      <c r="DC215" s="27" t="s">
        <v>166</v>
      </c>
      <c r="DD215" s="27" t="s">
        <v>166</v>
      </c>
      <c r="DE215" s="28" t="s">
        <v>166</v>
      </c>
      <c r="DF215" s="33">
        <v>21</v>
      </c>
      <c r="DG215" s="25" t="s">
        <v>384</v>
      </c>
      <c r="DH215" s="25" t="s">
        <v>193</v>
      </c>
      <c r="DI215" s="25" t="s">
        <v>194</v>
      </c>
      <c r="DJ215" s="25" t="s">
        <v>385</v>
      </c>
      <c r="DK215" s="25" t="s">
        <v>386</v>
      </c>
      <c r="DL215" s="32" t="s">
        <v>4359</v>
      </c>
      <c r="DM215" s="25" t="s">
        <v>198</v>
      </c>
      <c r="DN215" s="24" t="s">
        <v>4360</v>
      </c>
      <c r="DO215" s="31">
        <v>2018</v>
      </c>
      <c r="DP215" s="25" t="s">
        <v>166</v>
      </c>
      <c r="DQ215" s="25" t="s">
        <v>260</v>
      </c>
      <c r="DR215" s="29">
        <v>0.15</v>
      </c>
      <c r="DS215" s="27" t="s">
        <v>166</v>
      </c>
      <c r="DT215" s="30" t="s">
        <v>166</v>
      </c>
      <c r="DU215" s="25" t="s">
        <v>166</v>
      </c>
      <c r="DV215" s="29" t="s">
        <v>166</v>
      </c>
      <c r="DW215" s="29" t="s">
        <v>166</v>
      </c>
      <c r="DX215" s="27" t="s">
        <v>166</v>
      </c>
      <c r="DY215" s="27" t="s">
        <v>166</v>
      </c>
      <c r="DZ215" s="28" t="s">
        <v>166</v>
      </c>
      <c r="EA215" s="27" t="s">
        <v>166</v>
      </c>
      <c r="EB215" s="27" t="s">
        <v>166</v>
      </c>
      <c r="EC215" s="27" t="s">
        <v>166</v>
      </c>
      <c r="ED215" s="28" t="s">
        <v>166</v>
      </c>
      <c r="EE215" s="28" t="s">
        <v>166</v>
      </c>
      <c r="EF215" s="28" t="s">
        <v>166</v>
      </c>
      <c r="EG215" s="28" t="s">
        <v>166</v>
      </c>
      <c r="EH215" s="27" t="s">
        <v>166</v>
      </c>
      <c r="EI215" s="27" t="s">
        <v>166</v>
      </c>
      <c r="EJ215" s="27" t="s">
        <v>166</v>
      </c>
      <c r="EK215" s="27" t="s">
        <v>166</v>
      </c>
      <c r="EL215" s="27" t="s">
        <v>166</v>
      </c>
      <c r="EM215" s="27" t="s">
        <v>166</v>
      </c>
      <c r="EN215" s="27" t="s">
        <v>166</v>
      </c>
      <c r="EO215" s="27" t="s">
        <v>166</v>
      </c>
      <c r="EP215" s="27" t="s">
        <v>166</v>
      </c>
      <c r="EQ215" s="27" t="s">
        <v>166</v>
      </c>
      <c r="ER215" s="27" t="s">
        <v>166</v>
      </c>
      <c r="ES215" s="27" t="s">
        <v>166</v>
      </c>
      <c r="ET215" s="25" t="s">
        <v>166</v>
      </c>
      <c r="EU215" s="27" t="s">
        <v>166</v>
      </c>
      <c r="EV215" s="27" t="s">
        <v>166</v>
      </c>
      <c r="EW215" s="27" t="s">
        <v>166</v>
      </c>
      <c r="EX215" s="25" t="s">
        <v>190</v>
      </c>
      <c r="EY215" s="25" t="s">
        <v>190</v>
      </c>
      <c r="EZ215" s="27" t="s">
        <v>166</v>
      </c>
      <c r="FA215" s="26" t="s">
        <v>166</v>
      </c>
      <c r="FB215" s="26" t="s">
        <v>166</v>
      </c>
      <c r="FC215" s="26" t="s">
        <v>166</v>
      </c>
      <c r="FD215" s="26" t="s">
        <v>166</v>
      </c>
      <c r="FE215" s="26" t="s">
        <v>166</v>
      </c>
      <c r="FF215" s="26" t="s">
        <v>166</v>
      </c>
      <c r="FG215" s="25" t="s">
        <v>166</v>
      </c>
      <c r="FH215" s="4">
        <f>HYPERLINK("https://my.pitchbook.com?c=133250-32T","View Company Online")</f>
      </c>
    </row>
    <row r="216">
      <c r="A216" s="14" t="s">
        <v>4361</v>
      </c>
      <c r="B216" s="14" t="s">
        <v>4362</v>
      </c>
      <c r="C216" s="14" t="s">
        <v>4363</v>
      </c>
      <c r="D216" s="14" t="s">
        <v>166</v>
      </c>
      <c r="E216" s="23" t="s">
        <v>4364</v>
      </c>
      <c r="F216" s="21">
        <v>12</v>
      </c>
      <c r="G216" s="14" t="s">
        <v>4365</v>
      </c>
      <c r="H216" s="14" t="s">
        <v>166</v>
      </c>
      <c r="I216" s="14" t="s">
        <v>4366</v>
      </c>
      <c r="J216" s="14" t="s">
        <v>4367</v>
      </c>
      <c r="K216" s="14" t="s">
        <v>207</v>
      </c>
      <c r="L216" s="14" t="s">
        <v>208</v>
      </c>
      <c r="M216" s="14" t="s">
        <v>209</v>
      </c>
      <c r="N216" s="14" t="s">
        <v>4368</v>
      </c>
      <c r="O216" s="14" t="s">
        <v>4369</v>
      </c>
      <c r="P216" s="14" t="s">
        <v>4370</v>
      </c>
      <c r="Q216" s="14" t="s">
        <v>166</v>
      </c>
      <c r="R216" s="14" t="s">
        <v>177</v>
      </c>
      <c r="S216" s="14" t="s">
        <v>178</v>
      </c>
      <c r="T216" s="14" t="s">
        <v>179</v>
      </c>
      <c r="U216" s="14" t="s">
        <v>4371</v>
      </c>
      <c r="V216" s="14" t="s">
        <v>4372</v>
      </c>
      <c r="W216" s="21" t="s">
        <v>4373</v>
      </c>
      <c r="X216" s="14" t="s">
        <v>4374</v>
      </c>
      <c r="Y216" s="14" t="s">
        <v>4375</v>
      </c>
      <c r="Z216" s="14" t="s">
        <v>166</v>
      </c>
      <c r="AA216" s="14" t="s">
        <v>242</v>
      </c>
      <c r="AB216" s="14" t="s">
        <v>243</v>
      </c>
      <c r="AC216" s="14" t="s">
        <v>244</v>
      </c>
      <c r="AD216" s="14" t="s">
        <v>243</v>
      </c>
      <c r="AE216" s="14" t="s">
        <v>243</v>
      </c>
      <c r="AF216" s="14" t="s">
        <v>166</v>
      </c>
      <c r="AG216" s="14" t="s">
        <v>246</v>
      </c>
      <c r="AH216" s="21">
        <v>2</v>
      </c>
      <c r="AI216" s="3">
        <f>HYPERLINK("https://my.pitchbook.com/?d=242782-93T","242782-93T")</f>
      </c>
      <c r="AJ216" s="19" t="s">
        <v>166</v>
      </c>
      <c r="AK216" s="19">
        <v>45195</v>
      </c>
      <c r="AL216" s="18">
        <v>8.98</v>
      </c>
      <c r="AM216" s="14" t="s">
        <v>185</v>
      </c>
      <c r="AN216" s="18">
        <v>16.02</v>
      </c>
      <c r="AO216" s="18">
        <v>25</v>
      </c>
      <c r="AP216" s="14" t="s">
        <v>185</v>
      </c>
      <c r="AQ216" s="21" t="s">
        <v>166</v>
      </c>
      <c r="AR216" s="21" t="s">
        <v>166</v>
      </c>
      <c r="AS216" s="17">
        <v>44.24</v>
      </c>
      <c r="AT216" s="18">
        <v>9.48</v>
      </c>
      <c r="AU216" s="21" t="s">
        <v>186</v>
      </c>
      <c r="AV216" s="21" t="s">
        <v>166</v>
      </c>
      <c r="AW216" s="18">
        <v>1.34</v>
      </c>
      <c r="AX216" s="21" t="s">
        <v>166</v>
      </c>
      <c r="AY216" s="14" t="s">
        <v>217</v>
      </c>
      <c r="AZ216" s="14" t="s">
        <v>217</v>
      </c>
      <c r="BA216" s="14" t="s">
        <v>166</v>
      </c>
      <c r="BB216" s="21" t="s">
        <v>166</v>
      </c>
      <c r="BC216" s="14" t="s">
        <v>179</v>
      </c>
      <c r="BD216" s="14" t="s">
        <v>4376</v>
      </c>
      <c r="BE216" s="14" t="s">
        <v>189</v>
      </c>
      <c r="BF216" s="18">
        <v>8.98</v>
      </c>
      <c r="BG216" s="14" t="s">
        <v>190</v>
      </c>
      <c r="BH216" s="14" t="s">
        <v>166</v>
      </c>
      <c r="BI216" s="14" t="s">
        <v>166</v>
      </c>
      <c r="BJ216" s="18" t="s">
        <v>166</v>
      </c>
      <c r="BK216" s="18" t="s">
        <v>166</v>
      </c>
      <c r="BL216" s="14" t="s">
        <v>191</v>
      </c>
      <c r="BM216" s="14" t="s">
        <v>178</v>
      </c>
      <c r="BN216" s="14" t="s">
        <v>177</v>
      </c>
      <c r="BO216" s="22" t="s">
        <v>166</v>
      </c>
      <c r="BP216" s="14" t="s">
        <v>4377</v>
      </c>
      <c r="BQ216" s="21">
        <v>11</v>
      </c>
      <c r="BR216" s="14" t="s">
        <v>914</v>
      </c>
      <c r="BS216" s="21">
        <v>1</v>
      </c>
      <c r="BT216" s="14" t="s">
        <v>166</v>
      </c>
      <c r="BU216" s="14" t="s">
        <v>166</v>
      </c>
      <c r="BV216" s="14" t="s">
        <v>4378</v>
      </c>
      <c r="BW216" s="14" t="s">
        <v>166</v>
      </c>
      <c r="BX216" s="14" t="s">
        <v>166</v>
      </c>
      <c r="BY216" s="14" t="s">
        <v>166</v>
      </c>
      <c r="BZ216" s="14" t="s">
        <v>4379</v>
      </c>
      <c r="CA216" s="14" t="s">
        <v>4379</v>
      </c>
      <c r="CB216" s="14" t="s">
        <v>166</v>
      </c>
      <c r="CC216" s="14" t="s">
        <v>166</v>
      </c>
      <c r="CD216" s="14" t="s">
        <v>166</v>
      </c>
      <c r="CE216" s="18" t="s">
        <v>166</v>
      </c>
      <c r="CF216" s="16" t="s">
        <v>166</v>
      </c>
      <c r="CG216" s="17" t="s">
        <v>166</v>
      </c>
      <c r="CH216" s="16" t="s">
        <v>166</v>
      </c>
      <c r="CI216" s="16" t="s">
        <v>166</v>
      </c>
      <c r="CJ216" s="16" t="s">
        <v>166</v>
      </c>
      <c r="CK216" s="16" t="s">
        <v>166</v>
      </c>
      <c r="CL216" s="16" t="s">
        <v>166</v>
      </c>
      <c r="CM216" s="20" t="s">
        <v>166</v>
      </c>
      <c r="CN216" s="16" t="s">
        <v>166</v>
      </c>
      <c r="CO216" s="16" t="s">
        <v>166</v>
      </c>
      <c r="CP216" s="16" t="s">
        <v>166</v>
      </c>
      <c r="CQ216" s="16" t="s">
        <v>166</v>
      </c>
      <c r="CR216" s="16" t="s">
        <v>166</v>
      </c>
      <c r="CS216" s="16" t="s">
        <v>166</v>
      </c>
      <c r="CT216" s="16" t="s">
        <v>166</v>
      </c>
      <c r="CU216" s="16" t="s">
        <v>166</v>
      </c>
      <c r="CV216" s="16" t="s">
        <v>166</v>
      </c>
      <c r="CW216" s="16" t="s">
        <v>166</v>
      </c>
      <c r="CX216" s="16" t="s">
        <v>166</v>
      </c>
      <c r="CY216" s="16" t="s">
        <v>166</v>
      </c>
      <c r="CZ216" s="16" t="s">
        <v>166</v>
      </c>
      <c r="DA216" s="16" t="s">
        <v>166</v>
      </c>
      <c r="DB216" s="16" t="s">
        <v>166</v>
      </c>
      <c r="DC216" s="16" t="s">
        <v>166</v>
      </c>
      <c r="DD216" s="16" t="s">
        <v>166</v>
      </c>
      <c r="DE216" s="17" t="s">
        <v>166</v>
      </c>
      <c r="DF216" s="22">
        <v>21</v>
      </c>
      <c r="DG216" s="14" t="s">
        <v>309</v>
      </c>
      <c r="DH216" s="14" t="s">
        <v>193</v>
      </c>
      <c r="DI216" s="14" t="s">
        <v>194</v>
      </c>
      <c r="DJ216" s="14" t="s">
        <v>310</v>
      </c>
      <c r="DK216" s="14" t="s">
        <v>310</v>
      </c>
      <c r="DL216" s="21" t="s">
        <v>873</v>
      </c>
      <c r="DM216" s="14" t="s">
        <v>198</v>
      </c>
      <c r="DN216" s="13" t="s">
        <v>4380</v>
      </c>
      <c r="DO216" s="20">
        <v>2020</v>
      </c>
      <c r="DP216" s="14" t="s">
        <v>166</v>
      </c>
      <c r="DQ216" s="14" t="s">
        <v>166</v>
      </c>
      <c r="DR216" s="18" t="s">
        <v>166</v>
      </c>
      <c r="DS216" s="16" t="s">
        <v>166</v>
      </c>
      <c r="DT216" s="19" t="s">
        <v>166</v>
      </c>
      <c r="DU216" s="14" t="s">
        <v>166</v>
      </c>
      <c r="DV216" s="18" t="s">
        <v>166</v>
      </c>
      <c r="DW216" s="18" t="s">
        <v>166</v>
      </c>
      <c r="DX216" s="16" t="s">
        <v>166</v>
      </c>
      <c r="DY216" s="16" t="s">
        <v>166</v>
      </c>
      <c r="DZ216" s="17" t="s">
        <v>166</v>
      </c>
      <c r="EA216" s="16" t="s">
        <v>166</v>
      </c>
      <c r="EB216" s="16" t="s">
        <v>166</v>
      </c>
      <c r="EC216" s="16" t="s">
        <v>166</v>
      </c>
      <c r="ED216" s="17" t="s">
        <v>166</v>
      </c>
      <c r="EE216" s="17" t="s">
        <v>166</v>
      </c>
      <c r="EF216" s="17" t="s">
        <v>166</v>
      </c>
      <c r="EG216" s="17" t="s">
        <v>166</v>
      </c>
      <c r="EH216" s="16" t="s">
        <v>166</v>
      </c>
      <c r="EI216" s="16" t="s">
        <v>166</v>
      </c>
      <c r="EJ216" s="16" t="s">
        <v>166</v>
      </c>
      <c r="EK216" s="16" t="s">
        <v>166</v>
      </c>
      <c r="EL216" s="16" t="s">
        <v>166</v>
      </c>
      <c r="EM216" s="16" t="s">
        <v>166</v>
      </c>
      <c r="EN216" s="16" t="s">
        <v>166</v>
      </c>
      <c r="EO216" s="16" t="s">
        <v>166</v>
      </c>
      <c r="EP216" s="16" t="s">
        <v>166</v>
      </c>
      <c r="EQ216" s="16" t="s">
        <v>166</v>
      </c>
      <c r="ER216" s="16" t="s">
        <v>166</v>
      </c>
      <c r="ES216" s="16" t="s">
        <v>166</v>
      </c>
      <c r="ET216" s="14" t="s">
        <v>166</v>
      </c>
      <c r="EU216" s="16" t="s">
        <v>166</v>
      </c>
      <c r="EV216" s="16" t="s">
        <v>166</v>
      </c>
      <c r="EW216" s="16" t="s">
        <v>166</v>
      </c>
      <c r="EX216" s="14" t="s">
        <v>190</v>
      </c>
      <c r="EY216" s="14" t="s">
        <v>166</v>
      </c>
      <c r="EZ216" s="16" t="s">
        <v>166</v>
      </c>
      <c r="FA216" s="15" t="s">
        <v>166</v>
      </c>
      <c r="FB216" s="15" t="s">
        <v>166</v>
      </c>
      <c r="FC216" s="15" t="s">
        <v>166</v>
      </c>
      <c r="FD216" s="15" t="s">
        <v>166</v>
      </c>
      <c r="FE216" s="15" t="s">
        <v>166</v>
      </c>
      <c r="FF216" s="15" t="s">
        <v>166</v>
      </c>
      <c r="FG216" s="14" t="s">
        <v>166</v>
      </c>
      <c r="FH216" s="3">
        <f>HYPERLINK("https://my.pitchbook.com?c=242782-93T","View Company Online")</f>
      </c>
    </row>
    <row r="217">
      <c r="A217" s="25" t="s">
        <v>4381</v>
      </c>
      <c r="B217" s="25" t="s">
        <v>4382</v>
      </c>
      <c r="C217" s="25" t="s">
        <v>4383</v>
      </c>
      <c r="D217" s="25" t="s">
        <v>166</v>
      </c>
      <c r="E217" s="34" t="s">
        <v>4384</v>
      </c>
      <c r="F217" s="32">
        <v>2</v>
      </c>
      <c r="G217" s="25" t="s">
        <v>4385</v>
      </c>
      <c r="H217" s="25" t="s">
        <v>166</v>
      </c>
      <c r="I217" s="25" t="s">
        <v>4386</v>
      </c>
      <c r="J217" s="25" t="s">
        <v>4387</v>
      </c>
      <c r="K217" s="25" t="s">
        <v>207</v>
      </c>
      <c r="L217" s="25" t="s">
        <v>208</v>
      </c>
      <c r="M217" s="25" t="s">
        <v>209</v>
      </c>
      <c r="N217" s="25" t="s">
        <v>1009</v>
      </c>
      <c r="O217" s="25" t="s">
        <v>211</v>
      </c>
      <c r="P217" s="25" t="s">
        <v>4388</v>
      </c>
      <c r="Q217" s="25" t="s">
        <v>166</v>
      </c>
      <c r="R217" s="25" t="s">
        <v>177</v>
      </c>
      <c r="S217" s="25" t="s">
        <v>178</v>
      </c>
      <c r="T217" s="25" t="s">
        <v>179</v>
      </c>
      <c r="U217" s="25" t="s">
        <v>4389</v>
      </c>
      <c r="V217" s="25" t="s">
        <v>4390</v>
      </c>
      <c r="W217" s="32" t="s">
        <v>4391</v>
      </c>
      <c r="X217" s="25" t="s">
        <v>4392</v>
      </c>
      <c r="Y217" s="25" t="s">
        <v>4393</v>
      </c>
      <c r="Z217" s="25" t="s">
        <v>166</v>
      </c>
      <c r="AA217" s="25" t="s">
        <v>166</v>
      </c>
      <c r="AB217" s="25" t="s">
        <v>166</v>
      </c>
      <c r="AC217" s="25" t="s">
        <v>166</v>
      </c>
      <c r="AD217" s="25" t="s">
        <v>166</v>
      </c>
      <c r="AE217" s="25" t="s">
        <v>166</v>
      </c>
      <c r="AF217" s="25" t="s">
        <v>166</v>
      </c>
      <c r="AG217" s="25" t="s">
        <v>166</v>
      </c>
      <c r="AH217" s="32">
        <v>1</v>
      </c>
      <c r="AI217" s="4">
        <f>HYPERLINK("https://my.pitchbook.com/?d=158955-76T","158955-76T")</f>
      </c>
      <c r="AJ217" s="30" t="s">
        <v>166</v>
      </c>
      <c r="AK217" s="30">
        <v>44145</v>
      </c>
      <c r="AL217" s="29">
        <v>14</v>
      </c>
      <c r="AM217" s="25" t="s">
        <v>185</v>
      </c>
      <c r="AN217" s="29" t="s">
        <v>166</v>
      </c>
      <c r="AO217" s="29" t="s">
        <v>166</v>
      </c>
      <c r="AP217" s="25" t="s">
        <v>166</v>
      </c>
      <c r="AQ217" s="32" t="s">
        <v>166</v>
      </c>
      <c r="AR217" s="32" t="s">
        <v>166</v>
      </c>
      <c r="AS217" s="28" t="s">
        <v>166</v>
      </c>
      <c r="AT217" s="29">
        <v>14</v>
      </c>
      <c r="AU217" s="32" t="s">
        <v>186</v>
      </c>
      <c r="AV217" s="32" t="s">
        <v>166</v>
      </c>
      <c r="AW217" s="29" t="s">
        <v>166</v>
      </c>
      <c r="AX217" s="32" t="s">
        <v>248</v>
      </c>
      <c r="AY217" s="25" t="s">
        <v>187</v>
      </c>
      <c r="AZ217" s="25" t="s">
        <v>248</v>
      </c>
      <c r="BA217" s="25" t="s">
        <v>166</v>
      </c>
      <c r="BB217" s="32" t="s">
        <v>166</v>
      </c>
      <c r="BC217" s="25" t="s">
        <v>179</v>
      </c>
      <c r="BD217" s="25" t="s">
        <v>4394</v>
      </c>
      <c r="BE217" s="25" t="s">
        <v>189</v>
      </c>
      <c r="BF217" s="29">
        <v>14</v>
      </c>
      <c r="BG217" s="25" t="s">
        <v>190</v>
      </c>
      <c r="BH217" s="25" t="s">
        <v>166</v>
      </c>
      <c r="BI217" s="25" t="s">
        <v>166</v>
      </c>
      <c r="BJ217" s="29" t="s">
        <v>166</v>
      </c>
      <c r="BK217" s="29" t="s">
        <v>166</v>
      </c>
      <c r="BL217" s="25" t="s">
        <v>191</v>
      </c>
      <c r="BM217" s="25" t="s">
        <v>178</v>
      </c>
      <c r="BN217" s="25" t="s">
        <v>177</v>
      </c>
      <c r="BO217" s="33" t="s">
        <v>166</v>
      </c>
      <c r="BP217" s="25" t="s">
        <v>4384</v>
      </c>
      <c r="BQ217" s="32">
        <v>2</v>
      </c>
      <c r="BR217" s="25" t="s">
        <v>166</v>
      </c>
      <c r="BS217" s="32" t="s">
        <v>166</v>
      </c>
      <c r="BT217" s="25" t="s">
        <v>4395</v>
      </c>
      <c r="BU217" s="25" t="s">
        <v>166</v>
      </c>
      <c r="BV217" s="25" t="s">
        <v>4396</v>
      </c>
      <c r="BW217" s="25" t="s">
        <v>166</v>
      </c>
      <c r="BX217" s="25" t="s">
        <v>166</v>
      </c>
      <c r="BY217" s="25" t="s">
        <v>166</v>
      </c>
      <c r="BZ217" s="25" t="s">
        <v>4397</v>
      </c>
      <c r="CA217" s="25" t="s">
        <v>4397</v>
      </c>
      <c r="CB217" s="25" t="s">
        <v>4397</v>
      </c>
      <c r="CC217" s="25" t="s">
        <v>166</v>
      </c>
      <c r="CD217" s="25" t="s">
        <v>166</v>
      </c>
      <c r="CE217" s="29" t="s">
        <v>166</v>
      </c>
      <c r="CF217" s="27" t="s">
        <v>166</v>
      </c>
      <c r="CG217" s="28" t="s">
        <v>166</v>
      </c>
      <c r="CH217" s="27" t="s">
        <v>166</v>
      </c>
      <c r="CI217" s="27" t="s">
        <v>166</v>
      </c>
      <c r="CJ217" s="27" t="s">
        <v>166</v>
      </c>
      <c r="CK217" s="27" t="s">
        <v>166</v>
      </c>
      <c r="CL217" s="27" t="s">
        <v>166</v>
      </c>
      <c r="CM217" s="31" t="s">
        <v>166</v>
      </c>
      <c r="CN217" s="27" t="s">
        <v>166</v>
      </c>
      <c r="CO217" s="27" t="s">
        <v>166</v>
      </c>
      <c r="CP217" s="27" t="s">
        <v>166</v>
      </c>
      <c r="CQ217" s="27" t="s">
        <v>166</v>
      </c>
      <c r="CR217" s="27" t="s">
        <v>166</v>
      </c>
      <c r="CS217" s="27" t="s">
        <v>166</v>
      </c>
      <c r="CT217" s="27" t="s">
        <v>166</v>
      </c>
      <c r="CU217" s="27" t="s">
        <v>166</v>
      </c>
      <c r="CV217" s="27" t="s">
        <v>166</v>
      </c>
      <c r="CW217" s="27" t="s">
        <v>166</v>
      </c>
      <c r="CX217" s="27" t="s">
        <v>166</v>
      </c>
      <c r="CY217" s="27" t="s">
        <v>166</v>
      </c>
      <c r="CZ217" s="27" t="s">
        <v>166</v>
      </c>
      <c r="DA217" s="27" t="s">
        <v>166</v>
      </c>
      <c r="DB217" s="27" t="s">
        <v>166</v>
      </c>
      <c r="DC217" s="27" t="s">
        <v>166</v>
      </c>
      <c r="DD217" s="27" t="s">
        <v>166</v>
      </c>
      <c r="DE217" s="28" t="s">
        <v>166</v>
      </c>
      <c r="DF217" s="33">
        <v>180</v>
      </c>
      <c r="DG217" s="25" t="s">
        <v>309</v>
      </c>
      <c r="DH217" s="25" t="s">
        <v>193</v>
      </c>
      <c r="DI217" s="25" t="s">
        <v>194</v>
      </c>
      <c r="DJ217" s="25" t="s">
        <v>310</v>
      </c>
      <c r="DK217" s="25" t="s">
        <v>310</v>
      </c>
      <c r="DL217" s="32" t="s">
        <v>1154</v>
      </c>
      <c r="DM217" s="25" t="s">
        <v>198</v>
      </c>
      <c r="DN217" s="24" t="s">
        <v>4398</v>
      </c>
      <c r="DO217" s="31">
        <v>2018</v>
      </c>
      <c r="DP217" s="25" t="s">
        <v>166</v>
      </c>
      <c r="DQ217" s="25" t="s">
        <v>166</v>
      </c>
      <c r="DR217" s="29" t="s">
        <v>166</v>
      </c>
      <c r="DS217" s="27" t="s">
        <v>166</v>
      </c>
      <c r="DT217" s="30" t="s">
        <v>166</v>
      </c>
      <c r="DU217" s="25" t="s">
        <v>166</v>
      </c>
      <c r="DV217" s="29" t="s">
        <v>166</v>
      </c>
      <c r="DW217" s="29" t="s">
        <v>166</v>
      </c>
      <c r="DX217" s="27" t="s">
        <v>166</v>
      </c>
      <c r="DY217" s="27" t="s">
        <v>166</v>
      </c>
      <c r="DZ217" s="28" t="s">
        <v>166</v>
      </c>
      <c r="EA217" s="27" t="s">
        <v>166</v>
      </c>
      <c r="EB217" s="27" t="s">
        <v>166</v>
      </c>
      <c r="EC217" s="27" t="s">
        <v>166</v>
      </c>
      <c r="ED217" s="28" t="s">
        <v>166</v>
      </c>
      <c r="EE217" s="28" t="s">
        <v>166</v>
      </c>
      <c r="EF217" s="28" t="s">
        <v>166</v>
      </c>
      <c r="EG217" s="28" t="s">
        <v>166</v>
      </c>
      <c r="EH217" s="27" t="s">
        <v>166</v>
      </c>
      <c r="EI217" s="27" t="s">
        <v>166</v>
      </c>
      <c r="EJ217" s="27" t="s">
        <v>166</v>
      </c>
      <c r="EK217" s="27" t="s">
        <v>166</v>
      </c>
      <c r="EL217" s="27" t="s">
        <v>166</v>
      </c>
      <c r="EM217" s="27" t="s">
        <v>166</v>
      </c>
      <c r="EN217" s="27" t="s">
        <v>166</v>
      </c>
      <c r="EO217" s="27" t="s">
        <v>166</v>
      </c>
      <c r="EP217" s="27" t="s">
        <v>166</v>
      </c>
      <c r="EQ217" s="27" t="s">
        <v>166</v>
      </c>
      <c r="ER217" s="27" t="s">
        <v>166</v>
      </c>
      <c r="ES217" s="27" t="s">
        <v>166</v>
      </c>
      <c r="ET217" s="25" t="s">
        <v>166</v>
      </c>
      <c r="EU217" s="27" t="s">
        <v>166</v>
      </c>
      <c r="EV217" s="27" t="s">
        <v>166</v>
      </c>
      <c r="EW217" s="27" t="s">
        <v>166</v>
      </c>
      <c r="EX217" s="25" t="s">
        <v>190</v>
      </c>
      <c r="EY217" s="25" t="s">
        <v>166</v>
      </c>
      <c r="EZ217" s="27" t="s">
        <v>166</v>
      </c>
      <c r="FA217" s="26" t="s">
        <v>166</v>
      </c>
      <c r="FB217" s="26" t="s">
        <v>166</v>
      </c>
      <c r="FC217" s="26" t="s">
        <v>166</v>
      </c>
      <c r="FD217" s="26" t="s">
        <v>166</v>
      </c>
      <c r="FE217" s="26" t="s">
        <v>166</v>
      </c>
      <c r="FF217" s="26" t="s">
        <v>166</v>
      </c>
      <c r="FG217" s="25" t="s">
        <v>166</v>
      </c>
      <c r="FH217" s="4">
        <f>HYPERLINK("https://my.pitchbook.com?c=158955-76T","View Company Online")</f>
      </c>
    </row>
    <row r="218">
      <c r="A218" s="14" t="s">
        <v>4399</v>
      </c>
      <c r="B218" s="14" t="s">
        <v>4400</v>
      </c>
      <c r="C218" s="14" t="s">
        <v>4401</v>
      </c>
      <c r="D218" s="14" t="s">
        <v>166</v>
      </c>
      <c r="E218" s="23" t="s">
        <v>4402</v>
      </c>
      <c r="F218" s="21">
        <v>6</v>
      </c>
      <c r="G218" s="14" t="s">
        <v>4403</v>
      </c>
      <c r="H218" s="14" t="s">
        <v>166</v>
      </c>
      <c r="I218" s="14" t="s">
        <v>4404</v>
      </c>
      <c r="J218" s="14" t="s">
        <v>4405</v>
      </c>
      <c r="K218" s="14" t="s">
        <v>207</v>
      </c>
      <c r="L218" s="14" t="s">
        <v>208</v>
      </c>
      <c r="M218" s="14" t="s">
        <v>209</v>
      </c>
      <c r="N218" s="14" t="s">
        <v>269</v>
      </c>
      <c r="O218" s="14" t="s">
        <v>4406</v>
      </c>
      <c r="P218" s="14" t="s">
        <v>4407</v>
      </c>
      <c r="Q218" s="14" t="s">
        <v>166</v>
      </c>
      <c r="R218" s="14" t="s">
        <v>177</v>
      </c>
      <c r="S218" s="14" t="s">
        <v>178</v>
      </c>
      <c r="T218" s="14" t="s">
        <v>179</v>
      </c>
      <c r="U218" s="14" t="s">
        <v>4408</v>
      </c>
      <c r="V218" s="14" t="s">
        <v>4409</v>
      </c>
      <c r="W218" s="21" t="s">
        <v>4410</v>
      </c>
      <c r="X218" s="14" t="s">
        <v>4411</v>
      </c>
      <c r="Y218" s="14" t="s">
        <v>4412</v>
      </c>
      <c r="Z218" s="14" t="s">
        <v>4413</v>
      </c>
      <c r="AA218" s="14" t="s">
        <v>242</v>
      </c>
      <c r="AB218" s="14" t="s">
        <v>243</v>
      </c>
      <c r="AC218" s="14" t="s">
        <v>244</v>
      </c>
      <c r="AD218" s="14" t="s">
        <v>243</v>
      </c>
      <c r="AE218" s="14" t="s">
        <v>243</v>
      </c>
      <c r="AF218" s="14" t="s">
        <v>166</v>
      </c>
      <c r="AG218" s="14" t="s">
        <v>166</v>
      </c>
      <c r="AH218" s="21">
        <v>1</v>
      </c>
      <c r="AI218" s="3">
        <f>HYPERLINK("https://my.pitchbook.com/?d=139775-23T","139775-23T")</f>
      </c>
      <c r="AJ218" s="19">
        <v>43922</v>
      </c>
      <c r="AK218" s="19">
        <v>44027</v>
      </c>
      <c r="AL218" s="18">
        <v>8.22</v>
      </c>
      <c r="AM218" s="14" t="s">
        <v>185</v>
      </c>
      <c r="AN218" s="18">
        <v>5.5</v>
      </c>
      <c r="AO218" s="18">
        <v>13.72</v>
      </c>
      <c r="AP218" s="14" t="s">
        <v>185</v>
      </c>
      <c r="AQ218" s="21" t="s">
        <v>166</v>
      </c>
      <c r="AR218" s="21" t="s">
        <v>166</v>
      </c>
      <c r="AS218" s="17">
        <v>63.09</v>
      </c>
      <c r="AT218" s="18">
        <v>8.22</v>
      </c>
      <c r="AU218" s="21" t="s">
        <v>186</v>
      </c>
      <c r="AV218" s="21" t="s">
        <v>166</v>
      </c>
      <c r="AW218" s="18">
        <v>1.33</v>
      </c>
      <c r="AX218" s="21" t="s">
        <v>166</v>
      </c>
      <c r="AY218" s="14" t="s">
        <v>217</v>
      </c>
      <c r="AZ218" s="14" t="s">
        <v>217</v>
      </c>
      <c r="BA218" s="14" t="s">
        <v>166</v>
      </c>
      <c r="BB218" s="21" t="s">
        <v>166</v>
      </c>
      <c r="BC218" s="14" t="s">
        <v>2991</v>
      </c>
      <c r="BD218" s="14" t="s">
        <v>4414</v>
      </c>
      <c r="BE218" s="14" t="s">
        <v>189</v>
      </c>
      <c r="BF218" s="18">
        <v>8.22</v>
      </c>
      <c r="BG218" s="14" t="s">
        <v>190</v>
      </c>
      <c r="BH218" s="14" t="s">
        <v>166</v>
      </c>
      <c r="BI218" s="14" t="s">
        <v>166</v>
      </c>
      <c r="BJ218" s="18" t="s">
        <v>166</v>
      </c>
      <c r="BK218" s="18" t="s">
        <v>166</v>
      </c>
      <c r="BL218" s="14" t="s">
        <v>191</v>
      </c>
      <c r="BM218" s="14" t="s">
        <v>178</v>
      </c>
      <c r="BN218" s="14" t="s">
        <v>177</v>
      </c>
      <c r="BO218" s="22">
        <v>8</v>
      </c>
      <c r="BP218" s="14" t="s">
        <v>4415</v>
      </c>
      <c r="BQ218" s="21">
        <v>6</v>
      </c>
      <c r="BR218" s="14" t="s">
        <v>166</v>
      </c>
      <c r="BS218" s="21" t="s">
        <v>166</v>
      </c>
      <c r="BT218" s="14" t="s">
        <v>4416</v>
      </c>
      <c r="BU218" s="14" t="s">
        <v>166</v>
      </c>
      <c r="BV218" s="14" t="s">
        <v>166</v>
      </c>
      <c r="BW218" s="14" t="s">
        <v>166</v>
      </c>
      <c r="BX218" s="14" t="s">
        <v>166</v>
      </c>
      <c r="BY218" s="14" t="s">
        <v>166</v>
      </c>
      <c r="BZ218" s="14" t="s">
        <v>4417</v>
      </c>
      <c r="CA218" s="14" t="s">
        <v>4418</v>
      </c>
      <c r="CB218" s="14" t="s">
        <v>166</v>
      </c>
      <c r="CC218" s="14" t="s">
        <v>4419</v>
      </c>
      <c r="CD218" s="14" t="s">
        <v>166</v>
      </c>
      <c r="CE218" s="18" t="s">
        <v>166</v>
      </c>
      <c r="CF218" s="16" t="s">
        <v>166</v>
      </c>
      <c r="CG218" s="17" t="s">
        <v>166</v>
      </c>
      <c r="CH218" s="16" t="s">
        <v>166</v>
      </c>
      <c r="CI218" s="16" t="s">
        <v>166</v>
      </c>
      <c r="CJ218" s="16" t="s">
        <v>166</v>
      </c>
      <c r="CK218" s="16" t="s">
        <v>166</v>
      </c>
      <c r="CL218" s="16" t="s">
        <v>166</v>
      </c>
      <c r="CM218" s="20" t="s">
        <v>166</v>
      </c>
      <c r="CN218" s="16" t="s">
        <v>166</v>
      </c>
      <c r="CO218" s="16" t="s">
        <v>166</v>
      </c>
      <c r="CP218" s="16" t="s">
        <v>166</v>
      </c>
      <c r="CQ218" s="16" t="s">
        <v>166</v>
      </c>
      <c r="CR218" s="16" t="s">
        <v>166</v>
      </c>
      <c r="CS218" s="16" t="s">
        <v>166</v>
      </c>
      <c r="CT218" s="16" t="s">
        <v>166</v>
      </c>
      <c r="CU218" s="16" t="s">
        <v>166</v>
      </c>
      <c r="CV218" s="16" t="s">
        <v>166</v>
      </c>
      <c r="CW218" s="16" t="s">
        <v>166</v>
      </c>
      <c r="CX218" s="16" t="s">
        <v>166</v>
      </c>
      <c r="CY218" s="16" t="s">
        <v>166</v>
      </c>
      <c r="CZ218" s="16" t="s">
        <v>166</v>
      </c>
      <c r="DA218" s="16" t="s">
        <v>166</v>
      </c>
      <c r="DB218" s="16" t="s">
        <v>166</v>
      </c>
      <c r="DC218" s="16" t="s">
        <v>166</v>
      </c>
      <c r="DD218" s="16" t="s">
        <v>166</v>
      </c>
      <c r="DE218" s="17" t="s">
        <v>166</v>
      </c>
      <c r="DF218" s="22">
        <v>28</v>
      </c>
      <c r="DG218" s="14" t="s">
        <v>429</v>
      </c>
      <c r="DH218" s="14" t="s">
        <v>193</v>
      </c>
      <c r="DI218" s="14" t="s">
        <v>194</v>
      </c>
      <c r="DJ218" s="14" t="s">
        <v>430</v>
      </c>
      <c r="DK218" s="14" t="s">
        <v>431</v>
      </c>
      <c r="DL218" s="21" t="s">
        <v>4420</v>
      </c>
      <c r="DM218" s="14" t="s">
        <v>198</v>
      </c>
      <c r="DN218" s="13" t="s">
        <v>4421</v>
      </c>
      <c r="DO218" s="20">
        <v>2018</v>
      </c>
      <c r="DP218" s="14" t="s">
        <v>166</v>
      </c>
      <c r="DQ218" s="14" t="s">
        <v>166</v>
      </c>
      <c r="DR218" s="18" t="s">
        <v>166</v>
      </c>
      <c r="DS218" s="16" t="s">
        <v>166</v>
      </c>
      <c r="DT218" s="19" t="s">
        <v>166</v>
      </c>
      <c r="DU218" s="14" t="s">
        <v>166</v>
      </c>
      <c r="DV218" s="18" t="s">
        <v>166</v>
      </c>
      <c r="DW218" s="18" t="s">
        <v>166</v>
      </c>
      <c r="DX218" s="16" t="s">
        <v>166</v>
      </c>
      <c r="DY218" s="16" t="s">
        <v>166</v>
      </c>
      <c r="DZ218" s="17" t="s">
        <v>166</v>
      </c>
      <c r="EA218" s="16" t="s">
        <v>166</v>
      </c>
      <c r="EB218" s="16" t="s">
        <v>166</v>
      </c>
      <c r="EC218" s="16" t="s">
        <v>166</v>
      </c>
      <c r="ED218" s="17" t="s">
        <v>166</v>
      </c>
      <c r="EE218" s="17" t="s">
        <v>166</v>
      </c>
      <c r="EF218" s="17" t="s">
        <v>166</v>
      </c>
      <c r="EG218" s="17" t="s">
        <v>166</v>
      </c>
      <c r="EH218" s="16" t="s">
        <v>166</v>
      </c>
      <c r="EI218" s="16" t="s">
        <v>166</v>
      </c>
      <c r="EJ218" s="16" t="s">
        <v>166</v>
      </c>
      <c r="EK218" s="16" t="s">
        <v>166</v>
      </c>
      <c r="EL218" s="16" t="s">
        <v>166</v>
      </c>
      <c r="EM218" s="16" t="s">
        <v>166</v>
      </c>
      <c r="EN218" s="16" t="s">
        <v>166</v>
      </c>
      <c r="EO218" s="16" t="s">
        <v>166</v>
      </c>
      <c r="EP218" s="16" t="s">
        <v>166</v>
      </c>
      <c r="EQ218" s="16" t="s">
        <v>166</v>
      </c>
      <c r="ER218" s="16" t="s">
        <v>166</v>
      </c>
      <c r="ES218" s="16" t="s">
        <v>166</v>
      </c>
      <c r="ET218" s="14" t="s">
        <v>166</v>
      </c>
      <c r="EU218" s="16" t="s">
        <v>166</v>
      </c>
      <c r="EV218" s="16" t="s">
        <v>166</v>
      </c>
      <c r="EW218" s="16" t="s">
        <v>166</v>
      </c>
      <c r="EX218" s="14" t="s">
        <v>190</v>
      </c>
      <c r="EY218" s="14" t="s">
        <v>166</v>
      </c>
      <c r="EZ218" s="16" t="s">
        <v>166</v>
      </c>
      <c r="FA218" s="15">
        <v>13</v>
      </c>
      <c r="FB218" s="15">
        <v>3</v>
      </c>
      <c r="FC218" s="15">
        <v>8</v>
      </c>
      <c r="FD218" s="15">
        <v>4</v>
      </c>
      <c r="FE218" s="15" t="s">
        <v>166</v>
      </c>
      <c r="FF218" s="15">
        <v>1</v>
      </c>
      <c r="FG218" s="14" t="s">
        <v>4422</v>
      </c>
      <c r="FH218" s="3">
        <f>HYPERLINK("https://my.pitchbook.com?c=139775-23T","View Company Online")</f>
      </c>
    </row>
    <row r="219">
      <c r="A219" s="25" t="s">
        <v>4423</v>
      </c>
      <c r="B219" s="25" t="s">
        <v>4424</v>
      </c>
      <c r="C219" s="25" t="s">
        <v>4425</v>
      </c>
      <c r="D219" s="25" t="s">
        <v>166</v>
      </c>
      <c r="E219" s="34" t="s">
        <v>4426</v>
      </c>
      <c r="F219" s="32">
        <v>3</v>
      </c>
      <c r="G219" s="25" t="s">
        <v>4427</v>
      </c>
      <c r="H219" s="25" t="s">
        <v>166</v>
      </c>
      <c r="I219" s="25" t="s">
        <v>4428</v>
      </c>
      <c r="J219" s="25" t="s">
        <v>4429</v>
      </c>
      <c r="K219" s="25" t="s">
        <v>207</v>
      </c>
      <c r="L219" s="25" t="s">
        <v>208</v>
      </c>
      <c r="M219" s="25" t="s">
        <v>209</v>
      </c>
      <c r="N219" s="25" t="s">
        <v>4430</v>
      </c>
      <c r="O219" s="25" t="s">
        <v>4431</v>
      </c>
      <c r="P219" s="25" t="s">
        <v>4432</v>
      </c>
      <c r="Q219" s="25" t="s">
        <v>166</v>
      </c>
      <c r="R219" s="25" t="s">
        <v>177</v>
      </c>
      <c r="S219" s="25" t="s">
        <v>178</v>
      </c>
      <c r="T219" s="25" t="s">
        <v>179</v>
      </c>
      <c r="U219" s="25" t="s">
        <v>4433</v>
      </c>
      <c r="V219" s="25" t="s">
        <v>4434</v>
      </c>
      <c r="W219" s="32" t="s">
        <v>4435</v>
      </c>
      <c r="X219" s="25" t="s">
        <v>4436</v>
      </c>
      <c r="Y219" s="25" t="s">
        <v>4437</v>
      </c>
      <c r="Z219" s="25" t="s">
        <v>4438</v>
      </c>
      <c r="AA219" s="25" t="s">
        <v>166</v>
      </c>
      <c r="AB219" s="25" t="s">
        <v>166</v>
      </c>
      <c r="AC219" s="25" t="s">
        <v>166</v>
      </c>
      <c r="AD219" s="25" t="s">
        <v>166</v>
      </c>
      <c r="AE219" s="25" t="s">
        <v>166</v>
      </c>
      <c r="AF219" s="25" t="s">
        <v>166</v>
      </c>
      <c r="AG219" s="25" t="s">
        <v>166</v>
      </c>
      <c r="AH219" s="32">
        <v>10</v>
      </c>
      <c r="AI219" s="4">
        <f>HYPERLINK("https://my.pitchbook.com/?d=168559-21T","168559-21T")</f>
      </c>
      <c r="AJ219" s="30" t="s">
        <v>166</v>
      </c>
      <c r="AK219" s="30">
        <v>44271</v>
      </c>
      <c r="AL219" s="29">
        <v>1.99</v>
      </c>
      <c r="AM219" s="25" t="s">
        <v>185</v>
      </c>
      <c r="AN219" s="29" t="s">
        <v>166</v>
      </c>
      <c r="AO219" s="29" t="s">
        <v>166</v>
      </c>
      <c r="AP219" s="25" t="s">
        <v>166</v>
      </c>
      <c r="AQ219" s="32" t="s">
        <v>166</v>
      </c>
      <c r="AR219" s="32" t="s">
        <v>166</v>
      </c>
      <c r="AS219" s="28" t="s">
        <v>166</v>
      </c>
      <c r="AT219" s="29">
        <v>2.19</v>
      </c>
      <c r="AU219" s="32" t="s">
        <v>186</v>
      </c>
      <c r="AV219" s="32" t="s">
        <v>166</v>
      </c>
      <c r="AW219" s="29" t="s">
        <v>166</v>
      </c>
      <c r="AX219" s="32" t="s">
        <v>166</v>
      </c>
      <c r="AY219" s="25" t="s">
        <v>217</v>
      </c>
      <c r="AZ219" s="25" t="s">
        <v>217</v>
      </c>
      <c r="BA219" s="25" t="s">
        <v>166</v>
      </c>
      <c r="BB219" s="32" t="s">
        <v>166</v>
      </c>
      <c r="BC219" s="25" t="s">
        <v>179</v>
      </c>
      <c r="BD219" s="25" t="s">
        <v>4439</v>
      </c>
      <c r="BE219" s="25" t="s">
        <v>189</v>
      </c>
      <c r="BF219" s="29">
        <v>1.99</v>
      </c>
      <c r="BG219" s="25" t="s">
        <v>190</v>
      </c>
      <c r="BH219" s="25" t="s">
        <v>166</v>
      </c>
      <c r="BI219" s="25" t="s">
        <v>166</v>
      </c>
      <c r="BJ219" s="29" t="s">
        <v>166</v>
      </c>
      <c r="BK219" s="29" t="s">
        <v>166</v>
      </c>
      <c r="BL219" s="25" t="s">
        <v>191</v>
      </c>
      <c r="BM219" s="25" t="s">
        <v>178</v>
      </c>
      <c r="BN219" s="25" t="s">
        <v>177</v>
      </c>
      <c r="BO219" s="33" t="s">
        <v>166</v>
      </c>
      <c r="BP219" s="25" t="s">
        <v>4426</v>
      </c>
      <c r="BQ219" s="32">
        <v>3</v>
      </c>
      <c r="BR219" s="25" t="s">
        <v>166</v>
      </c>
      <c r="BS219" s="32" t="s">
        <v>166</v>
      </c>
      <c r="BT219" s="25" t="s">
        <v>166</v>
      </c>
      <c r="BU219" s="25" t="s">
        <v>166</v>
      </c>
      <c r="BV219" s="25" t="s">
        <v>4440</v>
      </c>
      <c r="BW219" s="25" t="s">
        <v>166</v>
      </c>
      <c r="BX219" s="25" t="s">
        <v>166</v>
      </c>
      <c r="BY219" s="25" t="s">
        <v>166</v>
      </c>
      <c r="BZ219" s="25" t="s">
        <v>166</v>
      </c>
      <c r="CA219" s="25" t="s">
        <v>166</v>
      </c>
      <c r="CB219" s="25" t="s">
        <v>166</v>
      </c>
      <c r="CC219" s="25" t="s">
        <v>166</v>
      </c>
      <c r="CD219" s="25" t="s">
        <v>166</v>
      </c>
      <c r="CE219" s="29" t="s">
        <v>166</v>
      </c>
      <c r="CF219" s="27" t="s">
        <v>166</v>
      </c>
      <c r="CG219" s="28" t="s">
        <v>166</v>
      </c>
      <c r="CH219" s="27" t="s">
        <v>166</v>
      </c>
      <c r="CI219" s="27" t="s">
        <v>166</v>
      </c>
      <c r="CJ219" s="27" t="s">
        <v>166</v>
      </c>
      <c r="CK219" s="27" t="s">
        <v>166</v>
      </c>
      <c r="CL219" s="27" t="s">
        <v>166</v>
      </c>
      <c r="CM219" s="31" t="s">
        <v>166</v>
      </c>
      <c r="CN219" s="27" t="s">
        <v>166</v>
      </c>
      <c r="CO219" s="27" t="s">
        <v>166</v>
      </c>
      <c r="CP219" s="27" t="s">
        <v>166</v>
      </c>
      <c r="CQ219" s="27" t="s">
        <v>166</v>
      </c>
      <c r="CR219" s="27" t="s">
        <v>166</v>
      </c>
      <c r="CS219" s="27" t="s">
        <v>166</v>
      </c>
      <c r="CT219" s="27" t="s">
        <v>166</v>
      </c>
      <c r="CU219" s="27" t="s">
        <v>166</v>
      </c>
      <c r="CV219" s="27" t="s">
        <v>166</v>
      </c>
      <c r="CW219" s="27" t="s">
        <v>166</v>
      </c>
      <c r="CX219" s="27" t="s">
        <v>166</v>
      </c>
      <c r="CY219" s="27" t="s">
        <v>166</v>
      </c>
      <c r="CZ219" s="27" t="s">
        <v>166</v>
      </c>
      <c r="DA219" s="27" t="s">
        <v>166</v>
      </c>
      <c r="DB219" s="27" t="s">
        <v>166</v>
      </c>
      <c r="DC219" s="27" t="s">
        <v>166</v>
      </c>
      <c r="DD219" s="27" t="s">
        <v>166</v>
      </c>
      <c r="DE219" s="28" t="s">
        <v>166</v>
      </c>
      <c r="DF219" s="33">
        <v>15</v>
      </c>
      <c r="DG219" s="25" t="s">
        <v>2541</v>
      </c>
      <c r="DH219" s="25" t="s">
        <v>193</v>
      </c>
      <c r="DI219" s="25" t="s">
        <v>194</v>
      </c>
      <c r="DJ219" s="25" t="s">
        <v>2542</v>
      </c>
      <c r="DK219" s="25" t="s">
        <v>196</v>
      </c>
      <c r="DL219" s="32" t="s">
        <v>2543</v>
      </c>
      <c r="DM219" s="25" t="s">
        <v>198</v>
      </c>
      <c r="DN219" s="24" t="s">
        <v>4441</v>
      </c>
      <c r="DO219" s="31">
        <v>2016</v>
      </c>
      <c r="DP219" s="25" t="s">
        <v>166</v>
      </c>
      <c r="DQ219" s="25" t="s">
        <v>166</v>
      </c>
      <c r="DR219" s="29" t="s">
        <v>166</v>
      </c>
      <c r="DS219" s="27" t="s">
        <v>166</v>
      </c>
      <c r="DT219" s="30" t="s">
        <v>166</v>
      </c>
      <c r="DU219" s="25" t="s">
        <v>166</v>
      </c>
      <c r="DV219" s="29" t="s">
        <v>166</v>
      </c>
      <c r="DW219" s="29" t="s">
        <v>166</v>
      </c>
      <c r="DX219" s="27" t="s">
        <v>166</v>
      </c>
      <c r="DY219" s="27" t="s">
        <v>166</v>
      </c>
      <c r="DZ219" s="28" t="s">
        <v>166</v>
      </c>
      <c r="EA219" s="27" t="s">
        <v>166</v>
      </c>
      <c r="EB219" s="27" t="s">
        <v>166</v>
      </c>
      <c r="EC219" s="27" t="s">
        <v>166</v>
      </c>
      <c r="ED219" s="28" t="s">
        <v>166</v>
      </c>
      <c r="EE219" s="28" t="s">
        <v>166</v>
      </c>
      <c r="EF219" s="28" t="s">
        <v>166</v>
      </c>
      <c r="EG219" s="28" t="s">
        <v>166</v>
      </c>
      <c r="EH219" s="27" t="s">
        <v>166</v>
      </c>
      <c r="EI219" s="27" t="s">
        <v>166</v>
      </c>
      <c r="EJ219" s="27" t="s">
        <v>166</v>
      </c>
      <c r="EK219" s="27" t="s">
        <v>166</v>
      </c>
      <c r="EL219" s="27" t="s">
        <v>166</v>
      </c>
      <c r="EM219" s="27" t="s">
        <v>166</v>
      </c>
      <c r="EN219" s="27" t="s">
        <v>166</v>
      </c>
      <c r="EO219" s="27" t="s">
        <v>166</v>
      </c>
      <c r="EP219" s="27" t="s">
        <v>166</v>
      </c>
      <c r="EQ219" s="27" t="s">
        <v>166</v>
      </c>
      <c r="ER219" s="27" t="s">
        <v>166</v>
      </c>
      <c r="ES219" s="27" t="s">
        <v>166</v>
      </c>
      <c r="ET219" s="25" t="s">
        <v>166</v>
      </c>
      <c r="EU219" s="27" t="s">
        <v>166</v>
      </c>
      <c r="EV219" s="27" t="s">
        <v>166</v>
      </c>
      <c r="EW219" s="27" t="s">
        <v>166</v>
      </c>
      <c r="EX219" s="25" t="s">
        <v>190</v>
      </c>
      <c r="EY219" s="25" t="s">
        <v>166</v>
      </c>
      <c r="EZ219" s="27" t="s">
        <v>166</v>
      </c>
      <c r="FA219" s="26" t="s">
        <v>166</v>
      </c>
      <c r="FB219" s="26" t="s">
        <v>166</v>
      </c>
      <c r="FC219" s="26" t="s">
        <v>166</v>
      </c>
      <c r="FD219" s="26" t="s">
        <v>166</v>
      </c>
      <c r="FE219" s="26" t="s">
        <v>166</v>
      </c>
      <c r="FF219" s="26" t="s">
        <v>166</v>
      </c>
      <c r="FG219" s="25" t="s">
        <v>166</v>
      </c>
      <c r="FH219" s="4">
        <f>HYPERLINK("https://my.pitchbook.com?c=168559-21T","View Company Online")</f>
      </c>
    </row>
    <row r="220">
      <c r="A220" s="14" t="s">
        <v>4442</v>
      </c>
      <c r="B220" s="14" t="s">
        <v>4443</v>
      </c>
      <c r="C220" s="14" t="s">
        <v>4444</v>
      </c>
      <c r="D220" s="14" t="s">
        <v>166</v>
      </c>
      <c r="E220" s="23" t="s">
        <v>4445</v>
      </c>
      <c r="F220" s="21">
        <v>7</v>
      </c>
      <c r="G220" s="14" t="s">
        <v>4446</v>
      </c>
      <c r="H220" s="14" t="s">
        <v>166</v>
      </c>
      <c r="I220" s="14" t="s">
        <v>4447</v>
      </c>
      <c r="J220" s="14" t="s">
        <v>4448</v>
      </c>
      <c r="K220" s="14" t="s">
        <v>321</v>
      </c>
      <c r="L220" s="14" t="s">
        <v>322</v>
      </c>
      <c r="M220" s="14" t="s">
        <v>322</v>
      </c>
      <c r="N220" s="14" t="s">
        <v>4449</v>
      </c>
      <c r="O220" s="14" t="s">
        <v>4450</v>
      </c>
      <c r="P220" s="14" t="s">
        <v>4451</v>
      </c>
      <c r="Q220" s="14" t="s">
        <v>166</v>
      </c>
      <c r="R220" s="14" t="s">
        <v>177</v>
      </c>
      <c r="S220" s="14" t="s">
        <v>178</v>
      </c>
      <c r="T220" s="14" t="s">
        <v>179</v>
      </c>
      <c r="U220" s="14" t="s">
        <v>4452</v>
      </c>
      <c r="V220" s="14" t="s">
        <v>4453</v>
      </c>
      <c r="W220" s="21" t="s">
        <v>166</v>
      </c>
      <c r="X220" s="14" t="s">
        <v>4454</v>
      </c>
      <c r="Y220" s="14" t="s">
        <v>4455</v>
      </c>
      <c r="Z220" s="14" t="s">
        <v>166</v>
      </c>
      <c r="AA220" s="14" t="s">
        <v>166</v>
      </c>
      <c r="AB220" s="14" t="s">
        <v>166</v>
      </c>
      <c r="AC220" s="14" t="s">
        <v>166</v>
      </c>
      <c r="AD220" s="14" t="s">
        <v>166</v>
      </c>
      <c r="AE220" s="14" t="s">
        <v>166</v>
      </c>
      <c r="AF220" s="14" t="s">
        <v>166</v>
      </c>
      <c r="AG220" s="14" t="s">
        <v>166</v>
      </c>
      <c r="AH220" s="21">
        <v>2</v>
      </c>
      <c r="AI220" s="3">
        <f>HYPERLINK("https://my.pitchbook.com/?d=195490-27T","195490-27T")</f>
      </c>
      <c r="AJ220" s="19">
        <v>44466</v>
      </c>
      <c r="AK220" s="19">
        <v>44769</v>
      </c>
      <c r="AL220" s="18">
        <v>2</v>
      </c>
      <c r="AM220" s="14" t="s">
        <v>185</v>
      </c>
      <c r="AN220" s="18" t="s">
        <v>166</v>
      </c>
      <c r="AO220" s="18" t="s">
        <v>166</v>
      </c>
      <c r="AP220" s="14" t="s">
        <v>166</v>
      </c>
      <c r="AQ220" s="21" t="s">
        <v>166</v>
      </c>
      <c r="AR220" s="21" t="s">
        <v>166</v>
      </c>
      <c r="AS220" s="17" t="s">
        <v>166</v>
      </c>
      <c r="AT220" s="18">
        <v>2.13</v>
      </c>
      <c r="AU220" s="21" t="s">
        <v>186</v>
      </c>
      <c r="AV220" s="21" t="s">
        <v>166</v>
      </c>
      <c r="AW220" s="18" t="s">
        <v>166</v>
      </c>
      <c r="AX220" s="21" t="s">
        <v>166</v>
      </c>
      <c r="AY220" s="14" t="s">
        <v>217</v>
      </c>
      <c r="AZ220" s="14" t="s">
        <v>217</v>
      </c>
      <c r="BA220" s="14" t="s">
        <v>166</v>
      </c>
      <c r="BB220" s="21" t="s">
        <v>166</v>
      </c>
      <c r="BC220" s="14" t="s">
        <v>179</v>
      </c>
      <c r="BD220" s="14" t="s">
        <v>4456</v>
      </c>
      <c r="BE220" s="14" t="s">
        <v>189</v>
      </c>
      <c r="BF220" s="18">
        <v>2</v>
      </c>
      <c r="BG220" s="14" t="s">
        <v>190</v>
      </c>
      <c r="BH220" s="14" t="s">
        <v>166</v>
      </c>
      <c r="BI220" s="14" t="s">
        <v>166</v>
      </c>
      <c r="BJ220" s="18" t="s">
        <v>166</v>
      </c>
      <c r="BK220" s="18" t="s">
        <v>166</v>
      </c>
      <c r="BL220" s="14" t="s">
        <v>191</v>
      </c>
      <c r="BM220" s="14" t="s">
        <v>178</v>
      </c>
      <c r="BN220" s="14" t="s">
        <v>177</v>
      </c>
      <c r="BO220" s="22" t="s">
        <v>166</v>
      </c>
      <c r="BP220" s="14" t="s">
        <v>4457</v>
      </c>
      <c r="BQ220" s="21">
        <v>6</v>
      </c>
      <c r="BR220" s="14" t="s">
        <v>914</v>
      </c>
      <c r="BS220" s="21">
        <v>1</v>
      </c>
      <c r="BT220" s="14" t="s">
        <v>4458</v>
      </c>
      <c r="BU220" s="14" t="s">
        <v>166</v>
      </c>
      <c r="BV220" s="14" t="s">
        <v>166</v>
      </c>
      <c r="BW220" s="14" t="s">
        <v>166</v>
      </c>
      <c r="BX220" s="14" t="s">
        <v>166</v>
      </c>
      <c r="BY220" s="14" t="s">
        <v>166</v>
      </c>
      <c r="BZ220" s="14" t="s">
        <v>166</v>
      </c>
      <c r="CA220" s="14" t="s">
        <v>166</v>
      </c>
      <c r="CB220" s="14" t="s">
        <v>166</v>
      </c>
      <c r="CC220" s="14" t="s">
        <v>166</v>
      </c>
      <c r="CD220" s="14" t="s">
        <v>166</v>
      </c>
      <c r="CE220" s="18" t="s">
        <v>166</v>
      </c>
      <c r="CF220" s="16" t="s">
        <v>166</v>
      </c>
      <c r="CG220" s="17" t="s">
        <v>166</v>
      </c>
      <c r="CH220" s="16" t="s">
        <v>166</v>
      </c>
      <c r="CI220" s="16" t="s">
        <v>166</v>
      </c>
      <c r="CJ220" s="16" t="s">
        <v>166</v>
      </c>
      <c r="CK220" s="16" t="s">
        <v>166</v>
      </c>
      <c r="CL220" s="16" t="s">
        <v>166</v>
      </c>
      <c r="CM220" s="20" t="s">
        <v>166</v>
      </c>
      <c r="CN220" s="16" t="s">
        <v>166</v>
      </c>
      <c r="CO220" s="16" t="s">
        <v>166</v>
      </c>
      <c r="CP220" s="16" t="s">
        <v>166</v>
      </c>
      <c r="CQ220" s="16" t="s">
        <v>166</v>
      </c>
      <c r="CR220" s="16" t="s">
        <v>166</v>
      </c>
      <c r="CS220" s="16" t="s">
        <v>166</v>
      </c>
      <c r="CT220" s="16" t="s">
        <v>166</v>
      </c>
      <c r="CU220" s="16" t="s">
        <v>166</v>
      </c>
      <c r="CV220" s="16" t="s">
        <v>166</v>
      </c>
      <c r="CW220" s="16" t="s">
        <v>166</v>
      </c>
      <c r="CX220" s="16" t="s">
        <v>166</v>
      </c>
      <c r="CY220" s="16" t="s">
        <v>166</v>
      </c>
      <c r="CZ220" s="16" t="s">
        <v>166</v>
      </c>
      <c r="DA220" s="16" t="s">
        <v>166</v>
      </c>
      <c r="DB220" s="16" t="s">
        <v>166</v>
      </c>
      <c r="DC220" s="16" t="s">
        <v>166</v>
      </c>
      <c r="DD220" s="16" t="s">
        <v>166</v>
      </c>
      <c r="DE220" s="17" t="s">
        <v>166</v>
      </c>
      <c r="DF220" s="22">
        <v>4</v>
      </c>
      <c r="DG220" s="14" t="s">
        <v>673</v>
      </c>
      <c r="DH220" s="14" t="s">
        <v>193</v>
      </c>
      <c r="DI220" s="14" t="s">
        <v>194</v>
      </c>
      <c r="DJ220" s="14" t="s">
        <v>674</v>
      </c>
      <c r="DK220" s="14" t="s">
        <v>257</v>
      </c>
      <c r="DL220" s="21" t="s">
        <v>4459</v>
      </c>
      <c r="DM220" s="14" t="s">
        <v>198</v>
      </c>
      <c r="DN220" s="13" t="s">
        <v>4460</v>
      </c>
      <c r="DO220" s="20">
        <v>2021</v>
      </c>
      <c r="DP220" s="14" t="s">
        <v>166</v>
      </c>
      <c r="DQ220" s="14" t="s">
        <v>166</v>
      </c>
      <c r="DR220" s="18" t="s">
        <v>166</v>
      </c>
      <c r="DS220" s="16" t="s">
        <v>166</v>
      </c>
      <c r="DT220" s="19" t="s">
        <v>166</v>
      </c>
      <c r="DU220" s="14" t="s">
        <v>166</v>
      </c>
      <c r="DV220" s="18" t="s">
        <v>166</v>
      </c>
      <c r="DW220" s="18" t="s">
        <v>166</v>
      </c>
      <c r="DX220" s="16" t="s">
        <v>166</v>
      </c>
      <c r="DY220" s="16" t="s">
        <v>166</v>
      </c>
      <c r="DZ220" s="17" t="s">
        <v>166</v>
      </c>
      <c r="EA220" s="16" t="s">
        <v>166</v>
      </c>
      <c r="EB220" s="16" t="s">
        <v>166</v>
      </c>
      <c r="EC220" s="16" t="s">
        <v>166</v>
      </c>
      <c r="ED220" s="17" t="s">
        <v>166</v>
      </c>
      <c r="EE220" s="17" t="s">
        <v>166</v>
      </c>
      <c r="EF220" s="17" t="s">
        <v>166</v>
      </c>
      <c r="EG220" s="17" t="s">
        <v>166</v>
      </c>
      <c r="EH220" s="16" t="s">
        <v>166</v>
      </c>
      <c r="EI220" s="16" t="s">
        <v>166</v>
      </c>
      <c r="EJ220" s="16" t="s">
        <v>166</v>
      </c>
      <c r="EK220" s="16" t="s">
        <v>166</v>
      </c>
      <c r="EL220" s="16" t="s">
        <v>166</v>
      </c>
      <c r="EM220" s="16" t="s">
        <v>166</v>
      </c>
      <c r="EN220" s="16" t="s">
        <v>166</v>
      </c>
      <c r="EO220" s="16" t="s">
        <v>166</v>
      </c>
      <c r="EP220" s="16" t="s">
        <v>166</v>
      </c>
      <c r="EQ220" s="16" t="s">
        <v>166</v>
      </c>
      <c r="ER220" s="16" t="s">
        <v>166</v>
      </c>
      <c r="ES220" s="16" t="s">
        <v>166</v>
      </c>
      <c r="ET220" s="14" t="s">
        <v>166</v>
      </c>
      <c r="EU220" s="16" t="s">
        <v>166</v>
      </c>
      <c r="EV220" s="16" t="s">
        <v>166</v>
      </c>
      <c r="EW220" s="16" t="s">
        <v>166</v>
      </c>
      <c r="EX220" s="14" t="s">
        <v>190</v>
      </c>
      <c r="EY220" s="14" t="s">
        <v>166</v>
      </c>
      <c r="EZ220" s="16" t="s">
        <v>166</v>
      </c>
      <c r="FA220" s="15" t="s">
        <v>166</v>
      </c>
      <c r="FB220" s="15" t="s">
        <v>166</v>
      </c>
      <c r="FC220" s="15" t="s">
        <v>166</v>
      </c>
      <c r="FD220" s="15" t="s">
        <v>166</v>
      </c>
      <c r="FE220" s="15" t="s">
        <v>166</v>
      </c>
      <c r="FF220" s="15" t="s">
        <v>166</v>
      </c>
      <c r="FG220" s="14" t="s">
        <v>166</v>
      </c>
      <c r="FH220" s="3">
        <f>HYPERLINK("https://my.pitchbook.com?c=195490-27T","View Company Online")</f>
      </c>
    </row>
    <row r="221">
      <c r="A221" s="25" t="s">
        <v>4461</v>
      </c>
      <c r="B221" s="25" t="s">
        <v>4462</v>
      </c>
      <c r="C221" s="25" t="s">
        <v>4463</v>
      </c>
      <c r="D221" s="25" t="s">
        <v>166</v>
      </c>
      <c r="E221" s="34" t="s">
        <v>4464</v>
      </c>
      <c r="F221" s="32">
        <v>6</v>
      </c>
      <c r="G221" s="25" t="s">
        <v>4465</v>
      </c>
      <c r="H221" s="25" t="s">
        <v>166</v>
      </c>
      <c r="I221" s="25" t="s">
        <v>4466</v>
      </c>
      <c r="J221" s="25" t="s">
        <v>4467</v>
      </c>
      <c r="K221" s="25" t="s">
        <v>207</v>
      </c>
      <c r="L221" s="25" t="s">
        <v>208</v>
      </c>
      <c r="M221" s="25" t="s">
        <v>209</v>
      </c>
      <c r="N221" s="25" t="s">
        <v>684</v>
      </c>
      <c r="O221" s="25" t="s">
        <v>665</v>
      </c>
      <c r="P221" s="25" t="s">
        <v>4468</v>
      </c>
      <c r="Q221" s="25" t="s">
        <v>166</v>
      </c>
      <c r="R221" s="25" t="s">
        <v>177</v>
      </c>
      <c r="S221" s="25" t="s">
        <v>358</v>
      </c>
      <c r="T221" s="25" t="s">
        <v>179</v>
      </c>
      <c r="U221" s="25" t="s">
        <v>4469</v>
      </c>
      <c r="V221" s="25" t="s">
        <v>4470</v>
      </c>
      <c r="W221" s="32" t="s">
        <v>166</v>
      </c>
      <c r="X221" s="25" t="s">
        <v>4471</v>
      </c>
      <c r="Y221" s="25" t="s">
        <v>4472</v>
      </c>
      <c r="Z221" s="25" t="s">
        <v>4473</v>
      </c>
      <c r="AA221" s="25" t="s">
        <v>166</v>
      </c>
      <c r="AB221" s="25" t="s">
        <v>166</v>
      </c>
      <c r="AC221" s="25" t="s">
        <v>166</v>
      </c>
      <c r="AD221" s="25" t="s">
        <v>166</v>
      </c>
      <c r="AE221" s="25" t="s">
        <v>166</v>
      </c>
      <c r="AF221" s="25" t="s">
        <v>166</v>
      </c>
      <c r="AG221" s="25" t="s">
        <v>166</v>
      </c>
      <c r="AH221" s="32">
        <v>1</v>
      </c>
      <c r="AI221" s="4">
        <f>HYPERLINK("https://my.pitchbook.com/?d=191873-17T","191873-17T")</f>
      </c>
      <c r="AJ221" s="30">
        <v>44228</v>
      </c>
      <c r="AK221" s="30">
        <v>44562</v>
      </c>
      <c r="AL221" s="29">
        <v>1.2</v>
      </c>
      <c r="AM221" s="25" t="s">
        <v>185</v>
      </c>
      <c r="AN221" s="29" t="s">
        <v>166</v>
      </c>
      <c r="AO221" s="29" t="s">
        <v>166</v>
      </c>
      <c r="AP221" s="25" t="s">
        <v>166</v>
      </c>
      <c r="AQ221" s="32" t="s">
        <v>166</v>
      </c>
      <c r="AR221" s="32" t="s">
        <v>166</v>
      </c>
      <c r="AS221" s="28" t="s">
        <v>166</v>
      </c>
      <c r="AT221" s="29">
        <v>1.2</v>
      </c>
      <c r="AU221" s="32" t="s">
        <v>186</v>
      </c>
      <c r="AV221" s="32" t="s">
        <v>166</v>
      </c>
      <c r="AW221" s="29" t="s">
        <v>166</v>
      </c>
      <c r="AX221" s="32" t="s">
        <v>166</v>
      </c>
      <c r="AY221" s="25" t="s">
        <v>187</v>
      </c>
      <c r="AZ221" s="25" t="s">
        <v>166</v>
      </c>
      <c r="BA221" s="25" t="s">
        <v>166</v>
      </c>
      <c r="BB221" s="32" t="s">
        <v>166</v>
      </c>
      <c r="BC221" s="25" t="s">
        <v>179</v>
      </c>
      <c r="BD221" s="25" t="s">
        <v>4467</v>
      </c>
      <c r="BE221" s="25" t="s">
        <v>189</v>
      </c>
      <c r="BF221" s="29" t="s">
        <v>166</v>
      </c>
      <c r="BG221" s="25" t="s">
        <v>190</v>
      </c>
      <c r="BH221" s="25" t="s">
        <v>166</v>
      </c>
      <c r="BI221" s="25" t="s">
        <v>166</v>
      </c>
      <c r="BJ221" s="29">
        <v>1.2</v>
      </c>
      <c r="BK221" s="29" t="s">
        <v>166</v>
      </c>
      <c r="BL221" s="25" t="s">
        <v>191</v>
      </c>
      <c r="BM221" s="25" t="s">
        <v>358</v>
      </c>
      <c r="BN221" s="25" t="s">
        <v>177</v>
      </c>
      <c r="BO221" s="33">
        <v>7</v>
      </c>
      <c r="BP221" s="25" t="s">
        <v>4474</v>
      </c>
      <c r="BQ221" s="32">
        <v>6</v>
      </c>
      <c r="BR221" s="25" t="s">
        <v>166</v>
      </c>
      <c r="BS221" s="32" t="s">
        <v>166</v>
      </c>
      <c r="BT221" s="25" t="s">
        <v>166</v>
      </c>
      <c r="BU221" s="25" t="s">
        <v>166</v>
      </c>
      <c r="BV221" s="25" t="s">
        <v>166</v>
      </c>
      <c r="BW221" s="25" t="s">
        <v>166</v>
      </c>
      <c r="BX221" s="25" t="s">
        <v>166</v>
      </c>
      <c r="BY221" s="25" t="s">
        <v>166</v>
      </c>
      <c r="BZ221" s="25" t="s">
        <v>4475</v>
      </c>
      <c r="CA221" s="25" t="s">
        <v>4475</v>
      </c>
      <c r="CB221" s="25" t="s">
        <v>166</v>
      </c>
      <c r="CC221" s="25" t="s">
        <v>166</v>
      </c>
      <c r="CD221" s="25" t="s">
        <v>166</v>
      </c>
      <c r="CE221" s="29" t="s">
        <v>166</v>
      </c>
      <c r="CF221" s="27" t="s">
        <v>166</v>
      </c>
      <c r="CG221" s="28" t="s">
        <v>166</v>
      </c>
      <c r="CH221" s="27" t="s">
        <v>166</v>
      </c>
      <c r="CI221" s="27" t="s">
        <v>166</v>
      </c>
      <c r="CJ221" s="27" t="s">
        <v>166</v>
      </c>
      <c r="CK221" s="27" t="s">
        <v>166</v>
      </c>
      <c r="CL221" s="27" t="s">
        <v>166</v>
      </c>
      <c r="CM221" s="31" t="s">
        <v>166</v>
      </c>
      <c r="CN221" s="27" t="s">
        <v>166</v>
      </c>
      <c r="CO221" s="27" t="s">
        <v>166</v>
      </c>
      <c r="CP221" s="27" t="s">
        <v>166</v>
      </c>
      <c r="CQ221" s="27" t="s">
        <v>166</v>
      </c>
      <c r="CR221" s="27" t="s">
        <v>166</v>
      </c>
      <c r="CS221" s="27" t="s">
        <v>166</v>
      </c>
      <c r="CT221" s="27" t="s">
        <v>166</v>
      </c>
      <c r="CU221" s="27" t="s">
        <v>166</v>
      </c>
      <c r="CV221" s="27" t="s">
        <v>166</v>
      </c>
      <c r="CW221" s="27" t="s">
        <v>166</v>
      </c>
      <c r="CX221" s="27" t="s">
        <v>166</v>
      </c>
      <c r="CY221" s="27" t="s">
        <v>166</v>
      </c>
      <c r="CZ221" s="27" t="s">
        <v>166</v>
      </c>
      <c r="DA221" s="27" t="s">
        <v>166</v>
      </c>
      <c r="DB221" s="27" t="s">
        <v>166</v>
      </c>
      <c r="DC221" s="27" t="s">
        <v>166</v>
      </c>
      <c r="DD221" s="27" t="s">
        <v>166</v>
      </c>
      <c r="DE221" s="28" t="s">
        <v>166</v>
      </c>
      <c r="DF221" s="33">
        <v>10</v>
      </c>
      <c r="DG221" s="25" t="s">
        <v>4476</v>
      </c>
      <c r="DH221" s="25" t="s">
        <v>193</v>
      </c>
      <c r="DI221" s="25" t="s">
        <v>194</v>
      </c>
      <c r="DJ221" s="25" t="s">
        <v>2774</v>
      </c>
      <c r="DK221" s="25" t="s">
        <v>257</v>
      </c>
      <c r="DL221" s="32" t="s">
        <v>4477</v>
      </c>
      <c r="DM221" s="25" t="s">
        <v>198</v>
      </c>
      <c r="DN221" s="24" t="s">
        <v>4478</v>
      </c>
      <c r="DO221" s="31">
        <v>2019</v>
      </c>
      <c r="DP221" s="25" t="s">
        <v>166</v>
      </c>
      <c r="DQ221" s="25" t="s">
        <v>4479</v>
      </c>
      <c r="DR221" s="29">
        <v>1.2</v>
      </c>
      <c r="DS221" s="27" t="s">
        <v>166</v>
      </c>
      <c r="DT221" s="30" t="s">
        <v>166</v>
      </c>
      <c r="DU221" s="25" t="s">
        <v>166</v>
      </c>
      <c r="DV221" s="29" t="s">
        <v>166</v>
      </c>
      <c r="DW221" s="29" t="s">
        <v>166</v>
      </c>
      <c r="DX221" s="27" t="s">
        <v>166</v>
      </c>
      <c r="DY221" s="27" t="s">
        <v>166</v>
      </c>
      <c r="DZ221" s="28" t="s">
        <v>166</v>
      </c>
      <c r="EA221" s="27" t="s">
        <v>166</v>
      </c>
      <c r="EB221" s="27" t="s">
        <v>166</v>
      </c>
      <c r="EC221" s="27" t="s">
        <v>166</v>
      </c>
      <c r="ED221" s="28" t="s">
        <v>166</v>
      </c>
      <c r="EE221" s="28" t="s">
        <v>166</v>
      </c>
      <c r="EF221" s="28" t="s">
        <v>166</v>
      </c>
      <c r="EG221" s="28" t="s">
        <v>166</v>
      </c>
      <c r="EH221" s="27" t="s">
        <v>166</v>
      </c>
      <c r="EI221" s="27" t="s">
        <v>166</v>
      </c>
      <c r="EJ221" s="27" t="s">
        <v>166</v>
      </c>
      <c r="EK221" s="27" t="s">
        <v>166</v>
      </c>
      <c r="EL221" s="27" t="s">
        <v>166</v>
      </c>
      <c r="EM221" s="27" t="s">
        <v>166</v>
      </c>
      <c r="EN221" s="27" t="s">
        <v>166</v>
      </c>
      <c r="EO221" s="27" t="s">
        <v>166</v>
      </c>
      <c r="EP221" s="27" t="s">
        <v>166</v>
      </c>
      <c r="EQ221" s="27" t="s">
        <v>166</v>
      </c>
      <c r="ER221" s="27" t="s">
        <v>166</v>
      </c>
      <c r="ES221" s="27" t="s">
        <v>166</v>
      </c>
      <c r="ET221" s="25" t="s">
        <v>166</v>
      </c>
      <c r="EU221" s="27" t="s">
        <v>166</v>
      </c>
      <c r="EV221" s="27" t="s">
        <v>166</v>
      </c>
      <c r="EW221" s="27" t="s">
        <v>166</v>
      </c>
      <c r="EX221" s="25" t="s">
        <v>190</v>
      </c>
      <c r="EY221" s="25" t="s">
        <v>190</v>
      </c>
      <c r="EZ221" s="27" t="s">
        <v>166</v>
      </c>
      <c r="FA221" s="26" t="s">
        <v>166</v>
      </c>
      <c r="FB221" s="26" t="s">
        <v>166</v>
      </c>
      <c r="FC221" s="26" t="s">
        <v>166</v>
      </c>
      <c r="FD221" s="26" t="s">
        <v>166</v>
      </c>
      <c r="FE221" s="26" t="s">
        <v>166</v>
      </c>
      <c r="FF221" s="26" t="s">
        <v>166</v>
      </c>
      <c r="FG221" s="25" t="s">
        <v>166</v>
      </c>
      <c r="FH221" s="4">
        <f>HYPERLINK("https://my.pitchbook.com?c=191873-17T","View Company Online")</f>
      </c>
    </row>
    <row r="222">
      <c r="A222" s="14" t="s">
        <v>4480</v>
      </c>
      <c r="B222" s="14" t="s">
        <v>4481</v>
      </c>
      <c r="C222" s="14" t="s">
        <v>4482</v>
      </c>
      <c r="D222" s="14" t="s">
        <v>166</v>
      </c>
      <c r="E222" s="23" t="s">
        <v>4483</v>
      </c>
      <c r="F222" s="21">
        <v>5</v>
      </c>
      <c r="G222" s="14" t="s">
        <v>4484</v>
      </c>
      <c r="H222" s="14" t="s">
        <v>166</v>
      </c>
      <c r="I222" s="14" t="s">
        <v>4485</v>
      </c>
      <c r="J222" s="14" t="s">
        <v>4486</v>
      </c>
      <c r="K222" s="14" t="s">
        <v>207</v>
      </c>
      <c r="L222" s="14" t="s">
        <v>208</v>
      </c>
      <c r="M222" s="14" t="s">
        <v>209</v>
      </c>
      <c r="N222" s="14" t="s">
        <v>269</v>
      </c>
      <c r="O222" s="14" t="s">
        <v>4487</v>
      </c>
      <c r="P222" s="14" t="s">
        <v>4488</v>
      </c>
      <c r="Q222" s="14" t="s">
        <v>166</v>
      </c>
      <c r="R222" s="14" t="s">
        <v>177</v>
      </c>
      <c r="S222" s="14" t="s">
        <v>178</v>
      </c>
      <c r="T222" s="14" t="s">
        <v>179</v>
      </c>
      <c r="U222" s="14" t="s">
        <v>4489</v>
      </c>
      <c r="V222" s="14" t="s">
        <v>4490</v>
      </c>
      <c r="W222" s="21" t="s">
        <v>166</v>
      </c>
      <c r="X222" s="14" t="s">
        <v>4491</v>
      </c>
      <c r="Y222" s="14" t="s">
        <v>4492</v>
      </c>
      <c r="Z222" s="14" t="s">
        <v>166</v>
      </c>
      <c r="AA222" s="14" t="s">
        <v>242</v>
      </c>
      <c r="AB222" s="14" t="s">
        <v>243</v>
      </c>
      <c r="AC222" s="14" t="s">
        <v>244</v>
      </c>
      <c r="AD222" s="14" t="s">
        <v>243</v>
      </c>
      <c r="AE222" s="14" t="s">
        <v>243</v>
      </c>
      <c r="AF222" s="14" t="s">
        <v>166</v>
      </c>
      <c r="AG222" s="14" t="s">
        <v>246</v>
      </c>
      <c r="AH222" s="21">
        <v>1</v>
      </c>
      <c r="AI222" s="3">
        <f>HYPERLINK("https://my.pitchbook.com/?d=169669-27T","169669-27T")</f>
      </c>
      <c r="AJ222" s="19" t="s">
        <v>166</v>
      </c>
      <c r="AK222" s="19">
        <v>43902</v>
      </c>
      <c r="AL222" s="18">
        <v>19.2</v>
      </c>
      <c r="AM222" s="14" t="s">
        <v>185</v>
      </c>
      <c r="AN222" s="18">
        <v>50</v>
      </c>
      <c r="AO222" s="18">
        <v>68.11</v>
      </c>
      <c r="AP222" s="14" t="s">
        <v>185</v>
      </c>
      <c r="AQ222" s="21" t="s">
        <v>166</v>
      </c>
      <c r="AR222" s="21" t="s">
        <v>166</v>
      </c>
      <c r="AS222" s="17">
        <v>26.59</v>
      </c>
      <c r="AT222" s="18">
        <v>19.2</v>
      </c>
      <c r="AU222" s="21" t="s">
        <v>186</v>
      </c>
      <c r="AV222" s="21" t="s">
        <v>166</v>
      </c>
      <c r="AW222" s="18">
        <v>5.74</v>
      </c>
      <c r="AX222" s="21" t="s">
        <v>248</v>
      </c>
      <c r="AY222" s="14" t="s">
        <v>187</v>
      </c>
      <c r="AZ222" s="14" t="s">
        <v>248</v>
      </c>
      <c r="BA222" s="14" t="s">
        <v>166</v>
      </c>
      <c r="BB222" s="21" t="s">
        <v>166</v>
      </c>
      <c r="BC222" s="14" t="s">
        <v>179</v>
      </c>
      <c r="BD222" s="14" t="s">
        <v>4493</v>
      </c>
      <c r="BE222" s="14" t="s">
        <v>189</v>
      </c>
      <c r="BF222" s="18">
        <v>18.11</v>
      </c>
      <c r="BG222" s="14" t="s">
        <v>190</v>
      </c>
      <c r="BH222" s="14" t="s">
        <v>166</v>
      </c>
      <c r="BI222" s="14" t="s">
        <v>166</v>
      </c>
      <c r="BJ222" s="18">
        <v>1.09</v>
      </c>
      <c r="BK222" s="18" t="s">
        <v>166</v>
      </c>
      <c r="BL222" s="14" t="s">
        <v>191</v>
      </c>
      <c r="BM222" s="14" t="s">
        <v>358</v>
      </c>
      <c r="BN222" s="14" t="s">
        <v>177</v>
      </c>
      <c r="BO222" s="22" t="s">
        <v>166</v>
      </c>
      <c r="BP222" s="14" t="s">
        <v>4494</v>
      </c>
      <c r="BQ222" s="21">
        <v>5</v>
      </c>
      <c r="BR222" s="14" t="s">
        <v>166</v>
      </c>
      <c r="BS222" s="21" t="s">
        <v>166</v>
      </c>
      <c r="BT222" s="14" t="s">
        <v>166</v>
      </c>
      <c r="BU222" s="14" t="s">
        <v>166</v>
      </c>
      <c r="BV222" s="14" t="s">
        <v>4495</v>
      </c>
      <c r="BW222" s="14" t="s">
        <v>166</v>
      </c>
      <c r="BX222" s="14" t="s">
        <v>166</v>
      </c>
      <c r="BY222" s="14" t="s">
        <v>166</v>
      </c>
      <c r="BZ222" s="14" t="s">
        <v>166</v>
      </c>
      <c r="CA222" s="14" t="s">
        <v>166</v>
      </c>
      <c r="CB222" s="14" t="s">
        <v>166</v>
      </c>
      <c r="CC222" s="14" t="s">
        <v>166</v>
      </c>
      <c r="CD222" s="14" t="s">
        <v>166</v>
      </c>
      <c r="CE222" s="18" t="s">
        <v>166</v>
      </c>
      <c r="CF222" s="16" t="s">
        <v>166</v>
      </c>
      <c r="CG222" s="17" t="s">
        <v>166</v>
      </c>
      <c r="CH222" s="16" t="s">
        <v>166</v>
      </c>
      <c r="CI222" s="16" t="s">
        <v>166</v>
      </c>
      <c r="CJ222" s="16" t="s">
        <v>166</v>
      </c>
      <c r="CK222" s="16" t="s">
        <v>166</v>
      </c>
      <c r="CL222" s="16" t="s">
        <v>166</v>
      </c>
      <c r="CM222" s="20" t="s">
        <v>166</v>
      </c>
      <c r="CN222" s="16" t="s">
        <v>166</v>
      </c>
      <c r="CO222" s="16" t="s">
        <v>166</v>
      </c>
      <c r="CP222" s="16" t="s">
        <v>166</v>
      </c>
      <c r="CQ222" s="16" t="s">
        <v>166</v>
      </c>
      <c r="CR222" s="16" t="s">
        <v>166</v>
      </c>
      <c r="CS222" s="16" t="s">
        <v>166</v>
      </c>
      <c r="CT222" s="16" t="s">
        <v>166</v>
      </c>
      <c r="CU222" s="16" t="s">
        <v>166</v>
      </c>
      <c r="CV222" s="16" t="s">
        <v>166</v>
      </c>
      <c r="CW222" s="16" t="s">
        <v>166</v>
      </c>
      <c r="CX222" s="16" t="s">
        <v>166</v>
      </c>
      <c r="CY222" s="16">
        <v>0.06</v>
      </c>
      <c r="CZ222" s="16" t="s">
        <v>166</v>
      </c>
      <c r="DA222" s="16" t="s">
        <v>166</v>
      </c>
      <c r="DB222" s="16" t="s">
        <v>166</v>
      </c>
      <c r="DC222" s="16" t="s">
        <v>166</v>
      </c>
      <c r="DD222" s="16" t="s">
        <v>166</v>
      </c>
      <c r="DE222" s="17" t="s">
        <v>166</v>
      </c>
      <c r="DF222" s="22">
        <v>93</v>
      </c>
      <c r="DG222" s="14" t="s">
        <v>1634</v>
      </c>
      <c r="DH222" s="14" t="s">
        <v>193</v>
      </c>
      <c r="DI222" s="14" t="s">
        <v>194</v>
      </c>
      <c r="DJ222" s="14" t="s">
        <v>1635</v>
      </c>
      <c r="DK222" s="14" t="s">
        <v>408</v>
      </c>
      <c r="DL222" s="21" t="s">
        <v>166</v>
      </c>
      <c r="DM222" s="14" t="s">
        <v>198</v>
      </c>
      <c r="DN222" s="13" t="s">
        <v>4496</v>
      </c>
      <c r="DO222" s="20">
        <v>2020</v>
      </c>
      <c r="DP222" s="14" t="s">
        <v>166</v>
      </c>
      <c r="DQ222" s="14" t="s">
        <v>4497</v>
      </c>
      <c r="DR222" s="18">
        <v>1.09</v>
      </c>
      <c r="DS222" s="16" t="s">
        <v>166</v>
      </c>
      <c r="DT222" s="19" t="s">
        <v>166</v>
      </c>
      <c r="DU222" s="14" t="s">
        <v>166</v>
      </c>
      <c r="DV222" s="18" t="s">
        <v>166</v>
      </c>
      <c r="DW222" s="18" t="s">
        <v>166</v>
      </c>
      <c r="DX222" s="16" t="s">
        <v>166</v>
      </c>
      <c r="DY222" s="16" t="s">
        <v>166</v>
      </c>
      <c r="DZ222" s="17" t="s">
        <v>166</v>
      </c>
      <c r="EA222" s="16" t="s">
        <v>166</v>
      </c>
      <c r="EB222" s="16" t="s">
        <v>166</v>
      </c>
      <c r="EC222" s="16" t="s">
        <v>166</v>
      </c>
      <c r="ED222" s="17" t="s">
        <v>166</v>
      </c>
      <c r="EE222" s="17" t="s">
        <v>166</v>
      </c>
      <c r="EF222" s="17" t="s">
        <v>166</v>
      </c>
      <c r="EG222" s="17" t="s">
        <v>166</v>
      </c>
      <c r="EH222" s="16" t="s">
        <v>166</v>
      </c>
      <c r="EI222" s="16" t="s">
        <v>166</v>
      </c>
      <c r="EJ222" s="16" t="s">
        <v>166</v>
      </c>
      <c r="EK222" s="16" t="s">
        <v>166</v>
      </c>
      <c r="EL222" s="16" t="s">
        <v>166</v>
      </c>
      <c r="EM222" s="16" t="s">
        <v>166</v>
      </c>
      <c r="EN222" s="16" t="s">
        <v>166</v>
      </c>
      <c r="EO222" s="16" t="s">
        <v>166</v>
      </c>
      <c r="EP222" s="16" t="s">
        <v>166</v>
      </c>
      <c r="EQ222" s="16" t="s">
        <v>166</v>
      </c>
      <c r="ER222" s="16" t="s">
        <v>166</v>
      </c>
      <c r="ES222" s="16" t="s">
        <v>166</v>
      </c>
      <c r="ET222" s="14" t="s">
        <v>166</v>
      </c>
      <c r="EU222" s="16" t="s">
        <v>166</v>
      </c>
      <c r="EV222" s="16" t="s">
        <v>166</v>
      </c>
      <c r="EW222" s="16" t="s">
        <v>166</v>
      </c>
      <c r="EX222" s="14" t="s">
        <v>190</v>
      </c>
      <c r="EY222" s="14" t="s">
        <v>190</v>
      </c>
      <c r="EZ222" s="16" t="s">
        <v>166</v>
      </c>
      <c r="FA222" s="15" t="s">
        <v>166</v>
      </c>
      <c r="FB222" s="15" t="s">
        <v>166</v>
      </c>
      <c r="FC222" s="15" t="s">
        <v>166</v>
      </c>
      <c r="FD222" s="15" t="s">
        <v>166</v>
      </c>
      <c r="FE222" s="15" t="s">
        <v>166</v>
      </c>
      <c r="FF222" s="15" t="s">
        <v>166</v>
      </c>
      <c r="FG222" s="14" t="s">
        <v>166</v>
      </c>
      <c r="FH222" s="3">
        <f>HYPERLINK("https://my.pitchbook.com?c=169669-27T","View Company Online")</f>
      </c>
    </row>
    <row r="223">
      <c r="A223" s="25" t="s">
        <v>4498</v>
      </c>
      <c r="B223" s="25" t="s">
        <v>4499</v>
      </c>
      <c r="C223" s="25" t="s">
        <v>4500</v>
      </c>
      <c r="D223" s="25" t="s">
        <v>166</v>
      </c>
      <c r="E223" s="34" t="s">
        <v>4501</v>
      </c>
      <c r="F223" s="32">
        <v>4</v>
      </c>
      <c r="G223" s="25" t="s">
        <v>4502</v>
      </c>
      <c r="H223" s="25" t="s">
        <v>166</v>
      </c>
      <c r="I223" s="25" t="s">
        <v>4503</v>
      </c>
      <c r="J223" s="25" t="s">
        <v>4504</v>
      </c>
      <c r="K223" s="25" t="s">
        <v>171</v>
      </c>
      <c r="L223" s="25" t="s">
        <v>172</v>
      </c>
      <c r="M223" s="25" t="s">
        <v>2426</v>
      </c>
      <c r="N223" s="25" t="s">
        <v>4505</v>
      </c>
      <c r="O223" s="25" t="s">
        <v>665</v>
      </c>
      <c r="P223" s="25" t="s">
        <v>4506</v>
      </c>
      <c r="Q223" s="25" t="s">
        <v>166</v>
      </c>
      <c r="R223" s="25" t="s">
        <v>177</v>
      </c>
      <c r="S223" s="25" t="s">
        <v>178</v>
      </c>
      <c r="T223" s="25" t="s">
        <v>179</v>
      </c>
      <c r="U223" s="25" t="s">
        <v>4507</v>
      </c>
      <c r="V223" s="25" t="s">
        <v>4508</v>
      </c>
      <c r="W223" s="32" t="s">
        <v>4509</v>
      </c>
      <c r="X223" s="25" t="s">
        <v>4510</v>
      </c>
      <c r="Y223" s="25" t="s">
        <v>4511</v>
      </c>
      <c r="Z223" s="25" t="s">
        <v>4512</v>
      </c>
      <c r="AA223" s="25" t="s">
        <v>242</v>
      </c>
      <c r="AB223" s="25" t="s">
        <v>243</v>
      </c>
      <c r="AC223" s="25" t="s">
        <v>244</v>
      </c>
      <c r="AD223" s="25" t="s">
        <v>243</v>
      </c>
      <c r="AE223" s="25" t="s">
        <v>243</v>
      </c>
      <c r="AF223" s="25" t="s">
        <v>166</v>
      </c>
      <c r="AG223" s="25" t="s">
        <v>246</v>
      </c>
      <c r="AH223" s="32">
        <v>1</v>
      </c>
      <c r="AI223" s="4">
        <f>HYPERLINK("https://my.pitchbook.com/?d=228388-06T","228388-06T")</f>
      </c>
      <c r="AJ223" s="30">
        <v>45065</v>
      </c>
      <c r="AK223" s="30">
        <v>45156</v>
      </c>
      <c r="AL223" s="29">
        <v>6.28</v>
      </c>
      <c r="AM223" s="25" t="s">
        <v>185</v>
      </c>
      <c r="AN223" s="29">
        <v>8.22</v>
      </c>
      <c r="AO223" s="29">
        <v>14.5</v>
      </c>
      <c r="AP223" s="25" t="s">
        <v>185</v>
      </c>
      <c r="AQ223" s="32" t="s">
        <v>166</v>
      </c>
      <c r="AR223" s="32" t="s">
        <v>166</v>
      </c>
      <c r="AS223" s="28">
        <v>45.52</v>
      </c>
      <c r="AT223" s="29">
        <v>6.28</v>
      </c>
      <c r="AU223" s="32" t="s">
        <v>186</v>
      </c>
      <c r="AV223" s="32" t="s">
        <v>166</v>
      </c>
      <c r="AW223" s="29">
        <v>0.65</v>
      </c>
      <c r="AX223" s="32" t="s">
        <v>166</v>
      </c>
      <c r="AY223" s="25" t="s">
        <v>217</v>
      </c>
      <c r="AZ223" s="25" t="s">
        <v>217</v>
      </c>
      <c r="BA223" s="25" t="s">
        <v>166</v>
      </c>
      <c r="BB223" s="32" t="s">
        <v>166</v>
      </c>
      <c r="BC223" s="25" t="s">
        <v>179</v>
      </c>
      <c r="BD223" s="25" t="s">
        <v>4513</v>
      </c>
      <c r="BE223" s="25" t="s">
        <v>189</v>
      </c>
      <c r="BF223" s="29">
        <v>6.28</v>
      </c>
      <c r="BG223" s="25" t="s">
        <v>190</v>
      </c>
      <c r="BH223" s="25" t="s">
        <v>166</v>
      </c>
      <c r="BI223" s="25" t="s">
        <v>166</v>
      </c>
      <c r="BJ223" s="29" t="s">
        <v>166</v>
      </c>
      <c r="BK223" s="29" t="s">
        <v>166</v>
      </c>
      <c r="BL223" s="25" t="s">
        <v>191</v>
      </c>
      <c r="BM223" s="25" t="s">
        <v>178</v>
      </c>
      <c r="BN223" s="25" t="s">
        <v>177</v>
      </c>
      <c r="BO223" s="33" t="s">
        <v>166</v>
      </c>
      <c r="BP223" s="25" t="s">
        <v>4514</v>
      </c>
      <c r="BQ223" s="32">
        <v>4</v>
      </c>
      <c r="BR223" s="25" t="s">
        <v>166</v>
      </c>
      <c r="BS223" s="32" t="s">
        <v>166</v>
      </c>
      <c r="BT223" s="25" t="s">
        <v>166</v>
      </c>
      <c r="BU223" s="25" t="s">
        <v>166</v>
      </c>
      <c r="BV223" s="25" t="s">
        <v>4515</v>
      </c>
      <c r="BW223" s="25" t="s">
        <v>166</v>
      </c>
      <c r="BX223" s="25" t="s">
        <v>166</v>
      </c>
      <c r="BY223" s="25" t="s">
        <v>166</v>
      </c>
      <c r="BZ223" s="25" t="s">
        <v>4516</v>
      </c>
      <c r="CA223" s="25" t="s">
        <v>1232</v>
      </c>
      <c r="CB223" s="25" t="s">
        <v>166</v>
      </c>
      <c r="CC223" s="25" t="s">
        <v>4517</v>
      </c>
      <c r="CD223" s="25" t="s">
        <v>166</v>
      </c>
      <c r="CE223" s="29" t="s">
        <v>166</v>
      </c>
      <c r="CF223" s="27" t="s">
        <v>166</v>
      </c>
      <c r="CG223" s="28" t="s">
        <v>166</v>
      </c>
      <c r="CH223" s="27" t="s">
        <v>166</v>
      </c>
      <c r="CI223" s="27" t="s">
        <v>166</v>
      </c>
      <c r="CJ223" s="27" t="s">
        <v>166</v>
      </c>
      <c r="CK223" s="27" t="s">
        <v>166</v>
      </c>
      <c r="CL223" s="27" t="s">
        <v>166</v>
      </c>
      <c r="CM223" s="31" t="s">
        <v>166</v>
      </c>
      <c r="CN223" s="27" t="s">
        <v>166</v>
      </c>
      <c r="CO223" s="27" t="s">
        <v>166</v>
      </c>
      <c r="CP223" s="27" t="s">
        <v>166</v>
      </c>
      <c r="CQ223" s="27" t="s">
        <v>166</v>
      </c>
      <c r="CR223" s="27" t="s">
        <v>166</v>
      </c>
      <c r="CS223" s="27" t="s">
        <v>166</v>
      </c>
      <c r="CT223" s="27" t="s">
        <v>166</v>
      </c>
      <c r="CU223" s="27" t="s">
        <v>166</v>
      </c>
      <c r="CV223" s="27" t="s">
        <v>166</v>
      </c>
      <c r="CW223" s="27" t="s">
        <v>166</v>
      </c>
      <c r="CX223" s="27" t="s">
        <v>166</v>
      </c>
      <c r="CY223" s="27" t="s">
        <v>166</v>
      </c>
      <c r="CZ223" s="27" t="s">
        <v>166</v>
      </c>
      <c r="DA223" s="27" t="s">
        <v>166</v>
      </c>
      <c r="DB223" s="27" t="s">
        <v>166</v>
      </c>
      <c r="DC223" s="27" t="s">
        <v>166</v>
      </c>
      <c r="DD223" s="27" t="s">
        <v>166</v>
      </c>
      <c r="DE223" s="28" t="s">
        <v>166</v>
      </c>
      <c r="DF223" s="33">
        <v>8</v>
      </c>
      <c r="DG223" s="25" t="s">
        <v>673</v>
      </c>
      <c r="DH223" s="25" t="s">
        <v>193</v>
      </c>
      <c r="DI223" s="25" t="s">
        <v>194</v>
      </c>
      <c r="DJ223" s="25" t="s">
        <v>674</v>
      </c>
      <c r="DK223" s="25" t="s">
        <v>257</v>
      </c>
      <c r="DL223" s="32" t="s">
        <v>851</v>
      </c>
      <c r="DM223" s="25" t="s">
        <v>198</v>
      </c>
      <c r="DN223" s="24" t="s">
        <v>4518</v>
      </c>
      <c r="DO223" s="31">
        <v>2021</v>
      </c>
      <c r="DP223" s="25" t="s">
        <v>166</v>
      </c>
      <c r="DQ223" s="25" t="s">
        <v>166</v>
      </c>
      <c r="DR223" s="29" t="s">
        <v>166</v>
      </c>
      <c r="DS223" s="27" t="s">
        <v>166</v>
      </c>
      <c r="DT223" s="30" t="s">
        <v>166</v>
      </c>
      <c r="DU223" s="25" t="s">
        <v>166</v>
      </c>
      <c r="DV223" s="29" t="s">
        <v>166</v>
      </c>
      <c r="DW223" s="29" t="s">
        <v>166</v>
      </c>
      <c r="DX223" s="27" t="s">
        <v>166</v>
      </c>
      <c r="DY223" s="27" t="s">
        <v>166</v>
      </c>
      <c r="DZ223" s="28" t="s">
        <v>166</v>
      </c>
      <c r="EA223" s="27" t="s">
        <v>166</v>
      </c>
      <c r="EB223" s="27" t="s">
        <v>166</v>
      </c>
      <c r="EC223" s="27" t="s">
        <v>166</v>
      </c>
      <c r="ED223" s="28" t="s">
        <v>166</v>
      </c>
      <c r="EE223" s="28" t="s">
        <v>166</v>
      </c>
      <c r="EF223" s="28" t="s">
        <v>166</v>
      </c>
      <c r="EG223" s="28" t="s">
        <v>166</v>
      </c>
      <c r="EH223" s="27" t="s">
        <v>166</v>
      </c>
      <c r="EI223" s="27" t="s">
        <v>166</v>
      </c>
      <c r="EJ223" s="27" t="s">
        <v>166</v>
      </c>
      <c r="EK223" s="27" t="s">
        <v>166</v>
      </c>
      <c r="EL223" s="27" t="s">
        <v>166</v>
      </c>
      <c r="EM223" s="27" t="s">
        <v>166</v>
      </c>
      <c r="EN223" s="27" t="s">
        <v>166</v>
      </c>
      <c r="EO223" s="27" t="s">
        <v>166</v>
      </c>
      <c r="EP223" s="27" t="s">
        <v>166</v>
      </c>
      <c r="EQ223" s="27" t="s">
        <v>166</v>
      </c>
      <c r="ER223" s="27" t="s">
        <v>166</v>
      </c>
      <c r="ES223" s="27" t="s">
        <v>166</v>
      </c>
      <c r="ET223" s="25" t="s">
        <v>166</v>
      </c>
      <c r="EU223" s="27" t="s">
        <v>166</v>
      </c>
      <c r="EV223" s="27" t="s">
        <v>166</v>
      </c>
      <c r="EW223" s="27" t="s">
        <v>166</v>
      </c>
      <c r="EX223" s="25" t="s">
        <v>190</v>
      </c>
      <c r="EY223" s="25" t="s">
        <v>166</v>
      </c>
      <c r="EZ223" s="27" t="s">
        <v>166</v>
      </c>
      <c r="FA223" s="26" t="s">
        <v>166</v>
      </c>
      <c r="FB223" s="26" t="s">
        <v>166</v>
      </c>
      <c r="FC223" s="26" t="s">
        <v>166</v>
      </c>
      <c r="FD223" s="26" t="s">
        <v>166</v>
      </c>
      <c r="FE223" s="26" t="s">
        <v>166</v>
      </c>
      <c r="FF223" s="26" t="s">
        <v>166</v>
      </c>
      <c r="FG223" s="25" t="s">
        <v>166</v>
      </c>
      <c r="FH223" s="4">
        <f>HYPERLINK("https://my.pitchbook.com?c=228388-06T","View Company Online")</f>
      </c>
    </row>
    <row r="224">
      <c r="A224" s="14" t="s">
        <v>4519</v>
      </c>
      <c r="B224" s="14" t="s">
        <v>4520</v>
      </c>
      <c r="C224" s="14" t="s">
        <v>4521</v>
      </c>
      <c r="D224" s="14" t="s">
        <v>166</v>
      </c>
      <c r="E224" s="23" t="s">
        <v>4522</v>
      </c>
      <c r="F224" s="21">
        <v>8</v>
      </c>
      <c r="G224" s="14" t="s">
        <v>4523</v>
      </c>
      <c r="H224" s="14" t="s">
        <v>166</v>
      </c>
      <c r="I224" s="14" t="s">
        <v>4524</v>
      </c>
      <c r="J224" s="14" t="s">
        <v>4525</v>
      </c>
      <c r="K224" s="14" t="s">
        <v>207</v>
      </c>
      <c r="L224" s="14" t="s">
        <v>208</v>
      </c>
      <c r="M224" s="14" t="s">
        <v>639</v>
      </c>
      <c r="N224" s="14" t="s">
        <v>4526</v>
      </c>
      <c r="O224" s="14" t="s">
        <v>166</v>
      </c>
      <c r="P224" s="14" t="s">
        <v>4527</v>
      </c>
      <c r="Q224" s="14" t="s">
        <v>166</v>
      </c>
      <c r="R224" s="14" t="s">
        <v>177</v>
      </c>
      <c r="S224" s="14" t="s">
        <v>178</v>
      </c>
      <c r="T224" s="14" t="s">
        <v>179</v>
      </c>
      <c r="U224" s="14" t="s">
        <v>4528</v>
      </c>
      <c r="V224" s="14" t="s">
        <v>4529</v>
      </c>
      <c r="W224" s="21" t="s">
        <v>4530</v>
      </c>
      <c r="X224" s="14" t="s">
        <v>166</v>
      </c>
      <c r="Y224" s="14" t="s">
        <v>4531</v>
      </c>
      <c r="Z224" s="14" t="s">
        <v>4532</v>
      </c>
      <c r="AA224" s="14" t="s">
        <v>242</v>
      </c>
      <c r="AB224" s="14" t="s">
        <v>243</v>
      </c>
      <c r="AC224" s="14" t="s">
        <v>244</v>
      </c>
      <c r="AD224" s="14" t="s">
        <v>243</v>
      </c>
      <c r="AE224" s="14" t="s">
        <v>243</v>
      </c>
      <c r="AF224" s="14" t="s">
        <v>166</v>
      </c>
      <c r="AG224" s="14" t="s">
        <v>246</v>
      </c>
      <c r="AH224" s="21">
        <v>5</v>
      </c>
      <c r="AI224" s="3">
        <f>HYPERLINK("https://my.pitchbook.com/?d=204616-63T","204616-63T")</f>
      </c>
      <c r="AJ224" s="19">
        <v>44713</v>
      </c>
      <c r="AK224" s="19">
        <v>44973</v>
      </c>
      <c r="AL224" s="18">
        <v>2</v>
      </c>
      <c r="AM224" s="14" t="s">
        <v>185</v>
      </c>
      <c r="AN224" s="18">
        <v>4</v>
      </c>
      <c r="AO224" s="18">
        <v>6</v>
      </c>
      <c r="AP224" s="14" t="s">
        <v>185</v>
      </c>
      <c r="AQ224" s="21" t="s">
        <v>166</v>
      </c>
      <c r="AR224" s="21" t="s">
        <v>166</v>
      </c>
      <c r="AS224" s="17">
        <v>34.76</v>
      </c>
      <c r="AT224" s="18">
        <v>2.59</v>
      </c>
      <c r="AU224" s="21" t="s">
        <v>186</v>
      </c>
      <c r="AV224" s="21" t="s">
        <v>166</v>
      </c>
      <c r="AW224" s="18">
        <v>0.45</v>
      </c>
      <c r="AX224" s="21" t="s">
        <v>166</v>
      </c>
      <c r="AY224" s="14" t="s">
        <v>217</v>
      </c>
      <c r="AZ224" s="14" t="s">
        <v>217</v>
      </c>
      <c r="BA224" s="14" t="s">
        <v>166</v>
      </c>
      <c r="BB224" s="21" t="s">
        <v>166</v>
      </c>
      <c r="BC224" s="14" t="s">
        <v>179</v>
      </c>
      <c r="BD224" s="14" t="s">
        <v>4533</v>
      </c>
      <c r="BE224" s="14" t="s">
        <v>189</v>
      </c>
      <c r="BF224" s="18">
        <v>2</v>
      </c>
      <c r="BG224" s="14" t="s">
        <v>190</v>
      </c>
      <c r="BH224" s="14" t="s">
        <v>166</v>
      </c>
      <c r="BI224" s="14" t="s">
        <v>166</v>
      </c>
      <c r="BJ224" s="18" t="s">
        <v>166</v>
      </c>
      <c r="BK224" s="18" t="s">
        <v>166</v>
      </c>
      <c r="BL224" s="14" t="s">
        <v>191</v>
      </c>
      <c r="BM224" s="14" t="s">
        <v>178</v>
      </c>
      <c r="BN224" s="14" t="s">
        <v>177</v>
      </c>
      <c r="BO224" s="22" t="s">
        <v>166</v>
      </c>
      <c r="BP224" s="14" t="s">
        <v>4534</v>
      </c>
      <c r="BQ224" s="21">
        <v>6</v>
      </c>
      <c r="BR224" s="14" t="s">
        <v>4535</v>
      </c>
      <c r="BS224" s="21">
        <v>2</v>
      </c>
      <c r="BT224" s="14" t="s">
        <v>4536</v>
      </c>
      <c r="BU224" s="14" t="s">
        <v>166</v>
      </c>
      <c r="BV224" s="14" t="s">
        <v>166</v>
      </c>
      <c r="BW224" s="14" t="s">
        <v>166</v>
      </c>
      <c r="BX224" s="14" t="s">
        <v>166</v>
      </c>
      <c r="BY224" s="14" t="s">
        <v>166</v>
      </c>
      <c r="BZ224" s="14" t="s">
        <v>166</v>
      </c>
      <c r="CA224" s="14" t="s">
        <v>166</v>
      </c>
      <c r="CB224" s="14" t="s">
        <v>166</v>
      </c>
      <c r="CC224" s="14" t="s">
        <v>166</v>
      </c>
      <c r="CD224" s="14" t="s">
        <v>166</v>
      </c>
      <c r="CE224" s="18" t="s">
        <v>166</v>
      </c>
      <c r="CF224" s="16" t="s">
        <v>166</v>
      </c>
      <c r="CG224" s="17" t="s">
        <v>166</v>
      </c>
      <c r="CH224" s="16" t="s">
        <v>166</v>
      </c>
      <c r="CI224" s="16" t="s">
        <v>166</v>
      </c>
      <c r="CJ224" s="16" t="s">
        <v>166</v>
      </c>
      <c r="CK224" s="16" t="s">
        <v>166</v>
      </c>
      <c r="CL224" s="16" t="s">
        <v>166</v>
      </c>
      <c r="CM224" s="20" t="s">
        <v>166</v>
      </c>
      <c r="CN224" s="16" t="s">
        <v>166</v>
      </c>
      <c r="CO224" s="16" t="s">
        <v>166</v>
      </c>
      <c r="CP224" s="16" t="s">
        <v>166</v>
      </c>
      <c r="CQ224" s="16" t="s">
        <v>166</v>
      </c>
      <c r="CR224" s="16" t="s">
        <v>166</v>
      </c>
      <c r="CS224" s="16" t="s">
        <v>166</v>
      </c>
      <c r="CT224" s="16" t="s">
        <v>166</v>
      </c>
      <c r="CU224" s="16" t="s">
        <v>166</v>
      </c>
      <c r="CV224" s="16" t="s">
        <v>166</v>
      </c>
      <c r="CW224" s="16" t="s">
        <v>166</v>
      </c>
      <c r="CX224" s="16" t="s">
        <v>166</v>
      </c>
      <c r="CY224" s="16" t="s">
        <v>166</v>
      </c>
      <c r="CZ224" s="16" t="s">
        <v>166</v>
      </c>
      <c r="DA224" s="16" t="s">
        <v>166</v>
      </c>
      <c r="DB224" s="16" t="s">
        <v>166</v>
      </c>
      <c r="DC224" s="16" t="s">
        <v>166</v>
      </c>
      <c r="DD224" s="16" t="s">
        <v>166</v>
      </c>
      <c r="DE224" s="17" t="s">
        <v>166</v>
      </c>
      <c r="DF224" s="22">
        <v>5</v>
      </c>
      <c r="DG224" s="14" t="s">
        <v>1540</v>
      </c>
      <c r="DH224" s="14" t="s">
        <v>193</v>
      </c>
      <c r="DI224" s="14" t="s">
        <v>194</v>
      </c>
      <c r="DJ224" s="14" t="s">
        <v>1541</v>
      </c>
      <c r="DK224" s="14" t="s">
        <v>257</v>
      </c>
      <c r="DL224" s="21" t="s">
        <v>4537</v>
      </c>
      <c r="DM224" s="14" t="s">
        <v>198</v>
      </c>
      <c r="DN224" s="13" t="s">
        <v>4538</v>
      </c>
      <c r="DO224" s="20">
        <v>2018</v>
      </c>
      <c r="DP224" s="14" t="s">
        <v>166</v>
      </c>
      <c r="DQ224" s="14" t="s">
        <v>166</v>
      </c>
      <c r="DR224" s="18" t="s">
        <v>166</v>
      </c>
      <c r="DS224" s="16" t="s">
        <v>166</v>
      </c>
      <c r="DT224" s="19" t="s">
        <v>166</v>
      </c>
      <c r="DU224" s="14" t="s">
        <v>166</v>
      </c>
      <c r="DV224" s="18" t="s">
        <v>166</v>
      </c>
      <c r="DW224" s="18" t="s">
        <v>166</v>
      </c>
      <c r="DX224" s="16" t="s">
        <v>166</v>
      </c>
      <c r="DY224" s="16" t="s">
        <v>166</v>
      </c>
      <c r="DZ224" s="17" t="s">
        <v>166</v>
      </c>
      <c r="EA224" s="16" t="s">
        <v>166</v>
      </c>
      <c r="EB224" s="16" t="s">
        <v>166</v>
      </c>
      <c r="EC224" s="16" t="s">
        <v>166</v>
      </c>
      <c r="ED224" s="17" t="s">
        <v>166</v>
      </c>
      <c r="EE224" s="17" t="s">
        <v>166</v>
      </c>
      <c r="EF224" s="17" t="s">
        <v>166</v>
      </c>
      <c r="EG224" s="17" t="s">
        <v>166</v>
      </c>
      <c r="EH224" s="16" t="s">
        <v>166</v>
      </c>
      <c r="EI224" s="16" t="s">
        <v>166</v>
      </c>
      <c r="EJ224" s="16" t="s">
        <v>166</v>
      </c>
      <c r="EK224" s="16" t="s">
        <v>166</v>
      </c>
      <c r="EL224" s="16" t="s">
        <v>166</v>
      </c>
      <c r="EM224" s="16" t="s">
        <v>166</v>
      </c>
      <c r="EN224" s="16" t="s">
        <v>166</v>
      </c>
      <c r="EO224" s="16" t="s">
        <v>166</v>
      </c>
      <c r="EP224" s="16" t="s">
        <v>166</v>
      </c>
      <c r="EQ224" s="16" t="s">
        <v>166</v>
      </c>
      <c r="ER224" s="16" t="s">
        <v>166</v>
      </c>
      <c r="ES224" s="16" t="s">
        <v>166</v>
      </c>
      <c r="ET224" s="14" t="s">
        <v>166</v>
      </c>
      <c r="EU224" s="16" t="s">
        <v>166</v>
      </c>
      <c r="EV224" s="16" t="s">
        <v>166</v>
      </c>
      <c r="EW224" s="16" t="s">
        <v>166</v>
      </c>
      <c r="EX224" s="14" t="s">
        <v>190</v>
      </c>
      <c r="EY224" s="14" t="s">
        <v>166</v>
      </c>
      <c r="EZ224" s="16" t="s">
        <v>166</v>
      </c>
      <c r="FA224" s="15" t="s">
        <v>166</v>
      </c>
      <c r="FB224" s="15" t="s">
        <v>166</v>
      </c>
      <c r="FC224" s="15" t="s">
        <v>166</v>
      </c>
      <c r="FD224" s="15" t="s">
        <v>166</v>
      </c>
      <c r="FE224" s="15" t="s">
        <v>166</v>
      </c>
      <c r="FF224" s="15" t="s">
        <v>166</v>
      </c>
      <c r="FG224" s="14" t="s">
        <v>166</v>
      </c>
      <c r="FH224" s="3">
        <f>HYPERLINK("https://my.pitchbook.com?c=204616-63T","View Company Online")</f>
      </c>
    </row>
    <row r="225">
      <c r="A225" s="25" t="s">
        <v>4539</v>
      </c>
      <c r="B225" s="25" t="s">
        <v>4540</v>
      </c>
      <c r="C225" s="25" t="s">
        <v>4541</v>
      </c>
      <c r="D225" s="25" t="s">
        <v>166</v>
      </c>
      <c r="E225" s="34" t="s">
        <v>4542</v>
      </c>
      <c r="F225" s="32">
        <v>4</v>
      </c>
      <c r="G225" s="25" t="s">
        <v>4543</v>
      </c>
      <c r="H225" s="25" t="s">
        <v>166</v>
      </c>
      <c r="I225" s="25" t="s">
        <v>4544</v>
      </c>
      <c r="J225" s="25" t="s">
        <v>4545</v>
      </c>
      <c r="K225" s="25" t="s">
        <v>207</v>
      </c>
      <c r="L225" s="25" t="s">
        <v>208</v>
      </c>
      <c r="M225" s="25" t="s">
        <v>209</v>
      </c>
      <c r="N225" s="25" t="s">
        <v>4546</v>
      </c>
      <c r="O225" s="25" t="s">
        <v>1691</v>
      </c>
      <c r="P225" s="25" t="s">
        <v>4547</v>
      </c>
      <c r="Q225" s="25" t="s">
        <v>166</v>
      </c>
      <c r="R225" s="25" t="s">
        <v>177</v>
      </c>
      <c r="S225" s="25" t="s">
        <v>178</v>
      </c>
      <c r="T225" s="25" t="s">
        <v>179</v>
      </c>
      <c r="U225" s="25" t="s">
        <v>4548</v>
      </c>
      <c r="V225" s="25" t="s">
        <v>4549</v>
      </c>
      <c r="W225" s="32" t="s">
        <v>166</v>
      </c>
      <c r="X225" s="25" t="s">
        <v>4550</v>
      </c>
      <c r="Y225" s="25" t="s">
        <v>4551</v>
      </c>
      <c r="Z225" s="25" t="s">
        <v>4552</v>
      </c>
      <c r="AA225" s="25" t="s">
        <v>166</v>
      </c>
      <c r="AB225" s="25" t="s">
        <v>166</v>
      </c>
      <c r="AC225" s="25" t="s">
        <v>166</v>
      </c>
      <c r="AD225" s="25" t="s">
        <v>166</v>
      </c>
      <c r="AE225" s="25" t="s">
        <v>166</v>
      </c>
      <c r="AF225" s="25" t="s">
        <v>166</v>
      </c>
      <c r="AG225" s="25" t="s">
        <v>166</v>
      </c>
      <c r="AH225" s="32">
        <v>2</v>
      </c>
      <c r="AI225" s="4">
        <f>HYPERLINK("https://my.pitchbook.com/?d=202283-02T","202283-02T")</f>
      </c>
      <c r="AJ225" s="30" t="s">
        <v>166</v>
      </c>
      <c r="AK225" s="30">
        <v>44795</v>
      </c>
      <c r="AL225" s="29">
        <v>4</v>
      </c>
      <c r="AM225" s="25" t="s">
        <v>185</v>
      </c>
      <c r="AN225" s="29" t="s">
        <v>166</v>
      </c>
      <c r="AO225" s="29" t="s">
        <v>166</v>
      </c>
      <c r="AP225" s="25" t="s">
        <v>166</v>
      </c>
      <c r="AQ225" s="32" t="s">
        <v>166</v>
      </c>
      <c r="AR225" s="32" t="s">
        <v>166</v>
      </c>
      <c r="AS225" s="28" t="s">
        <v>166</v>
      </c>
      <c r="AT225" s="29">
        <v>4.5</v>
      </c>
      <c r="AU225" s="32" t="s">
        <v>186</v>
      </c>
      <c r="AV225" s="32" t="s">
        <v>166</v>
      </c>
      <c r="AW225" s="29" t="s">
        <v>166</v>
      </c>
      <c r="AX225" s="32" t="s">
        <v>166</v>
      </c>
      <c r="AY225" s="25" t="s">
        <v>217</v>
      </c>
      <c r="AZ225" s="25" t="s">
        <v>217</v>
      </c>
      <c r="BA225" s="25" t="s">
        <v>166</v>
      </c>
      <c r="BB225" s="32" t="s">
        <v>166</v>
      </c>
      <c r="BC225" s="25" t="s">
        <v>179</v>
      </c>
      <c r="BD225" s="25" t="s">
        <v>4553</v>
      </c>
      <c r="BE225" s="25" t="s">
        <v>189</v>
      </c>
      <c r="BF225" s="29">
        <v>4</v>
      </c>
      <c r="BG225" s="25" t="s">
        <v>190</v>
      </c>
      <c r="BH225" s="25" t="s">
        <v>166</v>
      </c>
      <c r="BI225" s="25" t="s">
        <v>166</v>
      </c>
      <c r="BJ225" s="29" t="s">
        <v>166</v>
      </c>
      <c r="BK225" s="29" t="s">
        <v>166</v>
      </c>
      <c r="BL225" s="25" t="s">
        <v>191</v>
      </c>
      <c r="BM225" s="25" t="s">
        <v>178</v>
      </c>
      <c r="BN225" s="25" t="s">
        <v>177</v>
      </c>
      <c r="BO225" s="33" t="s">
        <v>166</v>
      </c>
      <c r="BP225" s="25" t="s">
        <v>4554</v>
      </c>
      <c r="BQ225" s="32">
        <v>3</v>
      </c>
      <c r="BR225" s="25" t="s">
        <v>914</v>
      </c>
      <c r="BS225" s="32">
        <v>1</v>
      </c>
      <c r="BT225" s="25" t="s">
        <v>4555</v>
      </c>
      <c r="BU225" s="25" t="s">
        <v>166</v>
      </c>
      <c r="BV225" s="25" t="s">
        <v>166</v>
      </c>
      <c r="BW225" s="25" t="s">
        <v>166</v>
      </c>
      <c r="BX225" s="25" t="s">
        <v>166</v>
      </c>
      <c r="BY225" s="25" t="s">
        <v>166</v>
      </c>
      <c r="BZ225" s="25" t="s">
        <v>166</v>
      </c>
      <c r="CA225" s="25" t="s">
        <v>166</v>
      </c>
      <c r="CB225" s="25" t="s">
        <v>166</v>
      </c>
      <c r="CC225" s="25" t="s">
        <v>166</v>
      </c>
      <c r="CD225" s="25" t="s">
        <v>166</v>
      </c>
      <c r="CE225" s="29" t="s">
        <v>166</v>
      </c>
      <c r="CF225" s="27" t="s">
        <v>166</v>
      </c>
      <c r="CG225" s="28" t="s">
        <v>166</v>
      </c>
      <c r="CH225" s="27" t="s">
        <v>166</v>
      </c>
      <c r="CI225" s="27" t="s">
        <v>166</v>
      </c>
      <c r="CJ225" s="27" t="s">
        <v>166</v>
      </c>
      <c r="CK225" s="27" t="s">
        <v>166</v>
      </c>
      <c r="CL225" s="27" t="s">
        <v>166</v>
      </c>
      <c r="CM225" s="31" t="s">
        <v>166</v>
      </c>
      <c r="CN225" s="27" t="s">
        <v>166</v>
      </c>
      <c r="CO225" s="27" t="s">
        <v>166</v>
      </c>
      <c r="CP225" s="27" t="s">
        <v>166</v>
      </c>
      <c r="CQ225" s="27" t="s">
        <v>166</v>
      </c>
      <c r="CR225" s="27" t="s">
        <v>166</v>
      </c>
      <c r="CS225" s="27" t="s">
        <v>166</v>
      </c>
      <c r="CT225" s="27" t="s">
        <v>166</v>
      </c>
      <c r="CU225" s="27" t="s">
        <v>166</v>
      </c>
      <c r="CV225" s="27" t="s">
        <v>166</v>
      </c>
      <c r="CW225" s="27" t="s">
        <v>166</v>
      </c>
      <c r="CX225" s="27" t="s">
        <v>166</v>
      </c>
      <c r="CY225" s="27" t="s">
        <v>166</v>
      </c>
      <c r="CZ225" s="27" t="s">
        <v>166</v>
      </c>
      <c r="DA225" s="27" t="s">
        <v>166</v>
      </c>
      <c r="DB225" s="27" t="s">
        <v>166</v>
      </c>
      <c r="DC225" s="27" t="s">
        <v>166</v>
      </c>
      <c r="DD225" s="27" t="s">
        <v>166</v>
      </c>
      <c r="DE225" s="28" t="s">
        <v>166</v>
      </c>
      <c r="DF225" s="33">
        <v>11</v>
      </c>
      <c r="DG225" s="25" t="s">
        <v>673</v>
      </c>
      <c r="DH225" s="25" t="s">
        <v>193</v>
      </c>
      <c r="DI225" s="25" t="s">
        <v>194</v>
      </c>
      <c r="DJ225" s="25" t="s">
        <v>674</v>
      </c>
      <c r="DK225" s="25" t="s">
        <v>257</v>
      </c>
      <c r="DL225" s="32" t="s">
        <v>166</v>
      </c>
      <c r="DM225" s="25" t="s">
        <v>198</v>
      </c>
      <c r="DN225" s="24" t="s">
        <v>4556</v>
      </c>
      <c r="DO225" s="31">
        <v>2021</v>
      </c>
      <c r="DP225" s="25" t="s">
        <v>166</v>
      </c>
      <c r="DQ225" s="25" t="s">
        <v>166</v>
      </c>
      <c r="DR225" s="29" t="s">
        <v>166</v>
      </c>
      <c r="DS225" s="27" t="s">
        <v>166</v>
      </c>
      <c r="DT225" s="30" t="s">
        <v>166</v>
      </c>
      <c r="DU225" s="25" t="s">
        <v>166</v>
      </c>
      <c r="DV225" s="29" t="s">
        <v>166</v>
      </c>
      <c r="DW225" s="29" t="s">
        <v>166</v>
      </c>
      <c r="DX225" s="27" t="s">
        <v>166</v>
      </c>
      <c r="DY225" s="27" t="s">
        <v>166</v>
      </c>
      <c r="DZ225" s="28" t="s">
        <v>166</v>
      </c>
      <c r="EA225" s="27" t="s">
        <v>166</v>
      </c>
      <c r="EB225" s="27" t="s">
        <v>166</v>
      </c>
      <c r="EC225" s="27" t="s">
        <v>166</v>
      </c>
      <c r="ED225" s="28" t="s">
        <v>166</v>
      </c>
      <c r="EE225" s="28" t="s">
        <v>166</v>
      </c>
      <c r="EF225" s="28" t="s">
        <v>166</v>
      </c>
      <c r="EG225" s="28" t="s">
        <v>166</v>
      </c>
      <c r="EH225" s="27" t="s">
        <v>166</v>
      </c>
      <c r="EI225" s="27" t="s">
        <v>166</v>
      </c>
      <c r="EJ225" s="27" t="s">
        <v>166</v>
      </c>
      <c r="EK225" s="27" t="s">
        <v>166</v>
      </c>
      <c r="EL225" s="27" t="s">
        <v>166</v>
      </c>
      <c r="EM225" s="27" t="s">
        <v>166</v>
      </c>
      <c r="EN225" s="27" t="s">
        <v>166</v>
      </c>
      <c r="EO225" s="27" t="s">
        <v>166</v>
      </c>
      <c r="EP225" s="27" t="s">
        <v>166</v>
      </c>
      <c r="EQ225" s="27" t="s">
        <v>166</v>
      </c>
      <c r="ER225" s="27" t="s">
        <v>166</v>
      </c>
      <c r="ES225" s="27" t="s">
        <v>166</v>
      </c>
      <c r="ET225" s="25" t="s">
        <v>166</v>
      </c>
      <c r="EU225" s="27" t="s">
        <v>166</v>
      </c>
      <c r="EV225" s="27" t="s">
        <v>166</v>
      </c>
      <c r="EW225" s="27" t="s">
        <v>166</v>
      </c>
      <c r="EX225" s="25" t="s">
        <v>190</v>
      </c>
      <c r="EY225" s="25" t="s">
        <v>166</v>
      </c>
      <c r="EZ225" s="27" t="s">
        <v>166</v>
      </c>
      <c r="FA225" s="26" t="s">
        <v>166</v>
      </c>
      <c r="FB225" s="26" t="s">
        <v>166</v>
      </c>
      <c r="FC225" s="26" t="s">
        <v>166</v>
      </c>
      <c r="FD225" s="26" t="s">
        <v>166</v>
      </c>
      <c r="FE225" s="26" t="s">
        <v>166</v>
      </c>
      <c r="FF225" s="26" t="s">
        <v>166</v>
      </c>
      <c r="FG225" s="25" t="s">
        <v>166</v>
      </c>
      <c r="FH225" s="4">
        <f>HYPERLINK("https://my.pitchbook.com?c=202283-02T","View Company Online")</f>
      </c>
    </row>
    <row r="226">
      <c r="A226" s="14" t="s">
        <v>4557</v>
      </c>
      <c r="B226" s="14" t="s">
        <v>4558</v>
      </c>
      <c r="C226" s="14" t="s">
        <v>4559</v>
      </c>
      <c r="D226" s="14" t="s">
        <v>166</v>
      </c>
      <c r="E226" s="23" t="s">
        <v>4560</v>
      </c>
      <c r="F226" s="21">
        <v>4</v>
      </c>
      <c r="G226" s="14" t="s">
        <v>4561</v>
      </c>
      <c r="H226" s="14" t="s">
        <v>166</v>
      </c>
      <c r="I226" s="14" t="s">
        <v>4562</v>
      </c>
      <c r="J226" s="14" t="s">
        <v>4563</v>
      </c>
      <c r="K226" s="14" t="s">
        <v>207</v>
      </c>
      <c r="L226" s="14" t="s">
        <v>208</v>
      </c>
      <c r="M226" s="14" t="s">
        <v>296</v>
      </c>
      <c r="N226" s="14" t="s">
        <v>1052</v>
      </c>
      <c r="O226" s="14" t="s">
        <v>1318</v>
      </c>
      <c r="P226" s="14" t="s">
        <v>4564</v>
      </c>
      <c r="Q226" s="14" t="s">
        <v>166</v>
      </c>
      <c r="R226" s="14" t="s">
        <v>177</v>
      </c>
      <c r="S226" s="14" t="s">
        <v>178</v>
      </c>
      <c r="T226" s="14" t="s">
        <v>179</v>
      </c>
      <c r="U226" s="14" t="s">
        <v>4565</v>
      </c>
      <c r="V226" s="14" t="s">
        <v>4566</v>
      </c>
      <c r="W226" s="21" t="s">
        <v>4567</v>
      </c>
      <c r="X226" s="14" t="s">
        <v>4568</v>
      </c>
      <c r="Y226" s="14" t="s">
        <v>4569</v>
      </c>
      <c r="Z226" s="14" t="s">
        <v>4570</v>
      </c>
      <c r="AA226" s="14" t="s">
        <v>166</v>
      </c>
      <c r="AB226" s="14" t="s">
        <v>166</v>
      </c>
      <c r="AC226" s="14" t="s">
        <v>166</v>
      </c>
      <c r="AD226" s="14" t="s">
        <v>166</v>
      </c>
      <c r="AE226" s="14" t="s">
        <v>166</v>
      </c>
      <c r="AF226" s="14" t="s">
        <v>166</v>
      </c>
      <c r="AG226" s="14" t="s">
        <v>166</v>
      </c>
      <c r="AH226" s="21">
        <v>2</v>
      </c>
      <c r="AI226" s="3">
        <f>HYPERLINK("https://my.pitchbook.com/?d=181722-52T","181722-52T")</f>
      </c>
      <c r="AJ226" s="19" t="s">
        <v>166</v>
      </c>
      <c r="AK226" s="19">
        <v>44105</v>
      </c>
      <c r="AL226" s="18">
        <v>1</v>
      </c>
      <c r="AM226" s="14" t="s">
        <v>185</v>
      </c>
      <c r="AN226" s="18" t="s">
        <v>166</v>
      </c>
      <c r="AO226" s="18" t="s">
        <v>166</v>
      </c>
      <c r="AP226" s="14" t="s">
        <v>166</v>
      </c>
      <c r="AQ226" s="21" t="s">
        <v>166</v>
      </c>
      <c r="AR226" s="21" t="s">
        <v>166</v>
      </c>
      <c r="AS226" s="17" t="s">
        <v>166</v>
      </c>
      <c r="AT226" s="18">
        <v>1</v>
      </c>
      <c r="AU226" s="21" t="s">
        <v>186</v>
      </c>
      <c r="AV226" s="21" t="s">
        <v>166</v>
      </c>
      <c r="AW226" s="18" t="s">
        <v>166</v>
      </c>
      <c r="AX226" s="21" t="s">
        <v>166</v>
      </c>
      <c r="AY226" s="14" t="s">
        <v>217</v>
      </c>
      <c r="AZ226" s="14" t="s">
        <v>217</v>
      </c>
      <c r="BA226" s="14" t="s">
        <v>166</v>
      </c>
      <c r="BB226" s="21" t="s">
        <v>166</v>
      </c>
      <c r="BC226" s="14" t="s">
        <v>179</v>
      </c>
      <c r="BD226" s="14" t="s">
        <v>4571</v>
      </c>
      <c r="BE226" s="14" t="s">
        <v>189</v>
      </c>
      <c r="BF226" s="18">
        <v>1</v>
      </c>
      <c r="BG226" s="14" t="s">
        <v>190</v>
      </c>
      <c r="BH226" s="14" t="s">
        <v>166</v>
      </c>
      <c r="BI226" s="14" t="s">
        <v>166</v>
      </c>
      <c r="BJ226" s="18" t="s">
        <v>166</v>
      </c>
      <c r="BK226" s="18" t="s">
        <v>166</v>
      </c>
      <c r="BL226" s="14" t="s">
        <v>191</v>
      </c>
      <c r="BM226" s="14" t="s">
        <v>178</v>
      </c>
      <c r="BN226" s="14" t="s">
        <v>177</v>
      </c>
      <c r="BO226" s="22" t="s">
        <v>166</v>
      </c>
      <c r="BP226" s="14" t="s">
        <v>4560</v>
      </c>
      <c r="BQ226" s="21">
        <v>4</v>
      </c>
      <c r="BR226" s="14" t="s">
        <v>166</v>
      </c>
      <c r="BS226" s="21" t="s">
        <v>166</v>
      </c>
      <c r="BT226" s="14" t="s">
        <v>166</v>
      </c>
      <c r="BU226" s="14" t="s">
        <v>166</v>
      </c>
      <c r="BV226" s="14" t="s">
        <v>4572</v>
      </c>
      <c r="BW226" s="14" t="s">
        <v>166</v>
      </c>
      <c r="BX226" s="14" t="s">
        <v>166</v>
      </c>
      <c r="BY226" s="14" t="s">
        <v>166</v>
      </c>
      <c r="BZ226" s="14" t="s">
        <v>166</v>
      </c>
      <c r="CA226" s="14" t="s">
        <v>166</v>
      </c>
      <c r="CB226" s="14" t="s">
        <v>166</v>
      </c>
      <c r="CC226" s="14" t="s">
        <v>166</v>
      </c>
      <c r="CD226" s="14" t="s">
        <v>166</v>
      </c>
      <c r="CE226" s="18" t="s">
        <v>166</v>
      </c>
      <c r="CF226" s="16" t="s">
        <v>166</v>
      </c>
      <c r="CG226" s="17" t="s">
        <v>166</v>
      </c>
      <c r="CH226" s="16" t="s">
        <v>166</v>
      </c>
      <c r="CI226" s="16" t="s">
        <v>166</v>
      </c>
      <c r="CJ226" s="16" t="s">
        <v>166</v>
      </c>
      <c r="CK226" s="16" t="s">
        <v>166</v>
      </c>
      <c r="CL226" s="16" t="s">
        <v>166</v>
      </c>
      <c r="CM226" s="20" t="s">
        <v>166</v>
      </c>
      <c r="CN226" s="16" t="s">
        <v>166</v>
      </c>
      <c r="CO226" s="16" t="s">
        <v>166</v>
      </c>
      <c r="CP226" s="16" t="s">
        <v>166</v>
      </c>
      <c r="CQ226" s="16" t="s">
        <v>166</v>
      </c>
      <c r="CR226" s="16" t="s">
        <v>166</v>
      </c>
      <c r="CS226" s="16" t="s">
        <v>166</v>
      </c>
      <c r="CT226" s="16" t="s">
        <v>166</v>
      </c>
      <c r="CU226" s="16" t="s">
        <v>166</v>
      </c>
      <c r="CV226" s="16" t="s">
        <v>166</v>
      </c>
      <c r="CW226" s="16" t="s">
        <v>166</v>
      </c>
      <c r="CX226" s="16" t="s">
        <v>166</v>
      </c>
      <c r="CY226" s="16" t="s">
        <v>166</v>
      </c>
      <c r="CZ226" s="16" t="s">
        <v>166</v>
      </c>
      <c r="DA226" s="16" t="s">
        <v>166</v>
      </c>
      <c r="DB226" s="16" t="s">
        <v>166</v>
      </c>
      <c r="DC226" s="16" t="s">
        <v>166</v>
      </c>
      <c r="DD226" s="16" t="s">
        <v>166</v>
      </c>
      <c r="DE226" s="17" t="s">
        <v>166</v>
      </c>
      <c r="DF226" s="22">
        <v>47</v>
      </c>
      <c r="DG226" s="14" t="s">
        <v>1540</v>
      </c>
      <c r="DH226" s="14" t="s">
        <v>193</v>
      </c>
      <c r="DI226" s="14" t="s">
        <v>194</v>
      </c>
      <c r="DJ226" s="14" t="s">
        <v>1541</v>
      </c>
      <c r="DK226" s="14" t="s">
        <v>257</v>
      </c>
      <c r="DL226" s="21" t="s">
        <v>2503</v>
      </c>
      <c r="DM226" s="14" t="s">
        <v>198</v>
      </c>
      <c r="DN226" s="13" t="s">
        <v>4573</v>
      </c>
      <c r="DO226" s="20">
        <v>2019</v>
      </c>
      <c r="DP226" s="14" t="s">
        <v>166</v>
      </c>
      <c r="DQ226" s="14" t="s">
        <v>166</v>
      </c>
      <c r="DR226" s="18" t="s">
        <v>166</v>
      </c>
      <c r="DS226" s="16" t="s">
        <v>166</v>
      </c>
      <c r="DT226" s="19" t="s">
        <v>166</v>
      </c>
      <c r="DU226" s="14" t="s">
        <v>166</v>
      </c>
      <c r="DV226" s="18" t="s">
        <v>166</v>
      </c>
      <c r="DW226" s="18" t="s">
        <v>166</v>
      </c>
      <c r="DX226" s="16" t="s">
        <v>166</v>
      </c>
      <c r="DY226" s="16" t="s">
        <v>166</v>
      </c>
      <c r="DZ226" s="17" t="s">
        <v>166</v>
      </c>
      <c r="EA226" s="16" t="s">
        <v>166</v>
      </c>
      <c r="EB226" s="16" t="s">
        <v>166</v>
      </c>
      <c r="EC226" s="16" t="s">
        <v>166</v>
      </c>
      <c r="ED226" s="17" t="s">
        <v>166</v>
      </c>
      <c r="EE226" s="17" t="s">
        <v>166</v>
      </c>
      <c r="EF226" s="17" t="s">
        <v>166</v>
      </c>
      <c r="EG226" s="17" t="s">
        <v>166</v>
      </c>
      <c r="EH226" s="16" t="s">
        <v>166</v>
      </c>
      <c r="EI226" s="16" t="s">
        <v>166</v>
      </c>
      <c r="EJ226" s="16" t="s">
        <v>166</v>
      </c>
      <c r="EK226" s="16" t="s">
        <v>166</v>
      </c>
      <c r="EL226" s="16" t="s">
        <v>166</v>
      </c>
      <c r="EM226" s="16" t="s">
        <v>166</v>
      </c>
      <c r="EN226" s="16" t="s">
        <v>166</v>
      </c>
      <c r="EO226" s="16" t="s">
        <v>166</v>
      </c>
      <c r="EP226" s="16" t="s">
        <v>166</v>
      </c>
      <c r="EQ226" s="16" t="s">
        <v>166</v>
      </c>
      <c r="ER226" s="16" t="s">
        <v>166</v>
      </c>
      <c r="ES226" s="16" t="s">
        <v>166</v>
      </c>
      <c r="ET226" s="14" t="s">
        <v>166</v>
      </c>
      <c r="EU226" s="16" t="s">
        <v>166</v>
      </c>
      <c r="EV226" s="16" t="s">
        <v>166</v>
      </c>
      <c r="EW226" s="16" t="s">
        <v>166</v>
      </c>
      <c r="EX226" s="14" t="s">
        <v>190</v>
      </c>
      <c r="EY226" s="14" t="s">
        <v>166</v>
      </c>
      <c r="EZ226" s="16" t="s">
        <v>166</v>
      </c>
      <c r="FA226" s="15" t="s">
        <v>166</v>
      </c>
      <c r="FB226" s="15" t="s">
        <v>166</v>
      </c>
      <c r="FC226" s="15" t="s">
        <v>166</v>
      </c>
      <c r="FD226" s="15" t="s">
        <v>166</v>
      </c>
      <c r="FE226" s="15" t="s">
        <v>166</v>
      </c>
      <c r="FF226" s="15" t="s">
        <v>166</v>
      </c>
      <c r="FG226" s="14" t="s">
        <v>166</v>
      </c>
      <c r="FH226" s="3">
        <f>HYPERLINK("https://my.pitchbook.com?c=181722-52T","View Company Online")</f>
      </c>
    </row>
    <row r="227">
      <c r="A227" s="25" t="s">
        <v>4574</v>
      </c>
      <c r="B227" s="25" t="s">
        <v>4575</v>
      </c>
      <c r="C227" s="25" t="s">
        <v>4576</v>
      </c>
      <c r="D227" s="25" t="s">
        <v>166</v>
      </c>
      <c r="E227" s="34" t="s">
        <v>4577</v>
      </c>
      <c r="F227" s="32">
        <v>5</v>
      </c>
      <c r="G227" s="25" t="s">
        <v>4578</v>
      </c>
      <c r="H227" s="25" t="s">
        <v>166</v>
      </c>
      <c r="I227" s="25" t="s">
        <v>4579</v>
      </c>
      <c r="J227" s="25" t="s">
        <v>4580</v>
      </c>
      <c r="K227" s="25" t="s">
        <v>207</v>
      </c>
      <c r="L227" s="25" t="s">
        <v>208</v>
      </c>
      <c r="M227" s="25" t="s">
        <v>209</v>
      </c>
      <c r="N227" s="25" t="s">
        <v>3221</v>
      </c>
      <c r="O227" s="25" t="s">
        <v>4581</v>
      </c>
      <c r="P227" s="25" t="s">
        <v>4582</v>
      </c>
      <c r="Q227" s="25" t="s">
        <v>166</v>
      </c>
      <c r="R227" s="25" t="s">
        <v>177</v>
      </c>
      <c r="S227" s="25" t="s">
        <v>178</v>
      </c>
      <c r="T227" s="25" t="s">
        <v>179</v>
      </c>
      <c r="U227" s="25" t="s">
        <v>4583</v>
      </c>
      <c r="V227" s="25" t="s">
        <v>4584</v>
      </c>
      <c r="W227" s="32" t="s">
        <v>4585</v>
      </c>
      <c r="X227" s="25" t="s">
        <v>4586</v>
      </c>
      <c r="Y227" s="25" t="s">
        <v>4587</v>
      </c>
      <c r="Z227" s="25" t="s">
        <v>4588</v>
      </c>
      <c r="AA227" s="25" t="s">
        <v>242</v>
      </c>
      <c r="AB227" s="25" t="s">
        <v>243</v>
      </c>
      <c r="AC227" s="25" t="s">
        <v>244</v>
      </c>
      <c r="AD227" s="25" t="s">
        <v>243</v>
      </c>
      <c r="AE227" s="25" t="s">
        <v>243</v>
      </c>
      <c r="AF227" s="25" t="s">
        <v>245</v>
      </c>
      <c r="AG227" s="25" t="s">
        <v>246</v>
      </c>
      <c r="AH227" s="32">
        <v>1</v>
      </c>
      <c r="AI227" s="4">
        <f>HYPERLINK("https://my.pitchbook.com/?d=135610-75T","135610-75T")</f>
      </c>
      <c r="AJ227" s="30">
        <v>43936</v>
      </c>
      <c r="AK227" s="30">
        <v>43944</v>
      </c>
      <c r="AL227" s="29">
        <v>2.49</v>
      </c>
      <c r="AM227" s="25" t="s">
        <v>185</v>
      </c>
      <c r="AN227" s="29">
        <v>4</v>
      </c>
      <c r="AO227" s="29">
        <v>6.49</v>
      </c>
      <c r="AP227" s="25" t="s">
        <v>247</v>
      </c>
      <c r="AQ227" s="32" t="s">
        <v>166</v>
      </c>
      <c r="AR227" s="32" t="s">
        <v>166</v>
      </c>
      <c r="AS227" s="28">
        <v>41.93</v>
      </c>
      <c r="AT227" s="29">
        <v>2.49</v>
      </c>
      <c r="AU227" s="32" t="s">
        <v>186</v>
      </c>
      <c r="AV227" s="32" t="s">
        <v>166</v>
      </c>
      <c r="AW227" s="29">
        <v>1.83</v>
      </c>
      <c r="AX227" s="32" t="s">
        <v>166</v>
      </c>
      <c r="AY227" s="25" t="s">
        <v>217</v>
      </c>
      <c r="AZ227" s="25" t="s">
        <v>217</v>
      </c>
      <c r="BA227" s="25" t="s">
        <v>166</v>
      </c>
      <c r="BB227" s="32" t="s">
        <v>166</v>
      </c>
      <c r="BC227" s="25" t="s">
        <v>179</v>
      </c>
      <c r="BD227" s="25" t="s">
        <v>4589</v>
      </c>
      <c r="BE227" s="25" t="s">
        <v>189</v>
      </c>
      <c r="BF227" s="29">
        <v>2.49</v>
      </c>
      <c r="BG227" s="25" t="s">
        <v>190</v>
      </c>
      <c r="BH227" s="25" t="s">
        <v>166</v>
      </c>
      <c r="BI227" s="25" t="s">
        <v>166</v>
      </c>
      <c r="BJ227" s="29" t="s">
        <v>166</v>
      </c>
      <c r="BK227" s="29" t="s">
        <v>166</v>
      </c>
      <c r="BL227" s="25" t="s">
        <v>191</v>
      </c>
      <c r="BM227" s="25" t="s">
        <v>178</v>
      </c>
      <c r="BN227" s="25" t="s">
        <v>177</v>
      </c>
      <c r="BO227" s="33" t="s">
        <v>166</v>
      </c>
      <c r="BP227" s="25" t="s">
        <v>4590</v>
      </c>
      <c r="BQ227" s="32">
        <v>5</v>
      </c>
      <c r="BR227" s="25" t="s">
        <v>166</v>
      </c>
      <c r="BS227" s="32" t="s">
        <v>166</v>
      </c>
      <c r="BT227" s="25" t="s">
        <v>3265</v>
      </c>
      <c r="BU227" s="25" t="s">
        <v>166</v>
      </c>
      <c r="BV227" s="25" t="s">
        <v>4591</v>
      </c>
      <c r="BW227" s="25" t="s">
        <v>166</v>
      </c>
      <c r="BX227" s="25" t="s">
        <v>166</v>
      </c>
      <c r="BY227" s="25" t="s">
        <v>166</v>
      </c>
      <c r="BZ227" s="25" t="s">
        <v>653</v>
      </c>
      <c r="CA227" s="25" t="s">
        <v>166</v>
      </c>
      <c r="CB227" s="25" t="s">
        <v>166</v>
      </c>
      <c r="CC227" s="25" t="s">
        <v>653</v>
      </c>
      <c r="CD227" s="25" t="s">
        <v>166</v>
      </c>
      <c r="CE227" s="29" t="s">
        <v>166</v>
      </c>
      <c r="CF227" s="27" t="s">
        <v>166</v>
      </c>
      <c r="CG227" s="28" t="s">
        <v>166</v>
      </c>
      <c r="CH227" s="27" t="s">
        <v>166</v>
      </c>
      <c r="CI227" s="27" t="s">
        <v>166</v>
      </c>
      <c r="CJ227" s="27" t="s">
        <v>166</v>
      </c>
      <c r="CK227" s="27" t="s">
        <v>166</v>
      </c>
      <c r="CL227" s="27" t="s">
        <v>166</v>
      </c>
      <c r="CM227" s="31" t="s">
        <v>166</v>
      </c>
      <c r="CN227" s="27" t="s">
        <v>166</v>
      </c>
      <c r="CO227" s="27" t="s">
        <v>166</v>
      </c>
      <c r="CP227" s="27" t="s">
        <v>166</v>
      </c>
      <c r="CQ227" s="27" t="s">
        <v>166</v>
      </c>
      <c r="CR227" s="27" t="s">
        <v>166</v>
      </c>
      <c r="CS227" s="27" t="s">
        <v>166</v>
      </c>
      <c r="CT227" s="27" t="s">
        <v>166</v>
      </c>
      <c r="CU227" s="27" t="s">
        <v>166</v>
      </c>
      <c r="CV227" s="27" t="s">
        <v>166</v>
      </c>
      <c r="CW227" s="27" t="s">
        <v>166</v>
      </c>
      <c r="CX227" s="27" t="s">
        <v>166</v>
      </c>
      <c r="CY227" s="27" t="s">
        <v>166</v>
      </c>
      <c r="CZ227" s="27" t="s">
        <v>166</v>
      </c>
      <c r="DA227" s="27" t="s">
        <v>166</v>
      </c>
      <c r="DB227" s="27" t="s">
        <v>166</v>
      </c>
      <c r="DC227" s="27" t="s">
        <v>166</v>
      </c>
      <c r="DD227" s="27" t="s">
        <v>166</v>
      </c>
      <c r="DE227" s="28" t="s">
        <v>166</v>
      </c>
      <c r="DF227" s="33">
        <v>39</v>
      </c>
      <c r="DG227" s="25" t="s">
        <v>4592</v>
      </c>
      <c r="DH227" s="25" t="s">
        <v>193</v>
      </c>
      <c r="DI227" s="25" t="s">
        <v>194</v>
      </c>
      <c r="DJ227" s="25" t="s">
        <v>4593</v>
      </c>
      <c r="DK227" s="25" t="s">
        <v>1023</v>
      </c>
      <c r="DL227" s="32" t="s">
        <v>4594</v>
      </c>
      <c r="DM227" s="25" t="s">
        <v>198</v>
      </c>
      <c r="DN227" s="24" t="s">
        <v>4595</v>
      </c>
      <c r="DO227" s="31">
        <v>2018</v>
      </c>
      <c r="DP227" s="25" t="s">
        <v>166</v>
      </c>
      <c r="DQ227" s="25" t="s">
        <v>166</v>
      </c>
      <c r="DR227" s="29" t="s">
        <v>166</v>
      </c>
      <c r="DS227" s="27" t="s">
        <v>166</v>
      </c>
      <c r="DT227" s="30" t="s">
        <v>166</v>
      </c>
      <c r="DU227" s="25" t="s">
        <v>166</v>
      </c>
      <c r="DV227" s="29" t="s">
        <v>166</v>
      </c>
      <c r="DW227" s="29" t="s">
        <v>166</v>
      </c>
      <c r="DX227" s="27" t="s">
        <v>166</v>
      </c>
      <c r="DY227" s="27" t="s">
        <v>166</v>
      </c>
      <c r="DZ227" s="28" t="s">
        <v>166</v>
      </c>
      <c r="EA227" s="27" t="s">
        <v>166</v>
      </c>
      <c r="EB227" s="27" t="s">
        <v>166</v>
      </c>
      <c r="EC227" s="27" t="s">
        <v>166</v>
      </c>
      <c r="ED227" s="28" t="s">
        <v>166</v>
      </c>
      <c r="EE227" s="28" t="s">
        <v>166</v>
      </c>
      <c r="EF227" s="28" t="s">
        <v>166</v>
      </c>
      <c r="EG227" s="28" t="s">
        <v>166</v>
      </c>
      <c r="EH227" s="27" t="s">
        <v>166</v>
      </c>
      <c r="EI227" s="27" t="s">
        <v>166</v>
      </c>
      <c r="EJ227" s="27" t="s">
        <v>166</v>
      </c>
      <c r="EK227" s="27" t="s">
        <v>166</v>
      </c>
      <c r="EL227" s="27" t="s">
        <v>166</v>
      </c>
      <c r="EM227" s="27" t="s">
        <v>166</v>
      </c>
      <c r="EN227" s="27" t="s">
        <v>166</v>
      </c>
      <c r="EO227" s="27" t="s">
        <v>166</v>
      </c>
      <c r="EP227" s="27" t="s">
        <v>166</v>
      </c>
      <c r="EQ227" s="27" t="s">
        <v>166</v>
      </c>
      <c r="ER227" s="27" t="s">
        <v>166</v>
      </c>
      <c r="ES227" s="27" t="s">
        <v>166</v>
      </c>
      <c r="ET227" s="25" t="s">
        <v>166</v>
      </c>
      <c r="EU227" s="27" t="s">
        <v>166</v>
      </c>
      <c r="EV227" s="27" t="s">
        <v>166</v>
      </c>
      <c r="EW227" s="27" t="s">
        <v>166</v>
      </c>
      <c r="EX227" s="25" t="s">
        <v>190</v>
      </c>
      <c r="EY227" s="25" t="s">
        <v>166</v>
      </c>
      <c r="EZ227" s="27" t="s">
        <v>166</v>
      </c>
      <c r="FA227" s="26" t="s">
        <v>166</v>
      </c>
      <c r="FB227" s="26" t="s">
        <v>166</v>
      </c>
      <c r="FC227" s="26" t="s">
        <v>166</v>
      </c>
      <c r="FD227" s="26" t="s">
        <v>166</v>
      </c>
      <c r="FE227" s="26" t="s">
        <v>166</v>
      </c>
      <c r="FF227" s="26" t="s">
        <v>166</v>
      </c>
      <c r="FG227" s="25" t="s">
        <v>166</v>
      </c>
      <c r="FH227" s="4">
        <f>HYPERLINK("https://my.pitchbook.com?c=135610-75T","View Company Online")</f>
      </c>
    </row>
    <row r="228">
      <c r="A228" s="14" t="s">
        <v>4596</v>
      </c>
      <c r="B228" s="14" t="s">
        <v>4597</v>
      </c>
      <c r="C228" s="14" t="s">
        <v>4598</v>
      </c>
      <c r="D228" s="14" t="s">
        <v>166</v>
      </c>
      <c r="E228" s="23" t="s">
        <v>4599</v>
      </c>
      <c r="F228" s="21">
        <v>1</v>
      </c>
      <c r="G228" s="14" t="s">
        <v>4600</v>
      </c>
      <c r="H228" s="14" t="s">
        <v>166</v>
      </c>
      <c r="I228" s="14" t="s">
        <v>4601</v>
      </c>
      <c r="J228" s="14" t="s">
        <v>4602</v>
      </c>
      <c r="K228" s="14" t="s">
        <v>207</v>
      </c>
      <c r="L228" s="14" t="s">
        <v>208</v>
      </c>
      <c r="M228" s="14" t="s">
        <v>296</v>
      </c>
      <c r="N228" s="14" t="s">
        <v>1052</v>
      </c>
      <c r="O228" s="14" t="s">
        <v>2931</v>
      </c>
      <c r="P228" s="14" t="s">
        <v>4603</v>
      </c>
      <c r="Q228" s="14" t="s">
        <v>166</v>
      </c>
      <c r="R228" s="14" t="s">
        <v>177</v>
      </c>
      <c r="S228" s="14" t="s">
        <v>178</v>
      </c>
      <c r="T228" s="14" t="s">
        <v>179</v>
      </c>
      <c r="U228" s="14" t="s">
        <v>4604</v>
      </c>
      <c r="V228" s="14" t="s">
        <v>4605</v>
      </c>
      <c r="W228" s="21" t="s">
        <v>166</v>
      </c>
      <c r="X228" s="14" t="s">
        <v>4606</v>
      </c>
      <c r="Y228" s="14" t="s">
        <v>4607</v>
      </c>
      <c r="Z228" s="14" t="s">
        <v>166</v>
      </c>
      <c r="AA228" s="14" t="s">
        <v>166</v>
      </c>
      <c r="AB228" s="14" t="s">
        <v>166</v>
      </c>
      <c r="AC228" s="14" t="s">
        <v>166</v>
      </c>
      <c r="AD228" s="14" t="s">
        <v>166</v>
      </c>
      <c r="AE228" s="14" t="s">
        <v>166</v>
      </c>
      <c r="AF228" s="14" t="s">
        <v>166</v>
      </c>
      <c r="AG228" s="14" t="s">
        <v>166</v>
      </c>
      <c r="AH228" s="21">
        <v>1</v>
      </c>
      <c r="AI228" s="3">
        <f>HYPERLINK("https://my.pitchbook.com/?d=157509-91T","157509-91T")</f>
      </c>
      <c r="AJ228" s="19" t="s">
        <v>166</v>
      </c>
      <c r="AK228" s="19">
        <v>44048</v>
      </c>
      <c r="AL228" s="18">
        <v>0.15</v>
      </c>
      <c r="AM228" s="14" t="s">
        <v>185</v>
      </c>
      <c r="AN228" s="18" t="s">
        <v>166</v>
      </c>
      <c r="AO228" s="18" t="s">
        <v>166</v>
      </c>
      <c r="AP228" s="14" t="s">
        <v>166</v>
      </c>
      <c r="AQ228" s="21" t="s">
        <v>166</v>
      </c>
      <c r="AR228" s="21" t="s">
        <v>166</v>
      </c>
      <c r="AS228" s="17" t="s">
        <v>166</v>
      </c>
      <c r="AT228" s="18">
        <v>0.15</v>
      </c>
      <c r="AU228" s="21" t="s">
        <v>186</v>
      </c>
      <c r="AV228" s="21" t="s">
        <v>166</v>
      </c>
      <c r="AW228" s="18" t="s">
        <v>166</v>
      </c>
      <c r="AX228" s="21" t="s">
        <v>166</v>
      </c>
      <c r="AY228" s="14" t="s">
        <v>217</v>
      </c>
      <c r="AZ228" s="14" t="s">
        <v>217</v>
      </c>
      <c r="BA228" s="14" t="s">
        <v>166</v>
      </c>
      <c r="BB228" s="21" t="s">
        <v>166</v>
      </c>
      <c r="BC228" s="14" t="s">
        <v>179</v>
      </c>
      <c r="BD228" s="14" t="s">
        <v>4608</v>
      </c>
      <c r="BE228" s="14" t="s">
        <v>189</v>
      </c>
      <c r="BF228" s="18">
        <v>0.15</v>
      </c>
      <c r="BG228" s="14" t="s">
        <v>190</v>
      </c>
      <c r="BH228" s="14" t="s">
        <v>166</v>
      </c>
      <c r="BI228" s="14" t="s">
        <v>166</v>
      </c>
      <c r="BJ228" s="18" t="s">
        <v>166</v>
      </c>
      <c r="BK228" s="18" t="s">
        <v>166</v>
      </c>
      <c r="BL228" s="14" t="s">
        <v>191</v>
      </c>
      <c r="BM228" s="14" t="s">
        <v>178</v>
      </c>
      <c r="BN228" s="14" t="s">
        <v>177</v>
      </c>
      <c r="BO228" s="22">
        <v>6</v>
      </c>
      <c r="BP228" s="14" t="s">
        <v>4599</v>
      </c>
      <c r="BQ228" s="21">
        <v>1</v>
      </c>
      <c r="BR228" s="14" t="s">
        <v>166</v>
      </c>
      <c r="BS228" s="21" t="s">
        <v>166</v>
      </c>
      <c r="BT228" s="14" t="s">
        <v>166</v>
      </c>
      <c r="BU228" s="14" t="s">
        <v>166</v>
      </c>
      <c r="BV228" s="14" t="s">
        <v>166</v>
      </c>
      <c r="BW228" s="14" t="s">
        <v>166</v>
      </c>
      <c r="BX228" s="14" t="s">
        <v>166</v>
      </c>
      <c r="BY228" s="14" t="s">
        <v>166</v>
      </c>
      <c r="BZ228" s="14" t="s">
        <v>166</v>
      </c>
      <c r="CA228" s="14" t="s">
        <v>166</v>
      </c>
      <c r="CB228" s="14" t="s">
        <v>166</v>
      </c>
      <c r="CC228" s="14" t="s">
        <v>166</v>
      </c>
      <c r="CD228" s="14" t="s">
        <v>166</v>
      </c>
      <c r="CE228" s="18" t="s">
        <v>166</v>
      </c>
      <c r="CF228" s="16" t="s">
        <v>166</v>
      </c>
      <c r="CG228" s="17" t="s">
        <v>166</v>
      </c>
      <c r="CH228" s="16" t="s">
        <v>166</v>
      </c>
      <c r="CI228" s="16" t="s">
        <v>166</v>
      </c>
      <c r="CJ228" s="16" t="s">
        <v>166</v>
      </c>
      <c r="CK228" s="16" t="s">
        <v>166</v>
      </c>
      <c r="CL228" s="16" t="s">
        <v>166</v>
      </c>
      <c r="CM228" s="20" t="s">
        <v>166</v>
      </c>
      <c r="CN228" s="16" t="s">
        <v>166</v>
      </c>
      <c r="CO228" s="16" t="s">
        <v>166</v>
      </c>
      <c r="CP228" s="16" t="s">
        <v>166</v>
      </c>
      <c r="CQ228" s="16" t="s">
        <v>166</v>
      </c>
      <c r="CR228" s="16" t="s">
        <v>166</v>
      </c>
      <c r="CS228" s="16" t="s">
        <v>166</v>
      </c>
      <c r="CT228" s="16" t="s">
        <v>166</v>
      </c>
      <c r="CU228" s="16" t="s">
        <v>166</v>
      </c>
      <c r="CV228" s="16" t="s">
        <v>166</v>
      </c>
      <c r="CW228" s="16" t="s">
        <v>166</v>
      </c>
      <c r="CX228" s="16" t="s">
        <v>166</v>
      </c>
      <c r="CY228" s="16" t="s">
        <v>166</v>
      </c>
      <c r="CZ228" s="16" t="s">
        <v>166</v>
      </c>
      <c r="DA228" s="16" t="s">
        <v>166</v>
      </c>
      <c r="DB228" s="16" t="s">
        <v>166</v>
      </c>
      <c r="DC228" s="16" t="s">
        <v>166</v>
      </c>
      <c r="DD228" s="16" t="s">
        <v>166</v>
      </c>
      <c r="DE228" s="17" t="s">
        <v>166</v>
      </c>
      <c r="DF228" s="22">
        <v>6</v>
      </c>
      <c r="DG228" s="14" t="s">
        <v>4609</v>
      </c>
      <c r="DH228" s="14" t="s">
        <v>193</v>
      </c>
      <c r="DI228" s="14" t="s">
        <v>194</v>
      </c>
      <c r="DJ228" s="14" t="s">
        <v>4610</v>
      </c>
      <c r="DK228" s="14" t="s">
        <v>2369</v>
      </c>
      <c r="DL228" s="21" t="s">
        <v>4611</v>
      </c>
      <c r="DM228" s="14" t="s">
        <v>198</v>
      </c>
      <c r="DN228" s="13" t="s">
        <v>4612</v>
      </c>
      <c r="DO228" s="20">
        <v>2019</v>
      </c>
      <c r="DP228" s="14" t="s">
        <v>166</v>
      </c>
      <c r="DQ228" s="14" t="s">
        <v>166</v>
      </c>
      <c r="DR228" s="18" t="s">
        <v>166</v>
      </c>
      <c r="DS228" s="16" t="s">
        <v>166</v>
      </c>
      <c r="DT228" s="19" t="s">
        <v>166</v>
      </c>
      <c r="DU228" s="14" t="s">
        <v>166</v>
      </c>
      <c r="DV228" s="18" t="s">
        <v>166</v>
      </c>
      <c r="DW228" s="18" t="s">
        <v>166</v>
      </c>
      <c r="DX228" s="16" t="s">
        <v>166</v>
      </c>
      <c r="DY228" s="16" t="s">
        <v>166</v>
      </c>
      <c r="DZ228" s="17" t="s">
        <v>166</v>
      </c>
      <c r="EA228" s="16" t="s">
        <v>166</v>
      </c>
      <c r="EB228" s="16" t="s">
        <v>166</v>
      </c>
      <c r="EC228" s="16" t="s">
        <v>166</v>
      </c>
      <c r="ED228" s="17" t="s">
        <v>166</v>
      </c>
      <c r="EE228" s="17" t="s">
        <v>166</v>
      </c>
      <c r="EF228" s="17" t="s">
        <v>166</v>
      </c>
      <c r="EG228" s="17" t="s">
        <v>166</v>
      </c>
      <c r="EH228" s="16" t="s">
        <v>166</v>
      </c>
      <c r="EI228" s="16" t="s">
        <v>166</v>
      </c>
      <c r="EJ228" s="16" t="s">
        <v>166</v>
      </c>
      <c r="EK228" s="16" t="s">
        <v>166</v>
      </c>
      <c r="EL228" s="16" t="s">
        <v>166</v>
      </c>
      <c r="EM228" s="16" t="s">
        <v>166</v>
      </c>
      <c r="EN228" s="16" t="s">
        <v>166</v>
      </c>
      <c r="EO228" s="16" t="s">
        <v>166</v>
      </c>
      <c r="EP228" s="16" t="s">
        <v>166</v>
      </c>
      <c r="EQ228" s="16" t="s">
        <v>166</v>
      </c>
      <c r="ER228" s="16" t="s">
        <v>166</v>
      </c>
      <c r="ES228" s="16" t="s">
        <v>166</v>
      </c>
      <c r="ET228" s="14" t="s">
        <v>166</v>
      </c>
      <c r="EU228" s="16" t="s">
        <v>166</v>
      </c>
      <c r="EV228" s="16" t="s">
        <v>166</v>
      </c>
      <c r="EW228" s="16" t="s">
        <v>166</v>
      </c>
      <c r="EX228" s="14" t="s">
        <v>190</v>
      </c>
      <c r="EY228" s="14" t="s">
        <v>166</v>
      </c>
      <c r="EZ228" s="16" t="s">
        <v>166</v>
      </c>
      <c r="FA228" s="15" t="s">
        <v>166</v>
      </c>
      <c r="FB228" s="15" t="s">
        <v>166</v>
      </c>
      <c r="FC228" s="15" t="s">
        <v>166</v>
      </c>
      <c r="FD228" s="15" t="s">
        <v>166</v>
      </c>
      <c r="FE228" s="15" t="s">
        <v>166</v>
      </c>
      <c r="FF228" s="15" t="s">
        <v>166</v>
      </c>
      <c r="FG228" s="14" t="s">
        <v>166</v>
      </c>
      <c r="FH228" s="3">
        <f>HYPERLINK("https://my.pitchbook.com?c=157509-91T","View Company Online")</f>
      </c>
    </row>
    <row r="229">
      <c r="A229" s="25" t="s">
        <v>4613</v>
      </c>
      <c r="B229" s="25" t="s">
        <v>4614</v>
      </c>
      <c r="C229" s="25" t="s">
        <v>4615</v>
      </c>
      <c r="D229" s="25" t="s">
        <v>166</v>
      </c>
      <c r="E229" s="34" t="s">
        <v>4616</v>
      </c>
      <c r="F229" s="32">
        <v>10</v>
      </c>
      <c r="G229" s="25" t="s">
        <v>4617</v>
      </c>
      <c r="H229" s="25" t="s">
        <v>166</v>
      </c>
      <c r="I229" s="25" t="s">
        <v>4618</v>
      </c>
      <c r="J229" s="25" t="s">
        <v>4619</v>
      </c>
      <c r="K229" s="25" t="s">
        <v>207</v>
      </c>
      <c r="L229" s="25" t="s">
        <v>208</v>
      </c>
      <c r="M229" s="25" t="s">
        <v>296</v>
      </c>
      <c r="N229" s="25" t="s">
        <v>4620</v>
      </c>
      <c r="O229" s="25" t="s">
        <v>1318</v>
      </c>
      <c r="P229" s="25" t="s">
        <v>4621</v>
      </c>
      <c r="Q229" s="25" t="s">
        <v>166</v>
      </c>
      <c r="R229" s="25" t="s">
        <v>177</v>
      </c>
      <c r="S229" s="25" t="s">
        <v>178</v>
      </c>
      <c r="T229" s="25" t="s">
        <v>179</v>
      </c>
      <c r="U229" s="25" t="s">
        <v>4622</v>
      </c>
      <c r="V229" s="25" t="s">
        <v>4623</v>
      </c>
      <c r="W229" s="32" t="s">
        <v>4624</v>
      </c>
      <c r="X229" s="25" t="s">
        <v>4625</v>
      </c>
      <c r="Y229" s="25" t="s">
        <v>4626</v>
      </c>
      <c r="Z229" s="25" t="s">
        <v>166</v>
      </c>
      <c r="AA229" s="25" t="s">
        <v>166</v>
      </c>
      <c r="AB229" s="25" t="s">
        <v>166</v>
      </c>
      <c r="AC229" s="25" t="s">
        <v>166</v>
      </c>
      <c r="AD229" s="25" t="s">
        <v>166</v>
      </c>
      <c r="AE229" s="25" t="s">
        <v>166</v>
      </c>
      <c r="AF229" s="25" t="s">
        <v>166</v>
      </c>
      <c r="AG229" s="25" t="s">
        <v>166</v>
      </c>
      <c r="AH229" s="32">
        <v>2</v>
      </c>
      <c r="AI229" s="4">
        <f>HYPERLINK("https://my.pitchbook.com/?d=174731-68T","174731-68T")</f>
      </c>
      <c r="AJ229" s="30">
        <v>44614</v>
      </c>
      <c r="AK229" s="30">
        <v>44637</v>
      </c>
      <c r="AL229" s="29">
        <v>0.18</v>
      </c>
      <c r="AM229" s="25" t="s">
        <v>185</v>
      </c>
      <c r="AN229" s="29">
        <v>5.83</v>
      </c>
      <c r="AO229" s="29">
        <v>6</v>
      </c>
      <c r="AP229" s="25" t="s">
        <v>185</v>
      </c>
      <c r="AQ229" s="32" t="s">
        <v>166</v>
      </c>
      <c r="AR229" s="32" t="s">
        <v>166</v>
      </c>
      <c r="AS229" s="28">
        <v>2.92</v>
      </c>
      <c r="AT229" s="29">
        <v>0.18</v>
      </c>
      <c r="AU229" s="32" t="s">
        <v>186</v>
      </c>
      <c r="AV229" s="32" t="s">
        <v>166</v>
      </c>
      <c r="AW229" s="29" t="s">
        <v>166</v>
      </c>
      <c r="AX229" s="32" t="s">
        <v>746</v>
      </c>
      <c r="AY229" s="25" t="s">
        <v>217</v>
      </c>
      <c r="AZ229" s="25" t="s">
        <v>746</v>
      </c>
      <c r="BA229" s="25" t="s">
        <v>166</v>
      </c>
      <c r="BB229" s="32" t="s">
        <v>166</v>
      </c>
      <c r="BC229" s="25" t="s">
        <v>179</v>
      </c>
      <c r="BD229" s="25" t="s">
        <v>4627</v>
      </c>
      <c r="BE229" s="25" t="s">
        <v>189</v>
      </c>
      <c r="BF229" s="29">
        <v>0.18</v>
      </c>
      <c r="BG229" s="25" t="s">
        <v>190</v>
      </c>
      <c r="BH229" s="25" t="s">
        <v>166</v>
      </c>
      <c r="BI229" s="25" t="s">
        <v>166</v>
      </c>
      <c r="BJ229" s="29" t="s">
        <v>166</v>
      </c>
      <c r="BK229" s="29" t="s">
        <v>166</v>
      </c>
      <c r="BL229" s="25" t="s">
        <v>191</v>
      </c>
      <c r="BM229" s="25" t="s">
        <v>178</v>
      </c>
      <c r="BN229" s="25" t="s">
        <v>177</v>
      </c>
      <c r="BO229" s="33" t="s">
        <v>166</v>
      </c>
      <c r="BP229" s="25" t="s">
        <v>4628</v>
      </c>
      <c r="BQ229" s="32">
        <v>10</v>
      </c>
      <c r="BR229" s="25" t="s">
        <v>166</v>
      </c>
      <c r="BS229" s="32" t="s">
        <v>166</v>
      </c>
      <c r="BT229" s="25" t="s">
        <v>4629</v>
      </c>
      <c r="BU229" s="25" t="s">
        <v>166</v>
      </c>
      <c r="BV229" s="25" t="s">
        <v>2692</v>
      </c>
      <c r="BW229" s="25" t="s">
        <v>166</v>
      </c>
      <c r="BX229" s="25" t="s">
        <v>166</v>
      </c>
      <c r="BY229" s="25" t="s">
        <v>166</v>
      </c>
      <c r="BZ229" s="25" t="s">
        <v>4630</v>
      </c>
      <c r="CA229" s="25" t="s">
        <v>770</v>
      </c>
      <c r="CB229" s="25" t="s">
        <v>166</v>
      </c>
      <c r="CC229" s="25" t="s">
        <v>4631</v>
      </c>
      <c r="CD229" s="25" t="s">
        <v>166</v>
      </c>
      <c r="CE229" s="29" t="s">
        <v>166</v>
      </c>
      <c r="CF229" s="27" t="s">
        <v>166</v>
      </c>
      <c r="CG229" s="28" t="s">
        <v>166</v>
      </c>
      <c r="CH229" s="27" t="s">
        <v>166</v>
      </c>
      <c r="CI229" s="27" t="s">
        <v>166</v>
      </c>
      <c r="CJ229" s="27" t="s">
        <v>166</v>
      </c>
      <c r="CK229" s="27" t="s">
        <v>166</v>
      </c>
      <c r="CL229" s="27" t="s">
        <v>166</v>
      </c>
      <c r="CM229" s="31" t="s">
        <v>166</v>
      </c>
      <c r="CN229" s="27" t="s">
        <v>166</v>
      </c>
      <c r="CO229" s="27" t="s">
        <v>166</v>
      </c>
      <c r="CP229" s="27" t="s">
        <v>166</v>
      </c>
      <c r="CQ229" s="27" t="s">
        <v>166</v>
      </c>
      <c r="CR229" s="27" t="s">
        <v>166</v>
      </c>
      <c r="CS229" s="27" t="s">
        <v>166</v>
      </c>
      <c r="CT229" s="27" t="s">
        <v>166</v>
      </c>
      <c r="CU229" s="27" t="s">
        <v>166</v>
      </c>
      <c r="CV229" s="27" t="s">
        <v>166</v>
      </c>
      <c r="CW229" s="27" t="s">
        <v>166</v>
      </c>
      <c r="CX229" s="27" t="s">
        <v>166</v>
      </c>
      <c r="CY229" s="27" t="s">
        <v>166</v>
      </c>
      <c r="CZ229" s="27" t="s">
        <v>166</v>
      </c>
      <c r="DA229" s="27" t="s">
        <v>166</v>
      </c>
      <c r="DB229" s="27" t="s">
        <v>166</v>
      </c>
      <c r="DC229" s="27" t="s">
        <v>166</v>
      </c>
      <c r="DD229" s="27" t="s">
        <v>166</v>
      </c>
      <c r="DE229" s="28" t="s">
        <v>166</v>
      </c>
      <c r="DF229" s="33">
        <v>43</v>
      </c>
      <c r="DG229" s="25" t="s">
        <v>4632</v>
      </c>
      <c r="DH229" s="25" t="s">
        <v>193</v>
      </c>
      <c r="DI229" s="25" t="s">
        <v>194</v>
      </c>
      <c r="DJ229" s="25" t="s">
        <v>4633</v>
      </c>
      <c r="DK229" s="25" t="s">
        <v>257</v>
      </c>
      <c r="DL229" s="32" t="s">
        <v>4634</v>
      </c>
      <c r="DM229" s="25" t="s">
        <v>198</v>
      </c>
      <c r="DN229" s="24" t="s">
        <v>4635</v>
      </c>
      <c r="DO229" s="31">
        <v>2020</v>
      </c>
      <c r="DP229" s="25" t="s">
        <v>166</v>
      </c>
      <c r="DQ229" s="25" t="s">
        <v>166</v>
      </c>
      <c r="DR229" s="29" t="s">
        <v>166</v>
      </c>
      <c r="DS229" s="27" t="s">
        <v>166</v>
      </c>
      <c r="DT229" s="30" t="s">
        <v>166</v>
      </c>
      <c r="DU229" s="25" t="s">
        <v>166</v>
      </c>
      <c r="DV229" s="29" t="s">
        <v>166</v>
      </c>
      <c r="DW229" s="29" t="s">
        <v>166</v>
      </c>
      <c r="DX229" s="27" t="s">
        <v>166</v>
      </c>
      <c r="DY229" s="27" t="s">
        <v>166</v>
      </c>
      <c r="DZ229" s="28" t="s">
        <v>166</v>
      </c>
      <c r="EA229" s="27" t="s">
        <v>166</v>
      </c>
      <c r="EB229" s="27" t="s">
        <v>166</v>
      </c>
      <c r="EC229" s="27" t="s">
        <v>166</v>
      </c>
      <c r="ED229" s="28" t="s">
        <v>166</v>
      </c>
      <c r="EE229" s="28" t="s">
        <v>166</v>
      </c>
      <c r="EF229" s="28" t="s">
        <v>166</v>
      </c>
      <c r="EG229" s="28" t="s">
        <v>166</v>
      </c>
      <c r="EH229" s="27" t="s">
        <v>166</v>
      </c>
      <c r="EI229" s="27" t="s">
        <v>166</v>
      </c>
      <c r="EJ229" s="27" t="s">
        <v>166</v>
      </c>
      <c r="EK229" s="27" t="s">
        <v>166</v>
      </c>
      <c r="EL229" s="27" t="s">
        <v>166</v>
      </c>
      <c r="EM229" s="27" t="s">
        <v>166</v>
      </c>
      <c r="EN229" s="27" t="s">
        <v>166</v>
      </c>
      <c r="EO229" s="27" t="s">
        <v>166</v>
      </c>
      <c r="EP229" s="27" t="s">
        <v>166</v>
      </c>
      <c r="EQ229" s="27" t="s">
        <v>166</v>
      </c>
      <c r="ER229" s="27" t="s">
        <v>166</v>
      </c>
      <c r="ES229" s="27" t="s">
        <v>166</v>
      </c>
      <c r="ET229" s="25" t="s">
        <v>166</v>
      </c>
      <c r="EU229" s="27" t="s">
        <v>166</v>
      </c>
      <c r="EV229" s="27" t="s">
        <v>166</v>
      </c>
      <c r="EW229" s="27" t="s">
        <v>166</v>
      </c>
      <c r="EX229" s="25" t="s">
        <v>190</v>
      </c>
      <c r="EY229" s="25" t="s">
        <v>166</v>
      </c>
      <c r="EZ229" s="27" t="s">
        <v>166</v>
      </c>
      <c r="FA229" s="26" t="s">
        <v>166</v>
      </c>
      <c r="FB229" s="26" t="s">
        <v>166</v>
      </c>
      <c r="FC229" s="26" t="s">
        <v>166</v>
      </c>
      <c r="FD229" s="26" t="s">
        <v>166</v>
      </c>
      <c r="FE229" s="26" t="s">
        <v>166</v>
      </c>
      <c r="FF229" s="26" t="s">
        <v>166</v>
      </c>
      <c r="FG229" s="25" t="s">
        <v>166</v>
      </c>
      <c r="FH229" s="4">
        <f>HYPERLINK("https://my.pitchbook.com?c=174731-68T","View Company Online")</f>
      </c>
    </row>
    <row r="230">
      <c r="A230" s="14" t="s">
        <v>4636</v>
      </c>
      <c r="B230" s="14" t="s">
        <v>4637</v>
      </c>
      <c r="C230" s="14" t="s">
        <v>4638</v>
      </c>
      <c r="D230" s="14" t="s">
        <v>166</v>
      </c>
      <c r="E230" s="23" t="s">
        <v>4639</v>
      </c>
      <c r="F230" s="21">
        <v>4</v>
      </c>
      <c r="G230" s="14" t="s">
        <v>4640</v>
      </c>
      <c r="H230" s="14" t="s">
        <v>166</v>
      </c>
      <c r="I230" s="14" t="s">
        <v>4641</v>
      </c>
      <c r="J230" s="14" t="s">
        <v>4642</v>
      </c>
      <c r="K230" s="14" t="s">
        <v>207</v>
      </c>
      <c r="L230" s="14" t="s">
        <v>208</v>
      </c>
      <c r="M230" s="14" t="s">
        <v>209</v>
      </c>
      <c r="N230" s="14" t="s">
        <v>684</v>
      </c>
      <c r="O230" s="14" t="s">
        <v>665</v>
      </c>
      <c r="P230" s="14" t="s">
        <v>4643</v>
      </c>
      <c r="Q230" s="14" t="s">
        <v>166</v>
      </c>
      <c r="R230" s="14" t="s">
        <v>177</v>
      </c>
      <c r="S230" s="14" t="s">
        <v>785</v>
      </c>
      <c r="T230" s="14" t="s">
        <v>179</v>
      </c>
      <c r="U230" s="14" t="s">
        <v>4644</v>
      </c>
      <c r="V230" s="14" t="s">
        <v>4645</v>
      </c>
      <c r="W230" s="21" t="s">
        <v>166</v>
      </c>
      <c r="X230" s="14" t="s">
        <v>4646</v>
      </c>
      <c r="Y230" s="14" t="s">
        <v>4647</v>
      </c>
      <c r="Z230" s="14" t="s">
        <v>166</v>
      </c>
      <c r="AA230" s="14" t="s">
        <v>242</v>
      </c>
      <c r="AB230" s="14" t="s">
        <v>243</v>
      </c>
      <c r="AC230" s="14" t="s">
        <v>244</v>
      </c>
      <c r="AD230" s="14" t="s">
        <v>243</v>
      </c>
      <c r="AE230" s="14" t="s">
        <v>243</v>
      </c>
      <c r="AF230" s="14" t="s">
        <v>166</v>
      </c>
      <c r="AG230" s="14" t="s">
        <v>246</v>
      </c>
      <c r="AH230" s="21">
        <v>1</v>
      </c>
      <c r="AI230" s="3">
        <f>HYPERLINK("https://my.pitchbook.com/?d=274355-11T","274355-11T")</f>
      </c>
      <c r="AJ230" s="19" t="s">
        <v>166</v>
      </c>
      <c r="AK230" s="19">
        <v>45573</v>
      </c>
      <c r="AL230" s="18">
        <v>1.75</v>
      </c>
      <c r="AM230" s="14" t="s">
        <v>185</v>
      </c>
      <c r="AN230" s="18">
        <v>7</v>
      </c>
      <c r="AO230" s="18">
        <v>8.75</v>
      </c>
      <c r="AP230" s="14" t="s">
        <v>185</v>
      </c>
      <c r="AQ230" s="21" t="s">
        <v>166</v>
      </c>
      <c r="AR230" s="21" t="s">
        <v>166</v>
      </c>
      <c r="AS230" s="17">
        <v>20</v>
      </c>
      <c r="AT230" s="18">
        <v>1.75</v>
      </c>
      <c r="AU230" s="21" t="s">
        <v>186</v>
      </c>
      <c r="AV230" s="21" t="s">
        <v>166</v>
      </c>
      <c r="AW230" s="18">
        <v>0.65</v>
      </c>
      <c r="AX230" s="21" t="s">
        <v>166</v>
      </c>
      <c r="AY230" s="14" t="s">
        <v>217</v>
      </c>
      <c r="AZ230" s="14" t="s">
        <v>217</v>
      </c>
      <c r="BA230" s="14" t="s">
        <v>166</v>
      </c>
      <c r="BB230" s="21" t="s">
        <v>166</v>
      </c>
      <c r="BC230" s="14" t="s">
        <v>179</v>
      </c>
      <c r="BD230" s="14" t="s">
        <v>4648</v>
      </c>
      <c r="BE230" s="14" t="s">
        <v>189</v>
      </c>
      <c r="BF230" s="18">
        <v>1.75</v>
      </c>
      <c r="BG230" s="14" t="s">
        <v>190</v>
      </c>
      <c r="BH230" s="14" t="s">
        <v>166</v>
      </c>
      <c r="BI230" s="14" t="s">
        <v>166</v>
      </c>
      <c r="BJ230" s="18" t="s">
        <v>166</v>
      </c>
      <c r="BK230" s="18" t="s">
        <v>166</v>
      </c>
      <c r="BL230" s="14" t="s">
        <v>191</v>
      </c>
      <c r="BM230" s="14" t="s">
        <v>785</v>
      </c>
      <c r="BN230" s="14" t="s">
        <v>177</v>
      </c>
      <c r="BO230" s="22" t="s">
        <v>166</v>
      </c>
      <c r="BP230" s="14" t="s">
        <v>4649</v>
      </c>
      <c r="BQ230" s="21">
        <v>4</v>
      </c>
      <c r="BR230" s="14" t="s">
        <v>166</v>
      </c>
      <c r="BS230" s="21" t="s">
        <v>166</v>
      </c>
      <c r="BT230" s="14" t="s">
        <v>4650</v>
      </c>
      <c r="BU230" s="14" t="s">
        <v>166</v>
      </c>
      <c r="BV230" s="14" t="s">
        <v>166</v>
      </c>
      <c r="BW230" s="14" t="s">
        <v>166</v>
      </c>
      <c r="BX230" s="14" t="s">
        <v>166</v>
      </c>
      <c r="BY230" s="14" t="s">
        <v>166</v>
      </c>
      <c r="BZ230" s="14" t="s">
        <v>166</v>
      </c>
      <c r="CA230" s="14" t="s">
        <v>166</v>
      </c>
      <c r="CB230" s="14" t="s">
        <v>166</v>
      </c>
      <c r="CC230" s="14" t="s">
        <v>166</v>
      </c>
      <c r="CD230" s="14" t="s">
        <v>166</v>
      </c>
      <c r="CE230" s="18" t="s">
        <v>166</v>
      </c>
      <c r="CF230" s="16" t="s">
        <v>166</v>
      </c>
      <c r="CG230" s="17" t="s">
        <v>166</v>
      </c>
      <c r="CH230" s="16" t="s">
        <v>166</v>
      </c>
      <c r="CI230" s="16" t="s">
        <v>166</v>
      </c>
      <c r="CJ230" s="16" t="s">
        <v>166</v>
      </c>
      <c r="CK230" s="16" t="s">
        <v>166</v>
      </c>
      <c r="CL230" s="16" t="s">
        <v>166</v>
      </c>
      <c r="CM230" s="20" t="s">
        <v>166</v>
      </c>
      <c r="CN230" s="16" t="s">
        <v>166</v>
      </c>
      <c r="CO230" s="16" t="s">
        <v>166</v>
      </c>
      <c r="CP230" s="16" t="s">
        <v>166</v>
      </c>
      <c r="CQ230" s="16" t="s">
        <v>166</v>
      </c>
      <c r="CR230" s="16" t="s">
        <v>166</v>
      </c>
      <c r="CS230" s="16" t="s">
        <v>166</v>
      </c>
      <c r="CT230" s="16" t="s">
        <v>166</v>
      </c>
      <c r="CU230" s="16" t="s">
        <v>166</v>
      </c>
      <c r="CV230" s="16" t="s">
        <v>166</v>
      </c>
      <c r="CW230" s="16" t="s">
        <v>166</v>
      </c>
      <c r="CX230" s="16" t="s">
        <v>166</v>
      </c>
      <c r="CY230" s="16" t="s">
        <v>166</v>
      </c>
      <c r="CZ230" s="16" t="s">
        <v>166</v>
      </c>
      <c r="DA230" s="16" t="s">
        <v>166</v>
      </c>
      <c r="DB230" s="16" t="s">
        <v>166</v>
      </c>
      <c r="DC230" s="16" t="s">
        <v>166</v>
      </c>
      <c r="DD230" s="16" t="s">
        <v>166</v>
      </c>
      <c r="DE230" s="17" t="s">
        <v>166</v>
      </c>
      <c r="DF230" s="22">
        <v>2</v>
      </c>
      <c r="DG230" s="14" t="s">
        <v>673</v>
      </c>
      <c r="DH230" s="14" t="s">
        <v>193</v>
      </c>
      <c r="DI230" s="14" t="s">
        <v>194</v>
      </c>
      <c r="DJ230" s="14" t="s">
        <v>674</v>
      </c>
      <c r="DK230" s="14" t="s">
        <v>257</v>
      </c>
      <c r="DL230" s="21" t="s">
        <v>1794</v>
      </c>
      <c r="DM230" s="14" t="s">
        <v>198</v>
      </c>
      <c r="DN230" s="13" t="s">
        <v>4651</v>
      </c>
      <c r="DO230" s="20">
        <v>2023</v>
      </c>
      <c r="DP230" s="14" t="s">
        <v>166</v>
      </c>
      <c r="DQ230" s="14" t="s">
        <v>166</v>
      </c>
      <c r="DR230" s="18" t="s">
        <v>166</v>
      </c>
      <c r="DS230" s="16" t="s">
        <v>166</v>
      </c>
      <c r="DT230" s="19" t="s">
        <v>166</v>
      </c>
      <c r="DU230" s="14" t="s">
        <v>166</v>
      </c>
      <c r="DV230" s="18" t="s">
        <v>166</v>
      </c>
      <c r="DW230" s="18" t="s">
        <v>166</v>
      </c>
      <c r="DX230" s="16" t="s">
        <v>166</v>
      </c>
      <c r="DY230" s="16" t="s">
        <v>166</v>
      </c>
      <c r="DZ230" s="17" t="s">
        <v>166</v>
      </c>
      <c r="EA230" s="16" t="s">
        <v>166</v>
      </c>
      <c r="EB230" s="16" t="s">
        <v>166</v>
      </c>
      <c r="EC230" s="16" t="s">
        <v>166</v>
      </c>
      <c r="ED230" s="17" t="s">
        <v>166</v>
      </c>
      <c r="EE230" s="17" t="s">
        <v>166</v>
      </c>
      <c r="EF230" s="17" t="s">
        <v>166</v>
      </c>
      <c r="EG230" s="17" t="s">
        <v>166</v>
      </c>
      <c r="EH230" s="16" t="s">
        <v>166</v>
      </c>
      <c r="EI230" s="16" t="s">
        <v>166</v>
      </c>
      <c r="EJ230" s="16" t="s">
        <v>166</v>
      </c>
      <c r="EK230" s="16" t="s">
        <v>166</v>
      </c>
      <c r="EL230" s="16" t="s">
        <v>166</v>
      </c>
      <c r="EM230" s="16" t="s">
        <v>166</v>
      </c>
      <c r="EN230" s="16" t="s">
        <v>166</v>
      </c>
      <c r="EO230" s="16" t="s">
        <v>166</v>
      </c>
      <c r="EP230" s="16" t="s">
        <v>166</v>
      </c>
      <c r="EQ230" s="16" t="s">
        <v>166</v>
      </c>
      <c r="ER230" s="16" t="s">
        <v>166</v>
      </c>
      <c r="ES230" s="16" t="s">
        <v>166</v>
      </c>
      <c r="ET230" s="14" t="s">
        <v>166</v>
      </c>
      <c r="EU230" s="16" t="s">
        <v>166</v>
      </c>
      <c r="EV230" s="16" t="s">
        <v>166</v>
      </c>
      <c r="EW230" s="16" t="s">
        <v>166</v>
      </c>
      <c r="EX230" s="14" t="s">
        <v>190</v>
      </c>
      <c r="EY230" s="14" t="s">
        <v>166</v>
      </c>
      <c r="EZ230" s="16" t="s">
        <v>166</v>
      </c>
      <c r="FA230" s="15" t="s">
        <v>166</v>
      </c>
      <c r="FB230" s="15" t="s">
        <v>166</v>
      </c>
      <c r="FC230" s="15" t="s">
        <v>166</v>
      </c>
      <c r="FD230" s="15" t="s">
        <v>166</v>
      </c>
      <c r="FE230" s="15" t="s">
        <v>166</v>
      </c>
      <c r="FF230" s="15" t="s">
        <v>166</v>
      </c>
      <c r="FG230" s="14" t="s">
        <v>166</v>
      </c>
      <c r="FH230" s="3">
        <f>HYPERLINK("https://my.pitchbook.com?c=274355-11T","View Company Online")</f>
      </c>
    </row>
    <row r="231">
      <c r="A231" s="25" t="s">
        <v>4652</v>
      </c>
      <c r="B231" s="25" t="s">
        <v>4653</v>
      </c>
      <c r="C231" s="25" t="s">
        <v>4654</v>
      </c>
      <c r="D231" s="25" t="s">
        <v>166</v>
      </c>
      <c r="E231" s="34" t="s">
        <v>4655</v>
      </c>
      <c r="F231" s="32">
        <v>1</v>
      </c>
      <c r="G231" s="25" t="s">
        <v>4656</v>
      </c>
      <c r="H231" s="25" t="s">
        <v>166</v>
      </c>
      <c r="I231" s="25" t="s">
        <v>4657</v>
      </c>
      <c r="J231" s="25" t="s">
        <v>4658</v>
      </c>
      <c r="K231" s="25" t="s">
        <v>1455</v>
      </c>
      <c r="L231" s="25" t="s">
        <v>4659</v>
      </c>
      <c r="M231" s="25" t="s">
        <v>4660</v>
      </c>
      <c r="N231" s="25" t="s">
        <v>4661</v>
      </c>
      <c r="O231" s="25" t="s">
        <v>4662</v>
      </c>
      <c r="P231" s="25" t="s">
        <v>4663</v>
      </c>
      <c r="Q231" s="25" t="s">
        <v>166</v>
      </c>
      <c r="R231" s="25" t="s">
        <v>177</v>
      </c>
      <c r="S231" s="25" t="s">
        <v>178</v>
      </c>
      <c r="T231" s="25" t="s">
        <v>179</v>
      </c>
      <c r="U231" s="25" t="s">
        <v>4664</v>
      </c>
      <c r="V231" s="25" t="s">
        <v>4665</v>
      </c>
      <c r="W231" s="32" t="s">
        <v>4666</v>
      </c>
      <c r="X231" s="25" t="s">
        <v>4667</v>
      </c>
      <c r="Y231" s="25" t="s">
        <v>4668</v>
      </c>
      <c r="Z231" s="25" t="s">
        <v>166</v>
      </c>
      <c r="AA231" s="25" t="s">
        <v>166</v>
      </c>
      <c r="AB231" s="25" t="s">
        <v>166</v>
      </c>
      <c r="AC231" s="25" t="s">
        <v>166</v>
      </c>
      <c r="AD231" s="25" t="s">
        <v>166</v>
      </c>
      <c r="AE231" s="25" t="s">
        <v>166</v>
      </c>
      <c r="AF231" s="25" t="s">
        <v>166</v>
      </c>
      <c r="AG231" s="25" t="s">
        <v>166</v>
      </c>
      <c r="AH231" s="32">
        <v>1</v>
      </c>
      <c r="AI231" s="4">
        <f>HYPERLINK("https://my.pitchbook.com/?d=197179-39T","197179-39T")</f>
      </c>
      <c r="AJ231" s="30" t="s">
        <v>166</v>
      </c>
      <c r="AK231" s="30">
        <v>44741</v>
      </c>
      <c r="AL231" s="29">
        <v>2</v>
      </c>
      <c r="AM231" s="25" t="s">
        <v>185</v>
      </c>
      <c r="AN231" s="29" t="s">
        <v>166</v>
      </c>
      <c r="AO231" s="29" t="s">
        <v>166</v>
      </c>
      <c r="AP231" s="25" t="s">
        <v>166</v>
      </c>
      <c r="AQ231" s="32" t="s">
        <v>166</v>
      </c>
      <c r="AR231" s="32" t="s">
        <v>166</v>
      </c>
      <c r="AS231" s="28" t="s">
        <v>166</v>
      </c>
      <c r="AT231" s="29">
        <v>2</v>
      </c>
      <c r="AU231" s="32" t="s">
        <v>186</v>
      </c>
      <c r="AV231" s="32" t="s">
        <v>166</v>
      </c>
      <c r="AW231" s="29" t="s">
        <v>166</v>
      </c>
      <c r="AX231" s="32" t="s">
        <v>166</v>
      </c>
      <c r="AY231" s="25" t="s">
        <v>217</v>
      </c>
      <c r="AZ231" s="25" t="s">
        <v>217</v>
      </c>
      <c r="BA231" s="25" t="s">
        <v>166</v>
      </c>
      <c r="BB231" s="32" t="s">
        <v>166</v>
      </c>
      <c r="BC231" s="25" t="s">
        <v>179</v>
      </c>
      <c r="BD231" s="25" t="s">
        <v>4658</v>
      </c>
      <c r="BE231" s="25" t="s">
        <v>189</v>
      </c>
      <c r="BF231" s="29">
        <v>2</v>
      </c>
      <c r="BG231" s="25" t="s">
        <v>190</v>
      </c>
      <c r="BH231" s="25" t="s">
        <v>166</v>
      </c>
      <c r="BI231" s="25" t="s">
        <v>166</v>
      </c>
      <c r="BJ231" s="29" t="s">
        <v>166</v>
      </c>
      <c r="BK231" s="29" t="s">
        <v>166</v>
      </c>
      <c r="BL231" s="25" t="s">
        <v>191</v>
      </c>
      <c r="BM231" s="25" t="s">
        <v>178</v>
      </c>
      <c r="BN231" s="25" t="s">
        <v>177</v>
      </c>
      <c r="BO231" s="33" t="s">
        <v>166</v>
      </c>
      <c r="BP231" s="25" t="s">
        <v>4669</v>
      </c>
      <c r="BQ231" s="32">
        <v>1</v>
      </c>
      <c r="BR231" s="25" t="s">
        <v>166</v>
      </c>
      <c r="BS231" s="32" t="s">
        <v>166</v>
      </c>
      <c r="BT231" s="25" t="s">
        <v>166</v>
      </c>
      <c r="BU231" s="25" t="s">
        <v>166</v>
      </c>
      <c r="BV231" s="25" t="s">
        <v>166</v>
      </c>
      <c r="BW231" s="25" t="s">
        <v>166</v>
      </c>
      <c r="BX231" s="25" t="s">
        <v>166</v>
      </c>
      <c r="BY231" s="25" t="s">
        <v>166</v>
      </c>
      <c r="BZ231" s="25" t="s">
        <v>166</v>
      </c>
      <c r="CA231" s="25" t="s">
        <v>166</v>
      </c>
      <c r="CB231" s="25" t="s">
        <v>166</v>
      </c>
      <c r="CC231" s="25" t="s">
        <v>166</v>
      </c>
      <c r="CD231" s="25" t="s">
        <v>166</v>
      </c>
      <c r="CE231" s="29" t="s">
        <v>166</v>
      </c>
      <c r="CF231" s="27" t="s">
        <v>166</v>
      </c>
      <c r="CG231" s="28" t="s">
        <v>166</v>
      </c>
      <c r="CH231" s="27" t="s">
        <v>166</v>
      </c>
      <c r="CI231" s="27" t="s">
        <v>166</v>
      </c>
      <c r="CJ231" s="27" t="s">
        <v>166</v>
      </c>
      <c r="CK231" s="27" t="s">
        <v>166</v>
      </c>
      <c r="CL231" s="27" t="s">
        <v>166</v>
      </c>
      <c r="CM231" s="31" t="s">
        <v>166</v>
      </c>
      <c r="CN231" s="27" t="s">
        <v>166</v>
      </c>
      <c r="CO231" s="27" t="s">
        <v>166</v>
      </c>
      <c r="CP231" s="27" t="s">
        <v>166</v>
      </c>
      <c r="CQ231" s="27" t="s">
        <v>166</v>
      </c>
      <c r="CR231" s="27" t="s">
        <v>166</v>
      </c>
      <c r="CS231" s="27" t="s">
        <v>166</v>
      </c>
      <c r="CT231" s="27" t="s">
        <v>166</v>
      </c>
      <c r="CU231" s="27" t="s">
        <v>166</v>
      </c>
      <c r="CV231" s="27" t="s">
        <v>166</v>
      </c>
      <c r="CW231" s="27" t="s">
        <v>166</v>
      </c>
      <c r="CX231" s="27" t="s">
        <v>166</v>
      </c>
      <c r="CY231" s="27" t="s">
        <v>166</v>
      </c>
      <c r="CZ231" s="27" t="s">
        <v>166</v>
      </c>
      <c r="DA231" s="27" t="s">
        <v>166</v>
      </c>
      <c r="DB231" s="27" t="s">
        <v>166</v>
      </c>
      <c r="DC231" s="27" t="s">
        <v>166</v>
      </c>
      <c r="DD231" s="27" t="s">
        <v>166</v>
      </c>
      <c r="DE231" s="28" t="s">
        <v>166</v>
      </c>
      <c r="DF231" s="33">
        <v>8</v>
      </c>
      <c r="DG231" s="25" t="s">
        <v>4670</v>
      </c>
      <c r="DH231" s="25" t="s">
        <v>193</v>
      </c>
      <c r="DI231" s="25" t="s">
        <v>194</v>
      </c>
      <c r="DJ231" s="25" t="s">
        <v>3720</v>
      </c>
      <c r="DK231" s="25" t="s">
        <v>4671</v>
      </c>
      <c r="DL231" s="32" t="s">
        <v>4672</v>
      </c>
      <c r="DM231" s="25" t="s">
        <v>198</v>
      </c>
      <c r="DN231" s="24" t="s">
        <v>4673</v>
      </c>
      <c r="DO231" s="31">
        <v>2019</v>
      </c>
      <c r="DP231" s="25" t="s">
        <v>166</v>
      </c>
      <c r="DQ231" s="25" t="s">
        <v>166</v>
      </c>
      <c r="DR231" s="29" t="s">
        <v>166</v>
      </c>
      <c r="DS231" s="27" t="s">
        <v>166</v>
      </c>
      <c r="DT231" s="30" t="s">
        <v>166</v>
      </c>
      <c r="DU231" s="25" t="s">
        <v>166</v>
      </c>
      <c r="DV231" s="29" t="s">
        <v>166</v>
      </c>
      <c r="DW231" s="29" t="s">
        <v>166</v>
      </c>
      <c r="DX231" s="27" t="s">
        <v>166</v>
      </c>
      <c r="DY231" s="27" t="s">
        <v>166</v>
      </c>
      <c r="DZ231" s="28" t="s">
        <v>166</v>
      </c>
      <c r="EA231" s="27" t="s">
        <v>166</v>
      </c>
      <c r="EB231" s="27" t="s">
        <v>166</v>
      </c>
      <c r="EC231" s="27" t="s">
        <v>166</v>
      </c>
      <c r="ED231" s="28" t="s">
        <v>166</v>
      </c>
      <c r="EE231" s="28" t="s">
        <v>166</v>
      </c>
      <c r="EF231" s="28" t="s">
        <v>166</v>
      </c>
      <c r="EG231" s="28" t="s">
        <v>166</v>
      </c>
      <c r="EH231" s="27" t="s">
        <v>166</v>
      </c>
      <c r="EI231" s="27" t="s">
        <v>166</v>
      </c>
      <c r="EJ231" s="27" t="s">
        <v>166</v>
      </c>
      <c r="EK231" s="27" t="s">
        <v>166</v>
      </c>
      <c r="EL231" s="27" t="s">
        <v>166</v>
      </c>
      <c r="EM231" s="27" t="s">
        <v>166</v>
      </c>
      <c r="EN231" s="27" t="s">
        <v>166</v>
      </c>
      <c r="EO231" s="27" t="s">
        <v>166</v>
      </c>
      <c r="EP231" s="27" t="s">
        <v>166</v>
      </c>
      <c r="EQ231" s="27" t="s">
        <v>166</v>
      </c>
      <c r="ER231" s="27" t="s">
        <v>166</v>
      </c>
      <c r="ES231" s="27" t="s">
        <v>166</v>
      </c>
      <c r="ET231" s="25" t="s">
        <v>166</v>
      </c>
      <c r="EU231" s="27" t="s">
        <v>166</v>
      </c>
      <c r="EV231" s="27" t="s">
        <v>166</v>
      </c>
      <c r="EW231" s="27" t="s">
        <v>166</v>
      </c>
      <c r="EX231" s="25" t="s">
        <v>190</v>
      </c>
      <c r="EY231" s="25" t="s">
        <v>166</v>
      </c>
      <c r="EZ231" s="27" t="s">
        <v>166</v>
      </c>
      <c r="FA231" s="26" t="s">
        <v>166</v>
      </c>
      <c r="FB231" s="26" t="s">
        <v>166</v>
      </c>
      <c r="FC231" s="26" t="s">
        <v>166</v>
      </c>
      <c r="FD231" s="26" t="s">
        <v>166</v>
      </c>
      <c r="FE231" s="26" t="s">
        <v>166</v>
      </c>
      <c r="FF231" s="26" t="s">
        <v>166</v>
      </c>
      <c r="FG231" s="25" t="s">
        <v>166</v>
      </c>
      <c r="FH231" s="4">
        <f>HYPERLINK("https://my.pitchbook.com?c=197179-39T","View Company Online")</f>
      </c>
    </row>
    <row r="232">
      <c r="A232" s="14" t="s">
        <v>4674</v>
      </c>
      <c r="B232" s="14" t="s">
        <v>4675</v>
      </c>
      <c r="C232" s="14" t="s">
        <v>4676</v>
      </c>
      <c r="D232" s="14" t="s">
        <v>166</v>
      </c>
      <c r="E232" s="23" t="s">
        <v>4677</v>
      </c>
      <c r="F232" s="21">
        <v>2</v>
      </c>
      <c r="G232" s="14" t="s">
        <v>4678</v>
      </c>
      <c r="H232" s="14" t="s">
        <v>166</v>
      </c>
      <c r="I232" s="14" t="s">
        <v>4679</v>
      </c>
      <c r="J232" s="14" t="s">
        <v>4680</v>
      </c>
      <c r="K232" s="14" t="s">
        <v>1455</v>
      </c>
      <c r="L232" s="14" t="s">
        <v>1984</v>
      </c>
      <c r="M232" s="14" t="s">
        <v>2112</v>
      </c>
      <c r="N232" s="14" t="s">
        <v>3046</v>
      </c>
      <c r="O232" s="14" t="s">
        <v>166</v>
      </c>
      <c r="P232" s="14" t="s">
        <v>4681</v>
      </c>
      <c r="Q232" s="14" t="s">
        <v>166</v>
      </c>
      <c r="R232" s="14" t="s">
        <v>177</v>
      </c>
      <c r="S232" s="14" t="s">
        <v>178</v>
      </c>
      <c r="T232" s="14" t="s">
        <v>179</v>
      </c>
      <c r="U232" s="14" t="s">
        <v>4682</v>
      </c>
      <c r="V232" s="14" t="s">
        <v>4683</v>
      </c>
      <c r="W232" s="21" t="s">
        <v>4684</v>
      </c>
      <c r="X232" s="14" t="s">
        <v>4685</v>
      </c>
      <c r="Y232" s="14" t="s">
        <v>4686</v>
      </c>
      <c r="Z232" s="14" t="s">
        <v>4687</v>
      </c>
      <c r="AA232" s="14" t="s">
        <v>242</v>
      </c>
      <c r="AB232" s="14" t="s">
        <v>243</v>
      </c>
      <c r="AC232" s="14" t="s">
        <v>244</v>
      </c>
      <c r="AD232" s="14" t="s">
        <v>243</v>
      </c>
      <c r="AE232" s="14" t="s">
        <v>243</v>
      </c>
      <c r="AF232" s="14" t="s">
        <v>166</v>
      </c>
      <c r="AG232" s="14" t="s">
        <v>807</v>
      </c>
      <c r="AH232" s="21">
        <v>1</v>
      </c>
      <c r="AI232" s="3">
        <f>HYPERLINK("https://my.pitchbook.com/?d=209229-04T","209229-04T")</f>
      </c>
      <c r="AJ232" s="19" t="s">
        <v>166</v>
      </c>
      <c r="AK232" s="19">
        <v>44866</v>
      </c>
      <c r="AL232" s="18">
        <v>2</v>
      </c>
      <c r="AM232" s="14" t="s">
        <v>247</v>
      </c>
      <c r="AN232" s="18">
        <v>6</v>
      </c>
      <c r="AO232" s="18">
        <v>8</v>
      </c>
      <c r="AP232" s="14" t="s">
        <v>185</v>
      </c>
      <c r="AQ232" s="21" t="s">
        <v>166</v>
      </c>
      <c r="AR232" s="21" t="s">
        <v>166</v>
      </c>
      <c r="AS232" s="17">
        <v>25</v>
      </c>
      <c r="AT232" s="18">
        <v>2</v>
      </c>
      <c r="AU232" s="21" t="s">
        <v>186</v>
      </c>
      <c r="AV232" s="21" t="s">
        <v>166</v>
      </c>
      <c r="AW232" s="18">
        <v>1.5</v>
      </c>
      <c r="AX232" s="21" t="s">
        <v>166</v>
      </c>
      <c r="AY232" s="14" t="s">
        <v>217</v>
      </c>
      <c r="AZ232" s="14" t="s">
        <v>217</v>
      </c>
      <c r="BA232" s="14" t="s">
        <v>166</v>
      </c>
      <c r="BB232" s="21" t="s">
        <v>166</v>
      </c>
      <c r="BC232" s="14" t="s">
        <v>179</v>
      </c>
      <c r="BD232" s="14" t="s">
        <v>4680</v>
      </c>
      <c r="BE232" s="14" t="s">
        <v>189</v>
      </c>
      <c r="BF232" s="18">
        <v>2</v>
      </c>
      <c r="BG232" s="14" t="s">
        <v>190</v>
      </c>
      <c r="BH232" s="14" t="s">
        <v>166</v>
      </c>
      <c r="BI232" s="14" t="s">
        <v>166</v>
      </c>
      <c r="BJ232" s="18" t="s">
        <v>166</v>
      </c>
      <c r="BK232" s="18" t="s">
        <v>166</v>
      </c>
      <c r="BL232" s="14" t="s">
        <v>191</v>
      </c>
      <c r="BM232" s="14" t="s">
        <v>178</v>
      </c>
      <c r="BN232" s="14" t="s">
        <v>177</v>
      </c>
      <c r="BO232" s="22" t="s">
        <v>166</v>
      </c>
      <c r="BP232" s="14" t="s">
        <v>4688</v>
      </c>
      <c r="BQ232" s="21">
        <v>2</v>
      </c>
      <c r="BR232" s="14" t="s">
        <v>166</v>
      </c>
      <c r="BS232" s="21" t="s">
        <v>166</v>
      </c>
      <c r="BT232" s="14" t="s">
        <v>166</v>
      </c>
      <c r="BU232" s="14" t="s">
        <v>166</v>
      </c>
      <c r="BV232" s="14" t="s">
        <v>4689</v>
      </c>
      <c r="BW232" s="14" t="s">
        <v>166</v>
      </c>
      <c r="BX232" s="14" t="s">
        <v>166</v>
      </c>
      <c r="BY232" s="14" t="s">
        <v>166</v>
      </c>
      <c r="BZ232" s="14" t="s">
        <v>166</v>
      </c>
      <c r="CA232" s="14" t="s">
        <v>166</v>
      </c>
      <c r="CB232" s="14" t="s">
        <v>166</v>
      </c>
      <c r="CC232" s="14" t="s">
        <v>166</v>
      </c>
      <c r="CD232" s="14" t="s">
        <v>166</v>
      </c>
      <c r="CE232" s="18" t="s">
        <v>166</v>
      </c>
      <c r="CF232" s="16" t="s">
        <v>166</v>
      </c>
      <c r="CG232" s="17" t="s">
        <v>166</v>
      </c>
      <c r="CH232" s="16" t="s">
        <v>166</v>
      </c>
      <c r="CI232" s="16" t="s">
        <v>166</v>
      </c>
      <c r="CJ232" s="16" t="s">
        <v>166</v>
      </c>
      <c r="CK232" s="16" t="s">
        <v>166</v>
      </c>
      <c r="CL232" s="16" t="s">
        <v>166</v>
      </c>
      <c r="CM232" s="20" t="s">
        <v>166</v>
      </c>
      <c r="CN232" s="16" t="s">
        <v>166</v>
      </c>
      <c r="CO232" s="16" t="s">
        <v>166</v>
      </c>
      <c r="CP232" s="16" t="s">
        <v>166</v>
      </c>
      <c r="CQ232" s="16" t="s">
        <v>166</v>
      </c>
      <c r="CR232" s="16" t="s">
        <v>166</v>
      </c>
      <c r="CS232" s="16" t="s">
        <v>166</v>
      </c>
      <c r="CT232" s="16" t="s">
        <v>166</v>
      </c>
      <c r="CU232" s="16" t="s">
        <v>166</v>
      </c>
      <c r="CV232" s="16" t="s">
        <v>166</v>
      </c>
      <c r="CW232" s="16" t="s">
        <v>166</v>
      </c>
      <c r="CX232" s="16" t="s">
        <v>166</v>
      </c>
      <c r="CY232" s="16" t="s">
        <v>166</v>
      </c>
      <c r="CZ232" s="16" t="s">
        <v>166</v>
      </c>
      <c r="DA232" s="16" t="s">
        <v>166</v>
      </c>
      <c r="DB232" s="16" t="s">
        <v>166</v>
      </c>
      <c r="DC232" s="16" t="s">
        <v>166</v>
      </c>
      <c r="DD232" s="16" t="s">
        <v>166</v>
      </c>
      <c r="DE232" s="17" t="s">
        <v>166</v>
      </c>
      <c r="DF232" s="22">
        <v>7</v>
      </c>
      <c r="DG232" s="14" t="s">
        <v>309</v>
      </c>
      <c r="DH232" s="14" t="s">
        <v>193</v>
      </c>
      <c r="DI232" s="14" t="s">
        <v>194</v>
      </c>
      <c r="DJ232" s="14" t="s">
        <v>310</v>
      </c>
      <c r="DK232" s="14" t="s">
        <v>310</v>
      </c>
      <c r="DL232" s="21" t="s">
        <v>166</v>
      </c>
      <c r="DM232" s="14" t="s">
        <v>198</v>
      </c>
      <c r="DN232" s="13" t="s">
        <v>4690</v>
      </c>
      <c r="DO232" s="20">
        <v>2021</v>
      </c>
      <c r="DP232" s="14" t="s">
        <v>166</v>
      </c>
      <c r="DQ232" s="14" t="s">
        <v>166</v>
      </c>
      <c r="DR232" s="18" t="s">
        <v>166</v>
      </c>
      <c r="DS232" s="16" t="s">
        <v>166</v>
      </c>
      <c r="DT232" s="19" t="s">
        <v>166</v>
      </c>
      <c r="DU232" s="14" t="s">
        <v>166</v>
      </c>
      <c r="DV232" s="18" t="s">
        <v>166</v>
      </c>
      <c r="DW232" s="18" t="s">
        <v>166</v>
      </c>
      <c r="DX232" s="16" t="s">
        <v>166</v>
      </c>
      <c r="DY232" s="16" t="s">
        <v>166</v>
      </c>
      <c r="DZ232" s="17" t="s">
        <v>166</v>
      </c>
      <c r="EA232" s="16" t="s">
        <v>166</v>
      </c>
      <c r="EB232" s="16" t="s">
        <v>166</v>
      </c>
      <c r="EC232" s="16" t="s">
        <v>166</v>
      </c>
      <c r="ED232" s="17" t="s">
        <v>166</v>
      </c>
      <c r="EE232" s="17" t="s">
        <v>166</v>
      </c>
      <c r="EF232" s="17" t="s">
        <v>166</v>
      </c>
      <c r="EG232" s="17" t="s">
        <v>166</v>
      </c>
      <c r="EH232" s="16" t="s">
        <v>166</v>
      </c>
      <c r="EI232" s="16" t="s">
        <v>166</v>
      </c>
      <c r="EJ232" s="16" t="s">
        <v>166</v>
      </c>
      <c r="EK232" s="16" t="s">
        <v>166</v>
      </c>
      <c r="EL232" s="16" t="s">
        <v>166</v>
      </c>
      <c r="EM232" s="16" t="s">
        <v>166</v>
      </c>
      <c r="EN232" s="16" t="s">
        <v>166</v>
      </c>
      <c r="EO232" s="16" t="s">
        <v>166</v>
      </c>
      <c r="EP232" s="16" t="s">
        <v>166</v>
      </c>
      <c r="EQ232" s="16" t="s">
        <v>166</v>
      </c>
      <c r="ER232" s="16" t="s">
        <v>166</v>
      </c>
      <c r="ES232" s="16" t="s">
        <v>166</v>
      </c>
      <c r="ET232" s="14" t="s">
        <v>166</v>
      </c>
      <c r="EU232" s="16" t="s">
        <v>166</v>
      </c>
      <c r="EV232" s="16" t="s">
        <v>166</v>
      </c>
      <c r="EW232" s="16" t="s">
        <v>166</v>
      </c>
      <c r="EX232" s="14" t="s">
        <v>190</v>
      </c>
      <c r="EY232" s="14" t="s">
        <v>166</v>
      </c>
      <c r="EZ232" s="16" t="s">
        <v>166</v>
      </c>
      <c r="FA232" s="15" t="s">
        <v>166</v>
      </c>
      <c r="FB232" s="15" t="s">
        <v>166</v>
      </c>
      <c r="FC232" s="15" t="s">
        <v>166</v>
      </c>
      <c r="FD232" s="15" t="s">
        <v>166</v>
      </c>
      <c r="FE232" s="15" t="s">
        <v>166</v>
      </c>
      <c r="FF232" s="15" t="s">
        <v>166</v>
      </c>
      <c r="FG232" s="14" t="s">
        <v>166</v>
      </c>
      <c r="FH232" s="3">
        <f>HYPERLINK("https://my.pitchbook.com?c=209229-04T","View Company Online")</f>
      </c>
    </row>
    <row r="233">
      <c r="A233" s="25" t="s">
        <v>4691</v>
      </c>
      <c r="B233" s="25" t="s">
        <v>4692</v>
      </c>
      <c r="C233" s="25" t="s">
        <v>4693</v>
      </c>
      <c r="D233" s="25" t="s">
        <v>166</v>
      </c>
      <c r="E233" s="34" t="s">
        <v>4694</v>
      </c>
      <c r="F233" s="32">
        <v>3</v>
      </c>
      <c r="G233" s="25" t="s">
        <v>4695</v>
      </c>
      <c r="H233" s="25" t="s">
        <v>166</v>
      </c>
      <c r="I233" s="25" t="s">
        <v>4696</v>
      </c>
      <c r="J233" s="25" t="s">
        <v>4697</v>
      </c>
      <c r="K233" s="25" t="s">
        <v>207</v>
      </c>
      <c r="L233" s="25" t="s">
        <v>208</v>
      </c>
      <c r="M233" s="25" t="s">
        <v>639</v>
      </c>
      <c r="N233" s="25" t="s">
        <v>4698</v>
      </c>
      <c r="O233" s="25" t="s">
        <v>211</v>
      </c>
      <c r="P233" s="25" t="s">
        <v>4699</v>
      </c>
      <c r="Q233" s="25" t="s">
        <v>166</v>
      </c>
      <c r="R233" s="25" t="s">
        <v>177</v>
      </c>
      <c r="S233" s="25" t="s">
        <v>178</v>
      </c>
      <c r="T233" s="25" t="s">
        <v>179</v>
      </c>
      <c r="U233" s="25" t="s">
        <v>4700</v>
      </c>
      <c r="V233" s="25" t="s">
        <v>4701</v>
      </c>
      <c r="W233" s="32" t="s">
        <v>4702</v>
      </c>
      <c r="X233" s="25" t="s">
        <v>166</v>
      </c>
      <c r="Y233" s="25" t="s">
        <v>4703</v>
      </c>
      <c r="Z233" s="25" t="s">
        <v>166</v>
      </c>
      <c r="AA233" s="25" t="s">
        <v>166</v>
      </c>
      <c r="AB233" s="25" t="s">
        <v>166</v>
      </c>
      <c r="AC233" s="25" t="s">
        <v>166</v>
      </c>
      <c r="AD233" s="25" t="s">
        <v>166</v>
      </c>
      <c r="AE233" s="25" t="s">
        <v>166</v>
      </c>
      <c r="AF233" s="25" t="s">
        <v>166</v>
      </c>
      <c r="AG233" s="25" t="s">
        <v>166</v>
      </c>
      <c r="AH233" s="32">
        <v>1</v>
      </c>
      <c r="AI233" s="4">
        <f>HYPERLINK("https://my.pitchbook.com/?d=187800-31T","187800-31T")</f>
      </c>
      <c r="AJ233" s="30" t="s">
        <v>166</v>
      </c>
      <c r="AK233" s="30">
        <v>44403</v>
      </c>
      <c r="AL233" s="29">
        <v>0.05</v>
      </c>
      <c r="AM233" s="25" t="s">
        <v>185</v>
      </c>
      <c r="AN233" s="29">
        <v>2.65</v>
      </c>
      <c r="AO233" s="29">
        <v>2.7</v>
      </c>
      <c r="AP233" s="25" t="s">
        <v>185</v>
      </c>
      <c r="AQ233" s="32" t="s">
        <v>166</v>
      </c>
      <c r="AR233" s="32" t="s">
        <v>166</v>
      </c>
      <c r="AS233" s="28">
        <v>1.85</v>
      </c>
      <c r="AT233" s="29">
        <v>0.05</v>
      </c>
      <c r="AU233" s="32" t="s">
        <v>186</v>
      </c>
      <c r="AV233" s="32" t="s">
        <v>166</v>
      </c>
      <c r="AW233" s="29" t="s">
        <v>166</v>
      </c>
      <c r="AX233" s="32" t="s">
        <v>166</v>
      </c>
      <c r="AY233" s="25" t="s">
        <v>217</v>
      </c>
      <c r="AZ233" s="25" t="s">
        <v>217</v>
      </c>
      <c r="BA233" s="25" t="s">
        <v>166</v>
      </c>
      <c r="BB233" s="32" t="s">
        <v>166</v>
      </c>
      <c r="BC233" s="25" t="s">
        <v>179</v>
      </c>
      <c r="BD233" s="25" t="s">
        <v>4697</v>
      </c>
      <c r="BE233" s="25" t="s">
        <v>189</v>
      </c>
      <c r="BF233" s="29">
        <v>0.05</v>
      </c>
      <c r="BG233" s="25" t="s">
        <v>190</v>
      </c>
      <c r="BH233" s="25" t="s">
        <v>166</v>
      </c>
      <c r="BI233" s="25" t="s">
        <v>166</v>
      </c>
      <c r="BJ233" s="29" t="s">
        <v>166</v>
      </c>
      <c r="BK233" s="29" t="s">
        <v>166</v>
      </c>
      <c r="BL233" s="25" t="s">
        <v>191</v>
      </c>
      <c r="BM233" s="25" t="s">
        <v>178</v>
      </c>
      <c r="BN233" s="25" t="s">
        <v>177</v>
      </c>
      <c r="BO233" s="33">
        <v>5</v>
      </c>
      <c r="BP233" s="25" t="s">
        <v>4704</v>
      </c>
      <c r="BQ233" s="32">
        <v>3</v>
      </c>
      <c r="BR233" s="25" t="s">
        <v>166</v>
      </c>
      <c r="BS233" s="32" t="s">
        <v>166</v>
      </c>
      <c r="BT233" s="25" t="s">
        <v>4705</v>
      </c>
      <c r="BU233" s="25" t="s">
        <v>166</v>
      </c>
      <c r="BV233" s="25" t="s">
        <v>4706</v>
      </c>
      <c r="BW233" s="25" t="s">
        <v>166</v>
      </c>
      <c r="BX233" s="25" t="s">
        <v>166</v>
      </c>
      <c r="BY233" s="25" t="s">
        <v>166</v>
      </c>
      <c r="BZ233" s="25" t="s">
        <v>166</v>
      </c>
      <c r="CA233" s="25" t="s">
        <v>166</v>
      </c>
      <c r="CB233" s="25" t="s">
        <v>166</v>
      </c>
      <c r="CC233" s="25" t="s">
        <v>166</v>
      </c>
      <c r="CD233" s="25" t="s">
        <v>166</v>
      </c>
      <c r="CE233" s="29" t="s">
        <v>166</v>
      </c>
      <c r="CF233" s="27">
        <v>0.04</v>
      </c>
      <c r="CG233" s="28" t="s">
        <v>166</v>
      </c>
      <c r="CH233" s="27" t="s">
        <v>166</v>
      </c>
      <c r="CI233" s="27" t="s">
        <v>166</v>
      </c>
      <c r="CJ233" s="27" t="s">
        <v>166</v>
      </c>
      <c r="CK233" s="27" t="s">
        <v>166</v>
      </c>
      <c r="CL233" s="27" t="s">
        <v>166</v>
      </c>
      <c r="CM233" s="31">
        <v>2021</v>
      </c>
      <c r="CN233" s="27" t="s">
        <v>166</v>
      </c>
      <c r="CO233" s="27" t="s">
        <v>166</v>
      </c>
      <c r="CP233" s="27" t="s">
        <v>166</v>
      </c>
      <c r="CQ233" s="27">
        <v>70.13</v>
      </c>
      <c r="CR233" s="27" t="s">
        <v>166</v>
      </c>
      <c r="CS233" s="27" t="s">
        <v>166</v>
      </c>
      <c r="CT233" s="27" t="s">
        <v>166</v>
      </c>
      <c r="CU233" s="27" t="s">
        <v>166</v>
      </c>
      <c r="CV233" s="27">
        <v>1.3</v>
      </c>
      <c r="CW233" s="27" t="s">
        <v>166</v>
      </c>
      <c r="CX233" s="27" t="s">
        <v>166</v>
      </c>
      <c r="CY233" s="27" t="s">
        <v>166</v>
      </c>
      <c r="CZ233" s="27" t="s">
        <v>166</v>
      </c>
      <c r="DA233" s="27" t="s">
        <v>166</v>
      </c>
      <c r="DB233" s="27" t="s">
        <v>166</v>
      </c>
      <c r="DC233" s="27" t="s">
        <v>166</v>
      </c>
      <c r="DD233" s="27" t="s">
        <v>166</v>
      </c>
      <c r="DE233" s="28" t="s">
        <v>166</v>
      </c>
      <c r="DF233" s="33">
        <v>47</v>
      </c>
      <c r="DG233" s="25" t="s">
        <v>4009</v>
      </c>
      <c r="DH233" s="25" t="s">
        <v>193</v>
      </c>
      <c r="DI233" s="25" t="s">
        <v>194</v>
      </c>
      <c r="DJ233" s="25" t="s">
        <v>4010</v>
      </c>
      <c r="DK233" s="25" t="s">
        <v>2102</v>
      </c>
      <c r="DL233" s="32" t="s">
        <v>4707</v>
      </c>
      <c r="DM233" s="25" t="s">
        <v>198</v>
      </c>
      <c r="DN233" s="24" t="s">
        <v>4708</v>
      </c>
      <c r="DO233" s="31">
        <v>2019</v>
      </c>
      <c r="DP233" s="25" t="s">
        <v>166</v>
      </c>
      <c r="DQ233" s="25" t="s">
        <v>166</v>
      </c>
      <c r="DR233" s="29" t="s">
        <v>166</v>
      </c>
      <c r="DS233" s="27" t="s">
        <v>166</v>
      </c>
      <c r="DT233" s="30" t="s">
        <v>166</v>
      </c>
      <c r="DU233" s="25" t="s">
        <v>166</v>
      </c>
      <c r="DV233" s="29" t="s">
        <v>166</v>
      </c>
      <c r="DW233" s="29" t="s">
        <v>166</v>
      </c>
      <c r="DX233" s="27" t="s">
        <v>166</v>
      </c>
      <c r="DY233" s="27" t="s">
        <v>166</v>
      </c>
      <c r="DZ233" s="28" t="s">
        <v>166</v>
      </c>
      <c r="EA233" s="27" t="s">
        <v>166</v>
      </c>
      <c r="EB233" s="27" t="s">
        <v>166</v>
      </c>
      <c r="EC233" s="27" t="s">
        <v>166</v>
      </c>
      <c r="ED233" s="28" t="s">
        <v>166</v>
      </c>
      <c r="EE233" s="28" t="s">
        <v>166</v>
      </c>
      <c r="EF233" s="28" t="s">
        <v>166</v>
      </c>
      <c r="EG233" s="28" t="s">
        <v>166</v>
      </c>
      <c r="EH233" s="27" t="s">
        <v>166</v>
      </c>
      <c r="EI233" s="27" t="s">
        <v>166</v>
      </c>
      <c r="EJ233" s="27" t="s">
        <v>166</v>
      </c>
      <c r="EK233" s="27" t="s">
        <v>166</v>
      </c>
      <c r="EL233" s="27" t="s">
        <v>166</v>
      </c>
      <c r="EM233" s="27" t="s">
        <v>166</v>
      </c>
      <c r="EN233" s="27" t="s">
        <v>166</v>
      </c>
      <c r="EO233" s="27" t="s">
        <v>166</v>
      </c>
      <c r="EP233" s="27" t="s">
        <v>166</v>
      </c>
      <c r="EQ233" s="27" t="s">
        <v>166</v>
      </c>
      <c r="ER233" s="27" t="s">
        <v>166</v>
      </c>
      <c r="ES233" s="27" t="s">
        <v>166</v>
      </c>
      <c r="ET233" s="25" t="s">
        <v>166</v>
      </c>
      <c r="EU233" s="27" t="s">
        <v>166</v>
      </c>
      <c r="EV233" s="27" t="s">
        <v>166</v>
      </c>
      <c r="EW233" s="27" t="s">
        <v>166</v>
      </c>
      <c r="EX233" s="25" t="s">
        <v>190</v>
      </c>
      <c r="EY233" s="25" t="s">
        <v>166</v>
      </c>
      <c r="EZ233" s="27" t="s">
        <v>166</v>
      </c>
      <c r="FA233" s="26" t="s">
        <v>166</v>
      </c>
      <c r="FB233" s="26" t="s">
        <v>166</v>
      </c>
      <c r="FC233" s="26" t="s">
        <v>166</v>
      </c>
      <c r="FD233" s="26" t="s">
        <v>166</v>
      </c>
      <c r="FE233" s="26" t="s">
        <v>166</v>
      </c>
      <c r="FF233" s="26" t="s">
        <v>166</v>
      </c>
      <c r="FG233" s="25" t="s">
        <v>166</v>
      </c>
      <c r="FH233" s="4">
        <f>HYPERLINK("https://my.pitchbook.com?c=187800-31T","View Company Online")</f>
      </c>
    </row>
    <row r="234">
      <c r="A234" s="14" t="s">
        <v>4709</v>
      </c>
      <c r="B234" s="14" t="s">
        <v>4710</v>
      </c>
      <c r="C234" s="14" t="s">
        <v>4711</v>
      </c>
      <c r="D234" s="14" t="s">
        <v>166</v>
      </c>
      <c r="E234" s="23" t="s">
        <v>4712</v>
      </c>
      <c r="F234" s="21">
        <v>4</v>
      </c>
      <c r="G234" s="14" t="s">
        <v>4713</v>
      </c>
      <c r="H234" s="14" t="s">
        <v>166</v>
      </c>
      <c r="I234" s="14" t="s">
        <v>4714</v>
      </c>
      <c r="J234" s="14" t="s">
        <v>4715</v>
      </c>
      <c r="K234" s="14" t="s">
        <v>207</v>
      </c>
      <c r="L234" s="14" t="s">
        <v>208</v>
      </c>
      <c r="M234" s="14" t="s">
        <v>639</v>
      </c>
      <c r="N234" s="14" t="s">
        <v>4716</v>
      </c>
      <c r="O234" s="14" t="s">
        <v>1842</v>
      </c>
      <c r="P234" s="14" t="s">
        <v>4717</v>
      </c>
      <c r="Q234" s="14" t="s">
        <v>166</v>
      </c>
      <c r="R234" s="14" t="s">
        <v>177</v>
      </c>
      <c r="S234" s="14" t="s">
        <v>785</v>
      </c>
      <c r="T234" s="14" t="s">
        <v>179</v>
      </c>
      <c r="U234" s="14" t="s">
        <v>4718</v>
      </c>
      <c r="V234" s="14" t="s">
        <v>4719</v>
      </c>
      <c r="W234" s="21" t="s">
        <v>4720</v>
      </c>
      <c r="X234" s="14" t="s">
        <v>4721</v>
      </c>
      <c r="Y234" s="14" t="s">
        <v>4722</v>
      </c>
      <c r="Z234" s="14" t="s">
        <v>4723</v>
      </c>
      <c r="AA234" s="14" t="s">
        <v>242</v>
      </c>
      <c r="AB234" s="14" t="s">
        <v>243</v>
      </c>
      <c r="AC234" s="14" t="s">
        <v>244</v>
      </c>
      <c r="AD234" s="14" t="s">
        <v>166</v>
      </c>
      <c r="AE234" s="14" t="s">
        <v>243</v>
      </c>
      <c r="AF234" s="14" t="s">
        <v>245</v>
      </c>
      <c r="AG234" s="14" t="s">
        <v>246</v>
      </c>
      <c r="AH234" s="21">
        <v>2</v>
      </c>
      <c r="AI234" s="3">
        <f>HYPERLINK("https://my.pitchbook.com/?d=181106-20T","181106-20T")</f>
      </c>
      <c r="AJ234" s="19" t="s">
        <v>166</v>
      </c>
      <c r="AK234" s="19">
        <v>44195</v>
      </c>
      <c r="AL234" s="18">
        <v>3</v>
      </c>
      <c r="AM234" s="14" t="s">
        <v>247</v>
      </c>
      <c r="AN234" s="18">
        <v>7</v>
      </c>
      <c r="AO234" s="18">
        <v>10</v>
      </c>
      <c r="AP234" s="14" t="s">
        <v>185</v>
      </c>
      <c r="AQ234" s="21" t="s">
        <v>166</v>
      </c>
      <c r="AR234" s="21" t="s">
        <v>166</v>
      </c>
      <c r="AS234" s="17">
        <v>29.99</v>
      </c>
      <c r="AT234" s="18">
        <v>3</v>
      </c>
      <c r="AU234" s="21" t="s">
        <v>186</v>
      </c>
      <c r="AV234" s="21" t="s">
        <v>166</v>
      </c>
      <c r="AW234" s="18">
        <v>1.4</v>
      </c>
      <c r="AX234" s="21" t="s">
        <v>166</v>
      </c>
      <c r="AY234" s="14" t="s">
        <v>217</v>
      </c>
      <c r="AZ234" s="14" t="s">
        <v>217</v>
      </c>
      <c r="BA234" s="14" t="s">
        <v>166</v>
      </c>
      <c r="BB234" s="21" t="s">
        <v>166</v>
      </c>
      <c r="BC234" s="14" t="s">
        <v>179</v>
      </c>
      <c r="BD234" s="14" t="s">
        <v>4724</v>
      </c>
      <c r="BE234" s="14" t="s">
        <v>189</v>
      </c>
      <c r="BF234" s="18">
        <v>3</v>
      </c>
      <c r="BG234" s="14" t="s">
        <v>190</v>
      </c>
      <c r="BH234" s="14" t="s">
        <v>166</v>
      </c>
      <c r="BI234" s="14" t="s">
        <v>166</v>
      </c>
      <c r="BJ234" s="18" t="s">
        <v>166</v>
      </c>
      <c r="BK234" s="18" t="s">
        <v>166</v>
      </c>
      <c r="BL234" s="14" t="s">
        <v>191</v>
      </c>
      <c r="BM234" s="14" t="s">
        <v>785</v>
      </c>
      <c r="BN234" s="14" t="s">
        <v>177</v>
      </c>
      <c r="BO234" s="22" t="s">
        <v>166</v>
      </c>
      <c r="BP234" s="14" t="s">
        <v>4725</v>
      </c>
      <c r="BQ234" s="21">
        <v>4</v>
      </c>
      <c r="BR234" s="14" t="s">
        <v>166</v>
      </c>
      <c r="BS234" s="21" t="s">
        <v>166</v>
      </c>
      <c r="BT234" s="14" t="s">
        <v>166</v>
      </c>
      <c r="BU234" s="14" t="s">
        <v>166</v>
      </c>
      <c r="BV234" s="14" t="s">
        <v>4726</v>
      </c>
      <c r="BW234" s="14" t="s">
        <v>166</v>
      </c>
      <c r="BX234" s="14" t="s">
        <v>166</v>
      </c>
      <c r="BY234" s="14" t="s">
        <v>166</v>
      </c>
      <c r="BZ234" s="14" t="s">
        <v>4727</v>
      </c>
      <c r="CA234" s="14" t="s">
        <v>4727</v>
      </c>
      <c r="CB234" s="14" t="s">
        <v>166</v>
      </c>
      <c r="CC234" s="14" t="s">
        <v>166</v>
      </c>
      <c r="CD234" s="14" t="s">
        <v>166</v>
      </c>
      <c r="CE234" s="18" t="s">
        <v>166</v>
      </c>
      <c r="CF234" s="16" t="s">
        <v>166</v>
      </c>
      <c r="CG234" s="17" t="s">
        <v>166</v>
      </c>
      <c r="CH234" s="16" t="s">
        <v>166</v>
      </c>
      <c r="CI234" s="16" t="s">
        <v>166</v>
      </c>
      <c r="CJ234" s="16" t="s">
        <v>166</v>
      </c>
      <c r="CK234" s="16" t="s">
        <v>166</v>
      </c>
      <c r="CL234" s="16" t="s">
        <v>166</v>
      </c>
      <c r="CM234" s="20" t="s">
        <v>166</v>
      </c>
      <c r="CN234" s="16" t="s">
        <v>166</v>
      </c>
      <c r="CO234" s="16" t="s">
        <v>166</v>
      </c>
      <c r="CP234" s="16" t="s">
        <v>166</v>
      </c>
      <c r="CQ234" s="16" t="s">
        <v>166</v>
      </c>
      <c r="CR234" s="16" t="s">
        <v>166</v>
      </c>
      <c r="CS234" s="16" t="s">
        <v>166</v>
      </c>
      <c r="CT234" s="16" t="s">
        <v>166</v>
      </c>
      <c r="CU234" s="16" t="s">
        <v>166</v>
      </c>
      <c r="CV234" s="16" t="s">
        <v>166</v>
      </c>
      <c r="CW234" s="16" t="s">
        <v>166</v>
      </c>
      <c r="CX234" s="16" t="s">
        <v>166</v>
      </c>
      <c r="CY234" s="16" t="s">
        <v>166</v>
      </c>
      <c r="CZ234" s="16" t="s">
        <v>166</v>
      </c>
      <c r="DA234" s="16" t="s">
        <v>166</v>
      </c>
      <c r="DB234" s="16" t="s">
        <v>166</v>
      </c>
      <c r="DC234" s="16" t="s">
        <v>166</v>
      </c>
      <c r="DD234" s="16" t="s">
        <v>166</v>
      </c>
      <c r="DE234" s="17" t="s">
        <v>166</v>
      </c>
      <c r="DF234" s="22">
        <v>9</v>
      </c>
      <c r="DG234" s="14" t="s">
        <v>4728</v>
      </c>
      <c r="DH234" s="14" t="s">
        <v>193</v>
      </c>
      <c r="DI234" s="14" t="s">
        <v>194</v>
      </c>
      <c r="DJ234" s="14" t="s">
        <v>4729</v>
      </c>
      <c r="DK234" s="14" t="s">
        <v>257</v>
      </c>
      <c r="DL234" s="21" t="s">
        <v>4730</v>
      </c>
      <c r="DM234" s="14" t="s">
        <v>198</v>
      </c>
      <c r="DN234" s="13" t="s">
        <v>4731</v>
      </c>
      <c r="DO234" s="20">
        <v>2018</v>
      </c>
      <c r="DP234" s="14" t="s">
        <v>166</v>
      </c>
      <c r="DQ234" s="14" t="s">
        <v>166</v>
      </c>
      <c r="DR234" s="18" t="s">
        <v>166</v>
      </c>
      <c r="DS234" s="16" t="s">
        <v>166</v>
      </c>
      <c r="DT234" s="19" t="s">
        <v>166</v>
      </c>
      <c r="DU234" s="14" t="s">
        <v>166</v>
      </c>
      <c r="DV234" s="18" t="s">
        <v>166</v>
      </c>
      <c r="DW234" s="18" t="s">
        <v>166</v>
      </c>
      <c r="DX234" s="16" t="s">
        <v>166</v>
      </c>
      <c r="DY234" s="16" t="s">
        <v>166</v>
      </c>
      <c r="DZ234" s="17" t="s">
        <v>166</v>
      </c>
      <c r="EA234" s="16" t="s">
        <v>166</v>
      </c>
      <c r="EB234" s="16" t="s">
        <v>166</v>
      </c>
      <c r="EC234" s="16" t="s">
        <v>166</v>
      </c>
      <c r="ED234" s="17" t="s">
        <v>166</v>
      </c>
      <c r="EE234" s="17" t="s">
        <v>166</v>
      </c>
      <c r="EF234" s="17" t="s">
        <v>166</v>
      </c>
      <c r="EG234" s="17" t="s">
        <v>166</v>
      </c>
      <c r="EH234" s="16" t="s">
        <v>166</v>
      </c>
      <c r="EI234" s="16" t="s">
        <v>166</v>
      </c>
      <c r="EJ234" s="16" t="s">
        <v>166</v>
      </c>
      <c r="EK234" s="16" t="s">
        <v>166</v>
      </c>
      <c r="EL234" s="16" t="s">
        <v>166</v>
      </c>
      <c r="EM234" s="16" t="s">
        <v>166</v>
      </c>
      <c r="EN234" s="16" t="s">
        <v>166</v>
      </c>
      <c r="EO234" s="16" t="s">
        <v>166</v>
      </c>
      <c r="EP234" s="16" t="s">
        <v>166</v>
      </c>
      <c r="EQ234" s="16" t="s">
        <v>166</v>
      </c>
      <c r="ER234" s="16" t="s">
        <v>166</v>
      </c>
      <c r="ES234" s="16" t="s">
        <v>166</v>
      </c>
      <c r="ET234" s="14" t="s">
        <v>166</v>
      </c>
      <c r="EU234" s="16" t="s">
        <v>166</v>
      </c>
      <c r="EV234" s="16" t="s">
        <v>166</v>
      </c>
      <c r="EW234" s="16" t="s">
        <v>166</v>
      </c>
      <c r="EX234" s="14" t="s">
        <v>190</v>
      </c>
      <c r="EY234" s="14" t="s">
        <v>166</v>
      </c>
      <c r="EZ234" s="16" t="s">
        <v>166</v>
      </c>
      <c r="FA234" s="15" t="s">
        <v>166</v>
      </c>
      <c r="FB234" s="15" t="s">
        <v>166</v>
      </c>
      <c r="FC234" s="15" t="s">
        <v>166</v>
      </c>
      <c r="FD234" s="15" t="s">
        <v>166</v>
      </c>
      <c r="FE234" s="15" t="s">
        <v>166</v>
      </c>
      <c r="FF234" s="15" t="s">
        <v>166</v>
      </c>
      <c r="FG234" s="14" t="s">
        <v>166</v>
      </c>
      <c r="FH234" s="3">
        <f>HYPERLINK("https://my.pitchbook.com?c=181106-20T","View Company Online")</f>
      </c>
    </row>
    <row r="235">
      <c r="A235" s="25" t="s">
        <v>4732</v>
      </c>
      <c r="B235" s="25" t="s">
        <v>4733</v>
      </c>
      <c r="C235" s="25" t="s">
        <v>4734</v>
      </c>
      <c r="D235" s="25" t="s">
        <v>166</v>
      </c>
      <c r="E235" s="34" t="s">
        <v>4735</v>
      </c>
      <c r="F235" s="32">
        <v>4</v>
      </c>
      <c r="G235" s="25" t="s">
        <v>4736</v>
      </c>
      <c r="H235" s="25" t="s">
        <v>166</v>
      </c>
      <c r="I235" s="25" t="s">
        <v>4737</v>
      </c>
      <c r="J235" s="25" t="s">
        <v>4738</v>
      </c>
      <c r="K235" s="25" t="s">
        <v>207</v>
      </c>
      <c r="L235" s="25" t="s">
        <v>208</v>
      </c>
      <c r="M235" s="25" t="s">
        <v>209</v>
      </c>
      <c r="N235" s="25" t="s">
        <v>269</v>
      </c>
      <c r="O235" s="25" t="s">
        <v>4739</v>
      </c>
      <c r="P235" s="25" t="s">
        <v>4740</v>
      </c>
      <c r="Q235" s="25" t="s">
        <v>166</v>
      </c>
      <c r="R235" s="25" t="s">
        <v>177</v>
      </c>
      <c r="S235" s="25" t="s">
        <v>178</v>
      </c>
      <c r="T235" s="25" t="s">
        <v>179</v>
      </c>
      <c r="U235" s="25" t="s">
        <v>4741</v>
      </c>
      <c r="V235" s="25" t="s">
        <v>4742</v>
      </c>
      <c r="W235" s="32" t="s">
        <v>4743</v>
      </c>
      <c r="X235" s="25" t="s">
        <v>4744</v>
      </c>
      <c r="Y235" s="25" t="s">
        <v>4745</v>
      </c>
      <c r="Z235" s="25" t="s">
        <v>4746</v>
      </c>
      <c r="AA235" s="25" t="s">
        <v>242</v>
      </c>
      <c r="AB235" s="25" t="s">
        <v>243</v>
      </c>
      <c r="AC235" s="25" t="s">
        <v>244</v>
      </c>
      <c r="AD235" s="25" t="s">
        <v>243</v>
      </c>
      <c r="AE235" s="25" t="s">
        <v>243</v>
      </c>
      <c r="AF235" s="25" t="s">
        <v>166</v>
      </c>
      <c r="AG235" s="25" t="s">
        <v>807</v>
      </c>
      <c r="AH235" s="32">
        <v>1</v>
      </c>
      <c r="AI235" s="4">
        <f>HYPERLINK("https://my.pitchbook.com/?d=213586-93T","213586-93T")</f>
      </c>
      <c r="AJ235" s="30" t="s">
        <v>166</v>
      </c>
      <c r="AK235" s="30">
        <v>44860</v>
      </c>
      <c r="AL235" s="29">
        <v>4</v>
      </c>
      <c r="AM235" s="25" t="s">
        <v>185</v>
      </c>
      <c r="AN235" s="29">
        <v>11</v>
      </c>
      <c r="AO235" s="29">
        <v>15</v>
      </c>
      <c r="AP235" s="25" t="s">
        <v>185</v>
      </c>
      <c r="AQ235" s="32" t="s">
        <v>166</v>
      </c>
      <c r="AR235" s="32" t="s">
        <v>166</v>
      </c>
      <c r="AS235" s="28">
        <v>26.67</v>
      </c>
      <c r="AT235" s="29">
        <v>4</v>
      </c>
      <c r="AU235" s="32" t="s">
        <v>186</v>
      </c>
      <c r="AV235" s="32" t="s">
        <v>166</v>
      </c>
      <c r="AW235" s="29">
        <v>1.98</v>
      </c>
      <c r="AX235" s="32" t="s">
        <v>166</v>
      </c>
      <c r="AY235" s="25" t="s">
        <v>217</v>
      </c>
      <c r="AZ235" s="25" t="s">
        <v>217</v>
      </c>
      <c r="BA235" s="25" t="s">
        <v>166</v>
      </c>
      <c r="BB235" s="32" t="s">
        <v>166</v>
      </c>
      <c r="BC235" s="25" t="s">
        <v>179</v>
      </c>
      <c r="BD235" s="25" t="s">
        <v>4747</v>
      </c>
      <c r="BE235" s="25" t="s">
        <v>189</v>
      </c>
      <c r="BF235" s="29">
        <v>4</v>
      </c>
      <c r="BG235" s="25" t="s">
        <v>190</v>
      </c>
      <c r="BH235" s="25" t="s">
        <v>166</v>
      </c>
      <c r="BI235" s="25" t="s">
        <v>166</v>
      </c>
      <c r="BJ235" s="29" t="s">
        <v>166</v>
      </c>
      <c r="BK235" s="29" t="s">
        <v>166</v>
      </c>
      <c r="BL235" s="25" t="s">
        <v>191</v>
      </c>
      <c r="BM235" s="25" t="s">
        <v>178</v>
      </c>
      <c r="BN235" s="25" t="s">
        <v>177</v>
      </c>
      <c r="BO235" s="33" t="s">
        <v>166</v>
      </c>
      <c r="BP235" s="25" t="s">
        <v>4735</v>
      </c>
      <c r="BQ235" s="32">
        <v>4</v>
      </c>
      <c r="BR235" s="25" t="s">
        <v>166</v>
      </c>
      <c r="BS235" s="32" t="s">
        <v>166</v>
      </c>
      <c r="BT235" s="25" t="s">
        <v>166</v>
      </c>
      <c r="BU235" s="25" t="s">
        <v>166</v>
      </c>
      <c r="BV235" s="25" t="s">
        <v>4748</v>
      </c>
      <c r="BW235" s="25" t="s">
        <v>166</v>
      </c>
      <c r="BX235" s="25" t="s">
        <v>166</v>
      </c>
      <c r="BY235" s="25" t="s">
        <v>166</v>
      </c>
      <c r="BZ235" s="25" t="s">
        <v>4749</v>
      </c>
      <c r="CA235" s="25" t="s">
        <v>166</v>
      </c>
      <c r="CB235" s="25" t="s">
        <v>166</v>
      </c>
      <c r="CC235" s="25" t="s">
        <v>4749</v>
      </c>
      <c r="CD235" s="25" t="s">
        <v>166</v>
      </c>
      <c r="CE235" s="29" t="s">
        <v>166</v>
      </c>
      <c r="CF235" s="27" t="s">
        <v>166</v>
      </c>
      <c r="CG235" s="28" t="s">
        <v>166</v>
      </c>
      <c r="CH235" s="27" t="s">
        <v>166</v>
      </c>
      <c r="CI235" s="27" t="s">
        <v>166</v>
      </c>
      <c r="CJ235" s="27" t="s">
        <v>166</v>
      </c>
      <c r="CK235" s="27" t="s">
        <v>166</v>
      </c>
      <c r="CL235" s="27" t="s">
        <v>166</v>
      </c>
      <c r="CM235" s="31" t="s">
        <v>166</v>
      </c>
      <c r="CN235" s="27" t="s">
        <v>166</v>
      </c>
      <c r="CO235" s="27" t="s">
        <v>166</v>
      </c>
      <c r="CP235" s="27" t="s">
        <v>166</v>
      </c>
      <c r="CQ235" s="27" t="s">
        <v>166</v>
      </c>
      <c r="CR235" s="27" t="s">
        <v>166</v>
      </c>
      <c r="CS235" s="27" t="s">
        <v>166</v>
      </c>
      <c r="CT235" s="27" t="s">
        <v>166</v>
      </c>
      <c r="CU235" s="27" t="s">
        <v>166</v>
      </c>
      <c r="CV235" s="27" t="s">
        <v>166</v>
      </c>
      <c r="CW235" s="27" t="s">
        <v>166</v>
      </c>
      <c r="CX235" s="27" t="s">
        <v>166</v>
      </c>
      <c r="CY235" s="27" t="s">
        <v>166</v>
      </c>
      <c r="CZ235" s="27" t="s">
        <v>166</v>
      </c>
      <c r="DA235" s="27" t="s">
        <v>166</v>
      </c>
      <c r="DB235" s="27" t="s">
        <v>166</v>
      </c>
      <c r="DC235" s="27" t="s">
        <v>166</v>
      </c>
      <c r="DD235" s="27" t="s">
        <v>166</v>
      </c>
      <c r="DE235" s="28" t="s">
        <v>166</v>
      </c>
      <c r="DF235" s="33">
        <v>6</v>
      </c>
      <c r="DG235" s="25" t="s">
        <v>1191</v>
      </c>
      <c r="DH235" s="25" t="s">
        <v>193</v>
      </c>
      <c r="DI235" s="25" t="s">
        <v>194</v>
      </c>
      <c r="DJ235" s="25" t="s">
        <v>1192</v>
      </c>
      <c r="DK235" s="25" t="s">
        <v>1023</v>
      </c>
      <c r="DL235" s="32" t="s">
        <v>4750</v>
      </c>
      <c r="DM235" s="25" t="s">
        <v>198</v>
      </c>
      <c r="DN235" s="24" t="s">
        <v>4751</v>
      </c>
      <c r="DO235" s="31">
        <v>2021</v>
      </c>
      <c r="DP235" s="25" t="s">
        <v>166</v>
      </c>
      <c r="DQ235" s="25" t="s">
        <v>166</v>
      </c>
      <c r="DR235" s="29" t="s">
        <v>166</v>
      </c>
      <c r="DS235" s="27" t="s">
        <v>166</v>
      </c>
      <c r="DT235" s="30" t="s">
        <v>166</v>
      </c>
      <c r="DU235" s="25" t="s">
        <v>166</v>
      </c>
      <c r="DV235" s="29" t="s">
        <v>166</v>
      </c>
      <c r="DW235" s="29" t="s">
        <v>166</v>
      </c>
      <c r="DX235" s="27" t="s">
        <v>166</v>
      </c>
      <c r="DY235" s="27" t="s">
        <v>166</v>
      </c>
      <c r="DZ235" s="28" t="s">
        <v>166</v>
      </c>
      <c r="EA235" s="27" t="s">
        <v>166</v>
      </c>
      <c r="EB235" s="27" t="s">
        <v>166</v>
      </c>
      <c r="EC235" s="27" t="s">
        <v>166</v>
      </c>
      <c r="ED235" s="28" t="s">
        <v>166</v>
      </c>
      <c r="EE235" s="28" t="s">
        <v>166</v>
      </c>
      <c r="EF235" s="28" t="s">
        <v>166</v>
      </c>
      <c r="EG235" s="28" t="s">
        <v>166</v>
      </c>
      <c r="EH235" s="27" t="s">
        <v>166</v>
      </c>
      <c r="EI235" s="27" t="s">
        <v>166</v>
      </c>
      <c r="EJ235" s="27" t="s">
        <v>166</v>
      </c>
      <c r="EK235" s="27" t="s">
        <v>166</v>
      </c>
      <c r="EL235" s="27" t="s">
        <v>166</v>
      </c>
      <c r="EM235" s="27" t="s">
        <v>166</v>
      </c>
      <c r="EN235" s="27" t="s">
        <v>166</v>
      </c>
      <c r="EO235" s="27" t="s">
        <v>166</v>
      </c>
      <c r="EP235" s="27" t="s">
        <v>166</v>
      </c>
      <c r="EQ235" s="27" t="s">
        <v>166</v>
      </c>
      <c r="ER235" s="27" t="s">
        <v>166</v>
      </c>
      <c r="ES235" s="27" t="s">
        <v>166</v>
      </c>
      <c r="ET235" s="25" t="s">
        <v>166</v>
      </c>
      <c r="EU235" s="27" t="s">
        <v>166</v>
      </c>
      <c r="EV235" s="27" t="s">
        <v>166</v>
      </c>
      <c r="EW235" s="27" t="s">
        <v>166</v>
      </c>
      <c r="EX235" s="25" t="s">
        <v>190</v>
      </c>
      <c r="EY235" s="25" t="s">
        <v>166</v>
      </c>
      <c r="EZ235" s="27" t="s">
        <v>166</v>
      </c>
      <c r="FA235" s="26" t="s">
        <v>166</v>
      </c>
      <c r="FB235" s="26" t="s">
        <v>166</v>
      </c>
      <c r="FC235" s="26" t="s">
        <v>166</v>
      </c>
      <c r="FD235" s="26" t="s">
        <v>166</v>
      </c>
      <c r="FE235" s="26" t="s">
        <v>166</v>
      </c>
      <c r="FF235" s="26" t="s">
        <v>166</v>
      </c>
      <c r="FG235" s="25" t="s">
        <v>166</v>
      </c>
      <c r="FH235" s="4">
        <f>HYPERLINK("https://my.pitchbook.com?c=213586-93T","View Company Online")</f>
      </c>
    </row>
    <row r="236">
      <c r="A236" s="14" t="s">
        <v>4752</v>
      </c>
      <c r="B236" s="14" t="s">
        <v>4753</v>
      </c>
      <c r="C236" s="14" t="s">
        <v>4754</v>
      </c>
      <c r="D236" s="14" t="s">
        <v>166</v>
      </c>
      <c r="E236" s="23" t="s">
        <v>4755</v>
      </c>
      <c r="F236" s="21">
        <v>3</v>
      </c>
      <c r="G236" s="14" t="s">
        <v>4756</v>
      </c>
      <c r="H236" s="14" t="s">
        <v>166</v>
      </c>
      <c r="I236" s="14" t="s">
        <v>4757</v>
      </c>
      <c r="J236" s="14" t="s">
        <v>4758</v>
      </c>
      <c r="K236" s="14" t="s">
        <v>207</v>
      </c>
      <c r="L236" s="14" t="s">
        <v>208</v>
      </c>
      <c r="M236" s="14" t="s">
        <v>209</v>
      </c>
      <c r="N236" s="14" t="s">
        <v>4759</v>
      </c>
      <c r="O236" s="14" t="s">
        <v>4760</v>
      </c>
      <c r="P236" s="14" t="s">
        <v>4761</v>
      </c>
      <c r="Q236" s="14" t="s">
        <v>4762</v>
      </c>
      <c r="R236" s="14" t="s">
        <v>177</v>
      </c>
      <c r="S236" s="14" t="s">
        <v>178</v>
      </c>
      <c r="T236" s="14" t="s">
        <v>179</v>
      </c>
      <c r="U236" s="14" t="s">
        <v>4763</v>
      </c>
      <c r="V236" s="14" t="s">
        <v>4764</v>
      </c>
      <c r="W236" s="21" t="s">
        <v>4765</v>
      </c>
      <c r="X236" s="14" t="s">
        <v>4766</v>
      </c>
      <c r="Y236" s="14" t="s">
        <v>4767</v>
      </c>
      <c r="Z236" s="14" t="s">
        <v>4768</v>
      </c>
      <c r="AA236" s="14" t="s">
        <v>242</v>
      </c>
      <c r="AB236" s="14" t="s">
        <v>243</v>
      </c>
      <c r="AC236" s="14" t="s">
        <v>244</v>
      </c>
      <c r="AD236" s="14" t="s">
        <v>243</v>
      </c>
      <c r="AE236" s="14" t="s">
        <v>243</v>
      </c>
      <c r="AF236" s="14" t="s">
        <v>245</v>
      </c>
      <c r="AG236" s="14" t="s">
        <v>807</v>
      </c>
      <c r="AH236" s="21">
        <v>1</v>
      </c>
      <c r="AI236" s="3">
        <f>HYPERLINK("https://my.pitchbook.com/?d=185235-49T","185235-49T")</f>
      </c>
      <c r="AJ236" s="19" t="s">
        <v>166</v>
      </c>
      <c r="AK236" s="19">
        <v>44546</v>
      </c>
      <c r="AL236" s="18">
        <v>25</v>
      </c>
      <c r="AM236" s="14" t="s">
        <v>185</v>
      </c>
      <c r="AN236" s="18">
        <v>55</v>
      </c>
      <c r="AO236" s="18">
        <v>80</v>
      </c>
      <c r="AP236" s="14" t="s">
        <v>185</v>
      </c>
      <c r="AQ236" s="21" t="s">
        <v>166</v>
      </c>
      <c r="AR236" s="21" t="s">
        <v>166</v>
      </c>
      <c r="AS236" s="17">
        <v>31.25</v>
      </c>
      <c r="AT236" s="18">
        <v>25</v>
      </c>
      <c r="AU236" s="21" t="s">
        <v>186</v>
      </c>
      <c r="AV236" s="21" t="s">
        <v>166</v>
      </c>
      <c r="AW236" s="18">
        <v>136.73</v>
      </c>
      <c r="AX236" s="21" t="s">
        <v>248</v>
      </c>
      <c r="AY236" s="14" t="s">
        <v>187</v>
      </c>
      <c r="AZ236" s="14" t="s">
        <v>248</v>
      </c>
      <c r="BA236" s="14" t="s">
        <v>166</v>
      </c>
      <c r="BB236" s="21" t="s">
        <v>166</v>
      </c>
      <c r="BC236" s="14" t="s">
        <v>179</v>
      </c>
      <c r="BD236" s="14" t="s">
        <v>4758</v>
      </c>
      <c r="BE236" s="14" t="s">
        <v>189</v>
      </c>
      <c r="BF236" s="18">
        <v>25</v>
      </c>
      <c r="BG236" s="14" t="s">
        <v>190</v>
      </c>
      <c r="BH236" s="14" t="s">
        <v>166</v>
      </c>
      <c r="BI236" s="14" t="s">
        <v>166</v>
      </c>
      <c r="BJ236" s="18" t="s">
        <v>166</v>
      </c>
      <c r="BK236" s="18" t="s">
        <v>166</v>
      </c>
      <c r="BL236" s="14" t="s">
        <v>191</v>
      </c>
      <c r="BM236" s="14" t="s">
        <v>178</v>
      </c>
      <c r="BN236" s="14" t="s">
        <v>177</v>
      </c>
      <c r="BO236" s="22" t="s">
        <v>166</v>
      </c>
      <c r="BP236" s="14" t="s">
        <v>4769</v>
      </c>
      <c r="BQ236" s="21">
        <v>3</v>
      </c>
      <c r="BR236" s="14" t="s">
        <v>166</v>
      </c>
      <c r="BS236" s="21" t="s">
        <v>166</v>
      </c>
      <c r="BT236" s="14" t="s">
        <v>4770</v>
      </c>
      <c r="BU236" s="14" t="s">
        <v>166</v>
      </c>
      <c r="BV236" s="14" t="s">
        <v>4771</v>
      </c>
      <c r="BW236" s="14" t="s">
        <v>166</v>
      </c>
      <c r="BX236" s="14" t="s">
        <v>166</v>
      </c>
      <c r="BY236" s="14" t="s">
        <v>166</v>
      </c>
      <c r="BZ236" s="14" t="s">
        <v>166</v>
      </c>
      <c r="CA236" s="14" t="s">
        <v>166</v>
      </c>
      <c r="CB236" s="14" t="s">
        <v>166</v>
      </c>
      <c r="CC236" s="14" t="s">
        <v>166</v>
      </c>
      <c r="CD236" s="14" t="s">
        <v>166</v>
      </c>
      <c r="CE236" s="18" t="s">
        <v>166</v>
      </c>
      <c r="CF236" s="16" t="s">
        <v>166</v>
      </c>
      <c r="CG236" s="17" t="s">
        <v>166</v>
      </c>
      <c r="CH236" s="16" t="s">
        <v>166</v>
      </c>
      <c r="CI236" s="16" t="s">
        <v>166</v>
      </c>
      <c r="CJ236" s="16" t="s">
        <v>166</v>
      </c>
      <c r="CK236" s="16" t="s">
        <v>166</v>
      </c>
      <c r="CL236" s="16" t="s">
        <v>166</v>
      </c>
      <c r="CM236" s="20" t="s">
        <v>166</v>
      </c>
      <c r="CN236" s="16" t="s">
        <v>166</v>
      </c>
      <c r="CO236" s="16" t="s">
        <v>166</v>
      </c>
      <c r="CP236" s="16" t="s">
        <v>166</v>
      </c>
      <c r="CQ236" s="16" t="s">
        <v>166</v>
      </c>
      <c r="CR236" s="16" t="s">
        <v>166</v>
      </c>
      <c r="CS236" s="16" t="s">
        <v>166</v>
      </c>
      <c r="CT236" s="16" t="s">
        <v>166</v>
      </c>
      <c r="CU236" s="16" t="s">
        <v>166</v>
      </c>
      <c r="CV236" s="16" t="s">
        <v>166</v>
      </c>
      <c r="CW236" s="16" t="s">
        <v>166</v>
      </c>
      <c r="CX236" s="16" t="s">
        <v>166</v>
      </c>
      <c r="CY236" s="16" t="s">
        <v>166</v>
      </c>
      <c r="CZ236" s="16" t="s">
        <v>166</v>
      </c>
      <c r="DA236" s="16" t="s">
        <v>166</v>
      </c>
      <c r="DB236" s="16" t="s">
        <v>166</v>
      </c>
      <c r="DC236" s="16" t="s">
        <v>166</v>
      </c>
      <c r="DD236" s="16" t="s">
        <v>166</v>
      </c>
      <c r="DE236" s="17" t="s">
        <v>166</v>
      </c>
      <c r="DF236" s="22">
        <v>60</v>
      </c>
      <c r="DG236" s="14" t="s">
        <v>4772</v>
      </c>
      <c r="DH236" s="14" t="s">
        <v>193</v>
      </c>
      <c r="DI236" s="14" t="s">
        <v>194</v>
      </c>
      <c r="DJ236" s="14" t="s">
        <v>4773</v>
      </c>
      <c r="DK236" s="14" t="s">
        <v>196</v>
      </c>
      <c r="DL236" s="21" t="s">
        <v>4774</v>
      </c>
      <c r="DM236" s="14" t="s">
        <v>198</v>
      </c>
      <c r="DN236" s="13" t="s">
        <v>4775</v>
      </c>
      <c r="DO236" s="20">
        <v>2017</v>
      </c>
      <c r="DP236" s="14" t="s">
        <v>166</v>
      </c>
      <c r="DQ236" s="14" t="s">
        <v>166</v>
      </c>
      <c r="DR236" s="18" t="s">
        <v>166</v>
      </c>
      <c r="DS236" s="16" t="s">
        <v>166</v>
      </c>
      <c r="DT236" s="19" t="s">
        <v>166</v>
      </c>
      <c r="DU236" s="14" t="s">
        <v>166</v>
      </c>
      <c r="DV236" s="18" t="s">
        <v>166</v>
      </c>
      <c r="DW236" s="18" t="s">
        <v>166</v>
      </c>
      <c r="DX236" s="16" t="s">
        <v>166</v>
      </c>
      <c r="DY236" s="16" t="s">
        <v>166</v>
      </c>
      <c r="DZ236" s="17" t="s">
        <v>166</v>
      </c>
      <c r="EA236" s="16" t="s">
        <v>166</v>
      </c>
      <c r="EB236" s="16" t="s">
        <v>166</v>
      </c>
      <c r="EC236" s="16" t="s">
        <v>166</v>
      </c>
      <c r="ED236" s="17" t="s">
        <v>166</v>
      </c>
      <c r="EE236" s="17" t="s">
        <v>166</v>
      </c>
      <c r="EF236" s="17" t="s">
        <v>166</v>
      </c>
      <c r="EG236" s="17" t="s">
        <v>166</v>
      </c>
      <c r="EH236" s="16" t="s">
        <v>166</v>
      </c>
      <c r="EI236" s="16" t="s">
        <v>166</v>
      </c>
      <c r="EJ236" s="16" t="s">
        <v>166</v>
      </c>
      <c r="EK236" s="16" t="s">
        <v>166</v>
      </c>
      <c r="EL236" s="16" t="s">
        <v>166</v>
      </c>
      <c r="EM236" s="16" t="s">
        <v>166</v>
      </c>
      <c r="EN236" s="16" t="s">
        <v>166</v>
      </c>
      <c r="EO236" s="16" t="s">
        <v>166</v>
      </c>
      <c r="EP236" s="16" t="s">
        <v>166</v>
      </c>
      <c r="EQ236" s="16" t="s">
        <v>166</v>
      </c>
      <c r="ER236" s="16" t="s">
        <v>166</v>
      </c>
      <c r="ES236" s="16" t="s">
        <v>166</v>
      </c>
      <c r="ET236" s="14" t="s">
        <v>166</v>
      </c>
      <c r="EU236" s="16" t="s">
        <v>166</v>
      </c>
      <c r="EV236" s="16" t="s">
        <v>166</v>
      </c>
      <c r="EW236" s="16" t="s">
        <v>166</v>
      </c>
      <c r="EX236" s="14" t="s">
        <v>190</v>
      </c>
      <c r="EY236" s="14" t="s">
        <v>166</v>
      </c>
      <c r="EZ236" s="16" t="s">
        <v>166</v>
      </c>
      <c r="FA236" s="15" t="s">
        <v>166</v>
      </c>
      <c r="FB236" s="15" t="s">
        <v>166</v>
      </c>
      <c r="FC236" s="15" t="s">
        <v>166</v>
      </c>
      <c r="FD236" s="15" t="s">
        <v>166</v>
      </c>
      <c r="FE236" s="15" t="s">
        <v>166</v>
      </c>
      <c r="FF236" s="15" t="s">
        <v>166</v>
      </c>
      <c r="FG236" s="14" t="s">
        <v>166</v>
      </c>
      <c r="FH236" s="3">
        <f>HYPERLINK("https://my.pitchbook.com?c=185235-49T","View Company Online")</f>
      </c>
    </row>
    <row r="237">
      <c r="A237" s="25" t="s">
        <v>4776</v>
      </c>
      <c r="B237" s="25" t="s">
        <v>4777</v>
      </c>
      <c r="C237" s="25" t="s">
        <v>4778</v>
      </c>
      <c r="D237" s="25" t="s">
        <v>166</v>
      </c>
      <c r="E237" s="34" t="s">
        <v>4779</v>
      </c>
      <c r="F237" s="32">
        <v>7</v>
      </c>
      <c r="G237" s="25" t="s">
        <v>4780</v>
      </c>
      <c r="H237" s="25" t="s">
        <v>166</v>
      </c>
      <c r="I237" s="25" t="s">
        <v>4781</v>
      </c>
      <c r="J237" s="25" t="s">
        <v>4782</v>
      </c>
      <c r="K237" s="25" t="s">
        <v>207</v>
      </c>
      <c r="L237" s="25" t="s">
        <v>3128</v>
      </c>
      <c r="M237" s="25" t="s">
        <v>4783</v>
      </c>
      <c r="N237" s="25" t="s">
        <v>4784</v>
      </c>
      <c r="O237" s="25" t="s">
        <v>580</v>
      </c>
      <c r="P237" s="25" t="s">
        <v>4785</v>
      </c>
      <c r="Q237" s="25" t="s">
        <v>166</v>
      </c>
      <c r="R237" s="25" t="s">
        <v>177</v>
      </c>
      <c r="S237" s="25" t="s">
        <v>178</v>
      </c>
      <c r="T237" s="25" t="s">
        <v>179</v>
      </c>
      <c r="U237" s="25" t="s">
        <v>4786</v>
      </c>
      <c r="V237" s="25" t="s">
        <v>4787</v>
      </c>
      <c r="W237" s="32" t="s">
        <v>4788</v>
      </c>
      <c r="X237" s="25" t="s">
        <v>4789</v>
      </c>
      <c r="Y237" s="25" t="s">
        <v>4790</v>
      </c>
      <c r="Z237" s="25" t="s">
        <v>4791</v>
      </c>
      <c r="AA237" s="25" t="s">
        <v>242</v>
      </c>
      <c r="AB237" s="25" t="s">
        <v>243</v>
      </c>
      <c r="AC237" s="25" t="s">
        <v>244</v>
      </c>
      <c r="AD237" s="25" t="s">
        <v>243</v>
      </c>
      <c r="AE237" s="25" t="s">
        <v>243</v>
      </c>
      <c r="AF237" s="25" t="s">
        <v>245</v>
      </c>
      <c r="AG237" s="25" t="s">
        <v>807</v>
      </c>
      <c r="AH237" s="32">
        <v>1</v>
      </c>
      <c r="AI237" s="4">
        <f>HYPERLINK("https://my.pitchbook.com/?d=156984-76T","156984-76T")</f>
      </c>
      <c r="AJ237" s="30" t="s">
        <v>166</v>
      </c>
      <c r="AK237" s="30">
        <v>44235</v>
      </c>
      <c r="AL237" s="29">
        <v>35.5</v>
      </c>
      <c r="AM237" s="25" t="s">
        <v>185</v>
      </c>
      <c r="AN237" s="29">
        <v>40</v>
      </c>
      <c r="AO237" s="29">
        <v>71.25</v>
      </c>
      <c r="AP237" s="25" t="s">
        <v>185</v>
      </c>
      <c r="AQ237" s="32" t="s">
        <v>166</v>
      </c>
      <c r="AR237" s="32" t="s">
        <v>166</v>
      </c>
      <c r="AS237" s="28">
        <v>43.86</v>
      </c>
      <c r="AT237" s="29">
        <v>35.5</v>
      </c>
      <c r="AU237" s="32" t="s">
        <v>186</v>
      </c>
      <c r="AV237" s="32" t="s">
        <v>166</v>
      </c>
      <c r="AW237" s="29">
        <v>1</v>
      </c>
      <c r="AX237" s="32" t="s">
        <v>248</v>
      </c>
      <c r="AY237" s="25" t="s">
        <v>187</v>
      </c>
      <c r="AZ237" s="25" t="s">
        <v>248</v>
      </c>
      <c r="BA237" s="25" t="s">
        <v>166</v>
      </c>
      <c r="BB237" s="32" t="s">
        <v>166</v>
      </c>
      <c r="BC237" s="25" t="s">
        <v>179</v>
      </c>
      <c r="BD237" s="25" t="s">
        <v>4792</v>
      </c>
      <c r="BE237" s="25" t="s">
        <v>189</v>
      </c>
      <c r="BF237" s="29">
        <v>31.25</v>
      </c>
      <c r="BG237" s="25" t="s">
        <v>190</v>
      </c>
      <c r="BH237" s="25" t="s">
        <v>166</v>
      </c>
      <c r="BI237" s="25" t="s">
        <v>166</v>
      </c>
      <c r="BJ237" s="29">
        <v>4.25</v>
      </c>
      <c r="BK237" s="29" t="s">
        <v>166</v>
      </c>
      <c r="BL237" s="25" t="s">
        <v>191</v>
      </c>
      <c r="BM237" s="25" t="s">
        <v>178</v>
      </c>
      <c r="BN237" s="25" t="s">
        <v>177</v>
      </c>
      <c r="BO237" s="33" t="s">
        <v>166</v>
      </c>
      <c r="BP237" s="25" t="s">
        <v>4793</v>
      </c>
      <c r="BQ237" s="32">
        <v>7</v>
      </c>
      <c r="BR237" s="25" t="s">
        <v>166</v>
      </c>
      <c r="BS237" s="32" t="s">
        <v>166</v>
      </c>
      <c r="BT237" s="25" t="s">
        <v>4794</v>
      </c>
      <c r="BU237" s="25" t="s">
        <v>166</v>
      </c>
      <c r="BV237" s="25" t="s">
        <v>4795</v>
      </c>
      <c r="BW237" s="25" t="s">
        <v>166</v>
      </c>
      <c r="BX237" s="25" t="s">
        <v>166</v>
      </c>
      <c r="BY237" s="25" t="s">
        <v>166</v>
      </c>
      <c r="BZ237" s="25" t="s">
        <v>4796</v>
      </c>
      <c r="CA237" s="25" t="s">
        <v>166</v>
      </c>
      <c r="CB237" s="25" t="s">
        <v>166</v>
      </c>
      <c r="CC237" s="25" t="s">
        <v>4796</v>
      </c>
      <c r="CD237" s="25" t="s">
        <v>166</v>
      </c>
      <c r="CE237" s="29" t="s">
        <v>166</v>
      </c>
      <c r="CF237" s="27" t="s">
        <v>166</v>
      </c>
      <c r="CG237" s="28" t="s">
        <v>166</v>
      </c>
      <c r="CH237" s="27" t="s">
        <v>166</v>
      </c>
      <c r="CI237" s="27" t="s">
        <v>166</v>
      </c>
      <c r="CJ237" s="27" t="s">
        <v>166</v>
      </c>
      <c r="CK237" s="27" t="s">
        <v>166</v>
      </c>
      <c r="CL237" s="27" t="s">
        <v>166</v>
      </c>
      <c r="CM237" s="31" t="s">
        <v>166</v>
      </c>
      <c r="CN237" s="27" t="s">
        <v>166</v>
      </c>
      <c r="CO237" s="27" t="s">
        <v>166</v>
      </c>
      <c r="CP237" s="27" t="s">
        <v>166</v>
      </c>
      <c r="CQ237" s="27" t="s">
        <v>166</v>
      </c>
      <c r="CR237" s="27" t="s">
        <v>166</v>
      </c>
      <c r="CS237" s="27" t="s">
        <v>166</v>
      </c>
      <c r="CT237" s="27" t="s">
        <v>166</v>
      </c>
      <c r="CU237" s="27" t="s">
        <v>166</v>
      </c>
      <c r="CV237" s="27" t="s">
        <v>166</v>
      </c>
      <c r="CW237" s="27" t="s">
        <v>166</v>
      </c>
      <c r="CX237" s="27" t="s">
        <v>166</v>
      </c>
      <c r="CY237" s="27">
        <v>0.14</v>
      </c>
      <c r="CZ237" s="27" t="s">
        <v>166</v>
      </c>
      <c r="DA237" s="27" t="s">
        <v>166</v>
      </c>
      <c r="DB237" s="27" t="s">
        <v>166</v>
      </c>
      <c r="DC237" s="27" t="s">
        <v>166</v>
      </c>
      <c r="DD237" s="27" t="s">
        <v>166</v>
      </c>
      <c r="DE237" s="28" t="s">
        <v>166</v>
      </c>
      <c r="DF237" s="33">
        <v>180</v>
      </c>
      <c r="DG237" s="25" t="s">
        <v>4797</v>
      </c>
      <c r="DH237" s="25" t="s">
        <v>193</v>
      </c>
      <c r="DI237" s="25" t="s">
        <v>194</v>
      </c>
      <c r="DJ237" s="25" t="s">
        <v>4798</v>
      </c>
      <c r="DK237" s="25" t="s">
        <v>545</v>
      </c>
      <c r="DL237" s="32" t="s">
        <v>4799</v>
      </c>
      <c r="DM237" s="25" t="s">
        <v>198</v>
      </c>
      <c r="DN237" s="24" t="s">
        <v>4800</v>
      </c>
      <c r="DO237" s="31">
        <v>2019</v>
      </c>
      <c r="DP237" s="25" t="s">
        <v>166</v>
      </c>
      <c r="DQ237" s="25" t="s">
        <v>4801</v>
      </c>
      <c r="DR237" s="29">
        <v>4.25</v>
      </c>
      <c r="DS237" s="27" t="s">
        <v>166</v>
      </c>
      <c r="DT237" s="30" t="s">
        <v>166</v>
      </c>
      <c r="DU237" s="25" t="s">
        <v>166</v>
      </c>
      <c r="DV237" s="29" t="s">
        <v>166</v>
      </c>
      <c r="DW237" s="29" t="s">
        <v>166</v>
      </c>
      <c r="DX237" s="27" t="s">
        <v>166</v>
      </c>
      <c r="DY237" s="27" t="s">
        <v>166</v>
      </c>
      <c r="DZ237" s="28" t="s">
        <v>166</v>
      </c>
      <c r="EA237" s="27" t="s">
        <v>166</v>
      </c>
      <c r="EB237" s="27" t="s">
        <v>166</v>
      </c>
      <c r="EC237" s="27" t="s">
        <v>166</v>
      </c>
      <c r="ED237" s="28" t="s">
        <v>166</v>
      </c>
      <c r="EE237" s="28" t="s">
        <v>166</v>
      </c>
      <c r="EF237" s="28" t="s">
        <v>166</v>
      </c>
      <c r="EG237" s="28" t="s">
        <v>166</v>
      </c>
      <c r="EH237" s="27" t="s">
        <v>166</v>
      </c>
      <c r="EI237" s="27" t="s">
        <v>166</v>
      </c>
      <c r="EJ237" s="27" t="s">
        <v>166</v>
      </c>
      <c r="EK237" s="27" t="s">
        <v>166</v>
      </c>
      <c r="EL237" s="27" t="s">
        <v>166</v>
      </c>
      <c r="EM237" s="27" t="s">
        <v>166</v>
      </c>
      <c r="EN237" s="27" t="s">
        <v>166</v>
      </c>
      <c r="EO237" s="27" t="s">
        <v>166</v>
      </c>
      <c r="EP237" s="27" t="s">
        <v>166</v>
      </c>
      <c r="EQ237" s="27" t="s">
        <v>166</v>
      </c>
      <c r="ER237" s="27" t="s">
        <v>166</v>
      </c>
      <c r="ES237" s="27" t="s">
        <v>166</v>
      </c>
      <c r="ET237" s="25" t="s">
        <v>166</v>
      </c>
      <c r="EU237" s="27" t="s">
        <v>166</v>
      </c>
      <c r="EV237" s="27" t="s">
        <v>166</v>
      </c>
      <c r="EW237" s="27" t="s">
        <v>166</v>
      </c>
      <c r="EX237" s="25" t="s">
        <v>190</v>
      </c>
      <c r="EY237" s="25" t="s">
        <v>190</v>
      </c>
      <c r="EZ237" s="27" t="s">
        <v>166</v>
      </c>
      <c r="FA237" s="26">
        <v>21</v>
      </c>
      <c r="FB237" s="26">
        <v>8</v>
      </c>
      <c r="FC237" s="26">
        <v>12</v>
      </c>
      <c r="FD237" s="26">
        <v>8</v>
      </c>
      <c r="FE237" s="26" t="s">
        <v>166</v>
      </c>
      <c r="FF237" s="26">
        <v>1</v>
      </c>
      <c r="FG237" s="25" t="s">
        <v>4802</v>
      </c>
      <c r="FH237" s="4">
        <f>HYPERLINK("https://my.pitchbook.com?c=156984-76T","View Company Online")</f>
      </c>
    </row>
    <row r="238">
      <c r="A238" s="14" t="s">
        <v>4803</v>
      </c>
      <c r="B238" s="14" t="s">
        <v>4804</v>
      </c>
      <c r="C238" s="14" t="s">
        <v>4805</v>
      </c>
      <c r="D238" s="14" t="s">
        <v>166</v>
      </c>
      <c r="E238" s="23" t="s">
        <v>4806</v>
      </c>
      <c r="F238" s="21">
        <v>3</v>
      </c>
      <c r="G238" s="14" t="s">
        <v>4807</v>
      </c>
      <c r="H238" s="14" t="s">
        <v>166</v>
      </c>
      <c r="I238" s="14" t="s">
        <v>4808</v>
      </c>
      <c r="J238" s="14" t="s">
        <v>4809</v>
      </c>
      <c r="K238" s="14" t="s">
        <v>1455</v>
      </c>
      <c r="L238" s="14" t="s">
        <v>1984</v>
      </c>
      <c r="M238" s="14" t="s">
        <v>1985</v>
      </c>
      <c r="N238" s="14" t="s">
        <v>4810</v>
      </c>
      <c r="O238" s="14" t="s">
        <v>2394</v>
      </c>
      <c r="P238" s="14" t="s">
        <v>4811</v>
      </c>
      <c r="Q238" s="14" t="s">
        <v>166</v>
      </c>
      <c r="R238" s="14" t="s">
        <v>177</v>
      </c>
      <c r="S238" s="14" t="s">
        <v>178</v>
      </c>
      <c r="T238" s="14" t="s">
        <v>179</v>
      </c>
      <c r="U238" s="14" t="s">
        <v>4812</v>
      </c>
      <c r="V238" s="14" t="s">
        <v>4813</v>
      </c>
      <c r="W238" s="21" t="s">
        <v>166</v>
      </c>
      <c r="X238" s="14" t="s">
        <v>4814</v>
      </c>
      <c r="Y238" s="14" t="s">
        <v>4815</v>
      </c>
      <c r="Z238" s="14" t="s">
        <v>4816</v>
      </c>
      <c r="AA238" s="14" t="s">
        <v>242</v>
      </c>
      <c r="AB238" s="14" t="s">
        <v>243</v>
      </c>
      <c r="AC238" s="14" t="s">
        <v>244</v>
      </c>
      <c r="AD238" s="14" t="s">
        <v>243</v>
      </c>
      <c r="AE238" s="14" t="s">
        <v>243</v>
      </c>
      <c r="AF238" s="14" t="s">
        <v>166</v>
      </c>
      <c r="AG238" s="14" t="s">
        <v>807</v>
      </c>
      <c r="AH238" s="21">
        <v>1</v>
      </c>
      <c r="AI238" s="3">
        <f>HYPERLINK("https://my.pitchbook.com/?d=186508-90T","186508-90T")</f>
      </c>
      <c r="AJ238" s="19" t="s">
        <v>166</v>
      </c>
      <c r="AK238" s="19">
        <v>44522</v>
      </c>
      <c r="AL238" s="18">
        <v>4</v>
      </c>
      <c r="AM238" s="14" t="s">
        <v>247</v>
      </c>
      <c r="AN238" s="18">
        <v>13</v>
      </c>
      <c r="AO238" s="18">
        <v>17</v>
      </c>
      <c r="AP238" s="14" t="s">
        <v>185</v>
      </c>
      <c r="AQ238" s="21" t="s">
        <v>166</v>
      </c>
      <c r="AR238" s="21" t="s">
        <v>166</v>
      </c>
      <c r="AS238" s="17">
        <v>23.53</v>
      </c>
      <c r="AT238" s="18">
        <v>4</v>
      </c>
      <c r="AU238" s="21" t="s">
        <v>186</v>
      </c>
      <c r="AV238" s="21" t="s">
        <v>166</v>
      </c>
      <c r="AW238" s="18">
        <v>1.14</v>
      </c>
      <c r="AX238" s="21" t="s">
        <v>166</v>
      </c>
      <c r="AY238" s="14" t="s">
        <v>217</v>
      </c>
      <c r="AZ238" s="14" t="s">
        <v>217</v>
      </c>
      <c r="BA238" s="14" t="s">
        <v>166</v>
      </c>
      <c r="BB238" s="21" t="s">
        <v>166</v>
      </c>
      <c r="BC238" s="14" t="s">
        <v>179</v>
      </c>
      <c r="BD238" s="14" t="s">
        <v>4817</v>
      </c>
      <c r="BE238" s="14" t="s">
        <v>189</v>
      </c>
      <c r="BF238" s="18">
        <v>4</v>
      </c>
      <c r="BG238" s="14" t="s">
        <v>190</v>
      </c>
      <c r="BH238" s="14" t="s">
        <v>166</v>
      </c>
      <c r="BI238" s="14" t="s">
        <v>166</v>
      </c>
      <c r="BJ238" s="18" t="s">
        <v>166</v>
      </c>
      <c r="BK238" s="18" t="s">
        <v>166</v>
      </c>
      <c r="BL238" s="14" t="s">
        <v>191</v>
      </c>
      <c r="BM238" s="14" t="s">
        <v>358</v>
      </c>
      <c r="BN238" s="14" t="s">
        <v>177</v>
      </c>
      <c r="BO238" s="22" t="s">
        <v>166</v>
      </c>
      <c r="BP238" s="14" t="s">
        <v>4806</v>
      </c>
      <c r="BQ238" s="21">
        <v>3</v>
      </c>
      <c r="BR238" s="14" t="s">
        <v>166</v>
      </c>
      <c r="BS238" s="21" t="s">
        <v>166</v>
      </c>
      <c r="BT238" s="14" t="s">
        <v>166</v>
      </c>
      <c r="BU238" s="14" t="s">
        <v>166</v>
      </c>
      <c r="BV238" s="14" t="s">
        <v>4818</v>
      </c>
      <c r="BW238" s="14" t="s">
        <v>166</v>
      </c>
      <c r="BX238" s="14" t="s">
        <v>166</v>
      </c>
      <c r="BY238" s="14" t="s">
        <v>166</v>
      </c>
      <c r="BZ238" s="14" t="s">
        <v>166</v>
      </c>
      <c r="CA238" s="14" t="s">
        <v>166</v>
      </c>
      <c r="CB238" s="14" t="s">
        <v>166</v>
      </c>
      <c r="CC238" s="14" t="s">
        <v>166</v>
      </c>
      <c r="CD238" s="14" t="s">
        <v>166</v>
      </c>
      <c r="CE238" s="18" t="s">
        <v>166</v>
      </c>
      <c r="CF238" s="16" t="s">
        <v>166</v>
      </c>
      <c r="CG238" s="17" t="s">
        <v>166</v>
      </c>
      <c r="CH238" s="16" t="s">
        <v>166</v>
      </c>
      <c r="CI238" s="16" t="s">
        <v>166</v>
      </c>
      <c r="CJ238" s="16" t="s">
        <v>166</v>
      </c>
      <c r="CK238" s="16" t="s">
        <v>166</v>
      </c>
      <c r="CL238" s="16" t="s">
        <v>166</v>
      </c>
      <c r="CM238" s="20" t="s">
        <v>166</v>
      </c>
      <c r="CN238" s="16" t="s">
        <v>166</v>
      </c>
      <c r="CO238" s="16" t="s">
        <v>166</v>
      </c>
      <c r="CP238" s="16" t="s">
        <v>166</v>
      </c>
      <c r="CQ238" s="16" t="s">
        <v>166</v>
      </c>
      <c r="CR238" s="16" t="s">
        <v>166</v>
      </c>
      <c r="CS238" s="16" t="s">
        <v>166</v>
      </c>
      <c r="CT238" s="16" t="s">
        <v>166</v>
      </c>
      <c r="CU238" s="16" t="s">
        <v>166</v>
      </c>
      <c r="CV238" s="16" t="s">
        <v>166</v>
      </c>
      <c r="CW238" s="16" t="s">
        <v>166</v>
      </c>
      <c r="CX238" s="16" t="s">
        <v>166</v>
      </c>
      <c r="CY238" s="16" t="s">
        <v>166</v>
      </c>
      <c r="CZ238" s="16" t="s">
        <v>166</v>
      </c>
      <c r="DA238" s="16" t="s">
        <v>166</v>
      </c>
      <c r="DB238" s="16" t="s">
        <v>166</v>
      </c>
      <c r="DC238" s="16" t="s">
        <v>166</v>
      </c>
      <c r="DD238" s="16" t="s">
        <v>166</v>
      </c>
      <c r="DE238" s="17" t="s">
        <v>166</v>
      </c>
      <c r="DF238" s="22">
        <v>33</v>
      </c>
      <c r="DG238" s="14" t="s">
        <v>1974</v>
      </c>
      <c r="DH238" s="14" t="s">
        <v>193</v>
      </c>
      <c r="DI238" s="14" t="s">
        <v>194</v>
      </c>
      <c r="DJ238" s="14" t="s">
        <v>408</v>
      </c>
      <c r="DK238" s="14" t="s">
        <v>1975</v>
      </c>
      <c r="DL238" s="21" t="s">
        <v>4819</v>
      </c>
      <c r="DM238" s="14" t="s">
        <v>198</v>
      </c>
      <c r="DN238" s="13" t="s">
        <v>4820</v>
      </c>
      <c r="DO238" s="20">
        <v>2021</v>
      </c>
      <c r="DP238" s="14" t="s">
        <v>166</v>
      </c>
      <c r="DQ238" s="14" t="s">
        <v>166</v>
      </c>
      <c r="DR238" s="18" t="s">
        <v>166</v>
      </c>
      <c r="DS238" s="16" t="s">
        <v>166</v>
      </c>
      <c r="DT238" s="19" t="s">
        <v>166</v>
      </c>
      <c r="DU238" s="14" t="s">
        <v>166</v>
      </c>
      <c r="DV238" s="18" t="s">
        <v>166</v>
      </c>
      <c r="DW238" s="18" t="s">
        <v>166</v>
      </c>
      <c r="DX238" s="16" t="s">
        <v>166</v>
      </c>
      <c r="DY238" s="16" t="s">
        <v>166</v>
      </c>
      <c r="DZ238" s="17" t="s">
        <v>166</v>
      </c>
      <c r="EA238" s="16" t="s">
        <v>166</v>
      </c>
      <c r="EB238" s="16" t="s">
        <v>166</v>
      </c>
      <c r="EC238" s="16" t="s">
        <v>166</v>
      </c>
      <c r="ED238" s="17" t="s">
        <v>166</v>
      </c>
      <c r="EE238" s="17" t="s">
        <v>166</v>
      </c>
      <c r="EF238" s="17" t="s">
        <v>166</v>
      </c>
      <c r="EG238" s="17" t="s">
        <v>166</v>
      </c>
      <c r="EH238" s="16" t="s">
        <v>166</v>
      </c>
      <c r="EI238" s="16" t="s">
        <v>166</v>
      </c>
      <c r="EJ238" s="16" t="s">
        <v>166</v>
      </c>
      <c r="EK238" s="16" t="s">
        <v>166</v>
      </c>
      <c r="EL238" s="16" t="s">
        <v>166</v>
      </c>
      <c r="EM238" s="16" t="s">
        <v>166</v>
      </c>
      <c r="EN238" s="16" t="s">
        <v>166</v>
      </c>
      <c r="EO238" s="16" t="s">
        <v>166</v>
      </c>
      <c r="EP238" s="16" t="s">
        <v>166</v>
      </c>
      <c r="EQ238" s="16" t="s">
        <v>166</v>
      </c>
      <c r="ER238" s="16" t="s">
        <v>166</v>
      </c>
      <c r="ES238" s="16" t="s">
        <v>166</v>
      </c>
      <c r="ET238" s="14" t="s">
        <v>166</v>
      </c>
      <c r="EU238" s="16" t="s">
        <v>166</v>
      </c>
      <c r="EV238" s="16" t="s">
        <v>166</v>
      </c>
      <c r="EW238" s="16" t="s">
        <v>166</v>
      </c>
      <c r="EX238" s="14" t="s">
        <v>190</v>
      </c>
      <c r="EY238" s="14" t="s">
        <v>166</v>
      </c>
      <c r="EZ238" s="16" t="s">
        <v>166</v>
      </c>
      <c r="FA238" s="15" t="s">
        <v>166</v>
      </c>
      <c r="FB238" s="15" t="s">
        <v>166</v>
      </c>
      <c r="FC238" s="15" t="s">
        <v>166</v>
      </c>
      <c r="FD238" s="15" t="s">
        <v>166</v>
      </c>
      <c r="FE238" s="15" t="s">
        <v>166</v>
      </c>
      <c r="FF238" s="15" t="s">
        <v>166</v>
      </c>
      <c r="FG238" s="14" t="s">
        <v>166</v>
      </c>
      <c r="FH238" s="3">
        <f>HYPERLINK("https://my.pitchbook.com?c=186508-90T","View Company Online")</f>
      </c>
    </row>
    <row r="239">
      <c r="A239" s="25" t="s">
        <v>4821</v>
      </c>
      <c r="B239" s="25" t="s">
        <v>4822</v>
      </c>
      <c r="C239" s="25" t="s">
        <v>4823</v>
      </c>
      <c r="D239" s="25" t="s">
        <v>166</v>
      </c>
      <c r="E239" s="34" t="s">
        <v>4824</v>
      </c>
      <c r="F239" s="32">
        <v>1</v>
      </c>
      <c r="G239" s="25" t="s">
        <v>4825</v>
      </c>
      <c r="H239" s="25" t="s">
        <v>166</v>
      </c>
      <c r="I239" s="25" t="s">
        <v>4826</v>
      </c>
      <c r="J239" s="25" t="s">
        <v>4827</v>
      </c>
      <c r="K239" s="25" t="s">
        <v>207</v>
      </c>
      <c r="L239" s="25" t="s">
        <v>208</v>
      </c>
      <c r="M239" s="25" t="s">
        <v>209</v>
      </c>
      <c r="N239" s="25" t="s">
        <v>269</v>
      </c>
      <c r="O239" s="25" t="s">
        <v>4828</v>
      </c>
      <c r="P239" s="25" t="s">
        <v>4829</v>
      </c>
      <c r="Q239" s="25" t="s">
        <v>166</v>
      </c>
      <c r="R239" s="25" t="s">
        <v>177</v>
      </c>
      <c r="S239" s="25" t="s">
        <v>178</v>
      </c>
      <c r="T239" s="25" t="s">
        <v>179</v>
      </c>
      <c r="U239" s="25" t="s">
        <v>4830</v>
      </c>
      <c r="V239" s="25" t="s">
        <v>4831</v>
      </c>
      <c r="W239" s="32" t="s">
        <v>4832</v>
      </c>
      <c r="X239" s="25" t="s">
        <v>4833</v>
      </c>
      <c r="Y239" s="25" t="s">
        <v>4834</v>
      </c>
      <c r="Z239" s="25" t="s">
        <v>166</v>
      </c>
      <c r="AA239" s="25" t="s">
        <v>166</v>
      </c>
      <c r="AB239" s="25" t="s">
        <v>166</v>
      </c>
      <c r="AC239" s="25" t="s">
        <v>166</v>
      </c>
      <c r="AD239" s="25" t="s">
        <v>166</v>
      </c>
      <c r="AE239" s="25" t="s">
        <v>166</v>
      </c>
      <c r="AF239" s="25" t="s">
        <v>166</v>
      </c>
      <c r="AG239" s="25" t="s">
        <v>166</v>
      </c>
      <c r="AH239" s="32">
        <v>2</v>
      </c>
      <c r="AI239" s="4">
        <f>HYPERLINK("https://my.pitchbook.com/?d=242575-75T","242575-75T")</f>
      </c>
      <c r="AJ239" s="30" t="s">
        <v>166</v>
      </c>
      <c r="AK239" s="30">
        <v>44994</v>
      </c>
      <c r="AL239" s="29">
        <v>1.5</v>
      </c>
      <c r="AM239" s="25" t="s">
        <v>185</v>
      </c>
      <c r="AN239" s="29" t="s">
        <v>166</v>
      </c>
      <c r="AO239" s="29" t="s">
        <v>166</v>
      </c>
      <c r="AP239" s="25" t="s">
        <v>166</v>
      </c>
      <c r="AQ239" s="32" t="s">
        <v>166</v>
      </c>
      <c r="AR239" s="32" t="s">
        <v>166</v>
      </c>
      <c r="AS239" s="28" t="s">
        <v>166</v>
      </c>
      <c r="AT239" s="29">
        <v>1.5</v>
      </c>
      <c r="AU239" s="32" t="s">
        <v>186</v>
      </c>
      <c r="AV239" s="32" t="s">
        <v>166</v>
      </c>
      <c r="AW239" s="29" t="s">
        <v>166</v>
      </c>
      <c r="AX239" s="32" t="s">
        <v>166</v>
      </c>
      <c r="AY239" s="25" t="s">
        <v>217</v>
      </c>
      <c r="AZ239" s="25" t="s">
        <v>217</v>
      </c>
      <c r="BA239" s="25" t="s">
        <v>166</v>
      </c>
      <c r="BB239" s="32" t="s">
        <v>166</v>
      </c>
      <c r="BC239" s="25" t="s">
        <v>179</v>
      </c>
      <c r="BD239" s="25" t="s">
        <v>4835</v>
      </c>
      <c r="BE239" s="25" t="s">
        <v>189</v>
      </c>
      <c r="BF239" s="29">
        <v>1.5</v>
      </c>
      <c r="BG239" s="25" t="s">
        <v>190</v>
      </c>
      <c r="BH239" s="25" t="s">
        <v>166</v>
      </c>
      <c r="BI239" s="25" t="s">
        <v>166</v>
      </c>
      <c r="BJ239" s="29" t="s">
        <v>166</v>
      </c>
      <c r="BK239" s="29" t="s">
        <v>166</v>
      </c>
      <c r="BL239" s="25" t="s">
        <v>191</v>
      </c>
      <c r="BM239" s="25" t="s">
        <v>178</v>
      </c>
      <c r="BN239" s="25" t="s">
        <v>177</v>
      </c>
      <c r="BO239" s="33" t="s">
        <v>166</v>
      </c>
      <c r="BP239" s="25" t="s">
        <v>4824</v>
      </c>
      <c r="BQ239" s="32">
        <v>1</v>
      </c>
      <c r="BR239" s="25" t="s">
        <v>166</v>
      </c>
      <c r="BS239" s="32" t="s">
        <v>166</v>
      </c>
      <c r="BT239" s="25" t="s">
        <v>166</v>
      </c>
      <c r="BU239" s="25" t="s">
        <v>166</v>
      </c>
      <c r="BV239" s="25" t="s">
        <v>166</v>
      </c>
      <c r="BW239" s="25" t="s">
        <v>166</v>
      </c>
      <c r="BX239" s="25" t="s">
        <v>166</v>
      </c>
      <c r="BY239" s="25" t="s">
        <v>166</v>
      </c>
      <c r="BZ239" s="25" t="s">
        <v>166</v>
      </c>
      <c r="CA239" s="25" t="s">
        <v>166</v>
      </c>
      <c r="CB239" s="25" t="s">
        <v>166</v>
      </c>
      <c r="CC239" s="25" t="s">
        <v>166</v>
      </c>
      <c r="CD239" s="25" t="s">
        <v>166</v>
      </c>
      <c r="CE239" s="29" t="s">
        <v>166</v>
      </c>
      <c r="CF239" s="27" t="s">
        <v>166</v>
      </c>
      <c r="CG239" s="28" t="s">
        <v>166</v>
      </c>
      <c r="CH239" s="27" t="s">
        <v>166</v>
      </c>
      <c r="CI239" s="27" t="s">
        <v>166</v>
      </c>
      <c r="CJ239" s="27" t="s">
        <v>166</v>
      </c>
      <c r="CK239" s="27" t="s">
        <v>166</v>
      </c>
      <c r="CL239" s="27" t="s">
        <v>166</v>
      </c>
      <c r="CM239" s="31" t="s">
        <v>166</v>
      </c>
      <c r="CN239" s="27" t="s">
        <v>166</v>
      </c>
      <c r="CO239" s="27" t="s">
        <v>166</v>
      </c>
      <c r="CP239" s="27" t="s">
        <v>166</v>
      </c>
      <c r="CQ239" s="27" t="s">
        <v>166</v>
      </c>
      <c r="CR239" s="27" t="s">
        <v>166</v>
      </c>
      <c r="CS239" s="27" t="s">
        <v>166</v>
      </c>
      <c r="CT239" s="27" t="s">
        <v>166</v>
      </c>
      <c r="CU239" s="27" t="s">
        <v>166</v>
      </c>
      <c r="CV239" s="27" t="s">
        <v>166</v>
      </c>
      <c r="CW239" s="27" t="s">
        <v>166</v>
      </c>
      <c r="CX239" s="27" t="s">
        <v>166</v>
      </c>
      <c r="CY239" s="27" t="s">
        <v>166</v>
      </c>
      <c r="CZ239" s="27" t="s">
        <v>166</v>
      </c>
      <c r="DA239" s="27" t="s">
        <v>166</v>
      </c>
      <c r="DB239" s="27" t="s">
        <v>166</v>
      </c>
      <c r="DC239" s="27" t="s">
        <v>166</v>
      </c>
      <c r="DD239" s="27" t="s">
        <v>166</v>
      </c>
      <c r="DE239" s="28" t="s">
        <v>166</v>
      </c>
      <c r="DF239" s="33" t="s">
        <v>166</v>
      </c>
      <c r="DG239" s="25" t="s">
        <v>2859</v>
      </c>
      <c r="DH239" s="25" t="s">
        <v>193</v>
      </c>
      <c r="DI239" s="25" t="s">
        <v>194</v>
      </c>
      <c r="DJ239" s="25" t="s">
        <v>2860</v>
      </c>
      <c r="DK239" s="25" t="s">
        <v>2861</v>
      </c>
      <c r="DL239" s="32" t="s">
        <v>2862</v>
      </c>
      <c r="DM239" s="25" t="s">
        <v>198</v>
      </c>
      <c r="DN239" s="24" t="s">
        <v>4836</v>
      </c>
      <c r="DO239" s="31">
        <v>2019</v>
      </c>
      <c r="DP239" s="25" t="s">
        <v>166</v>
      </c>
      <c r="DQ239" s="25" t="s">
        <v>166</v>
      </c>
      <c r="DR239" s="29" t="s">
        <v>166</v>
      </c>
      <c r="DS239" s="27" t="s">
        <v>166</v>
      </c>
      <c r="DT239" s="30" t="s">
        <v>166</v>
      </c>
      <c r="DU239" s="25" t="s">
        <v>166</v>
      </c>
      <c r="DV239" s="29" t="s">
        <v>166</v>
      </c>
      <c r="DW239" s="29" t="s">
        <v>166</v>
      </c>
      <c r="DX239" s="27" t="s">
        <v>166</v>
      </c>
      <c r="DY239" s="27" t="s">
        <v>166</v>
      </c>
      <c r="DZ239" s="28" t="s">
        <v>166</v>
      </c>
      <c r="EA239" s="27" t="s">
        <v>166</v>
      </c>
      <c r="EB239" s="27" t="s">
        <v>166</v>
      </c>
      <c r="EC239" s="27" t="s">
        <v>166</v>
      </c>
      <c r="ED239" s="28" t="s">
        <v>166</v>
      </c>
      <c r="EE239" s="28" t="s">
        <v>166</v>
      </c>
      <c r="EF239" s="28" t="s">
        <v>166</v>
      </c>
      <c r="EG239" s="28" t="s">
        <v>166</v>
      </c>
      <c r="EH239" s="27" t="s">
        <v>166</v>
      </c>
      <c r="EI239" s="27" t="s">
        <v>166</v>
      </c>
      <c r="EJ239" s="27" t="s">
        <v>166</v>
      </c>
      <c r="EK239" s="27" t="s">
        <v>166</v>
      </c>
      <c r="EL239" s="27" t="s">
        <v>166</v>
      </c>
      <c r="EM239" s="27" t="s">
        <v>166</v>
      </c>
      <c r="EN239" s="27" t="s">
        <v>166</v>
      </c>
      <c r="EO239" s="27" t="s">
        <v>166</v>
      </c>
      <c r="EP239" s="27" t="s">
        <v>166</v>
      </c>
      <c r="EQ239" s="27" t="s">
        <v>166</v>
      </c>
      <c r="ER239" s="27" t="s">
        <v>166</v>
      </c>
      <c r="ES239" s="27" t="s">
        <v>166</v>
      </c>
      <c r="ET239" s="25" t="s">
        <v>166</v>
      </c>
      <c r="EU239" s="27" t="s">
        <v>166</v>
      </c>
      <c r="EV239" s="27" t="s">
        <v>166</v>
      </c>
      <c r="EW239" s="27" t="s">
        <v>166</v>
      </c>
      <c r="EX239" s="25" t="s">
        <v>190</v>
      </c>
      <c r="EY239" s="25" t="s">
        <v>166</v>
      </c>
      <c r="EZ239" s="27" t="s">
        <v>166</v>
      </c>
      <c r="FA239" s="26" t="s">
        <v>166</v>
      </c>
      <c r="FB239" s="26" t="s">
        <v>166</v>
      </c>
      <c r="FC239" s="26" t="s">
        <v>166</v>
      </c>
      <c r="FD239" s="26" t="s">
        <v>166</v>
      </c>
      <c r="FE239" s="26" t="s">
        <v>166</v>
      </c>
      <c r="FF239" s="26" t="s">
        <v>166</v>
      </c>
      <c r="FG239" s="25" t="s">
        <v>166</v>
      </c>
      <c r="FH239" s="4">
        <f>HYPERLINK("https://my.pitchbook.com?c=242575-75T","View Company Online")</f>
      </c>
    </row>
    <row r="240">
      <c r="A240" s="14" t="s">
        <v>4837</v>
      </c>
      <c r="B240" s="14" t="s">
        <v>4838</v>
      </c>
      <c r="C240" s="14" t="s">
        <v>4839</v>
      </c>
      <c r="D240" s="14" t="s">
        <v>166</v>
      </c>
      <c r="E240" s="23" t="s">
        <v>4840</v>
      </c>
      <c r="F240" s="21">
        <v>2</v>
      </c>
      <c r="G240" s="14" t="s">
        <v>4841</v>
      </c>
      <c r="H240" s="14" t="s">
        <v>166</v>
      </c>
      <c r="I240" s="14" t="s">
        <v>4842</v>
      </c>
      <c r="J240" s="14" t="s">
        <v>4843</v>
      </c>
      <c r="K240" s="14" t="s">
        <v>207</v>
      </c>
      <c r="L240" s="14" t="s">
        <v>208</v>
      </c>
      <c r="M240" s="14" t="s">
        <v>1766</v>
      </c>
      <c r="N240" s="14" t="s">
        <v>2393</v>
      </c>
      <c r="O240" s="14" t="s">
        <v>4844</v>
      </c>
      <c r="P240" s="14" t="s">
        <v>4845</v>
      </c>
      <c r="Q240" s="14" t="s">
        <v>166</v>
      </c>
      <c r="R240" s="14" t="s">
        <v>177</v>
      </c>
      <c r="S240" s="14" t="s">
        <v>178</v>
      </c>
      <c r="T240" s="14" t="s">
        <v>179</v>
      </c>
      <c r="U240" s="14" t="s">
        <v>4846</v>
      </c>
      <c r="V240" s="14" t="s">
        <v>4847</v>
      </c>
      <c r="W240" s="21" t="s">
        <v>4848</v>
      </c>
      <c r="X240" s="14" t="s">
        <v>4849</v>
      </c>
      <c r="Y240" s="14" t="s">
        <v>4850</v>
      </c>
      <c r="Z240" s="14" t="s">
        <v>4851</v>
      </c>
      <c r="AA240" s="14" t="s">
        <v>166</v>
      </c>
      <c r="AB240" s="14" t="s">
        <v>166</v>
      </c>
      <c r="AC240" s="14" t="s">
        <v>166</v>
      </c>
      <c r="AD240" s="14" t="s">
        <v>166</v>
      </c>
      <c r="AE240" s="14" t="s">
        <v>166</v>
      </c>
      <c r="AF240" s="14" t="s">
        <v>166</v>
      </c>
      <c r="AG240" s="14" t="s">
        <v>166</v>
      </c>
      <c r="AH240" s="21">
        <v>1</v>
      </c>
      <c r="AI240" s="3">
        <f>HYPERLINK("https://my.pitchbook.com/?d=129357-91T","129357-91T")</f>
      </c>
      <c r="AJ240" s="19">
        <v>43836</v>
      </c>
      <c r="AK240" s="19">
        <v>44006</v>
      </c>
      <c r="AL240" s="18">
        <v>1.7</v>
      </c>
      <c r="AM240" s="14" t="s">
        <v>185</v>
      </c>
      <c r="AN240" s="18" t="s">
        <v>166</v>
      </c>
      <c r="AO240" s="18" t="s">
        <v>166</v>
      </c>
      <c r="AP240" s="14" t="s">
        <v>166</v>
      </c>
      <c r="AQ240" s="21" t="s">
        <v>166</v>
      </c>
      <c r="AR240" s="21" t="s">
        <v>166</v>
      </c>
      <c r="AS240" s="17" t="s">
        <v>166</v>
      </c>
      <c r="AT240" s="18">
        <v>1.7</v>
      </c>
      <c r="AU240" s="21" t="s">
        <v>186</v>
      </c>
      <c r="AV240" s="21" t="s">
        <v>166</v>
      </c>
      <c r="AW240" s="18" t="s">
        <v>166</v>
      </c>
      <c r="AX240" s="21" t="s">
        <v>166</v>
      </c>
      <c r="AY240" s="14" t="s">
        <v>217</v>
      </c>
      <c r="AZ240" s="14" t="s">
        <v>217</v>
      </c>
      <c r="BA240" s="14" t="s">
        <v>166</v>
      </c>
      <c r="BB240" s="21" t="s">
        <v>166</v>
      </c>
      <c r="BC240" s="14" t="s">
        <v>179</v>
      </c>
      <c r="BD240" s="14" t="s">
        <v>4852</v>
      </c>
      <c r="BE240" s="14" t="s">
        <v>189</v>
      </c>
      <c r="BF240" s="18">
        <v>1.7</v>
      </c>
      <c r="BG240" s="14" t="s">
        <v>190</v>
      </c>
      <c r="BH240" s="14" t="s">
        <v>166</v>
      </c>
      <c r="BI240" s="14" t="s">
        <v>166</v>
      </c>
      <c r="BJ240" s="18" t="s">
        <v>166</v>
      </c>
      <c r="BK240" s="18" t="s">
        <v>166</v>
      </c>
      <c r="BL240" s="14" t="s">
        <v>191</v>
      </c>
      <c r="BM240" s="14" t="s">
        <v>178</v>
      </c>
      <c r="BN240" s="14" t="s">
        <v>177</v>
      </c>
      <c r="BO240" s="22" t="s">
        <v>166</v>
      </c>
      <c r="BP240" s="14" t="s">
        <v>4853</v>
      </c>
      <c r="BQ240" s="21">
        <v>2</v>
      </c>
      <c r="BR240" s="14" t="s">
        <v>166</v>
      </c>
      <c r="BS240" s="21" t="s">
        <v>166</v>
      </c>
      <c r="BT240" s="14" t="s">
        <v>4854</v>
      </c>
      <c r="BU240" s="14" t="s">
        <v>166</v>
      </c>
      <c r="BV240" s="14" t="s">
        <v>4855</v>
      </c>
      <c r="BW240" s="14" t="s">
        <v>166</v>
      </c>
      <c r="BX240" s="14" t="s">
        <v>166</v>
      </c>
      <c r="BY240" s="14" t="s">
        <v>166</v>
      </c>
      <c r="BZ240" s="14" t="s">
        <v>4856</v>
      </c>
      <c r="CA240" s="14" t="s">
        <v>166</v>
      </c>
      <c r="CB240" s="14" t="s">
        <v>166</v>
      </c>
      <c r="CC240" s="14" t="s">
        <v>4856</v>
      </c>
      <c r="CD240" s="14" t="s">
        <v>166</v>
      </c>
      <c r="CE240" s="18" t="s">
        <v>166</v>
      </c>
      <c r="CF240" s="16" t="s">
        <v>166</v>
      </c>
      <c r="CG240" s="17" t="s">
        <v>166</v>
      </c>
      <c r="CH240" s="16" t="s">
        <v>166</v>
      </c>
      <c r="CI240" s="16" t="s">
        <v>166</v>
      </c>
      <c r="CJ240" s="16" t="s">
        <v>166</v>
      </c>
      <c r="CK240" s="16" t="s">
        <v>166</v>
      </c>
      <c r="CL240" s="16" t="s">
        <v>166</v>
      </c>
      <c r="CM240" s="20" t="s">
        <v>166</v>
      </c>
      <c r="CN240" s="16" t="s">
        <v>166</v>
      </c>
      <c r="CO240" s="16" t="s">
        <v>166</v>
      </c>
      <c r="CP240" s="16" t="s">
        <v>166</v>
      </c>
      <c r="CQ240" s="16" t="s">
        <v>166</v>
      </c>
      <c r="CR240" s="16" t="s">
        <v>166</v>
      </c>
      <c r="CS240" s="16" t="s">
        <v>166</v>
      </c>
      <c r="CT240" s="16" t="s">
        <v>166</v>
      </c>
      <c r="CU240" s="16" t="s">
        <v>166</v>
      </c>
      <c r="CV240" s="16" t="s">
        <v>166</v>
      </c>
      <c r="CW240" s="16" t="s">
        <v>166</v>
      </c>
      <c r="CX240" s="16" t="s">
        <v>166</v>
      </c>
      <c r="CY240" s="16" t="s">
        <v>166</v>
      </c>
      <c r="CZ240" s="16" t="s">
        <v>166</v>
      </c>
      <c r="DA240" s="16" t="s">
        <v>166</v>
      </c>
      <c r="DB240" s="16" t="s">
        <v>166</v>
      </c>
      <c r="DC240" s="16" t="s">
        <v>166</v>
      </c>
      <c r="DD240" s="16" t="s">
        <v>166</v>
      </c>
      <c r="DE240" s="17" t="s">
        <v>166</v>
      </c>
      <c r="DF240" s="22">
        <v>44</v>
      </c>
      <c r="DG240" s="14" t="s">
        <v>1077</v>
      </c>
      <c r="DH240" s="14" t="s">
        <v>193</v>
      </c>
      <c r="DI240" s="14" t="s">
        <v>194</v>
      </c>
      <c r="DJ240" s="14" t="s">
        <v>1078</v>
      </c>
      <c r="DK240" s="14" t="s">
        <v>257</v>
      </c>
      <c r="DL240" s="21" t="s">
        <v>166</v>
      </c>
      <c r="DM240" s="14" t="s">
        <v>198</v>
      </c>
      <c r="DN240" s="13" t="s">
        <v>4857</v>
      </c>
      <c r="DO240" s="20">
        <v>2017</v>
      </c>
      <c r="DP240" s="14" t="s">
        <v>166</v>
      </c>
      <c r="DQ240" s="14" t="s">
        <v>166</v>
      </c>
      <c r="DR240" s="18" t="s">
        <v>166</v>
      </c>
      <c r="DS240" s="16" t="s">
        <v>166</v>
      </c>
      <c r="DT240" s="19" t="s">
        <v>166</v>
      </c>
      <c r="DU240" s="14" t="s">
        <v>166</v>
      </c>
      <c r="DV240" s="18" t="s">
        <v>166</v>
      </c>
      <c r="DW240" s="18" t="s">
        <v>166</v>
      </c>
      <c r="DX240" s="16" t="s">
        <v>166</v>
      </c>
      <c r="DY240" s="16" t="s">
        <v>166</v>
      </c>
      <c r="DZ240" s="17" t="s">
        <v>166</v>
      </c>
      <c r="EA240" s="16" t="s">
        <v>166</v>
      </c>
      <c r="EB240" s="16" t="s">
        <v>166</v>
      </c>
      <c r="EC240" s="16" t="s">
        <v>166</v>
      </c>
      <c r="ED240" s="17" t="s">
        <v>166</v>
      </c>
      <c r="EE240" s="17" t="s">
        <v>166</v>
      </c>
      <c r="EF240" s="17" t="s">
        <v>166</v>
      </c>
      <c r="EG240" s="17" t="s">
        <v>166</v>
      </c>
      <c r="EH240" s="16" t="s">
        <v>166</v>
      </c>
      <c r="EI240" s="16" t="s">
        <v>166</v>
      </c>
      <c r="EJ240" s="16" t="s">
        <v>166</v>
      </c>
      <c r="EK240" s="16" t="s">
        <v>166</v>
      </c>
      <c r="EL240" s="16" t="s">
        <v>166</v>
      </c>
      <c r="EM240" s="16" t="s">
        <v>166</v>
      </c>
      <c r="EN240" s="16" t="s">
        <v>166</v>
      </c>
      <c r="EO240" s="16" t="s">
        <v>166</v>
      </c>
      <c r="EP240" s="16" t="s">
        <v>166</v>
      </c>
      <c r="EQ240" s="16" t="s">
        <v>166</v>
      </c>
      <c r="ER240" s="16" t="s">
        <v>166</v>
      </c>
      <c r="ES240" s="16" t="s">
        <v>166</v>
      </c>
      <c r="ET240" s="14" t="s">
        <v>166</v>
      </c>
      <c r="EU240" s="16" t="s">
        <v>166</v>
      </c>
      <c r="EV240" s="16" t="s">
        <v>166</v>
      </c>
      <c r="EW240" s="16" t="s">
        <v>166</v>
      </c>
      <c r="EX240" s="14" t="s">
        <v>190</v>
      </c>
      <c r="EY240" s="14" t="s">
        <v>166</v>
      </c>
      <c r="EZ240" s="16" t="s">
        <v>166</v>
      </c>
      <c r="FA240" s="15" t="s">
        <v>166</v>
      </c>
      <c r="FB240" s="15" t="s">
        <v>166</v>
      </c>
      <c r="FC240" s="15" t="s">
        <v>166</v>
      </c>
      <c r="FD240" s="15" t="s">
        <v>166</v>
      </c>
      <c r="FE240" s="15" t="s">
        <v>166</v>
      </c>
      <c r="FF240" s="15" t="s">
        <v>166</v>
      </c>
      <c r="FG240" s="14" t="s">
        <v>166</v>
      </c>
      <c r="FH240" s="3">
        <f>HYPERLINK("https://my.pitchbook.com?c=129357-91T","View Company Online")</f>
      </c>
    </row>
    <row r="241">
      <c r="A241" s="25" t="s">
        <v>4858</v>
      </c>
      <c r="B241" s="25" t="s">
        <v>4859</v>
      </c>
      <c r="C241" s="25" t="s">
        <v>4860</v>
      </c>
      <c r="D241" s="25" t="s">
        <v>166</v>
      </c>
      <c r="E241" s="34" t="s">
        <v>4861</v>
      </c>
      <c r="F241" s="32">
        <v>4</v>
      </c>
      <c r="G241" s="25" t="s">
        <v>4862</v>
      </c>
      <c r="H241" s="25" t="s">
        <v>166</v>
      </c>
      <c r="I241" s="25" t="s">
        <v>4863</v>
      </c>
      <c r="J241" s="25" t="s">
        <v>4864</v>
      </c>
      <c r="K241" s="25" t="s">
        <v>207</v>
      </c>
      <c r="L241" s="25" t="s">
        <v>208</v>
      </c>
      <c r="M241" s="25" t="s">
        <v>1766</v>
      </c>
      <c r="N241" s="25" t="s">
        <v>2393</v>
      </c>
      <c r="O241" s="25" t="s">
        <v>1035</v>
      </c>
      <c r="P241" s="25" t="s">
        <v>4865</v>
      </c>
      <c r="Q241" s="25" t="s">
        <v>166</v>
      </c>
      <c r="R241" s="25" t="s">
        <v>177</v>
      </c>
      <c r="S241" s="25" t="s">
        <v>178</v>
      </c>
      <c r="T241" s="25" t="s">
        <v>179</v>
      </c>
      <c r="U241" s="25" t="s">
        <v>4866</v>
      </c>
      <c r="V241" s="25" t="s">
        <v>4867</v>
      </c>
      <c r="W241" s="32" t="s">
        <v>4868</v>
      </c>
      <c r="X241" s="25" t="s">
        <v>4869</v>
      </c>
      <c r="Y241" s="25" t="s">
        <v>4870</v>
      </c>
      <c r="Z241" s="25" t="s">
        <v>166</v>
      </c>
      <c r="AA241" s="25" t="s">
        <v>166</v>
      </c>
      <c r="AB241" s="25" t="s">
        <v>166</v>
      </c>
      <c r="AC241" s="25" t="s">
        <v>166</v>
      </c>
      <c r="AD241" s="25" t="s">
        <v>166</v>
      </c>
      <c r="AE241" s="25" t="s">
        <v>166</v>
      </c>
      <c r="AF241" s="25" t="s">
        <v>166</v>
      </c>
      <c r="AG241" s="25" t="s">
        <v>166</v>
      </c>
      <c r="AH241" s="32">
        <v>2</v>
      </c>
      <c r="AI241" s="4">
        <f>HYPERLINK("https://my.pitchbook.com/?d=220907-17T","220907-17T")</f>
      </c>
      <c r="AJ241" s="30" t="s">
        <v>166</v>
      </c>
      <c r="AK241" s="30">
        <v>45017</v>
      </c>
      <c r="AL241" s="29">
        <v>3</v>
      </c>
      <c r="AM241" s="25" t="s">
        <v>185</v>
      </c>
      <c r="AN241" s="29" t="s">
        <v>166</v>
      </c>
      <c r="AO241" s="29" t="s">
        <v>166</v>
      </c>
      <c r="AP241" s="25" t="s">
        <v>166</v>
      </c>
      <c r="AQ241" s="32" t="s">
        <v>166</v>
      </c>
      <c r="AR241" s="32" t="s">
        <v>166</v>
      </c>
      <c r="AS241" s="28" t="s">
        <v>166</v>
      </c>
      <c r="AT241" s="29">
        <v>3.01</v>
      </c>
      <c r="AU241" s="32" t="s">
        <v>186</v>
      </c>
      <c r="AV241" s="32" t="s">
        <v>166</v>
      </c>
      <c r="AW241" s="29" t="s">
        <v>166</v>
      </c>
      <c r="AX241" s="32" t="s">
        <v>166</v>
      </c>
      <c r="AY241" s="25" t="s">
        <v>217</v>
      </c>
      <c r="AZ241" s="25" t="s">
        <v>217</v>
      </c>
      <c r="BA241" s="25" t="s">
        <v>166</v>
      </c>
      <c r="BB241" s="32" t="s">
        <v>166</v>
      </c>
      <c r="BC241" s="25" t="s">
        <v>179</v>
      </c>
      <c r="BD241" s="25" t="s">
        <v>4864</v>
      </c>
      <c r="BE241" s="25" t="s">
        <v>189</v>
      </c>
      <c r="BF241" s="29">
        <v>3</v>
      </c>
      <c r="BG241" s="25" t="s">
        <v>190</v>
      </c>
      <c r="BH241" s="25" t="s">
        <v>166</v>
      </c>
      <c r="BI241" s="25" t="s">
        <v>166</v>
      </c>
      <c r="BJ241" s="29" t="s">
        <v>166</v>
      </c>
      <c r="BK241" s="29" t="s">
        <v>166</v>
      </c>
      <c r="BL241" s="25" t="s">
        <v>191</v>
      </c>
      <c r="BM241" s="25" t="s">
        <v>178</v>
      </c>
      <c r="BN241" s="25" t="s">
        <v>177</v>
      </c>
      <c r="BO241" s="33" t="s">
        <v>166</v>
      </c>
      <c r="BP241" s="25" t="s">
        <v>4871</v>
      </c>
      <c r="BQ241" s="32">
        <v>4</v>
      </c>
      <c r="BR241" s="25" t="s">
        <v>166</v>
      </c>
      <c r="BS241" s="32" t="s">
        <v>166</v>
      </c>
      <c r="BT241" s="25" t="s">
        <v>4872</v>
      </c>
      <c r="BU241" s="25" t="s">
        <v>166</v>
      </c>
      <c r="BV241" s="25" t="s">
        <v>166</v>
      </c>
      <c r="BW241" s="25" t="s">
        <v>166</v>
      </c>
      <c r="BX241" s="25" t="s">
        <v>166</v>
      </c>
      <c r="BY241" s="25" t="s">
        <v>166</v>
      </c>
      <c r="BZ241" s="25" t="s">
        <v>4873</v>
      </c>
      <c r="CA241" s="25" t="s">
        <v>166</v>
      </c>
      <c r="CB241" s="25" t="s">
        <v>166</v>
      </c>
      <c r="CC241" s="25" t="s">
        <v>4873</v>
      </c>
      <c r="CD241" s="25" t="s">
        <v>166</v>
      </c>
      <c r="CE241" s="29" t="s">
        <v>166</v>
      </c>
      <c r="CF241" s="27" t="s">
        <v>166</v>
      </c>
      <c r="CG241" s="28" t="s">
        <v>166</v>
      </c>
      <c r="CH241" s="27" t="s">
        <v>166</v>
      </c>
      <c r="CI241" s="27" t="s">
        <v>166</v>
      </c>
      <c r="CJ241" s="27" t="s">
        <v>166</v>
      </c>
      <c r="CK241" s="27" t="s">
        <v>166</v>
      </c>
      <c r="CL241" s="27" t="s">
        <v>166</v>
      </c>
      <c r="CM241" s="31" t="s">
        <v>166</v>
      </c>
      <c r="CN241" s="27" t="s">
        <v>166</v>
      </c>
      <c r="CO241" s="27" t="s">
        <v>166</v>
      </c>
      <c r="CP241" s="27" t="s">
        <v>166</v>
      </c>
      <c r="CQ241" s="27" t="s">
        <v>166</v>
      </c>
      <c r="CR241" s="27" t="s">
        <v>166</v>
      </c>
      <c r="CS241" s="27" t="s">
        <v>166</v>
      </c>
      <c r="CT241" s="27" t="s">
        <v>166</v>
      </c>
      <c r="CU241" s="27" t="s">
        <v>166</v>
      </c>
      <c r="CV241" s="27" t="s">
        <v>166</v>
      </c>
      <c r="CW241" s="27" t="s">
        <v>166</v>
      </c>
      <c r="CX241" s="27" t="s">
        <v>166</v>
      </c>
      <c r="CY241" s="27" t="s">
        <v>166</v>
      </c>
      <c r="CZ241" s="27" t="s">
        <v>166</v>
      </c>
      <c r="DA241" s="27" t="s">
        <v>166</v>
      </c>
      <c r="DB241" s="27" t="s">
        <v>166</v>
      </c>
      <c r="DC241" s="27" t="s">
        <v>166</v>
      </c>
      <c r="DD241" s="27" t="s">
        <v>166</v>
      </c>
      <c r="DE241" s="28" t="s">
        <v>166</v>
      </c>
      <c r="DF241" s="33">
        <v>14</v>
      </c>
      <c r="DG241" s="25" t="s">
        <v>4874</v>
      </c>
      <c r="DH241" s="25" t="s">
        <v>193</v>
      </c>
      <c r="DI241" s="25" t="s">
        <v>194</v>
      </c>
      <c r="DJ241" s="25" t="s">
        <v>4875</v>
      </c>
      <c r="DK241" s="25" t="s">
        <v>3521</v>
      </c>
      <c r="DL241" s="32" t="s">
        <v>4876</v>
      </c>
      <c r="DM241" s="25" t="s">
        <v>198</v>
      </c>
      <c r="DN241" s="24" t="s">
        <v>4877</v>
      </c>
      <c r="DO241" s="31">
        <v>2016</v>
      </c>
      <c r="DP241" s="25" t="s">
        <v>166</v>
      </c>
      <c r="DQ241" s="25" t="s">
        <v>166</v>
      </c>
      <c r="DR241" s="29" t="s">
        <v>166</v>
      </c>
      <c r="DS241" s="27" t="s">
        <v>166</v>
      </c>
      <c r="DT241" s="30" t="s">
        <v>166</v>
      </c>
      <c r="DU241" s="25" t="s">
        <v>166</v>
      </c>
      <c r="DV241" s="29" t="s">
        <v>166</v>
      </c>
      <c r="DW241" s="29" t="s">
        <v>166</v>
      </c>
      <c r="DX241" s="27" t="s">
        <v>166</v>
      </c>
      <c r="DY241" s="27" t="s">
        <v>166</v>
      </c>
      <c r="DZ241" s="28" t="s">
        <v>166</v>
      </c>
      <c r="EA241" s="27" t="s">
        <v>166</v>
      </c>
      <c r="EB241" s="27" t="s">
        <v>166</v>
      </c>
      <c r="EC241" s="27" t="s">
        <v>166</v>
      </c>
      <c r="ED241" s="28" t="s">
        <v>166</v>
      </c>
      <c r="EE241" s="28" t="s">
        <v>166</v>
      </c>
      <c r="EF241" s="28" t="s">
        <v>166</v>
      </c>
      <c r="EG241" s="28" t="s">
        <v>166</v>
      </c>
      <c r="EH241" s="27" t="s">
        <v>166</v>
      </c>
      <c r="EI241" s="27" t="s">
        <v>166</v>
      </c>
      <c r="EJ241" s="27" t="s">
        <v>166</v>
      </c>
      <c r="EK241" s="27" t="s">
        <v>166</v>
      </c>
      <c r="EL241" s="27" t="s">
        <v>166</v>
      </c>
      <c r="EM241" s="27" t="s">
        <v>166</v>
      </c>
      <c r="EN241" s="27" t="s">
        <v>166</v>
      </c>
      <c r="EO241" s="27" t="s">
        <v>166</v>
      </c>
      <c r="EP241" s="27" t="s">
        <v>166</v>
      </c>
      <c r="EQ241" s="27" t="s">
        <v>166</v>
      </c>
      <c r="ER241" s="27" t="s">
        <v>166</v>
      </c>
      <c r="ES241" s="27" t="s">
        <v>166</v>
      </c>
      <c r="ET241" s="25" t="s">
        <v>166</v>
      </c>
      <c r="EU241" s="27" t="s">
        <v>166</v>
      </c>
      <c r="EV241" s="27" t="s">
        <v>166</v>
      </c>
      <c r="EW241" s="27" t="s">
        <v>166</v>
      </c>
      <c r="EX241" s="25" t="s">
        <v>190</v>
      </c>
      <c r="EY241" s="25" t="s">
        <v>166</v>
      </c>
      <c r="EZ241" s="27" t="s">
        <v>166</v>
      </c>
      <c r="FA241" s="26" t="s">
        <v>166</v>
      </c>
      <c r="FB241" s="26" t="s">
        <v>166</v>
      </c>
      <c r="FC241" s="26" t="s">
        <v>166</v>
      </c>
      <c r="FD241" s="26" t="s">
        <v>166</v>
      </c>
      <c r="FE241" s="26" t="s">
        <v>166</v>
      </c>
      <c r="FF241" s="26" t="s">
        <v>166</v>
      </c>
      <c r="FG241" s="25" t="s">
        <v>166</v>
      </c>
      <c r="FH241" s="4">
        <f>HYPERLINK("https://my.pitchbook.com?c=220907-17T","View Company Online")</f>
      </c>
    </row>
    <row r="242">
      <c r="A242" s="14" t="s">
        <v>4878</v>
      </c>
      <c r="B242" s="14" t="s">
        <v>4879</v>
      </c>
      <c r="C242" s="14" t="s">
        <v>4880</v>
      </c>
      <c r="D242" s="14" t="s">
        <v>166</v>
      </c>
      <c r="E242" s="23" t="s">
        <v>4881</v>
      </c>
      <c r="F242" s="21">
        <v>3</v>
      </c>
      <c r="G242" s="14" t="s">
        <v>4882</v>
      </c>
      <c r="H242" s="14" t="s">
        <v>166</v>
      </c>
      <c r="I242" s="14" t="s">
        <v>4883</v>
      </c>
      <c r="J242" s="14" t="s">
        <v>4884</v>
      </c>
      <c r="K242" s="14" t="s">
        <v>207</v>
      </c>
      <c r="L242" s="14" t="s">
        <v>208</v>
      </c>
      <c r="M242" s="14" t="s">
        <v>209</v>
      </c>
      <c r="N242" s="14" t="s">
        <v>269</v>
      </c>
      <c r="O242" s="14" t="s">
        <v>665</v>
      </c>
      <c r="P242" s="14" t="s">
        <v>4885</v>
      </c>
      <c r="Q242" s="14" t="s">
        <v>926</v>
      </c>
      <c r="R242" s="14" t="s">
        <v>177</v>
      </c>
      <c r="S242" s="14" t="s">
        <v>178</v>
      </c>
      <c r="T242" s="14" t="s">
        <v>179</v>
      </c>
      <c r="U242" s="14" t="s">
        <v>4886</v>
      </c>
      <c r="V242" s="14" t="s">
        <v>4887</v>
      </c>
      <c r="W242" s="21" t="s">
        <v>166</v>
      </c>
      <c r="X242" s="14" t="s">
        <v>4888</v>
      </c>
      <c r="Y242" s="14" t="s">
        <v>4889</v>
      </c>
      <c r="Z242" s="14" t="s">
        <v>166</v>
      </c>
      <c r="AA242" s="14" t="s">
        <v>242</v>
      </c>
      <c r="AB242" s="14" t="s">
        <v>243</v>
      </c>
      <c r="AC242" s="14" t="s">
        <v>244</v>
      </c>
      <c r="AD242" s="14" t="s">
        <v>243</v>
      </c>
      <c r="AE242" s="14" t="s">
        <v>243</v>
      </c>
      <c r="AF242" s="14" t="s">
        <v>166</v>
      </c>
      <c r="AG242" s="14" t="s">
        <v>246</v>
      </c>
      <c r="AH242" s="21">
        <v>1</v>
      </c>
      <c r="AI242" s="3">
        <f>HYPERLINK("https://my.pitchbook.com/?d=165110-41T","165110-41T")</f>
      </c>
      <c r="AJ242" s="19" t="s">
        <v>166</v>
      </c>
      <c r="AK242" s="19">
        <v>43831</v>
      </c>
      <c r="AL242" s="18">
        <v>5.5</v>
      </c>
      <c r="AM242" s="14" t="s">
        <v>185</v>
      </c>
      <c r="AN242" s="18">
        <v>16</v>
      </c>
      <c r="AO242" s="18">
        <v>21.5</v>
      </c>
      <c r="AP242" s="14" t="s">
        <v>185</v>
      </c>
      <c r="AQ242" s="21" t="s">
        <v>166</v>
      </c>
      <c r="AR242" s="21" t="s">
        <v>166</v>
      </c>
      <c r="AS242" s="17">
        <v>41.29</v>
      </c>
      <c r="AT242" s="18">
        <v>5.5</v>
      </c>
      <c r="AU242" s="21" t="s">
        <v>186</v>
      </c>
      <c r="AV242" s="21" t="s">
        <v>166</v>
      </c>
      <c r="AW242" s="18">
        <v>0.92</v>
      </c>
      <c r="AX242" s="21" t="s">
        <v>166</v>
      </c>
      <c r="AY242" s="14" t="s">
        <v>217</v>
      </c>
      <c r="AZ242" s="14" t="s">
        <v>217</v>
      </c>
      <c r="BA242" s="14" t="s">
        <v>166</v>
      </c>
      <c r="BB242" s="21" t="s">
        <v>166</v>
      </c>
      <c r="BC242" s="14" t="s">
        <v>179</v>
      </c>
      <c r="BD242" s="14" t="s">
        <v>4890</v>
      </c>
      <c r="BE242" s="14" t="s">
        <v>189</v>
      </c>
      <c r="BF242" s="18">
        <v>5.5</v>
      </c>
      <c r="BG242" s="14" t="s">
        <v>190</v>
      </c>
      <c r="BH242" s="14" t="s">
        <v>166</v>
      </c>
      <c r="BI242" s="14" t="s">
        <v>166</v>
      </c>
      <c r="BJ242" s="18" t="s">
        <v>166</v>
      </c>
      <c r="BK242" s="18" t="s">
        <v>166</v>
      </c>
      <c r="BL242" s="14" t="s">
        <v>191</v>
      </c>
      <c r="BM242" s="14" t="s">
        <v>178</v>
      </c>
      <c r="BN242" s="14" t="s">
        <v>177</v>
      </c>
      <c r="BO242" s="22" t="s">
        <v>166</v>
      </c>
      <c r="BP242" s="14" t="s">
        <v>4891</v>
      </c>
      <c r="BQ242" s="21">
        <v>3</v>
      </c>
      <c r="BR242" s="14" t="s">
        <v>166</v>
      </c>
      <c r="BS242" s="21" t="s">
        <v>166</v>
      </c>
      <c r="BT242" s="14" t="s">
        <v>4892</v>
      </c>
      <c r="BU242" s="14" t="s">
        <v>166</v>
      </c>
      <c r="BV242" s="14" t="s">
        <v>4893</v>
      </c>
      <c r="BW242" s="14" t="s">
        <v>166</v>
      </c>
      <c r="BX242" s="14" t="s">
        <v>166</v>
      </c>
      <c r="BY242" s="14" t="s">
        <v>166</v>
      </c>
      <c r="BZ242" s="14" t="s">
        <v>166</v>
      </c>
      <c r="CA242" s="14" t="s">
        <v>166</v>
      </c>
      <c r="CB242" s="14" t="s">
        <v>166</v>
      </c>
      <c r="CC242" s="14" t="s">
        <v>166</v>
      </c>
      <c r="CD242" s="14" t="s">
        <v>166</v>
      </c>
      <c r="CE242" s="18" t="s">
        <v>166</v>
      </c>
      <c r="CF242" s="16" t="s">
        <v>166</v>
      </c>
      <c r="CG242" s="17" t="s">
        <v>166</v>
      </c>
      <c r="CH242" s="16" t="s">
        <v>166</v>
      </c>
      <c r="CI242" s="16" t="s">
        <v>166</v>
      </c>
      <c r="CJ242" s="16" t="s">
        <v>166</v>
      </c>
      <c r="CK242" s="16" t="s">
        <v>166</v>
      </c>
      <c r="CL242" s="16" t="s">
        <v>166</v>
      </c>
      <c r="CM242" s="20" t="s">
        <v>166</v>
      </c>
      <c r="CN242" s="16" t="s">
        <v>166</v>
      </c>
      <c r="CO242" s="16" t="s">
        <v>166</v>
      </c>
      <c r="CP242" s="16" t="s">
        <v>166</v>
      </c>
      <c r="CQ242" s="16" t="s">
        <v>166</v>
      </c>
      <c r="CR242" s="16" t="s">
        <v>166</v>
      </c>
      <c r="CS242" s="16" t="s">
        <v>166</v>
      </c>
      <c r="CT242" s="16" t="s">
        <v>166</v>
      </c>
      <c r="CU242" s="16" t="s">
        <v>166</v>
      </c>
      <c r="CV242" s="16" t="s">
        <v>166</v>
      </c>
      <c r="CW242" s="16" t="s">
        <v>166</v>
      </c>
      <c r="CX242" s="16" t="s">
        <v>166</v>
      </c>
      <c r="CY242" s="16" t="s">
        <v>166</v>
      </c>
      <c r="CZ242" s="16" t="s">
        <v>166</v>
      </c>
      <c r="DA242" s="16" t="s">
        <v>166</v>
      </c>
      <c r="DB242" s="16" t="s">
        <v>166</v>
      </c>
      <c r="DC242" s="16" t="s">
        <v>166</v>
      </c>
      <c r="DD242" s="16" t="s">
        <v>166</v>
      </c>
      <c r="DE242" s="17" t="s">
        <v>166</v>
      </c>
      <c r="DF242" s="22">
        <v>47</v>
      </c>
      <c r="DG242" s="14" t="s">
        <v>1077</v>
      </c>
      <c r="DH242" s="14" t="s">
        <v>193</v>
      </c>
      <c r="DI242" s="14" t="s">
        <v>194</v>
      </c>
      <c r="DJ242" s="14" t="s">
        <v>1078</v>
      </c>
      <c r="DK242" s="14" t="s">
        <v>257</v>
      </c>
      <c r="DL242" s="21" t="s">
        <v>4894</v>
      </c>
      <c r="DM242" s="14" t="s">
        <v>198</v>
      </c>
      <c r="DN242" s="13" t="s">
        <v>4895</v>
      </c>
      <c r="DO242" s="20">
        <v>2020</v>
      </c>
      <c r="DP242" s="14" t="s">
        <v>166</v>
      </c>
      <c r="DQ242" s="14" t="s">
        <v>166</v>
      </c>
      <c r="DR242" s="18" t="s">
        <v>166</v>
      </c>
      <c r="DS242" s="16" t="s">
        <v>166</v>
      </c>
      <c r="DT242" s="19" t="s">
        <v>166</v>
      </c>
      <c r="DU242" s="14" t="s">
        <v>166</v>
      </c>
      <c r="DV242" s="18" t="s">
        <v>166</v>
      </c>
      <c r="DW242" s="18" t="s">
        <v>166</v>
      </c>
      <c r="DX242" s="16" t="s">
        <v>166</v>
      </c>
      <c r="DY242" s="16" t="s">
        <v>166</v>
      </c>
      <c r="DZ242" s="17" t="s">
        <v>166</v>
      </c>
      <c r="EA242" s="16" t="s">
        <v>166</v>
      </c>
      <c r="EB242" s="16" t="s">
        <v>166</v>
      </c>
      <c r="EC242" s="16" t="s">
        <v>166</v>
      </c>
      <c r="ED242" s="17" t="s">
        <v>166</v>
      </c>
      <c r="EE242" s="17" t="s">
        <v>166</v>
      </c>
      <c r="EF242" s="17" t="s">
        <v>166</v>
      </c>
      <c r="EG242" s="17" t="s">
        <v>166</v>
      </c>
      <c r="EH242" s="16" t="s">
        <v>166</v>
      </c>
      <c r="EI242" s="16" t="s">
        <v>166</v>
      </c>
      <c r="EJ242" s="16" t="s">
        <v>166</v>
      </c>
      <c r="EK242" s="16" t="s">
        <v>166</v>
      </c>
      <c r="EL242" s="16" t="s">
        <v>166</v>
      </c>
      <c r="EM242" s="16" t="s">
        <v>166</v>
      </c>
      <c r="EN242" s="16" t="s">
        <v>166</v>
      </c>
      <c r="EO242" s="16" t="s">
        <v>166</v>
      </c>
      <c r="EP242" s="16" t="s">
        <v>166</v>
      </c>
      <c r="EQ242" s="16" t="s">
        <v>166</v>
      </c>
      <c r="ER242" s="16" t="s">
        <v>166</v>
      </c>
      <c r="ES242" s="16" t="s">
        <v>166</v>
      </c>
      <c r="ET242" s="14" t="s">
        <v>166</v>
      </c>
      <c r="EU242" s="16" t="s">
        <v>166</v>
      </c>
      <c r="EV242" s="16" t="s">
        <v>166</v>
      </c>
      <c r="EW242" s="16" t="s">
        <v>166</v>
      </c>
      <c r="EX242" s="14" t="s">
        <v>190</v>
      </c>
      <c r="EY242" s="14" t="s">
        <v>166</v>
      </c>
      <c r="EZ242" s="16" t="s">
        <v>166</v>
      </c>
      <c r="FA242" s="15">
        <v>5</v>
      </c>
      <c r="FB242" s="15">
        <v>2</v>
      </c>
      <c r="FC242" s="15">
        <v>2</v>
      </c>
      <c r="FD242" s="15">
        <v>3</v>
      </c>
      <c r="FE242" s="15" t="s">
        <v>166</v>
      </c>
      <c r="FF242" s="15" t="s">
        <v>166</v>
      </c>
      <c r="FG242" s="14" t="s">
        <v>4896</v>
      </c>
      <c r="FH242" s="3">
        <f>HYPERLINK("https://my.pitchbook.com?c=165110-41T","View Company Online")</f>
      </c>
    </row>
    <row r="243">
      <c r="A243" s="25" t="s">
        <v>4897</v>
      </c>
      <c r="B243" s="25" t="s">
        <v>4898</v>
      </c>
      <c r="C243" s="25" t="s">
        <v>4899</v>
      </c>
      <c r="D243" s="25" t="s">
        <v>166</v>
      </c>
      <c r="E243" s="34" t="s">
        <v>4900</v>
      </c>
      <c r="F243" s="32">
        <v>3</v>
      </c>
      <c r="G243" s="25" t="s">
        <v>4901</v>
      </c>
      <c r="H243" s="25" t="s">
        <v>166</v>
      </c>
      <c r="I243" s="25" t="s">
        <v>4902</v>
      </c>
      <c r="J243" s="25" t="s">
        <v>4903</v>
      </c>
      <c r="K243" s="25" t="s">
        <v>207</v>
      </c>
      <c r="L243" s="25" t="s">
        <v>208</v>
      </c>
      <c r="M243" s="25" t="s">
        <v>209</v>
      </c>
      <c r="N243" s="25" t="s">
        <v>269</v>
      </c>
      <c r="O243" s="25" t="s">
        <v>4904</v>
      </c>
      <c r="P243" s="25" t="s">
        <v>4905</v>
      </c>
      <c r="Q243" s="25" t="s">
        <v>166</v>
      </c>
      <c r="R243" s="25" t="s">
        <v>177</v>
      </c>
      <c r="S243" s="25" t="s">
        <v>178</v>
      </c>
      <c r="T243" s="25" t="s">
        <v>179</v>
      </c>
      <c r="U243" s="25" t="s">
        <v>4906</v>
      </c>
      <c r="V243" s="25" t="s">
        <v>4907</v>
      </c>
      <c r="W243" s="32" t="s">
        <v>166</v>
      </c>
      <c r="X243" s="25" t="s">
        <v>4908</v>
      </c>
      <c r="Y243" s="25" t="s">
        <v>4909</v>
      </c>
      <c r="Z243" s="25" t="s">
        <v>166</v>
      </c>
      <c r="AA243" s="25" t="s">
        <v>242</v>
      </c>
      <c r="AB243" s="25" t="s">
        <v>243</v>
      </c>
      <c r="AC243" s="25" t="s">
        <v>244</v>
      </c>
      <c r="AD243" s="25" t="s">
        <v>243</v>
      </c>
      <c r="AE243" s="25" t="s">
        <v>243</v>
      </c>
      <c r="AF243" s="25" t="s">
        <v>166</v>
      </c>
      <c r="AG243" s="25" t="s">
        <v>807</v>
      </c>
      <c r="AH243" s="32">
        <v>2</v>
      </c>
      <c r="AI243" s="4">
        <f>HYPERLINK("https://my.pitchbook.com/?d=188462-89T","188462-89T")</f>
      </c>
      <c r="AJ243" s="30" t="s">
        <v>166</v>
      </c>
      <c r="AK243" s="30">
        <v>44659</v>
      </c>
      <c r="AL243" s="29">
        <v>5.34</v>
      </c>
      <c r="AM243" s="25" t="s">
        <v>185</v>
      </c>
      <c r="AN243" s="29">
        <v>24</v>
      </c>
      <c r="AO243" s="29">
        <v>29.34</v>
      </c>
      <c r="AP243" s="25" t="s">
        <v>185</v>
      </c>
      <c r="AQ243" s="32" t="s">
        <v>166</v>
      </c>
      <c r="AR243" s="32" t="s">
        <v>166</v>
      </c>
      <c r="AS243" s="28">
        <v>32.26</v>
      </c>
      <c r="AT243" s="29">
        <v>5.84</v>
      </c>
      <c r="AU243" s="32" t="s">
        <v>186</v>
      </c>
      <c r="AV243" s="32" t="s">
        <v>166</v>
      </c>
      <c r="AW243" s="29">
        <v>2.81</v>
      </c>
      <c r="AX243" s="32" t="s">
        <v>166</v>
      </c>
      <c r="AY243" s="25" t="s">
        <v>217</v>
      </c>
      <c r="AZ243" s="25" t="s">
        <v>217</v>
      </c>
      <c r="BA243" s="25" t="s">
        <v>166</v>
      </c>
      <c r="BB243" s="32" t="s">
        <v>166</v>
      </c>
      <c r="BC243" s="25" t="s">
        <v>179</v>
      </c>
      <c r="BD243" s="25" t="s">
        <v>4910</v>
      </c>
      <c r="BE243" s="25" t="s">
        <v>189</v>
      </c>
      <c r="BF243" s="29">
        <v>5.34</v>
      </c>
      <c r="BG243" s="25" t="s">
        <v>190</v>
      </c>
      <c r="BH243" s="25" t="s">
        <v>166</v>
      </c>
      <c r="BI243" s="25" t="s">
        <v>166</v>
      </c>
      <c r="BJ243" s="29" t="s">
        <v>166</v>
      </c>
      <c r="BK243" s="29" t="s">
        <v>166</v>
      </c>
      <c r="BL243" s="25" t="s">
        <v>191</v>
      </c>
      <c r="BM243" s="25" t="s">
        <v>178</v>
      </c>
      <c r="BN243" s="25" t="s">
        <v>177</v>
      </c>
      <c r="BO243" s="33" t="s">
        <v>166</v>
      </c>
      <c r="BP243" s="25" t="s">
        <v>4911</v>
      </c>
      <c r="BQ243" s="32">
        <v>3</v>
      </c>
      <c r="BR243" s="25" t="s">
        <v>166</v>
      </c>
      <c r="BS243" s="32" t="s">
        <v>166</v>
      </c>
      <c r="BT243" s="25" t="s">
        <v>4912</v>
      </c>
      <c r="BU243" s="25" t="s">
        <v>166</v>
      </c>
      <c r="BV243" s="25" t="s">
        <v>4913</v>
      </c>
      <c r="BW243" s="25" t="s">
        <v>166</v>
      </c>
      <c r="BX243" s="25" t="s">
        <v>166</v>
      </c>
      <c r="BY243" s="25" t="s">
        <v>166</v>
      </c>
      <c r="BZ243" s="25" t="s">
        <v>166</v>
      </c>
      <c r="CA243" s="25" t="s">
        <v>166</v>
      </c>
      <c r="CB243" s="25" t="s">
        <v>166</v>
      </c>
      <c r="CC243" s="25" t="s">
        <v>166</v>
      </c>
      <c r="CD243" s="25" t="s">
        <v>166</v>
      </c>
      <c r="CE243" s="29" t="s">
        <v>166</v>
      </c>
      <c r="CF243" s="27" t="s">
        <v>166</v>
      </c>
      <c r="CG243" s="28" t="s">
        <v>166</v>
      </c>
      <c r="CH243" s="27" t="s">
        <v>166</v>
      </c>
      <c r="CI243" s="27" t="s">
        <v>166</v>
      </c>
      <c r="CJ243" s="27" t="s">
        <v>166</v>
      </c>
      <c r="CK243" s="27" t="s">
        <v>166</v>
      </c>
      <c r="CL243" s="27" t="s">
        <v>166</v>
      </c>
      <c r="CM243" s="31" t="s">
        <v>166</v>
      </c>
      <c r="CN243" s="27" t="s">
        <v>166</v>
      </c>
      <c r="CO243" s="27" t="s">
        <v>166</v>
      </c>
      <c r="CP243" s="27" t="s">
        <v>166</v>
      </c>
      <c r="CQ243" s="27" t="s">
        <v>166</v>
      </c>
      <c r="CR243" s="27" t="s">
        <v>166</v>
      </c>
      <c r="CS243" s="27" t="s">
        <v>166</v>
      </c>
      <c r="CT243" s="27" t="s">
        <v>166</v>
      </c>
      <c r="CU243" s="27" t="s">
        <v>166</v>
      </c>
      <c r="CV243" s="27" t="s">
        <v>166</v>
      </c>
      <c r="CW243" s="27" t="s">
        <v>166</v>
      </c>
      <c r="CX243" s="27" t="s">
        <v>166</v>
      </c>
      <c r="CY243" s="27" t="s">
        <v>166</v>
      </c>
      <c r="CZ243" s="27" t="s">
        <v>166</v>
      </c>
      <c r="DA243" s="27" t="s">
        <v>166</v>
      </c>
      <c r="DB243" s="27" t="s">
        <v>166</v>
      </c>
      <c r="DC243" s="27" t="s">
        <v>166</v>
      </c>
      <c r="DD243" s="27" t="s">
        <v>166</v>
      </c>
      <c r="DE243" s="28" t="s">
        <v>166</v>
      </c>
      <c r="DF243" s="33">
        <v>43</v>
      </c>
      <c r="DG243" s="25" t="s">
        <v>4914</v>
      </c>
      <c r="DH243" s="25" t="s">
        <v>193</v>
      </c>
      <c r="DI243" s="25" t="s">
        <v>194</v>
      </c>
      <c r="DJ243" s="25" t="s">
        <v>4915</v>
      </c>
      <c r="DK243" s="25" t="s">
        <v>257</v>
      </c>
      <c r="DL243" s="32" t="s">
        <v>4916</v>
      </c>
      <c r="DM243" s="25" t="s">
        <v>198</v>
      </c>
      <c r="DN243" s="24" t="s">
        <v>4917</v>
      </c>
      <c r="DO243" s="31">
        <v>2021</v>
      </c>
      <c r="DP243" s="25" t="s">
        <v>166</v>
      </c>
      <c r="DQ243" s="25" t="s">
        <v>166</v>
      </c>
      <c r="DR243" s="29" t="s">
        <v>166</v>
      </c>
      <c r="DS243" s="27" t="s">
        <v>166</v>
      </c>
      <c r="DT243" s="30" t="s">
        <v>166</v>
      </c>
      <c r="DU243" s="25" t="s">
        <v>166</v>
      </c>
      <c r="DV243" s="29" t="s">
        <v>166</v>
      </c>
      <c r="DW243" s="29" t="s">
        <v>166</v>
      </c>
      <c r="DX243" s="27" t="s">
        <v>166</v>
      </c>
      <c r="DY243" s="27" t="s">
        <v>166</v>
      </c>
      <c r="DZ243" s="28" t="s">
        <v>166</v>
      </c>
      <c r="EA243" s="27" t="s">
        <v>166</v>
      </c>
      <c r="EB243" s="27" t="s">
        <v>166</v>
      </c>
      <c r="EC243" s="27" t="s">
        <v>166</v>
      </c>
      <c r="ED243" s="28" t="s">
        <v>166</v>
      </c>
      <c r="EE243" s="28" t="s">
        <v>166</v>
      </c>
      <c r="EF243" s="28" t="s">
        <v>166</v>
      </c>
      <c r="EG243" s="28" t="s">
        <v>166</v>
      </c>
      <c r="EH243" s="27" t="s">
        <v>166</v>
      </c>
      <c r="EI243" s="27" t="s">
        <v>166</v>
      </c>
      <c r="EJ243" s="27" t="s">
        <v>166</v>
      </c>
      <c r="EK243" s="27" t="s">
        <v>166</v>
      </c>
      <c r="EL243" s="27" t="s">
        <v>166</v>
      </c>
      <c r="EM243" s="27" t="s">
        <v>166</v>
      </c>
      <c r="EN243" s="27" t="s">
        <v>166</v>
      </c>
      <c r="EO243" s="27" t="s">
        <v>166</v>
      </c>
      <c r="EP243" s="27" t="s">
        <v>166</v>
      </c>
      <c r="EQ243" s="27" t="s">
        <v>166</v>
      </c>
      <c r="ER243" s="27" t="s">
        <v>166</v>
      </c>
      <c r="ES243" s="27" t="s">
        <v>166</v>
      </c>
      <c r="ET243" s="25" t="s">
        <v>166</v>
      </c>
      <c r="EU243" s="27" t="s">
        <v>166</v>
      </c>
      <c r="EV243" s="27" t="s">
        <v>166</v>
      </c>
      <c r="EW243" s="27" t="s">
        <v>166</v>
      </c>
      <c r="EX243" s="25" t="s">
        <v>190</v>
      </c>
      <c r="EY243" s="25" t="s">
        <v>166</v>
      </c>
      <c r="EZ243" s="27" t="s">
        <v>166</v>
      </c>
      <c r="FA243" s="26" t="s">
        <v>166</v>
      </c>
      <c r="FB243" s="26" t="s">
        <v>166</v>
      </c>
      <c r="FC243" s="26" t="s">
        <v>166</v>
      </c>
      <c r="FD243" s="26" t="s">
        <v>166</v>
      </c>
      <c r="FE243" s="26" t="s">
        <v>166</v>
      </c>
      <c r="FF243" s="26" t="s">
        <v>166</v>
      </c>
      <c r="FG243" s="25" t="s">
        <v>166</v>
      </c>
      <c r="FH243" s="4">
        <f>HYPERLINK("https://my.pitchbook.com?c=188462-89T","View Company Online")</f>
      </c>
    </row>
    <row r="244">
      <c r="A244" s="14" t="s">
        <v>4918</v>
      </c>
      <c r="B244" s="14" t="s">
        <v>4919</v>
      </c>
      <c r="C244" s="14" t="s">
        <v>4920</v>
      </c>
      <c r="D244" s="14" t="s">
        <v>166</v>
      </c>
      <c r="E244" s="23" t="s">
        <v>4921</v>
      </c>
      <c r="F244" s="21">
        <v>6</v>
      </c>
      <c r="G244" s="14" t="s">
        <v>4922</v>
      </c>
      <c r="H244" s="14" t="s">
        <v>166</v>
      </c>
      <c r="I244" s="14" t="s">
        <v>4923</v>
      </c>
      <c r="J244" s="14" t="s">
        <v>4924</v>
      </c>
      <c r="K244" s="14" t="s">
        <v>207</v>
      </c>
      <c r="L244" s="14" t="s">
        <v>208</v>
      </c>
      <c r="M244" s="14" t="s">
        <v>209</v>
      </c>
      <c r="N244" s="14" t="s">
        <v>4925</v>
      </c>
      <c r="O244" s="14" t="s">
        <v>4926</v>
      </c>
      <c r="P244" s="14" t="s">
        <v>4927</v>
      </c>
      <c r="Q244" s="14" t="s">
        <v>166</v>
      </c>
      <c r="R244" s="14" t="s">
        <v>177</v>
      </c>
      <c r="S244" s="14" t="s">
        <v>178</v>
      </c>
      <c r="T244" s="14" t="s">
        <v>179</v>
      </c>
      <c r="U244" s="14" t="s">
        <v>4928</v>
      </c>
      <c r="V244" s="14" t="s">
        <v>4929</v>
      </c>
      <c r="W244" s="21" t="s">
        <v>166</v>
      </c>
      <c r="X244" s="14" t="s">
        <v>166</v>
      </c>
      <c r="Y244" s="14" t="s">
        <v>4930</v>
      </c>
      <c r="Z244" s="14" t="s">
        <v>4931</v>
      </c>
      <c r="AA244" s="14" t="s">
        <v>166</v>
      </c>
      <c r="AB244" s="14" t="s">
        <v>166</v>
      </c>
      <c r="AC244" s="14" t="s">
        <v>166</v>
      </c>
      <c r="AD244" s="14" t="s">
        <v>166</v>
      </c>
      <c r="AE244" s="14" t="s">
        <v>166</v>
      </c>
      <c r="AF244" s="14" t="s">
        <v>166</v>
      </c>
      <c r="AG244" s="14" t="s">
        <v>166</v>
      </c>
      <c r="AH244" s="21">
        <v>1</v>
      </c>
      <c r="AI244" s="3">
        <f>HYPERLINK("https://my.pitchbook.com/?d=204939-91T","204939-91T")</f>
      </c>
      <c r="AJ244" s="19">
        <v>44743</v>
      </c>
      <c r="AK244" s="19">
        <v>44805</v>
      </c>
      <c r="AL244" s="18">
        <v>1.2</v>
      </c>
      <c r="AM244" s="14" t="s">
        <v>185</v>
      </c>
      <c r="AN244" s="18" t="s">
        <v>166</v>
      </c>
      <c r="AO244" s="18" t="s">
        <v>166</v>
      </c>
      <c r="AP244" s="14" t="s">
        <v>166</v>
      </c>
      <c r="AQ244" s="21" t="s">
        <v>166</v>
      </c>
      <c r="AR244" s="21" t="s">
        <v>166</v>
      </c>
      <c r="AS244" s="17" t="s">
        <v>166</v>
      </c>
      <c r="AT244" s="18">
        <v>1.2</v>
      </c>
      <c r="AU244" s="21" t="s">
        <v>186</v>
      </c>
      <c r="AV244" s="21" t="s">
        <v>166</v>
      </c>
      <c r="AW244" s="18" t="s">
        <v>166</v>
      </c>
      <c r="AX244" s="21" t="s">
        <v>166</v>
      </c>
      <c r="AY244" s="14" t="s">
        <v>217</v>
      </c>
      <c r="AZ244" s="14" t="s">
        <v>217</v>
      </c>
      <c r="BA244" s="14" t="s">
        <v>166</v>
      </c>
      <c r="BB244" s="21" t="s">
        <v>166</v>
      </c>
      <c r="BC244" s="14" t="s">
        <v>179</v>
      </c>
      <c r="BD244" s="14" t="s">
        <v>4932</v>
      </c>
      <c r="BE244" s="14" t="s">
        <v>189</v>
      </c>
      <c r="BF244" s="18">
        <v>1.2</v>
      </c>
      <c r="BG244" s="14" t="s">
        <v>190</v>
      </c>
      <c r="BH244" s="14" t="s">
        <v>166</v>
      </c>
      <c r="BI244" s="14" t="s">
        <v>166</v>
      </c>
      <c r="BJ244" s="18" t="s">
        <v>166</v>
      </c>
      <c r="BK244" s="18" t="s">
        <v>166</v>
      </c>
      <c r="BL244" s="14" t="s">
        <v>191</v>
      </c>
      <c r="BM244" s="14" t="s">
        <v>178</v>
      </c>
      <c r="BN244" s="14" t="s">
        <v>177</v>
      </c>
      <c r="BO244" s="22" t="s">
        <v>166</v>
      </c>
      <c r="BP244" s="14" t="s">
        <v>4921</v>
      </c>
      <c r="BQ244" s="21">
        <v>6</v>
      </c>
      <c r="BR244" s="14" t="s">
        <v>166</v>
      </c>
      <c r="BS244" s="21" t="s">
        <v>166</v>
      </c>
      <c r="BT244" s="14" t="s">
        <v>166</v>
      </c>
      <c r="BU244" s="14" t="s">
        <v>166</v>
      </c>
      <c r="BV244" s="14" t="s">
        <v>166</v>
      </c>
      <c r="BW244" s="14" t="s">
        <v>166</v>
      </c>
      <c r="BX244" s="14" t="s">
        <v>166</v>
      </c>
      <c r="BY244" s="14" t="s">
        <v>166</v>
      </c>
      <c r="BZ244" s="14" t="s">
        <v>4933</v>
      </c>
      <c r="CA244" s="14" t="s">
        <v>166</v>
      </c>
      <c r="CB244" s="14" t="s">
        <v>166</v>
      </c>
      <c r="CC244" s="14" t="s">
        <v>4933</v>
      </c>
      <c r="CD244" s="14" t="s">
        <v>166</v>
      </c>
      <c r="CE244" s="18" t="s">
        <v>166</v>
      </c>
      <c r="CF244" s="16" t="s">
        <v>166</v>
      </c>
      <c r="CG244" s="17" t="s">
        <v>166</v>
      </c>
      <c r="CH244" s="16" t="s">
        <v>166</v>
      </c>
      <c r="CI244" s="16" t="s">
        <v>166</v>
      </c>
      <c r="CJ244" s="16" t="s">
        <v>166</v>
      </c>
      <c r="CK244" s="16" t="s">
        <v>166</v>
      </c>
      <c r="CL244" s="16" t="s">
        <v>166</v>
      </c>
      <c r="CM244" s="20" t="s">
        <v>166</v>
      </c>
      <c r="CN244" s="16" t="s">
        <v>166</v>
      </c>
      <c r="CO244" s="16" t="s">
        <v>166</v>
      </c>
      <c r="CP244" s="16" t="s">
        <v>166</v>
      </c>
      <c r="CQ244" s="16" t="s">
        <v>166</v>
      </c>
      <c r="CR244" s="16" t="s">
        <v>166</v>
      </c>
      <c r="CS244" s="16" t="s">
        <v>166</v>
      </c>
      <c r="CT244" s="16" t="s">
        <v>166</v>
      </c>
      <c r="CU244" s="16" t="s">
        <v>166</v>
      </c>
      <c r="CV244" s="16" t="s">
        <v>166</v>
      </c>
      <c r="CW244" s="16" t="s">
        <v>166</v>
      </c>
      <c r="CX244" s="16" t="s">
        <v>166</v>
      </c>
      <c r="CY244" s="16" t="s">
        <v>166</v>
      </c>
      <c r="CZ244" s="16" t="s">
        <v>166</v>
      </c>
      <c r="DA244" s="16" t="s">
        <v>166</v>
      </c>
      <c r="DB244" s="16" t="s">
        <v>166</v>
      </c>
      <c r="DC244" s="16" t="s">
        <v>166</v>
      </c>
      <c r="DD244" s="16" t="s">
        <v>166</v>
      </c>
      <c r="DE244" s="17" t="s">
        <v>166</v>
      </c>
      <c r="DF244" s="22">
        <v>10</v>
      </c>
      <c r="DG244" s="14" t="s">
        <v>4934</v>
      </c>
      <c r="DH244" s="14" t="s">
        <v>193</v>
      </c>
      <c r="DI244" s="14" t="s">
        <v>194</v>
      </c>
      <c r="DJ244" s="14" t="s">
        <v>4935</v>
      </c>
      <c r="DK244" s="14" t="s">
        <v>257</v>
      </c>
      <c r="DL244" s="21" t="s">
        <v>4936</v>
      </c>
      <c r="DM244" s="14" t="s">
        <v>198</v>
      </c>
      <c r="DN244" s="13" t="s">
        <v>4937</v>
      </c>
      <c r="DO244" s="20">
        <v>2022</v>
      </c>
      <c r="DP244" s="14" t="s">
        <v>166</v>
      </c>
      <c r="DQ244" s="14" t="s">
        <v>166</v>
      </c>
      <c r="DR244" s="18" t="s">
        <v>166</v>
      </c>
      <c r="DS244" s="16" t="s">
        <v>166</v>
      </c>
      <c r="DT244" s="19" t="s">
        <v>166</v>
      </c>
      <c r="DU244" s="14" t="s">
        <v>166</v>
      </c>
      <c r="DV244" s="18" t="s">
        <v>166</v>
      </c>
      <c r="DW244" s="18" t="s">
        <v>166</v>
      </c>
      <c r="DX244" s="16" t="s">
        <v>166</v>
      </c>
      <c r="DY244" s="16" t="s">
        <v>166</v>
      </c>
      <c r="DZ244" s="17" t="s">
        <v>166</v>
      </c>
      <c r="EA244" s="16" t="s">
        <v>166</v>
      </c>
      <c r="EB244" s="16" t="s">
        <v>166</v>
      </c>
      <c r="EC244" s="16" t="s">
        <v>166</v>
      </c>
      <c r="ED244" s="17" t="s">
        <v>166</v>
      </c>
      <c r="EE244" s="17" t="s">
        <v>166</v>
      </c>
      <c r="EF244" s="17" t="s">
        <v>166</v>
      </c>
      <c r="EG244" s="17" t="s">
        <v>166</v>
      </c>
      <c r="EH244" s="16" t="s">
        <v>166</v>
      </c>
      <c r="EI244" s="16" t="s">
        <v>166</v>
      </c>
      <c r="EJ244" s="16" t="s">
        <v>166</v>
      </c>
      <c r="EK244" s="16" t="s">
        <v>166</v>
      </c>
      <c r="EL244" s="16" t="s">
        <v>166</v>
      </c>
      <c r="EM244" s="16" t="s">
        <v>166</v>
      </c>
      <c r="EN244" s="16" t="s">
        <v>166</v>
      </c>
      <c r="EO244" s="16" t="s">
        <v>166</v>
      </c>
      <c r="EP244" s="16" t="s">
        <v>166</v>
      </c>
      <c r="EQ244" s="16" t="s">
        <v>166</v>
      </c>
      <c r="ER244" s="16" t="s">
        <v>166</v>
      </c>
      <c r="ES244" s="16" t="s">
        <v>166</v>
      </c>
      <c r="ET244" s="14" t="s">
        <v>166</v>
      </c>
      <c r="EU244" s="16" t="s">
        <v>166</v>
      </c>
      <c r="EV244" s="16" t="s">
        <v>166</v>
      </c>
      <c r="EW244" s="16" t="s">
        <v>166</v>
      </c>
      <c r="EX244" s="14" t="s">
        <v>190</v>
      </c>
      <c r="EY244" s="14" t="s">
        <v>166</v>
      </c>
      <c r="EZ244" s="16" t="s">
        <v>166</v>
      </c>
      <c r="FA244" s="15" t="s">
        <v>166</v>
      </c>
      <c r="FB244" s="15" t="s">
        <v>166</v>
      </c>
      <c r="FC244" s="15" t="s">
        <v>166</v>
      </c>
      <c r="FD244" s="15" t="s">
        <v>166</v>
      </c>
      <c r="FE244" s="15" t="s">
        <v>166</v>
      </c>
      <c r="FF244" s="15" t="s">
        <v>166</v>
      </c>
      <c r="FG244" s="14" t="s">
        <v>166</v>
      </c>
      <c r="FH244" s="3">
        <f>HYPERLINK("https://my.pitchbook.com?c=204939-91T","View Company Online")</f>
      </c>
    </row>
    <row r="245">
      <c r="A245" s="25" t="s">
        <v>4938</v>
      </c>
      <c r="B245" s="25" t="s">
        <v>4939</v>
      </c>
      <c r="C245" s="25" t="s">
        <v>4940</v>
      </c>
      <c r="D245" s="25" t="s">
        <v>166</v>
      </c>
      <c r="E245" s="34" t="s">
        <v>4941</v>
      </c>
      <c r="F245" s="32">
        <v>1</v>
      </c>
      <c r="G245" s="25" t="s">
        <v>4942</v>
      </c>
      <c r="H245" s="25" t="s">
        <v>166</v>
      </c>
      <c r="I245" s="25" t="s">
        <v>4943</v>
      </c>
      <c r="J245" s="25" t="s">
        <v>4944</v>
      </c>
      <c r="K245" s="25" t="s">
        <v>207</v>
      </c>
      <c r="L245" s="25" t="s">
        <v>208</v>
      </c>
      <c r="M245" s="25" t="s">
        <v>209</v>
      </c>
      <c r="N245" s="25" t="s">
        <v>4945</v>
      </c>
      <c r="O245" s="25" t="s">
        <v>4946</v>
      </c>
      <c r="P245" s="25" t="s">
        <v>4947</v>
      </c>
      <c r="Q245" s="25" t="s">
        <v>166</v>
      </c>
      <c r="R245" s="25" t="s">
        <v>177</v>
      </c>
      <c r="S245" s="25" t="s">
        <v>178</v>
      </c>
      <c r="T245" s="25" t="s">
        <v>179</v>
      </c>
      <c r="U245" s="25" t="s">
        <v>4948</v>
      </c>
      <c r="V245" s="25" t="s">
        <v>4949</v>
      </c>
      <c r="W245" s="32" t="s">
        <v>4950</v>
      </c>
      <c r="X245" s="25" t="s">
        <v>4951</v>
      </c>
      <c r="Y245" s="25" t="s">
        <v>4952</v>
      </c>
      <c r="Z245" s="25" t="s">
        <v>4953</v>
      </c>
      <c r="AA245" s="25" t="s">
        <v>166</v>
      </c>
      <c r="AB245" s="25" t="s">
        <v>166</v>
      </c>
      <c r="AC245" s="25" t="s">
        <v>166</v>
      </c>
      <c r="AD245" s="25" t="s">
        <v>166</v>
      </c>
      <c r="AE245" s="25" t="s">
        <v>166</v>
      </c>
      <c r="AF245" s="25" t="s">
        <v>166</v>
      </c>
      <c r="AG245" s="25" t="s">
        <v>166</v>
      </c>
      <c r="AH245" s="32">
        <v>2</v>
      </c>
      <c r="AI245" s="4">
        <f>HYPERLINK("https://my.pitchbook.com/?d=215111-35T","215111-35T")</f>
      </c>
      <c r="AJ245" s="30">
        <v>44958</v>
      </c>
      <c r="AK245" s="30">
        <v>45048</v>
      </c>
      <c r="AL245" s="29">
        <v>1</v>
      </c>
      <c r="AM245" s="25" t="s">
        <v>185</v>
      </c>
      <c r="AN245" s="29" t="s">
        <v>166</v>
      </c>
      <c r="AO245" s="29" t="s">
        <v>166</v>
      </c>
      <c r="AP245" s="25" t="s">
        <v>166</v>
      </c>
      <c r="AQ245" s="32" t="s">
        <v>166</v>
      </c>
      <c r="AR245" s="32" t="s">
        <v>166</v>
      </c>
      <c r="AS245" s="28" t="s">
        <v>166</v>
      </c>
      <c r="AT245" s="29">
        <v>1</v>
      </c>
      <c r="AU245" s="32" t="s">
        <v>186</v>
      </c>
      <c r="AV245" s="32" t="s">
        <v>166</v>
      </c>
      <c r="AW245" s="29" t="s">
        <v>166</v>
      </c>
      <c r="AX245" s="32" t="s">
        <v>166</v>
      </c>
      <c r="AY245" s="25" t="s">
        <v>217</v>
      </c>
      <c r="AZ245" s="25" t="s">
        <v>217</v>
      </c>
      <c r="BA245" s="25" t="s">
        <v>166</v>
      </c>
      <c r="BB245" s="32" t="s">
        <v>166</v>
      </c>
      <c r="BC245" s="25" t="s">
        <v>179</v>
      </c>
      <c r="BD245" s="25" t="s">
        <v>4954</v>
      </c>
      <c r="BE245" s="25" t="s">
        <v>189</v>
      </c>
      <c r="BF245" s="29">
        <v>1</v>
      </c>
      <c r="BG245" s="25" t="s">
        <v>190</v>
      </c>
      <c r="BH245" s="25" t="s">
        <v>166</v>
      </c>
      <c r="BI245" s="25" t="s">
        <v>166</v>
      </c>
      <c r="BJ245" s="29" t="s">
        <v>166</v>
      </c>
      <c r="BK245" s="29" t="s">
        <v>166</v>
      </c>
      <c r="BL245" s="25" t="s">
        <v>191</v>
      </c>
      <c r="BM245" s="25" t="s">
        <v>178</v>
      </c>
      <c r="BN245" s="25" t="s">
        <v>177</v>
      </c>
      <c r="BO245" s="33" t="s">
        <v>166</v>
      </c>
      <c r="BP245" s="25" t="s">
        <v>4941</v>
      </c>
      <c r="BQ245" s="32">
        <v>1</v>
      </c>
      <c r="BR245" s="25" t="s">
        <v>166</v>
      </c>
      <c r="BS245" s="32" t="s">
        <v>166</v>
      </c>
      <c r="BT245" s="25" t="s">
        <v>166</v>
      </c>
      <c r="BU245" s="25" t="s">
        <v>166</v>
      </c>
      <c r="BV245" s="25" t="s">
        <v>166</v>
      </c>
      <c r="BW245" s="25" t="s">
        <v>166</v>
      </c>
      <c r="BX245" s="25" t="s">
        <v>166</v>
      </c>
      <c r="BY245" s="25" t="s">
        <v>166</v>
      </c>
      <c r="BZ245" s="25" t="s">
        <v>166</v>
      </c>
      <c r="CA245" s="25" t="s">
        <v>166</v>
      </c>
      <c r="CB245" s="25" t="s">
        <v>166</v>
      </c>
      <c r="CC245" s="25" t="s">
        <v>166</v>
      </c>
      <c r="CD245" s="25" t="s">
        <v>166</v>
      </c>
      <c r="CE245" s="29" t="s">
        <v>166</v>
      </c>
      <c r="CF245" s="27" t="s">
        <v>166</v>
      </c>
      <c r="CG245" s="28" t="s">
        <v>166</v>
      </c>
      <c r="CH245" s="27" t="s">
        <v>166</v>
      </c>
      <c r="CI245" s="27" t="s">
        <v>166</v>
      </c>
      <c r="CJ245" s="27" t="s">
        <v>166</v>
      </c>
      <c r="CK245" s="27" t="s">
        <v>166</v>
      </c>
      <c r="CL245" s="27" t="s">
        <v>166</v>
      </c>
      <c r="CM245" s="31" t="s">
        <v>166</v>
      </c>
      <c r="CN245" s="27" t="s">
        <v>166</v>
      </c>
      <c r="CO245" s="27" t="s">
        <v>166</v>
      </c>
      <c r="CP245" s="27" t="s">
        <v>166</v>
      </c>
      <c r="CQ245" s="27" t="s">
        <v>166</v>
      </c>
      <c r="CR245" s="27" t="s">
        <v>166</v>
      </c>
      <c r="CS245" s="27" t="s">
        <v>166</v>
      </c>
      <c r="CT245" s="27" t="s">
        <v>166</v>
      </c>
      <c r="CU245" s="27" t="s">
        <v>166</v>
      </c>
      <c r="CV245" s="27" t="s">
        <v>166</v>
      </c>
      <c r="CW245" s="27" t="s">
        <v>166</v>
      </c>
      <c r="CX245" s="27" t="s">
        <v>166</v>
      </c>
      <c r="CY245" s="27" t="s">
        <v>166</v>
      </c>
      <c r="CZ245" s="27" t="s">
        <v>166</v>
      </c>
      <c r="DA245" s="27" t="s">
        <v>166</v>
      </c>
      <c r="DB245" s="27" t="s">
        <v>166</v>
      </c>
      <c r="DC245" s="27" t="s">
        <v>166</v>
      </c>
      <c r="DD245" s="27" t="s">
        <v>166</v>
      </c>
      <c r="DE245" s="28" t="s">
        <v>166</v>
      </c>
      <c r="DF245" s="33">
        <v>10</v>
      </c>
      <c r="DG245" s="25" t="s">
        <v>2838</v>
      </c>
      <c r="DH245" s="25" t="s">
        <v>193</v>
      </c>
      <c r="DI245" s="25" t="s">
        <v>194</v>
      </c>
      <c r="DJ245" s="25" t="s">
        <v>2839</v>
      </c>
      <c r="DK245" s="25" t="s">
        <v>2840</v>
      </c>
      <c r="DL245" s="32" t="s">
        <v>4955</v>
      </c>
      <c r="DM245" s="25" t="s">
        <v>198</v>
      </c>
      <c r="DN245" s="24" t="s">
        <v>4956</v>
      </c>
      <c r="DO245" s="31">
        <v>2021</v>
      </c>
      <c r="DP245" s="25" t="s">
        <v>166</v>
      </c>
      <c r="DQ245" s="25" t="s">
        <v>166</v>
      </c>
      <c r="DR245" s="29" t="s">
        <v>166</v>
      </c>
      <c r="DS245" s="27" t="s">
        <v>166</v>
      </c>
      <c r="DT245" s="30" t="s">
        <v>166</v>
      </c>
      <c r="DU245" s="25" t="s">
        <v>166</v>
      </c>
      <c r="DV245" s="29" t="s">
        <v>166</v>
      </c>
      <c r="DW245" s="29" t="s">
        <v>166</v>
      </c>
      <c r="DX245" s="27" t="s">
        <v>166</v>
      </c>
      <c r="DY245" s="27" t="s">
        <v>166</v>
      </c>
      <c r="DZ245" s="28" t="s">
        <v>166</v>
      </c>
      <c r="EA245" s="27" t="s">
        <v>166</v>
      </c>
      <c r="EB245" s="27" t="s">
        <v>166</v>
      </c>
      <c r="EC245" s="27" t="s">
        <v>166</v>
      </c>
      <c r="ED245" s="28" t="s">
        <v>166</v>
      </c>
      <c r="EE245" s="28" t="s">
        <v>166</v>
      </c>
      <c r="EF245" s="28" t="s">
        <v>166</v>
      </c>
      <c r="EG245" s="28" t="s">
        <v>166</v>
      </c>
      <c r="EH245" s="27" t="s">
        <v>166</v>
      </c>
      <c r="EI245" s="27" t="s">
        <v>166</v>
      </c>
      <c r="EJ245" s="27" t="s">
        <v>166</v>
      </c>
      <c r="EK245" s="27" t="s">
        <v>166</v>
      </c>
      <c r="EL245" s="27" t="s">
        <v>166</v>
      </c>
      <c r="EM245" s="27" t="s">
        <v>166</v>
      </c>
      <c r="EN245" s="27" t="s">
        <v>166</v>
      </c>
      <c r="EO245" s="27" t="s">
        <v>166</v>
      </c>
      <c r="EP245" s="27" t="s">
        <v>166</v>
      </c>
      <c r="EQ245" s="27" t="s">
        <v>166</v>
      </c>
      <c r="ER245" s="27" t="s">
        <v>166</v>
      </c>
      <c r="ES245" s="27" t="s">
        <v>166</v>
      </c>
      <c r="ET245" s="25" t="s">
        <v>166</v>
      </c>
      <c r="EU245" s="27" t="s">
        <v>166</v>
      </c>
      <c r="EV245" s="27" t="s">
        <v>166</v>
      </c>
      <c r="EW245" s="27" t="s">
        <v>166</v>
      </c>
      <c r="EX245" s="25" t="s">
        <v>190</v>
      </c>
      <c r="EY245" s="25" t="s">
        <v>166</v>
      </c>
      <c r="EZ245" s="27" t="s">
        <v>166</v>
      </c>
      <c r="FA245" s="26" t="s">
        <v>166</v>
      </c>
      <c r="FB245" s="26" t="s">
        <v>166</v>
      </c>
      <c r="FC245" s="26" t="s">
        <v>166</v>
      </c>
      <c r="FD245" s="26" t="s">
        <v>166</v>
      </c>
      <c r="FE245" s="26" t="s">
        <v>166</v>
      </c>
      <c r="FF245" s="26" t="s">
        <v>166</v>
      </c>
      <c r="FG245" s="25" t="s">
        <v>166</v>
      </c>
      <c r="FH245" s="4">
        <f>HYPERLINK("https://my.pitchbook.com?c=215111-35T","View Company Online")</f>
      </c>
    </row>
    <row r="246">
      <c r="A246" s="14" t="s">
        <v>4957</v>
      </c>
      <c r="B246" s="14" t="s">
        <v>4958</v>
      </c>
      <c r="C246" s="14" t="s">
        <v>4959</v>
      </c>
      <c r="D246" s="14" t="s">
        <v>166</v>
      </c>
      <c r="E246" s="23" t="s">
        <v>4960</v>
      </c>
      <c r="F246" s="21">
        <v>7</v>
      </c>
      <c r="G246" s="14" t="s">
        <v>4961</v>
      </c>
      <c r="H246" s="14" t="s">
        <v>166</v>
      </c>
      <c r="I246" s="14" t="s">
        <v>4962</v>
      </c>
      <c r="J246" s="14" t="s">
        <v>4963</v>
      </c>
      <c r="K246" s="14" t="s">
        <v>171</v>
      </c>
      <c r="L246" s="14" t="s">
        <v>172</v>
      </c>
      <c r="M246" s="14" t="s">
        <v>173</v>
      </c>
      <c r="N246" s="14" t="s">
        <v>1088</v>
      </c>
      <c r="O246" s="14" t="s">
        <v>4964</v>
      </c>
      <c r="P246" s="14" t="s">
        <v>4965</v>
      </c>
      <c r="Q246" s="14" t="s">
        <v>166</v>
      </c>
      <c r="R246" s="14" t="s">
        <v>177</v>
      </c>
      <c r="S246" s="14" t="s">
        <v>178</v>
      </c>
      <c r="T246" s="14" t="s">
        <v>179</v>
      </c>
      <c r="U246" s="14" t="s">
        <v>4966</v>
      </c>
      <c r="V246" s="14" t="s">
        <v>4967</v>
      </c>
      <c r="W246" s="21" t="s">
        <v>4968</v>
      </c>
      <c r="X246" s="14" t="s">
        <v>4969</v>
      </c>
      <c r="Y246" s="14" t="s">
        <v>4970</v>
      </c>
      <c r="Z246" s="14" t="s">
        <v>166</v>
      </c>
      <c r="AA246" s="14" t="s">
        <v>242</v>
      </c>
      <c r="AB246" s="14" t="s">
        <v>243</v>
      </c>
      <c r="AC246" s="14" t="s">
        <v>244</v>
      </c>
      <c r="AD246" s="14" t="s">
        <v>243</v>
      </c>
      <c r="AE246" s="14" t="s">
        <v>243</v>
      </c>
      <c r="AF246" s="14" t="s">
        <v>166</v>
      </c>
      <c r="AG246" s="14" t="s">
        <v>246</v>
      </c>
      <c r="AH246" s="21">
        <v>1</v>
      </c>
      <c r="AI246" s="3">
        <f>HYPERLINK("https://my.pitchbook.com/?d=207393-76T","207393-76T")</f>
      </c>
      <c r="AJ246" s="19">
        <v>44858</v>
      </c>
      <c r="AK246" s="19">
        <v>44866</v>
      </c>
      <c r="AL246" s="18">
        <v>3.53</v>
      </c>
      <c r="AM246" s="14" t="s">
        <v>185</v>
      </c>
      <c r="AN246" s="18">
        <v>8</v>
      </c>
      <c r="AO246" s="18">
        <v>11.53</v>
      </c>
      <c r="AP246" s="14" t="s">
        <v>185</v>
      </c>
      <c r="AQ246" s="21" t="s">
        <v>166</v>
      </c>
      <c r="AR246" s="21" t="s">
        <v>166</v>
      </c>
      <c r="AS246" s="17">
        <v>36.32</v>
      </c>
      <c r="AT246" s="18">
        <v>3.53</v>
      </c>
      <c r="AU246" s="21" t="s">
        <v>186</v>
      </c>
      <c r="AV246" s="21" t="s">
        <v>166</v>
      </c>
      <c r="AW246" s="18">
        <v>0.89</v>
      </c>
      <c r="AX246" s="21" t="s">
        <v>166</v>
      </c>
      <c r="AY246" s="14" t="s">
        <v>217</v>
      </c>
      <c r="AZ246" s="14" t="s">
        <v>217</v>
      </c>
      <c r="BA246" s="14" t="s">
        <v>166</v>
      </c>
      <c r="BB246" s="21" t="s">
        <v>166</v>
      </c>
      <c r="BC246" s="14" t="s">
        <v>179</v>
      </c>
      <c r="BD246" s="14" t="s">
        <v>4971</v>
      </c>
      <c r="BE246" s="14" t="s">
        <v>189</v>
      </c>
      <c r="BF246" s="18">
        <v>3.53</v>
      </c>
      <c r="BG246" s="14" t="s">
        <v>190</v>
      </c>
      <c r="BH246" s="14" t="s">
        <v>166</v>
      </c>
      <c r="BI246" s="14" t="s">
        <v>166</v>
      </c>
      <c r="BJ246" s="18" t="s">
        <v>166</v>
      </c>
      <c r="BK246" s="18" t="s">
        <v>166</v>
      </c>
      <c r="BL246" s="14" t="s">
        <v>191</v>
      </c>
      <c r="BM246" s="14" t="s">
        <v>178</v>
      </c>
      <c r="BN246" s="14" t="s">
        <v>177</v>
      </c>
      <c r="BO246" s="22" t="s">
        <v>166</v>
      </c>
      <c r="BP246" s="14" t="s">
        <v>4972</v>
      </c>
      <c r="BQ246" s="21">
        <v>7</v>
      </c>
      <c r="BR246" s="14" t="s">
        <v>166</v>
      </c>
      <c r="BS246" s="21" t="s">
        <v>166</v>
      </c>
      <c r="BT246" s="14" t="s">
        <v>4973</v>
      </c>
      <c r="BU246" s="14" t="s">
        <v>166</v>
      </c>
      <c r="BV246" s="14" t="s">
        <v>4974</v>
      </c>
      <c r="BW246" s="14" t="s">
        <v>166</v>
      </c>
      <c r="BX246" s="14" t="s">
        <v>166</v>
      </c>
      <c r="BY246" s="14" t="s">
        <v>166</v>
      </c>
      <c r="BZ246" s="14" t="s">
        <v>166</v>
      </c>
      <c r="CA246" s="14" t="s">
        <v>166</v>
      </c>
      <c r="CB246" s="14" t="s">
        <v>166</v>
      </c>
      <c r="CC246" s="14" t="s">
        <v>166</v>
      </c>
      <c r="CD246" s="14" t="s">
        <v>166</v>
      </c>
      <c r="CE246" s="18" t="s">
        <v>166</v>
      </c>
      <c r="CF246" s="16" t="s">
        <v>166</v>
      </c>
      <c r="CG246" s="17" t="s">
        <v>166</v>
      </c>
      <c r="CH246" s="16" t="s">
        <v>166</v>
      </c>
      <c r="CI246" s="16" t="s">
        <v>166</v>
      </c>
      <c r="CJ246" s="16" t="s">
        <v>166</v>
      </c>
      <c r="CK246" s="16" t="s">
        <v>166</v>
      </c>
      <c r="CL246" s="16" t="s">
        <v>166</v>
      </c>
      <c r="CM246" s="20" t="s">
        <v>166</v>
      </c>
      <c r="CN246" s="16" t="s">
        <v>166</v>
      </c>
      <c r="CO246" s="16" t="s">
        <v>166</v>
      </c>
      <c r="CP246" s="16" t="s">
        <v>166</v>
      </c>
      <c r="CQ246" s="16" t="s">
        <v>166</v>
      </c>
      <c r="CR246" s="16" t="s">
        <v>166</v>
      </c>
      <c r="CS246" s="16" t="s">
        <v>166</v>
      </c>
      <c r="CT246" s="16" t="s">
        <v>166</v>
      </c>
      <c r="CU246" s="16" t="s">
        <v>166</v>
      </c>
      <c r="CV246" s="16" t="s">
        <v>166</v>
      </c>
      <c r="CW246" s="16" t="s">
        <v>166</v>
      </c>
      <c r="CX246" s="16" t="s">
        <v>166</v>
      </c>
      <c r="CY246" s="16" t="s">
        <v>166</v>
      </c>
      <c r="CZ246" s="16" t="s">
        <v>166</v>
      </c>
      <c r="DA246" s="16" t="s">
        <v>166</v>
      </c>
      <c r="DB246" s="16" t="s">
        <v>166</v>
      </c>
      <c r="DC246" s="16" t="s">
        <v>166</v>
      </c>
      <c r="DD246" s="16" t="s">
        <v>166</v>
      </c>
      <c r="DE246" s="17" t="s">
        <v>166</v>
      </c>
      <c r="DF246" s="22">
        <v>65</v>
      </c>
      <c r="DG246" s="14" t="s">
        <v>706</v>
      </c>
      <c r="DH246" s="14" t="s">
        <v>193</v>
      </c>
      <c r="DI246" s="14" t="s">
        <v>194</v>
      </c>
      <c r="DJ246" s="14" t="s">
        <v>707</v>
      </c>
      <c r="DK246" s="14" t="s">
        <v>386</v>
      </c>
      <c r="DL246" s="21" t="s">
        <v>4975</v>
      </c>
      <c r="DM246" s="14" t="s">
        <v>198</v>
      </c>
      <c r="DN246" s="13" t="s">
        <v>4976</v>
      </c>
      <c r="DO246" s="20">
        <v>2018</v>
      </c>
      <c r="DP246" s="14" t="s">
        <v>166</v>
      </c>
      <c r="DQ246" s="14" t="s">
        <v>166</v>
      </c>
      <c r="DR246" s="18" t="s">
        <v>166</v>
      </c>
      <c r="DS246" s="16" t="s">
        <v>166</v>
      </c>
      <c r="DT246" s="19" t="s">
        <v>166</v>
      </c>
      <c r="DU246" s="14" t="s">
        <v>166</v>
      </c>
      <c r="DV246" s="18" t="s">
        <v>166</v>
      </c>
      <c r="DW246" s="18" t="s">
        <v>166</v>
      </c>
      <c r="DX246" s="16" t="s">
        <v>166</v>
      </c>
      <c r="DY246" s="16" t="s">
        <v>166</v>
      </c>
      <c r="DZ246" s="17" t="s">
        <v>166</v>
      </c>
      <c r="EA246" s="16" t="s">
        <v>166</v>
      </c>
      <c r="EB246" s="16" t="s">
        <v>166</v>
      </c>
      <c r="EC246" s="16" t="s">
        <v>166</v>
      </c>
      <c r="ED246" s="17" t="s">
        <v>166</v>
      </c>
      <c r="EE246" s="17" t="s">
        <v>166</v>
      </c>
      <c r="EF246" s="17" t="s">
        <v>166</v>
      </c>
      <c r="EG246" s="17" t="s">
        <v>166</v>
      </c>
      <c r="EH246" s="16" t="s">
        <v>166</v>
      </c>
      <c r="EI246" s="16" t="s">
        <v>166</v>
      </c>
      <c r="EJ246" s="16" t="s">
        <v>166</v>
      </c>
      <c r="EK246" s="16" t="s">
        <v>166</v>
      </c>
      <c r="EL246" s="16" t="s">
        <v>166</v>
      </c>
      <c r="EM246" s="16" t="s">
        <v>166</v>
      </c>
      <c r="EN246" s="16" t="s">
        <v>166</v>
      </c>
      <c r="EO246" s="16" t="s">
        <v>166</v>
      </c>
      <c r="EP246" s="16" t="s">
        <v>166</v>
      </c>
      <c r="EQ246" s="16" t="s">
        <v>166</v>
      </c>
      <c r="ER246" s="16" t="s">
        <v>166</v>
      </c>
      <c r="ES246" s="16" t="s">
        <v>166</v>
      </c>
      <c r="ET246" s="14" t="s">
        <v>166</v>
      </c>
      <c r="EU246" s="16" t="s">
        <v>166</v>
      </c>
      <c r="EV246" s="16" t="s">
        <v>166</v>
      </c>
      <c r="EW246" s="16" t="s">
        <v>166</v>
      </c>
      <c r="EX246" s="14" t="s">
        <v>190</v>
      </c>
      <c r="EY246" s="14" t="s">
        <v>166</v>
      </c>
      <c r="EZ246" s="16" t="s">
        <v>166</v>
      </c>
      <c r="FA246" s="15" t="s">
        <v>166</v>
      </c>
      <c r="FB246" s="15" t="s">
        <v>166</v>
      </c>
      <c r="FC246" s="15" t="s">
        <v>166</v>
      </c>
      <c r="FD246" s="15" t="s">
        <v>166</v>
      </c>
      <c r="FE246" s="15" t="s">
        <v>166</v>
      </c>
      <c r="FF246" s="15" t="s">
        <v>166</v>
      </c>
      <c r="FG246" s="14" t="s">
        <v>166</v>
      </c>
      <c r="FH246" s="3">
        <f>HYPERLINK("https://my.pitchbook.com?c=207393-76T","View Company Online")</f>
      </c>
    </row>
    <row r="247">
      <c r="A247" s="25" t="s">
        <v>4977</v>
      </c>
      <c r="B247" s="25" t="s">
        <v>4978</v>
      </c>
      <c r="C247" s="25" t="s">
        <v>4979</v>
      </c>
      <c r="D247" s="25" t="s">
        <v>166</v>
      </c>
      <c r="E247" s="34" t="s">
        <v>4980</v>
      </c>
      <c r="F247" s="32">
        <v>3</v>
      </c>
      <c r="G247" s="25" t="s">
        <v>4981</v>
      </c>
      <c r="H247" s="25" t="s">
        <v>166</v>
      </c>
      <c r="I247" s="25" t="s">
        <v>4982</v>
      </c>
      <c r="J247" s="25" t="s">
        <v>4983</v>
      </c>
      <c r="K247" s="25" t="s">
        <v>207</v>
      </c>
      <c r="L247" s="25" t="s">
        <v>208</v>
      </c>
      <c r="M247" s="25" t="s">
        <v>209</v>
      </c>
      <c r="N247" s="25" t="s">
        <v>269</v>
      </c>
      <c r="O247" s="25" t="s">
        <v>4984</v>
      </c>
      <c r="P247" s="25" t="s">
        <v>4985</v>
      </c>
      <c r="Q247" s="25" t="s">
        <v>166</v>
      </c>
      <c r="R247" s="25" t="s">
        <v>177</v>
      </c>
      <c r="S247" s="25" t="s">
        <v>178</v>
      </c>
      <c r="T247" s="25" t="s">
        <v>179</v>
      </c>
      <c r="U247" s="25" t="s">
        <v>4986</v>
      </c>
      <c r="V247" s="25" t="s">
        <v>4987</v>
      </c>
      <c r="W247" s="32" t="s">
        <v>4988</v>
      </c>
      <c r="X247" s="25" t="s">
        <v>4989</v>
      </c>
      <c r="Y247" s="25" t="s">
        <v>4990</v>
      </c>
      <c r="Z247" s="25" t="s">
        <v>166</v>
      </c>
      <c r="AA247" s="25" t="s">
        <v>242</v>
      </c>
      <c r="AB247" s="25" t="s">
        <v>243</v>
      </c>
      <c r="AC247" s="25" t="s">
        <v>244</v>
      </c>
      <c r="AD247" s="25" t="s">
        <v>243</v>
      </c>
      <c r="AE247" s="25" t="s">
        <v>243</v>
      </c>
      <c r="AF247" s="25" t="s">
        <v>166</v>
      </c>
      <c r="AG247" s="25" t="s">
        <v>807</v>
      </c>
      <c r="AH247" s="32">
        <v>1</v>
      </c>
      <c r="AI247" s="4">
        <f>HYPERLINK("https://my.pitchbook.com/?d=124737-04T","124737-04T")</f>
      </c>
      <c r="AJ247" s="30">
        <v>43585</v>
      </c>
      <c r="AK247" s="30">
        <v>43917</v>
      </c>
      <c r="AL247" s="29">
        <v>2</v>
      </c>
      <c r="AM247" s="25" t="s">
        <v>247</v>
      </c>
      <c r="AN247" s="29">
        <v>8</v>
      </c>
      <c r="AO247" s="29">
        <v>10</v>
      </c>
      <c r="AP247" s="25" t="s">
        <v>185</v>
      </c>
      <c r="AQ247" s="32" t="s">
        <v>166</v>
      </c>
      <c r="AR247" s="32" t="s">
        <v>166</v>
      </c>
      <c r="AS247" s="28">
        <v>20</v>
      </c>
      <c r="AT247" s="29">
        <v>2</v>
      </c>
      <c r="AU247" s="32" t="s">
        <v>186</v>
      </c>
      <c r="AV247" s="32" t="s">
        <v>166</v>
      </c>
      <c r="AW247" s="29">
        <v>0.7</v>
      </c>
      <c r="AX247" s="32" t="s">
        <v>166</v>
      </c>
      <c r="AY247" s="25" t="s">
        <v>217</v>
      </c>
      <c r="AZ247" s="25" t="s">
        <v>217</v>
      </c>
      <c r="BA247" s="25" t="s">
        <v>166</v>
      </c>
      <c r="BB247" s="32" t="s">
        <v>166</v>
      </c>
      <c r="BC247" s="25" t="s">
        <v>179</v>
      </c>
      <c r="BD247" s="25" t="s">
        <v>4983</v>
      </c>
      <c r="BE247" s="25" t="s">
        <v>189</v>
      </c>
      <c r="BF247" s="29">
        <v>2</v>
      </c>
      <c r="BG247" s="25" t="s">
        <v>190</v>
      </c>
      <c r="BH247" s="25" t="s">
        <v>166</v>
      </c>
      <c r="BI247" s="25" t="s">
        <v>166</v>
      </c>
      <c r="BJ247" s="29" t="s">
        <v>166</v>
      </c>
      <c r="BK247" s="29" t="s">
        <v>166</v>
      </c>
      <c r="BL247" s="25" t="s">
        <v>191</v>
      </c>
      <c r="BM247" s="25" t="s">
        <v>178</v>
      </c>
      <c r="BN247" s="25" t="s">
        <v>177</v>
      </c>
      <c r="BO247" s="33" t="s">
        <v>166</v>
      </c>
      <c r="BP247" s="25" t="s">
        <v>4991</v>
      </c>
      <c r="BQ247" s="32">
        <v>3</v>
      </c>
      <c r="BR247" s="25" t="s">
        <v>166</v>
      </c>
      <c r="BS247" s="32" t="s">
        <v>166</v>
      </c>
      <c r="BT247" s="25" t="s">
        <v>166</v>
      </c>
      <c r="BU247" s="25" t="s">
        <v>166</v>
      </c>
      <c r="BV247" s="25" t="s">
        <v>4992</v>
      </c>
      <c r="BW247" s="25" t="s">
        <v>166</v>
      </c>
      <c r="BX247" s="25" t="s">
        <v>166</v>
      </c>
      <c r="BY247" s="25" t="s">
        <v>166</v>
      </c>
      <c r="BZ247" s="25" t="s">
        <v>1232</v>
      </c>
      <c r="CA247" s="25" t="s">
        <v>1232</v>
      </c>
      <c r="CB247" s="25" t="s">
        <v>166</v>
      </c>
      <c r="CC247" s="25" t="s">
        <v>166</v>
      </c>
      <c r="CD247" s="25" t="s">
        <v>166</v>
      </c>
      <c r="CE247" s="29" t="s">
        <v>166</v>
      </c>
      <c r="CF247" s="27" t="s">
        <v>166</v>
      </c>
      <c r="CG247" s="28" t="s">
        <v>166</v>
      </c>
      <c r="CH247" s="27" t="s">
        <v>166</v>
      </c>
      <c r="CI247" s="27" t="s">
        <v>166</v>
      </c>
      <c r="CJ247" s="27" t="s">
        <v>166</v>
      </c>
      <c r="CK247" s="27" t="s">
        <v>166</v>
      </c>
      <c r="CL247" s="27" t="s">
        <v>166</v>
      </c>
      <c r="CM247" s="31" t="s">
        <v>166</v>
      </c>
      <c r="CN247" s="27" t="s">
        <v>166</v>
      </c>
      <c r="CO247" s="27" t="s">
        <v>166</v>
      </c>
      <c r="CP247" s="27" t="s">
        <v>166</v>
      </c>
      <c r="CQ247" s="27" t="s">
        <v>166</v>
      </c>
      <c r="CR247" s="27" t="s">
        <v>166</v>
      </c>
      <c r="CS247" s="27" t="s">
        <v>166</v>
      </c>
      <c r="CT247" s="27" t="s">
        <v>166</v>
      </c>
      <c r="CU247" s="27" t="s">
        <v>166</v>
      </c>
      <c r="CV247" s="27" t="s">
        <v>166</v>
      </c>
      <c r="CW247" s="27" t="s">
        <v>166</v>
      </c>
      <c r="CX247" s="27" t="s">
        <v>166</v>
      </c>
      <c r="CY247" s="27" t="s">
        <v>166</v>
      </c>
      <c r="CZ247" s="27" t="s">
        <v>166</v>
      </c>
      <c r="DA247" s="27" t="s">
        <v>166</v>
      </c>
      <c r="DB247" s="27" t="s">
        <v>166</v>
      </c>
      <c r="DC247" s="27" t="s">
        <v>166</v>
      </c>
      <c r="DD247" s="27" t="s">
        <v>166</v>
      </c>
      <c r="DE247" s="28" t="s">
        <v>166</v>
      </c>
      <c r="DF247" s="33">
        <v>15</v>
      </c>
      <c r="DG247" s="25" t="s">
        <v>4993</v>
      </c>
      <c r="DH247" s="25" t="s">
        <v>193</v>
      </c>
      <c r="DI247" s="25" t="s">
        <v>194</v>
      </c>
      <c r="DJ247" s="25" t="s">
        <v>4994</v>
      </c>
      <c r="DK247" s="25" t="s">
        <v>1251</v>
      </c>
      <c r="DL247" s="32" t="s">
        <v>4995</v>
      </c>
      <c r="DM247" s="25" t="s">
        <v>198</v>
      </c>
      <c r="DN247" s="24" t="s">
        <v>4996</v>
      </c>
      <c r="DO247" s="31">
        <v>2017</v>
      </c>
      <c r="DP247" s="25" t="s">
        <v>166</v>
      </c>
      <c r="DQ247" s="25" t="s">
        <v>166</v>
      </c>
      <c r="DR247" s="29" t="s">
        <v>166</v>
      </c>
      <c r="DS247" s="27" t="s">
        <v>166</v>
      </c>
      <c r="DT247" s="30" t="s">
        <v>166</v>
      </c>
      <c r="DU247" s="25" t="s">
        <v>166</v>
      </c>
      <c r="DV247" s="29" t="s">
        <v>166</v>
      </c>
      <c r="DW247" s="29" t="s">
        <v>166</v>
      </c>
      <c r="DX247" s="27" t="s">
        <v>166</v>
      </c>
      <c r="DY247" s="27" t="s">
        <v>166</v>
      </c>
      <c r="DZ247" s="28" t="s">
        <v>166</v>
      </c>
      <c r="EA247" s="27" t="s">
        <v>166</v>
      </c>
      <c r="EB247" s="27" t="s">
        <v>166</v>
      </c>
      <c r="EC247" s="27" t="s">
        <v>166</v>
      </c>
      <c r="ED247" s="28" t="s">
        <v>166</v>
      </c>
      <c r="EE247" s="28" t="s">
        <v>166</v>
      </c>
      <c r="EF247" s="28" t="s">
        <v>166</v>
      </c>
      <c r="EG247" s="28" t="s">
        <v>166</v>
      </c>
      <c r="EH247" s="27" t="s">
        <v>166</v>
      </c>
      <c r="EI247" s="27" t="s">
        <v>166</v>
      </c>
      <c r="EJ247" s="27" t="s">
        <v>166</v>
      </c>
      <c r="EK247" s="27" t="s">
        <v>166</v>
      </c>
      <c r="EL247" s="27" t="s">
        <v>166</v>
      </c>
      <c r="EM247" s="27" t="s">
        <v>166</v>
      </c>
      <c r="EN247" s="27" t="s">
        <v>166</v>
      </c>
      <c r="EO247" s="27" t="s">
        <v>166</v>
      </c>
      <c r="EP247" s="27" t="s">
        <v>166</v>
      </c>
      <c r="EQ247" s="27" t="s">
        <v>166</v>
      </c>
      <c r="ER247" s="27" t="s">
        <v>166</v>
      </c>
      <c r="ES247" s="27" t="s">
        <v>166</v>
      </c>
      <c r="ET247" s="25" t="s">
        <v>166</v>
      </c>
      <c r="EU247" s="27" t="s">
        <v>166</v>
      </c>
      <c r="EV247" s="27" t="s">
        <v>166</v>
      </c>
      <c r="EW247" s="27" t="s">
        <v>166</v>
      </c>
      <c r="EX247" s="25" t="s">
        <v>190</v>
      </c>
      <c r="EY247" s="25" t="s">
        <v>166</v>
      </c>
      <c r="EZ247" s="27" t="s">
        <v>166</v>
      </c>
      <c r="FA247" s="26" t="s">
        <v>166</v>
      </c>
      <c r="FB247" s="26" t="s">
        <v>166</v>
      </c>
      <c r="FC247" s="26" t="s">
        <v>166</v>
      </c>
      <c r="FD247" s="26" t="s">
        <v>166</v>
      </c>
      <c r="FE247" s="26" t="s">
        <v>166</v>
      </c>
      <c r="FF247" s="26" t="s">
        <v>166</v>
      </c>
      <c r="FG247" s="25" t="s">
        <v>166</v>
      </c>
      <c r="FH247" s="4">
        <f>HYPERLINK("https://my.pitchbook.com?c=124737-04T","View Company Online")</f>
      </c>
    </row>
    <row r="248">
      <c r="A248" s="14" t="s">
        <v>4997</v>
      </c>
      <c r="B248" s="14" t="s">
        <v>4998</v>
      </c>
      <c r="C248" s="14" t="s">
        <v>4999</v>
      </c>
      <c r="D248" s="14" t="s">
        <v>166</v>
      </c>
      <c r="E248" s="23" t="s">
        <v>5000</v>
      </c>
      <c r="F248" s="21">
        <v>1</v>
      </c>
      <c r="G248" s="14" t="s">
        <v>5001</v>
      </c>
      <c r="H248" s="14" t="s">
        <v>166</v>
      </c>
      <c r="I248" s="14" t="s">
        <v>5002</v>
      </c>
      <c r="J248" s="14" t="s">
        <v>5003</v>
      </c>
      <c r="K248" s="14" t="s">
        <v>1455</v>
      </c>
      <c r="L248" s="14" t="s">
        <v>1984</v>
      </c>
      <c r="M248" s="14" t="s">
        <v>1985</v>
      </c>
      <c r="N248" s="14" t="s">
        <v>2661</v>
      </c>
      <c r="O248" s="14" t="s">
        <v>1768</v>
      </c>
      <c r="P248" s="14" t="s">
        <v>5004</v>
      </c>
      <c r="Q248" s="14" t="s">
        <v>166</v>
      </c>
      <c r="R248" s="14" t="s">
        <v>177</v>
      </c>
      <c r="S248" s="14" t="s">
        <v>178</v>
      </c>
      <c r="T248" s="14" t="s">
        <v>179</v>
      </c>
      <c r="U248" s="14" t="s">
        <v>5005</v>
      </c>
      <c r="V248" s="14" t="s">
        <v>5006</v>
      </c>
      <c r="W248" s="21" t="s">
        <v>5007</v>
      </c>
      <c r="X248" s="14" t="s">
        <v>5008</v>
      </c>
      <c r="Y248" s="14" t="s">
        <v>5009</v>
      </c>
      <c r="Z248" s="14" t="s">
        <v>166</v>
      </c>
      <c r="AA248" s="14" t="s">
        <v>166</v>
      </c>
      <c r="AB248" s="14" t="s">
        <v>166</v>
      </c>
      <c r="AC248" s="14" t="s">
        <v>166</v>
      </c>
      <c r="AD248" s="14" t="s">
        <v>166</v>
      </c>
      <c r="AE248" s="14" t="s">
        <v>166</v>
      </c>
      <c r="AF248" s="14" t="s">
        <v>166</v>
      </c>
      <c r="AG248" s="14" t="s">
        <v>166</v>
      </c>
      <c r="AH248" s="21">
        <v>1</v>
      </c>
      <c r="AI248" s="3">
        <f>HYPERLINK("https://my.pitchbook.com/?d=181203-67T","181203-67T")</f>
      </c>
      <c r="AJ248" s="19">
        <v>44473</v>
      </c>
      <c r="AK248" s="19">
        <v>44645</v>
      </c>
      <c r="AL248" s="18">
        <v>6.86</v>
      </c>
      <c r="AM248" s="14" t="s">
        <v>185</v>
      </c>
      <c r="AN248" s="18" t="s">
        <v>166</v>
      </c>
      <c r="AO248" s="18" t="s">
        <v>166</v>
      </c>
      <c r="AP248" s="14" t="s">
        <v>166</v>
      </c>
      <c r="AQ248" s="21" t="s">
        <v>166</v>
      </c>
      <c r="AR248" s="21" t="s">
        <v>166</v>
      </c>
      <c r="AS248" s="17" t="s">
        <v>166</v>
      </c>
      <c r="AT248" s="18">
        <v>6.86</v>
      </c>
      <c r="AU248" s="21" t="s">
        <v>186</v>
      </c>
      <c r="AV248" s="21" t="s">
        <v>166</v>
      </c>
      <c r="AW248" s="18" t="s">
        <v>166</v>
      </c>
      <c r="AX248" s="21" t="s">
        <v>166</v>
      </c>
      <c r="AY248" s="14" t="s">
        <v>217</v>
      </c>
      <c r="AZ248" s="14" t="s">
        <v>217</v>
      </c>
      <c r="BA248" s="14" t="s">
        <v>166</v>
      </c>
      <c r="BB248" s="21" t="s">
        <v>166</v>
      </c>
      <c r="BC248" s="14" t="s">
        <v>179</v>
      </c>
      <c r="BD248" s="14" t="s">
        <v>5010</v>
      </c>
      <c r="BE248" s="14" t="s">
        <v>189</v>
      </c>
      <c r="BF248" s="18" t="s">
        <v>166</v>
      </c>
      <c r="BG248" s="14" t="s">
        <v>190</v>
      </c>
      <c r="BH248" s="14" t="s">
        <v>166</v>
      </c>
      <c r="BI248" s="14" t="s">
        <v>166</v>
      </c>
      <c r="BJ248" s="18" t="s">
        <v>166</v>
      </c>
      <c r="BK248" s="18" t="s">
        <v>166</v>
      </c>
      <c r="BL248" s="14" t="s">
        <v>191</v>
      </c>
      <c r="BM248" s="14" t="s">
        <v>178</v>
      </c>
      <c r="BN248" s="14" t="s">
        <v>177</v>
      </c>
      <c r="BO248" s="22">
        <v>7</v>
      </c>
      <c r="BP248" s="14" t="s">
        <v>5011</v>
      </c>
      <c r="BQ248" s="21">
        <v>1</v>
      </c>
      <c r="BR248" s="14" t="s">
        <v>166</v>
      </c>
      <c r="BS248" s="21" t="s">
        <v>166</v>
      </c>
      <c r="BT248" s="14" t="s">
        <v>166</v>
      </c>
      <c r="BU248" s="14" t="s">
        <v>166</v>
      </c>
      <c r="BV248" s="14" t="s">
        <v>5012</v>
      </c>
      <c r="BW248" s="14" t="s">
        <v>166</v>
      </c>
      <c r="BX248" s="14" t="s">
        <v>166</v>
      </c>
      <c r="BY248" s="14" t="s">
        <v>166</v>
      </c>
      <c r="BZ248" s="14" t="s">
        <v>166</v>
      </c>
      <c r="CA248" s="14" t="s">
        <v>166</v>
      </c>
      <c r="CB248" s="14" t="s">
        <v>166</v>
      </c>
      <c r="CC248" s="14" t="s">
        <v>166</v>
      </c>
      <c r="CD248" s="14" t="s">
        <v>166</v>
      </c>
      <c r="CE248" s="18" t="s">
        <v>166</v>
      </c>
      <c r="CF248" s="16" t="s">
        <v>166</v>
      </c>
      <c r="CG248" s="17" t="s">
        <v>166</v>
      </c>
      <c r="CH248" s="16" t="s">
        <v>166</v>
      </c>
      <c r="CI248" s="16" t="s">
        <v>166</v>
      </c>
      <c r="CJ248" s="16" t="s">
        <v>166</v>
      </c>
      <c r="CK248" s="16" t="s">
        <v>166</v>
      </c>
      <c r="CL248" s="16" t="s">
        <v>166</v>
      </c>
      <c r="CM248" s="20" t="s">
        <v>166</v>
      </c>
      <c r="CN248" s="16" t="s">
        <v>166</v>
      </c>
      <c r="CO248" s="16" t="s">
        <v>166</v>
      </c>
      <c r="CP248" s="16" t="s">
        <v>166</v>
      </c>
      <c r="CQ248" s="16" t="s">
        <v>166</v>
      </c>
      <c r="CR248" s="16" t="s">
        <v>166</v>
      </c>
      <c r="CS248" s="16" t="s">
        <v>166</v>
      </c>
      <c r="CT248" s="16" t="s">
        <v>166</v>
      </c>
      <c r="CU248" s="16" t="s">
        <v>166</v>
      </c>
      <c r="CV248" s="16" t="s">
        <v>166</v>
      </c>
      <c r="CW248" s="16" t="s">
        <v>166</v>
      </c>
      <c r="CX248" s="16" t="s">
        <v>166</v>
      </c>
      <c r="CY248" s="16" t="s">
        <v>166</v>
      </c>
      <c r="CZ248" s="16" t="s">
        <v>166</v>
      </c>
      <c r="DA248" s="16" t="s">
        <v>166</v>
      </c>
      <c r="DB248" s="16" t="s">
        <v>166</v>
      </c>
      <c r="DC248" s="16" t="s">
        <v>166</v>
      </c>
      <c r="DD248" s="16" t="s">
        <v>166</v>
      </c>
      <c r="DE248" s="17" t="s">
        <v>166</v>
      </c>
      <c r="DF248" s="22">
        <v>105</v>
      </c>
      <c r="DG248" s="14" t="s">
        <v>1540</v>
      </c>
      <c r="DH248" s="14" t="s">
        <v>193</v>
      </c>
      <c r="DI248" s="14" t="s">
        <v>194</v>
      </c>
      <c r="DJ248" s="14" t="s">
        <v>1541</v>
      </c>
      <c r="DK248" s="14" t="s">
        <v>257</v>
      </c>
      <c r="DL248" s="21" t="s">
        <v>1542</v>
      </c>
      <c r="DM248" s="14" t="s">
        <v>198</v>
      </c>
      <c r="DN248" s="13" t="s">
        <v>5013</v>
      </c>
      <c r="DO248" s="20">
        <v>2020</v>
      </c>
      <c r="DP248" s="14" t="s">
        <v>166</v>
      </c>
      <c r="DQ248" s="14" t="s">
        <v>166</v>
      </c>
      <c r="DR248" s="18" t="s">
        <v>166</v>
      </c>
      <c r="DS248" s="16" t="s">
        <v>166</v>
      </c>
      <c r="DT248" s="19" t="s">
        <v>166</v>
      </c>
      <c r="DU248" s="14" t="s">
        <v>166</v>
      </c>
      <c r="DV248" s="18" t="s">
        <v>166</v>
      </c>
      <c r="DW248" s="18" t="s">
        <v>166</v>
      </c>
      <c r="DX248" s="16" t="s">
        <v>166</v>
      </c>
      <c r="DY248" s="16" t="s">
        <v>166</v>
      </c>
      <c r="DZ248" s="17" t="s">
        <v>166</v>
      </c>
      <c r="EA248" s="16" t="s">
        <v>166</v>
      </c>
      <c r="EB248" s="16" t="s">
        <v>166</v>
      </c>
      <c r="EC248" s="16" t="s">
        <v>166</v>
      </c>
      <c r="ED248" s="17" t="s">
        <v>166</v>
      </c>
      <c r="EE248" s="17" t="s">
        <v>166</v>
      </c>
      <c r="EF248" s="17" t="s">
        <v>166</v>
      </c>
      <c r="EG248" s="17" t="s">
        <v>166</v>
      </c>
      <c r="EH248" s="16" t="s">
        <v>166</v>
      </c>
      <c r="EI248" s="16" t="s">
        <v>166</v>
      </c>
      <c r="EJ248" s="16" t="s">
        <v>166</v>
      </c>
      <c r="EK248" s="16" t="s">
        <v>166</v>
      </c>
      <c r="EL248" s="16" t="s">
        <v>166</v>
      </c>
      <c r="EM248" s="16" t="s">
        <v>166</v>
      </c>
      <c r="EN248" s="16" t="s">
        <v>166</v>
      </c>
      <c r="EO248" s="16" t="s">
        <v>166</v>
      </c>
      <c r="EP248" s="16" t="s">
        <v>166</v>
      </c>
      <c r="EQ248" s="16" t="s">
        <v>166</v>
      </c>
      <c r="ER248" s="16" t="s">
        <v>166</v>
      </c>
      <c r="ES248" s="16" t="s">
        <v>166</v>
      </c>
      <c r="ET248" s="14" t="s">
        <v>166</v>
      </c>
      <c r="EU248" s="16" t="s">
        <v>166</v>
      </c>
      <c r="EV248" s="16" t="s">
        <v>166</v>
      </c>
      <c r="EW248" s="16" t="s">
        <v>166</v>
      </c>
      <c r="EX248" s="14" t="s">
        <v>190</v>
      </c>
      <c r="EY248" s="14" t="s">
        <v>166</v>
      </c>
      <c r="EZ248" s="16" t="s">
        <v>166</v>
      </c>
      <c r="FA248" s="15" t="s">
        <v>166</v>
      </c>
      <c r="FB248" s="15" t="s">
        <v>166</v>
      </c>
      <c r="FC248" s="15" t="s">
        <v>166</v>
      </c>
      <c r="FD248" s="15" t="s">
        <v>166</v>
      </c>
      <c r="FE248" s="15" t="s">
        <v>166</v>
      </c>
      <c r="FF248" s="15" t="s">
        <v>166</v>
      </c>
      <c r="FG248" s="14" t="s">
        <v>166</v>
      </c>
      <c r="FH248" s="3">
        <f>HYPERLINK("https://my.pitchbook.com?c=181203-67T","View Company Online")</f>
      </c>
    </row>
    <row r="249">
      <c r="A249" s="25" t="s">
        <v>5014</v>
      </c>
      <c r="B249" s="25" t="s">
        <v>5015</v>
      </c>
      <c r="C249" s="25" t="s">
        <v>5016</v>
      </c>
      <c r="D249" s="25" t="s">
        <v>166</v>
      </c>
      <c r="E249" s="34" t="s">
        <v>5017</v>
      </c>
      <c r="F249" s="32">
        <v>3</v>
      </c>
      <c r="G249" s="25" t="s">
        <v>5018</v>
      </c>
      <c r="H249" s="25" t="s">
        <v>166</v>
      </c>
      <c r="I249" s="25" t="s">
        <v>5019</v>
      </c>
      <c r="J249" s="25" t="s">
        <v>5020</v>
      </c>
      <c r="K249" s="25" t="s">
        <v>207</v>
      </c>
      <c r="L249" s="25" t="s">
        <v>208</v>
      </c>
      <c r="M249" s="25" t="s">
        <v>209</v>
      </c>
      <c r="N249" s="25" t="s">
        <v>2045</v>
      </c>
      <c r="O249" s="25" t="s">
        <v>5021</v>
      </c>
      <c r="P249" s="25" t="s">
        <v>5022</v>
      </c>
      <c r="Q249" s="25" t="s">
        <v>4762</v>
      </c>
      <c r="R249" s="25" t="s">
        <v>177</v>
      </c>
      <c r="S249" s="25" t="s">
        <v>178</v>
      </c>
      <c r="T249" s="25" t="s">
        <v>179</v>
      </c>
      <c r="U249" s="25" t="s">
        <v>5023</v>
      </c>
      <c r="V249" s="25" t="s">
        <v>5024</v>
      </c>
      <c r="W249" s="32" t="s">
        <v>5025</v>
      </c>
      <c r="X249" s="25" t="s">
        <v>5026</v>
      </c>
      <c r="Y249" s="25" t="s">
        <v>5027</v>
      </c>
      <c r="Z249" s="25" t="s">
        <v>5028</v>
      </c>
      <c r="AA249" s="25" t="s">
        <v>166</v>
      </c>
      <c r="AB249" s="25" t="s">
        <v>166</v>
      </c>
      <c r="AC249" s="25" t="s">
        <v>166</v>
      </c>
      <c r="AD249" s="25" t="s">
        <v>166</v>
      </c>
      <c r="AE249" s="25" t="s">
        <v>166</v>
      </c>
      <c r="AF249" s="25" t="s">
        <v>166</v>
      </c>
      <c r="AG249" s="25" t="s">
        <v>166</v>
      </c>
      <c r="AH249" s="32">
        <v>3</v>
      </c>
      <c r="AI249" s="4">
        <f>HYPERLINK("https://my.pitchbook.com/?d=191017-81T","191017-81T")</f>
      </c>
      <c r="AJ249" s="30" t="s">
        <v>166</v>
      </c>
      <c r="AK249" s="30">
        <v>44517</v>
      </c>
      <c r="AL249" s="29">
        <v>0.14</v>
      </c>
      <c r="AM249" s="25" t="s">
        <v>247</v>
      </c>
      <c r="AN249" s="29" t="s">
        <v>166</v>
      </c>
      <c r="AO249" s="29" t="s">
        <v>166</v>
      </c>
      <c r="AP249" s="25" t="s">
        <v>166</v>
      </c>
      <c r="AQ249" s="32" t="s">
        <v>166</v>
      </c>
      <c r="AR249" s="32" t="s">
        <v>166</v>
      </c>
      <c r="AS249" s="28" t="s">
        <v>166</v>
      </c>
      <c r="AT249" s="29">
        <v>0.14</v>
      </c>
      <c r="AU249" s="32" t="s">
        <v>186</v>
      </c>
      <c r="AV249" s="32" t="s">
        <v>166</v>
      </c>
      <c r="AW249" s="29" t="s">
        <v>166</v>
      </c>
      <c r="AX249" s="32" t="s">
        <v>166</v>
      </c>
      <c r="AY249" s="25" t="s">
        <v>187</v>
      </c>
      <c r="AZ249" s="25" t="s">
        <v>166</v>
      </c>
      <c r="BA249" s="25" t="s">
        <v>166</v>
      </c>
      <c r="BB249" s="32" t="s">
        <v>166</v>
      </c>
      <c r="BC249" s="25" t="s">
        <v>179</v>
      </c>
      <c r="BD249" s="25" t="s">
        <v>5029</v>
      </c>
      <c r="BE249" s="25" t="s">
        <v>189</v>
      </c>
      <c r="BF249" s="29">
        <v>0.14</v>
      </c>
      <c r="BG249" s="25" t="s">
        <v>190</v>
      </c>
      <c r="BH249" s="25" t="s">
        <v>166</v>
      </c>
      <c r="BI249" s="25" t="s">
        <v>166</v>
      </c>
      <c r="BJ249" s="29" t="s">
        <v>166</v>
      </c>
      <c r="BK249" s="29" t="s">
        <v>166</v>
      </c>
      <c r="BL249" s="25" t="s">
        <v>191</v>
      </c>
      <c r="BM249" s="25" t="s">
        <v>358</v>
      </c>
      <c r="BN249" s="25" t="s">
        <v>177</v>
      </c>
      <c r="BO249" s="33">
        <v>1</v>
      </c>
      <c r="BP249" s="25" t="s">
        <v>5017</v>
      </c>
      <c r="BQ249" s="32">
        <v>3</v>
      </c>
      <c r="BR249" s="25" t="s">
        <v>166</v>
      </c>
      <c r="BS249" s="32" t="s">
        <v>166</v>
      </c>
      <c r="BT249" s="25" t="s">
        <v>166</v>
      </c>
      <c r="BU249" s="25" t="s">
        <v>166</v>
      </c>
      <c r="BV249" s="25" t="s">
        <v>5030</v>
      </c>
      <c r="BW249" s="25" t="s">
        <v>166</v>
      </c>
      <c r="BX249" s="25" t="s">
        <v>166</v>
      </c>
      <c r="BY249" s="25" t="s">
        <v>166</v>
      </c>
      <c r="BZ249" s="25" t="s">
        <v>5031</v>
      </c>
      <c r="CA249" s="25" t="s">
        <v>5031</v>
      </c>
      <c r="CB249" s="25" t="s">
        <v>166</v>
      </c>
      <c r="CC249" s="25" t="s">
        <v>166</v>
      </c>
      <c r="CD249" s="25" t="s">
        <v>166</v>
      </c>
      <c r="CE249" s="29" t="s">
        <v>166</v>
      </c>
      <c r="CF249" s="27" t="s">
        <v>166</v>
      </c>
      <c r="CG249" s="28" t="s">
        <v>166</v>
      </c>
      <c r="CH249" s="27" t="s">
        <v>166</v>
      </c>
      <c r="CI249" s="27" t="s">
        <v>166</v>
      </c>
      <c r="CJ249" s="27" t="s">
        <v>166</v>
      </c>
      <c r="CK249" s="27" t="s">
        <v>166</v>
      </c>
      <c r="CL249" s="27" t="s">
        <v>166</v>
      </c>
      <c r="CM249" s="31" t="s">
        <v>166</v>
      </c>
      <c r="CN249" s="27" t="s">
        <v>166</v>
      </c>
      <c r="CO249" s="27" t="s">
        <v>166</v>
      </c>
      <c r="CP249" s="27" t="s">
        <v>166</v>
      </c>
      <c r="CQ249" s="27" t="s">
        <v>166</v>
      </c>
      <c r="CR249" s="27" t="s">
        <v>166</v>
      </c>
      <c r="CS249" s="27" t="s">
        <v>166</v>
      </c>
      <c r="CT249" s="27" t="s">
        <v>166</v>
      </c>
      <c r="CU249" s="27" t="s">
        <v>166</v>
      </c>
      <c r="CV249" s="27" t="s">
        <v>166</v>
      </c>
      <c r="CW249" s="27" t="s">
        <v>166</v>
      </c>
      <c r="CX249" s="27" t="s">
        <v>166</v>
      </c>
      <c r="CY249" s="27" t="s">
        <v>166</v>
      </c>
      <c r="CZ249" s="27" t="s">
        <v>166</v>
      </c>
      <c r="DA249" s="27" t="s">
        <v>166</v>
      </c>
      <c r="DB249" s="27" t="s">
        <v>166</v>
      </c>
      <c r="DC249" s="27" t="s">
        <v>166</v>
      </c>
      <c r="DD249" s="27" t="s">
        <v>166</v>
      </c>
      <c r="DE249" s="28" t="s">
        <v>166</v>
      </c>
      <c r="DF249" s="33">
        <v>8</v>
      </c>
      <c r="DG249" s="25" t="s">
        <v>4224</v>
      </c>
      <c r="DH249" s="25" t="s">
        <v>193</v>
      </c>
      <c r="DI249" s="25" t="s">
        <v>194</v>
      </c>
      <c r="DJ249" s="25" t="s">
        <v>4225</v>
      </c>
      <c r="DK249" s="25" t="s">
        <v>4226</v>
      </c>
      <c r="DL249" s="32" t="s">
        <v>4227</v>
      </c>
      <c r="DM249" s="25" t="s">
        <v>198</v>
      </c>
      <c r="DN249" s="24" t="s">
        <v>5032</v>
      </c>
      <c r="DO249" s="31">
        <v>2020</v>
      </c>
      <c r="DP249" s="25" t="s">
        <v>166</v>
      </c>
      <c r="DQ249" s="25" t="s">
        <v>166</v>
      </c>
      <c r="DR249" s="29" t="s">
        <v>166</v>
      </c>
      <c r="DS249" s="27" t="s">
        <v>166</v>
      </c>
      <c r="DT249" s="30" t="s">
        <v>166</v>
      </c>
      <c r="DU249" s="25" t="s">
        <v>166</v>
      </c>
      <c r="DV249" s="29" t="s">
        <v>166</v>
      </c>
      <c r="DW249" s="29" t="s">
        <v>166</v>
      </c>
      <c r="DX249" s="27" t="s">
        <v>166</v>
      </c>
      <c r="DY249" s="27" t="s">
        <v>166</v>
      </c>
      <c r="DZ249" s="28" t="s">
        <v>166</v>
      </c>
      <c r="EA249" s="27" t="s">
        <v>166</v>
      </c>
      <c r="EB249" s="27" t="s">
        <v>166</v>
      </c>
      <c r="EC249" s="27" t="s">
        <v>166</v>
      </c>
      <c r="ED249" s="28" t="s">
        <v>166</v>
      </c>
      <c r="EE249" s="28" t="s">
        <v>166</v>
      </c>
      <c r="EF249" s="28" t="s">
        <v>166</v>
      </c>
      <c r="EG249" s="28" t="s">
        <v>166</v>
      </c>
      <c r="EH249" s="27" t="s">
        <v>166</v>
      </c>
      <c r="EI249" s="27" t="s">
        <v>166</v>
      </c>
      <c r="EJ249" s="27" t="s">
        <v>166</v>
      </c>
      <c r="EK249" s="27" t="s">
        <v>166</v>
      </c>
      <c r="EL249" s="27" t="s">
        <v>166</v>
      </c>
      <c r="EM249" s="27" t="s">
        <v>166</v>
      </c>
      <c r="EN249" s="27" t="s">
        <v>166</v>
      </c>
      <c r="EO249" s="27" t="s">
        <v>166</v>
      </c>
      <c r="EP249" s="27" t="s">
        <v>166</v>
      </c>
      <c r="EQ249" s="27" t="s">
        <v>166</v>
      </c>
      <c r="ER249" s="27" t="s">
        <v>166</v>
      </c>
      <c r="ES249" s="27" t="s">
        <v>166</v>
      </c>
      <c r="ET249" s="25" t="s">
        <v>166</v>
      </c>
      <c r="EU249" s="27" t="s">
        <v>166</v>
      </c>
      <c r="EV249" s="27" t="s">
        <v>166</v>
      </c>
      <c r="EW249" s="27" t="s">
        <v>166</v>
      </c>
      <c r="EX249" s="25" t="s">
        <v>190</v>
      </c>
      <c r="EY249" s="25" t="s">
        <v>166</v>
      </c>
      <c r="EZ249" s="27" t="s">
        <v>166</v>
      </c>
      <c r="FA249" s="26">
        <v>1</v>
      </c>
      <c r="FB249" s="26">
        <v>1</v>
      </c>
      <c r="FC249" s="26" t="s">
        <v>166</v>
      </c>
      <c r="FD249" s="26">
        <v>1</v>
      </c>
      <c r="FE249" s="26" t="s">
        <v>166</v>
      </c>
      <c r="FF249" s="26" t="s">
        <v>166</v>
      </c>
      <c r="FG249" s="25" t="s">
        <v>5033</v>
      </c>
      <c r="FH249" s="4">
        <f>HYPERLINK("https://my.pitchbook.com?c=191017-81T","View Company Online")</f>
      </c>
    </row>
    <row r="250">
      <c r="A250" s="14" t="s">
        <v>5034</v>
      </c>
      <c r="B250" s="14" t="s">
        <v>5035</v>
      </c>
      <c r="C250" s="14" t="s">
        <v>5036</v>
      </c>
      <c r="D250" s="14" t="s">
        <v>166</v>
      </c>
      <c r="E250" s="23" t="s">
        <v>5037</v>
      </c>
      <c r="F250" s="21">
        <v>8</v>
      </c>
      <c r="G250" s="14" t="s">
        <v>5038</v>
      </c>
      <c r="H250" s="14" t="s">
        <v>166</v>
      </c>
      <c r="I250" s="14" t="s">
        <v>5039</v>
      </c>
      <c r="J250" s="14" t="s">
        <v>5040</v>
      </c>
      <c r="K250" s="14" t="s">
        <v>1455</v>
      </c>
      <c r="L250" s="14" t="s">
        <v>1984</v>
      </c>
      <c r="M250" s="14" t="s">
        <v>1985</v>
      </c>
      <c r="N250" s="14" t="s">
        <v>5041</v>
      </c>
      <c r="O250" s="14" t="s">
        <v>5042</v>
      </c>
      <c r="P250" s="14" t="s">
        <v>5043</v>
      </c>
      <c r="Q250" s="14" t="s">
        <v>166</v>
      </c>
      <c r="R250" s="14" t="s">
        <v>177</v>
      </c>
      <c r="S250" s="14" t="s">
        <v>785</v>
      </c>
      <c r="T250" s="14" t="s">
        <v>179</v>
      </c>
      <c r="U250" s="14" t="s">
        <v>5044</v>
      </c>
      <c r="V250" s="14" t="s">
        <v>5045</v>
      </c>
      <c r="W250" s="21" t="s">
        <v>5046</v>
      </c>
      <c r="X250" s="14" t="s">
        <v>5047</v>
      </c>
      <c r="Y250" s="14" t="s">
        <v>5048</v>
      </c>
      <c r="Z250" s="14" t="s">
        <v>166</v>
      </c>
      <c r="AA250" s="14" t="s">
        <v>242</v>
      </c>
      <c r="AB250" s="14" t="s">
        <v>243</v>
      </c>
      <c r="AC250" s="14" t="s">
        <v>244</v>
      </c>
      <c r="AD250" s="14" t="s">
        <v>243</v>
      </c>
      <c r="AE250" s="14" t="s">
        <v>243</v>
      </c>
      <c r="AF250" s="14" t="s">
        <v>166</v>
      </c>
      <c r="AG250" s="14" t="s">
        <v>246</v>
      </c>
      <c r="AH250" s="21">
        <v>1</v>
      </c>
      <c r="AI250" s="3">
        <f>HYPERLINK("https://my.pitchbook.com/?d=179567-65T","179567-65T")</f>
      </c>
      <c r="AJ250" s="19">
        <v>44363</v>
      </c>
      <c r="AK250" s="19">
        <v>44487</v>
      </c>
      <c r="AL250" s="18">
        <v>4.7</v>
      </c>
      <c r="AM250" s="14" t="s">
        <v>185</v>
      </c>
      <c r="AN250" s="18">
        <v>10</v>
      </c>
      <c r="AO250" s="18">
        <v>14.7</v>
      </c>
      <c r="AP250" s="14" t="s">
        <v>185</v>
      </c>
      <c r="AQ250" s="21" t="s">
        <v>166</v>
      </c>
      <c r="AR250" s="21" t="s">
        <v>166</v>
      </c>
      <c r="AS250" s="17">
        <v>52.45</v>
      </c>
      <c r="AT250" s="18">
        <v>4.7</v>
      </c>
      <c r="AU250" s="21" t="s">
        <v>186</v>
      </c>
      <c r="AV250" s="21" t="s">
        <v>166</v>
      </c>
      <c r="AW250" s="18">
        <v>0.81</v>
      </c>
      <c r="AX250" s="21" t="s">
        <v>166</v>
      </c>
      <c r="AY250" s="14" t="s">
        <v>217</v>
      </c>
      <c r="AZ250" s="14" t="s">
        <v>217</v>
      </c>
      <c r="BA250" s="14" t="s">
        <v>166</v>
      </c>
      <c r="BB250" s="21" t="s">
        <v>166</v>
      </c>
      <c r="BC250" s="14" t="s">
        <v>179</v>
      </c>
      <c r="BD250" s="14" t="s">
        <v>5049</v>
      </c>
      <c r="BE250" s="14" t="s">
        <v>189</v>
      </c>
      <c r="BF250" s="18">
        <v>4.7</v>
      </c>
      <c r="BG250" s="14" t="s">
        <v>190</v>
      </c>
      <c r="BH250" s="14" t="s">
        <v>166</v>
      </c>
      <c r="BI250" s="14" t="s">
        <v>166</v>
      </c>
      <c r="BJ250" s="18" t="s">
        <v>166</v>
      </c>
      <c r="BK250" s="18" t="s">
        <v>166</v>
      </c>
      <c r="BL250" s="14" t="s">
        <v>191</v>
      </c>
      <c r="BM250" s="14" t="s">
        <v>785</v>
      </c>
      <c r="BN250" s="14" t="s">
        <v>177</v>
      </c>
      <c r="BO250" s="22" t="s">
        <v>166</v>
      </c>
      <c r="BP250" s="14" t="s">
        <v>5050</v>
      </c>
      <c r="BQ250" s="21">
        <v>8</v>
      </c>
      <c r="BR250" s="14" t="s">
        <v>166</v>
      </c>
      <c r="BS250" s="21" t="s">
        <v>166</v>
      </c>
      <c r="BT250" s="14" t="s">
        <v>5051</v>
      </c>
      <c r="BU250" s="14" t="s">
        <v>166</v>
      </c>
      <c r="BV250" s="14" t="s">
        <v>5052</v>
      </c>
      <c r="BW250" s="14" t="s">
        <v>166</v>
      </c>
      <c r="BX250" s="14" t="s">
        <v>166</v>
      </c>
      <c r="BY250" s="14" t="s">
        <v>166</v>
      </c>
      <c r="BZ250" s="14" t="s">
        <v>5053</v>
      </c>
      <c r="CA250" s="14" t="s">
        <v>5053</v>
      </c>
      <c r="CB250" s="14" t="s">
        <v>166</v>
      </c>
      <c r="CC250" s="14" t="s">
        <v>166</v>
      </c>
      <c r="CD250" s="14" t="s">
        <v>166</v>
      </c>
      <c r="CE250" s="18" t="s">
        <v>166</v>
      </c>
      <c r="CF250" s="16" t="s">
        <v>166</v>
      </c>
      <c r="CG250" s="17" t="s">
        <v>166</v>
      </c>
      <c r="CH250" s="16" t="s">
        <v>166</v>
      </c>
      <c r="CI250" s="16" t="s">
        <v>166</v>
      </c>
      <c r="CJ250" s="16" t="s">
        <v>166</v>
      </c>
      <c r="CK250" s="16" t="s">
        <v>166</v>
      </c>
      <c r="CL250" s="16" t="s">
        <v>166</v>
      </c>
      <c r="CM250" s="20" t="s">
        <v>166</v>
      </c>
      <c r="CN250" s="16" t="s">
        <v>166</v>
      </c>
      <c r="CO250" s="16" t="s">
        <v>166</v>
      </c>
      <c r="CP250" s="16" t="s">
        <v>166</v>
      </c>
      <c r="CQ250" s="16" t="s">
        <v>166</v>
      </c>
      <c r="CR250" s="16" t="s">
        <v>166</v>
      </c>
      <c r="CS250" s="16" t="s">
        <v>166</v>
      </c>
      <c r="CT250" s="16" t="s">
        <v>166</v>
      </c>
      <c r="CU250" s="16" t="s">
        <v>166</v>
      </c>
      <c r="CV250" s="16" t="s">
        <v>166</v>
      </c>
      <c r="CW250" s="16" t="s">
        <v>166</v>
      </c>
      <c r="CX250" s="16" t="s">
        <v>166</v>
      </c>
      <c r="CY250" s="16" t="s">
        <v>166</v>
      </c>
      <c r="CZ250" s="16" t="s">
        <v>166</v>
      </c>
      <c r="DA250" s="16" t="s">
        <v>166</v>
      </c>
      <c r="DB250" s="16" t="s">
        <v>166</v>
      </c>
      <c r="DC250" s="16" t="s">
        <v>166</v>
      </c>
      <c r="DD250" s="16" t="s">
        <v>166</v>
      </c>
      <c r="DE250" s="17" t="s">
        <v>166</v>
      </c>
      <c r="DF250" s="22">
        <v>17</v>
      </c>
      <c r="DG250" s="14" t="s">
        <v>1634</v>
      </c>
      <c r="DH250" s="14" t="s">
        <v>193</v>
      </c>
      <c r="DI250" s="14" t="s">
        <v>194</v>
      </c>
      <c r="DJ250" s="14" t="s">
        <v>1635</v>
      </c>
      <c r="DK250" s="14" t="s">
        <v>408</v>
      </c>
      <c r="DL250" s="21" t="s">
        <v>5054</v>
      </c>
      <c r="DM250" s="14" t="s">
        <v>198</v>
      </c>
      <c r="DN250" s="13" t="s">
        <v>5055</v>
      </c>
      <c r="DO250" s="20">
        <v>2010</v>
      </c>
      <c r="DP250" s="14" t="s">
        <v>166</v>
      </c>
      <c r="DQ250" s="14" t="s">
        <v>166</v>
      </c>
      <c r="DR250" s="18" t="s">
        <v>166</v>
      </c>
      <c r="DS250" s="16" t="s">
        <v>166</v>
      </c>
      <c r="DT250" s="19" t="s">
        <v>166</v>
      </c>
      <c r="DU250" s="14" t="s">
        <v>166</v>
      </c>
      <c r="DV250" s="18" t="s">
        <v>166</v>
      </c>
      <c r="DW250" s="18" t="s">
        <v>166</v>
      </c>
      <c r="DX250" s="16" t="s">
        <v>166</v>
      </c>
      <c r="DY250" s="16" t="s">
        <v>166</v>
      </c>
      <c r="DZ250" s="17" t="s">
        <v>166</v>
      </c>
      <c r="EA250" s="16" t="s">
        <v>166</v>
      </c>
      <c r="EB250" s="16" t="s">
        <v>166</v>
      </c>
      <c r="EC250" s="16" t="s">
        <v>166</v>
      </c>
      <c r="ED250" s="17" t="s">
        <v>166</v>
      </c>
      <c r="EE250" s="17" t="s">
        <v>166</v>
      </c>
      <c r="EF250" s="17" t="s">
        <v>166</v>
      </c>
      <c r="EG250" s="17" t="s">
        <v>166</v>
      </c>
      <c r="EH250" s="16" t="s">
        <v>166</v>
      </c>
      <c r="EI250" s="16" t="s">
        <v>166</v>
      </c>
      <c r="EJ250" s="16" t="s">
        <v>166</v>
      </c>
      <c r="EK250" s="16" t="s">
        <v>166</v>
      </c>
      <c r="EL250" s="16" t="s">
        <v>166</v>
      </c>
      <c r="EM250" s="16" t="s">
        <v>166</v>
      </c>
      <c r="EN250" s="16" t="s">
        <v>166</v>
      </c>
      <c r="EO250" s="16" t="s">
        <v>166</v>
      </c>
      <c r="EP250" s="16" t="s">
        <v>166</v>
      </c>
      <c r="EQ250" s="16" t="s">
        <v>166</v>
      </c>
      <c r="ER250" s="16" t="s">
        <v>166</v>
      </c>
      <c r="ES250" s="16" t="s">
        <v>166</v>
      </c>
      <c r="ET250" s="14" t="s">
        <v>166</v>
      </c>
      <c r="EU250" s="16" t="s">
        <v>166</v>
      </c>
      <c r="EV250" s="16" t="s">
        <v>166</v>
      </c>
      <c r="EW250" s="16" t="s">
        <v>166</v>
      </c>
      <c r="EX250" s="14" t="s">
        <v>190</v>
      </c>
      <c r="EY250" s="14" t="s">
        <v>166</v>
      </c>
      <c r="EZ250" s="16" t="s">
        <v>166</v>
      </c>
      <c r="FA250" s="15" t="s">
        <v>166</v>
      </c>
      <c r="FB250" s="15" t="s">
        <v>166</v>
      </c>
      <c r="FC250" s="15" t="s">
        <v>166</v>
      </c>
      <c r="FD250" s="15" t="s">
        <v>166</v>
      </c>
      <c r="FE250" s="15" t="s">
        <v>166</v>
      </c>
      <c r="FF250" s="15" t="s">
        <v>166</v>
      </c>
      <c r="FG250" s="14" t="s">
        <v>166</v>
      </c>
      <c r="FH250" s="3">
        <f>HYPERLINK("https://my.pitchbook.com?c=179567-65T","View Company Online")</f>
      </c>
    </row>
    <row r="251">
      <c r="A251" s="25" t="s">
        <v>5056</v>
      </c>
      <c r="B251" s="25" t="s">
        <v>5057</v>
      </c>
      <c r="C251" s="25" t="s">
        <v>5058</v>
      </c>
      <c r="D251" s="25" t="s">
        <v>166</v>
      </c>
      <c r="E251" s="34" t="s">
        <v>5059</v>
      </c>
      <c r="F251" s="32">
        <v>5</v>
      </c>
      <c r="G251" s="25" t="s">
        <v>5060</v>
      </c>
      <c r="H251" s="25" t="s">
        <v>166</v>
      </c>
      <c r="I251" s="25" t="s">
        <v>5061</v>
      </c>
      <c r="J251" s="25" t="s">
        <v>5062</v>
      </c>
      <c r="K251" s="25" t="s">
        <v>207</v>
      </c>
      <c r="L251" s="25" t="s">
        <v>208</v>
      </c>
      <c r="M251" s="25" t="s">
        <v>839</v>
      </c>
      <c r="N251" s="25" t="s">
        <v>5063</v>
      </c>
      <c r="O251" s="25" t="s">
        <v>2046</v>
      </c>
      <c r="P251" s="25" t="s">
        <v>5064</v>
      </c>
      <c r="Q251" s="25" t="s">
        <v>166</v>
      </c>
      <c r="R251" s="25" t="s">
        <v>177</v>
      </c>
      <c r="S251" s="25" t="s">
        <v>178</v>
      </c>
      <c r="T251" s="25" t="s">
        <v>179</v>
      </c>
      <c r="U251" s="25" t="s">
        <v>5065</v>
      </c>
      <c r="V251" s="25" t="s">
        <v>5066</v>
      </c>
      <c r="W251" s="32" t="s">
        <v>5067</v>
      </c>
      <c r="X251" s="25" t="s">
        <v>5068</v>
      </c>
      <c r="Y251" s="25" t="s">
        <v>5069</v>
      </c>
      <c r="Z251" s="25" t="s">
        <v>5070</v>
      </c>
      <c r="AA251" s="25" t="s">
        <v>166</v>
      </c>
      <c r="AB251" s="25" t="s">
        <v>166</v>
      </c>
      <c r="AC251" s="25" t="s">
        <v>166</v>
      </c>
      <c r="AD251" s="25" t="s">
        <v>166</v>
      </c>
      <c r="AE251" s="25" t="s">
        <v>166</v>
      </c>
      <c r="AF251" s="25" t="s">
        <v>166</v>
      </c>
      <c r="AG251" s="25" t="s">
        <v>166</v>
      </c>
      <c r="AH251" s="32">
        <v>2</v>
      </c>
      <c r="AI251" s="4">
        <f>HYPERLINK("https://my.pitchbook.com/?d=242590-96T","242590-96T")</f>
      </c>
      <c r="AJ251" s="30">
        <v>45110</v>
      </c>
      <c r="AK251" s="30">
        <v>45338</v>
      </c>
      <c r="AL251" s="29">
        <v>2.33</v>
      </c>
      <c r="AM251" s="25" t="s">
        <v>185</v>
      </c>
      <c r="AN251" s="29" t="s">
        <v>166</v>
      </c>
      <c r="AO251" s="29" t="s">
        <v>166</v>
      </c>
      <c r="AP251" s="25" t="s">
        <v>166</v>
      </c>
      <c r="AQ251" s="32" t="s">
        <v>166</v>
      </c>
      <c r="AR251" s="32" t="s">
        <v>166</v>
      </c>
      <c r="AS251" s="28" t="s">
        <v>166</v>
      </c>
      <c r="AT251" s="29">
        <v>2.45</v>
      </c>
      <c r="AU251" s="32" t="s">
        <v>186</v>
      </c>
      <c r="AV251" s="32" t="s">
        <v>166</v>
      </c>
      <c r="AW251" s="29" t="s">
        <v>166</v>
      </c>
      <c r="AX251" s="32" t="s">
        <v>166</v>
      </c>
      <c r="AY251" s="25" t="s">
        <v>217</v>
      </c>
      <c r="AZ251" s="25" t="s">
        <v>217</v>
      </c>
      <c r="BA251" s="25" t="s">
        <v>166</v>
      </c>
      <c r="BB251" s="32" t="s">
        <v>166</v>
      </c>
      <c r="BC251" s="25" t="s">
        <v>179</v>
      </c>
      <c r="BD251" s="25" t="s">
        <v>5071</v>
      </c>
      <c r="BE251" s="25" t="s">
        <v>189</v>
      </c>
      <c r="BF251" s="29">
        <v>2.33</v>
      </c>
      <c r="BG251" s="25" t="s">
        <v>190</v>
      </c>
      <c r="BH251" s="25" t="s">
        <v>166</v>
      </c>
      <c r="BI251" s="25" t="s">
        <v>166</v>
      </c>
      <c r="BJ251" s="29" t="s">
        <v>166</v>
      </c>
      <c r="BK251" s="29" t="s">
        <v>166</v>
      </c>
      <c r="BL251" s="25" t="s">
        <v>191</v>
      </c>
      <c r="BM251" s="25" t="s">
        <v>178</v>
      </c>
      <c r="BN251" s="25" t="s">
        <v>177</v>
      </c>
      <c r="BO251" s="33" t="s">
        <v>166</v>
      </c>
      <c r="BP251" s="25" t="s">
        <v>5072</v>
      </c>
      <c r="BQ251" s="32">
        <v>4</v>
      </c>
      <c r="BR251" s="25" t="s">
        <v>252</v>
      </c>
      <c r="BS251" s="32">
        <v>1</v>
      </c>
      <c r="BT251" s="25" t="s">
        <v>5073</v>
      </c>
      <c r="BU251" s="25" t="s">
        <v>166</v>
      </c>
      <c r="BV251" s="25" t="s">
        <v>5074</v>
      </c>
      <c r="BW251" s="25" t="s">
        <v>166</v>
      </c>
      <c r="BX251" s="25" t="s">
        <v>166</v>
      </c>
      <c r="BY251" s="25" t="s">
        <v>166</v>
      </c>
      <c r="BZ251" s="25" t="s">
        <v>5075</v>
      </c>
      <c r="CA251" s="25" t="s">
        <v>5075</v>
      </c>
      <c r="CB251" s="25" t="s">
        <v>166</v>
      </c>
      <c r="CC251" s="25" t="s">
        <v>166</v>
      </c>
      <c r="CD251" s="25" t="s">
        <v>166</v>
      </c>
      <c r="CE251" s="29" t="s">
        <v>166</v>
      </c>
      <c r="CF251" s="27" t="s">
        <v>166</v>
      </c>
      <c r="CG251" s="28" t="s">
        <v>166</v>
      </c>
      <c r="CH251" s="27" t="s">
        <v>166</v>
      </c>
      <c r="CI251" s="27" t="s">
        <v>166</v>
      </c>
      <c r="CJ251" s="27" t="s">
        <v>166</v>
      </c>
      <c r="CK251" s="27" t="s">
        <v>166</v>
      </c>
      <c r="CL251" s="27" t="s">
        <v>166</v>
      </c>
      <c r="CM251" s="31" t="s">
        <v>166</v>
      </c>
      <c r="CN251" s="27" t="s">
        <v>166</v>
      </c>
      <c r="CO251" s="27" t="s">
        <v>166</v>
      </c>
      <c r="CP251" s="27" t="s">
        <v>166</v>
      </c>
      <c r="CQ251" s="27" t="s">
        <v>166</v>
      </c>
      <c r="CR251" s="27" t="s">
        <v>166</v>
      </c>
      <c r="CS251" s="27" t="s">
        <v>166</v>
      </c>
      <c r="CT251" s="27" t="s">
        <v>166</v>
      </c>
      <c r="CU251" s="27" t="s">
        <v>166</v>
      </c>
      <c r="CV251" s="27" t="s">
        <v>166</v>
      </c>
      <c r="CW251" s="27" t="s">
        <v>166</v>
      </c>
      <c r="CX251" s="27" t="s">
        <v>166</v>
      </c>
      <c r="CY251" s="27" t="s">
        <v>166</v>
      </c>
      <c r="CZ251" s="27" t="s">
        <v>166</v>
      </c>
      <c r="DA251" s="27" t="s">
        <v>166</v>
      </c>
      <c r="DB251" s="27" t="s">
        <v>166</v>
      </c>
      <c r="DC251" s="27" t="s">
        <v>166</v>
      </c>
      <c r="DD251" s="27" t="s">
        <v>166</v>
      </c>
      <c r="DE251" s="28" t="s">
        <v>166</v>
      </c>
      <c r="DF251" s="33">
        <v>6</v>
      </c>
      <c r="DG251" s="25" t="s">
        <v>5076</v>
      </c>
      <c r="DH251" s="25" t="s">
        <v>193</v>
      </c>
      <c r="DI251" s="25" t="s">
        <v>194</v>
      </c>
      <c r="DJ251" s="25" t="s">
        <v>5077</v>
      </c>
      <c r="DK251" s="25" t="s">
        <v>454</v>
      </c>
      <c r="DL251" s="32" t="s">
        <v>5078</v>
      </c>
      <c r="DM251" s="25" t="s">
        <v>198</v>
      </c>
      <c r="DN251" s="24" t="s">
        <v>5079</v>
      </c>
      <c r="DO251" s="31">
        <v>2022</v>
      </c>
      <c r="DP251" s="25" t="s">
        <v>166</v>
      </c>
      <c r="DQ251" s="25" t="s">
        <v>166</v>
      </c>
      <c r="DR251" s="29" t="s">
        <v>166</v>
      </c>
      <c r="DS251" s="27" t="s">
        <v>166</v>
      </c>
      <c r="DT251" s="30" t="s">
        <v>166</v>
      </c>
      <c r="DU251" s="25" t="s">
        <v>166</v>
      </c>
      <c r="DV251" s="29" t="s">
        <v>166</v>
      </c>
      <c r="DW251" s="29" t="s">
        <v>166</v>
      </c>
      <c r="DX251" s="27" t="s">
        <v>166</v>
      </c>
      <c r="DY251" s="27" t="s">
        <v>166</v>
      </c>
      <c r="DZ251" s="28" t="s">
        <v>166</v>
      </c>
      <c r="EA251" s="27" t="s">
        <v>166</v>
      </c>
      <c r="EB251" s="27" t="s">
        <v>166</v>
      </c>
      <c r="EC251" s="27" t="s">
        <v>166</v>
      </c>
      <c r="ED251" s="28" t="s">
        <v>166</v>
      </c>
      <c r="EE251" s="28" t="s">
        <v>166</v>
      </c>
      <c r="EF251" s="28" t="s">
        <v>166</v>
      </c>
      <c r="EG251" s="28" t="s">
        <v>166</v>
      </c>
      <c r="EH251" s="27" t="s">
        <v>166</v>
      </c>
      <c r="EI251" s="27" t="s">
        <v>166</v>
      </c>
      <c r="EJ251" s="27" t="s">
        <v>166</v>
      </c>
      <c r="EK251" s="27" t="s">
        <v>166</v>
      </c>
      <c r="EL251" s="27" t="s">
        <v>166</v>
      </c>
      <c r="EM251" s="27" t="s">
        <v>166</v>
      </c>
      <c r="EN251" s="27" t="s">
        <v>166</v>
      </c>
      <c r="EO251" s="27" t="s">
        <v>166</v>
      </c>
      <c r="EP251" s="27" t="s">
        <v>166</v>
      </c>
      <c r="EQ251" s="27" t="s">
        <v>166</v>
      </c>
      <c r="ER251" s="27" t="s">
        <v>166</v>
      </c>
      <c r="ES251" s="27" t="s">
        <v>166</v>
      </c>
      <c r="ET251" s="25" t="s">
        <v>166</v>
      </c>
      <c r="EU251" s="27" t="s">
        <v>166</v>
      </c>
      <c r="EV251" s="27" t="s">
        <v>166</v>
      </c>
      <c r="EW251" s="27" t="s">
        <v>166</v>
      </c>
      <c r="EX251" s="25" t="s">
        <v>190</v>
      </c>
      <c r="EY251" s="25" t="s">
        <v>166</v>
      </c>
      <c r="EZ251" s="27" t="s">
        <v>166</v>
      </c>
      <c r="FA251" s="26">
        <v>1</v>
      </c>
      <c r="FB251" s="26">
        <v>1</v>
      </c>
      <c r="FC251" s="26" t="s">
        <v>166</v>
      </c>
      <c r="FD251" s="26">
        <v>1</v>
      </c>
      <c r="FE251" s="26" t="s">
        <v>166</v>
      </c>
      <c r="FF251" s="26" t="s">
        <v>166</v>
      </c>
      <c r="FG251" s="25" t="s">
        <v>457</v>
      </c>
      <c r="FH251" s="4">
        <f>HYPERLINK("https://my.pitchbook.com?c=242590-96T","View Company Online")</f>
      </c>
    </row>
    <row r="252">
      <c r="A252" s="14" t="s">
        <v>5080</v>
      </c>
      <c r="B252" s="14" t="s">
        <v>5081</v>
      </c>
      <c r="C252" s="14" t="s">
        <v>5082</v>
      </c>
      <c r="D252" s="14" t="s">
        <v>166</v>
      </c>
      <c r="E252" s="23" t="s">
        <v>5083</v>
      </c>
      <c r="F252" s="21">
        <v>6</v>
      </c>
      <c r="G252" s="14" t="s">
        <v>5084</v>
      </c>
      <c r="H252" s="14" t="s">
        <v>166</v>
      </c>
      <c r="I252" s="14" t="s">
        <v>5085</v>
      </c>
      <c r="J252" s="14" t="s">
        <v>5086</v>
      </c>
      <c r="K252" s="14" t="s">
        <v>207</v>
      </c>
      <c r="L252" s="14" t="s">
        <v>208</v>
      </c>
      <c r="M252" s="14" t="s">
        <v>209</v>
      </c>
      <c r="N252" s="14" t="s">
        <v>5087</v>
      </c>
      <c r="O252" s="14" t="s">
        <v>4257</v>
      </c>
      <c r="P252" s="14" t="s">
        <v>5088</v>
      </c>
      <c r="Q252" s="14" t="s">
        <v>166</v>
      </c>
      <c r="R252" s="14" t="s">
        <v>177</v>
      </c>
      <c r="S252" s="14" t="s">
        <v>178</v>
      </c>
      <c r="T252" s="14" t="s">
        <v>179</v>
      </c>
      <c r="U252" s="14" t="s">
        <v>5089</v>
      </c>
      <c r="V252" s="14" t="s">
        <v>5090</v>
      </c>
      <c r="W252" s="21" t="s">
        <v>5091</v>
      </c>
      <c r="X252" s="14" t="s">
        <v>5092</v>
      </c>
      <c r="Y252" s="14" t="s">
        <v>5093</v>
      </c>
      <c r="Z252" s="14" t="s">
        <v>5094</v>
      </c>
      <c r="AA252" s="14" t="s">
        <v>242</v>
      </c>
      <c r="AB252" s="14" t="s">
        <v>243</v>
      </c>
      <c r="AC252" s="14" t="s">
        <v>244</v>
      </c>
      <c r="AD252" s="14" t="s">
        <v>243</v>
      </c>
      <c r="AE252" s="14" t="s">
        <v>243</v>
      </c>
      <c r="AF252" s="14" t="s">
        <v>166</v>
      </c>
      <c r="AG252" s="14" t="s">
        <v>246</v>
      </c>
      <c r="AH252" s="21">
        <v>2</v>
      </c>
      <c r="AI252" s="3">
        <f>HYPERLINK("https://my.pitchbook.com/?d=133180-21T","133180-21T")</f>
      </c>
      <c r="AJ252" s="19">
        <v>43895</v>
      </c>
      <c r="AK252" s="19">
        <v>44249</v>
      </c>
      <c r="AL252" s="18">
        <v>3.77</v>
      </c>
      <c r="AM252" s="14" t="s">
        <v>185</v>
      </c>
      <c r="AN252" s="18">
        <v>15</v>
      </c>
      <c r="AO252" s="18">
        <v>18.77</v>
      </c>
      <c r="AP252" s="14" t="s">
        <v>185</v>
      </c>
      <c r="AQ252" s="21" t="s">
        <v>166</v>
      </c>
      <c r="AR252" s="21" t="s">
        <v>166</v>
      </c>
      <c r="AS252" s="17">
        <v>20.06</v>
      </c>
      <c r="AT252" s="18">
        <v>3.78</v>
      </c>
      <c r="AU252" s="21" t="s">
        <v>186</v>
      </c>
      <c r="AV252" s="21" t="s">
        <v>166</v>
      </c>
      <c r="AW252" s="18">
        <v>0.39</v>
      </c>
      <c r="AX252" s="21" t="s">
        <v>5095</v>
      </c>
      <c r="AY252" s="14" t="s">
        <v>217</v>
      </c>
      <c r="AZ252" s="14" t="s">
        <v>5095</v>
      </c>
      <c r="BA252" s="14" t="s">
        <v>166</v>
      </c>
      <c r="BB252" s="21" t="s">
        <v>166</v>
      </c>
      <c r="BC252" s="14" t="s">
        <v>179</v>
      </c>
      <c r="BD252" s="14" t="s">
        <v>5096</v>
      </c>
      <c r="BE252" s="14" t="s">
        <v>189</v>
      </c>
      <c r="BF252" s="18">
        <v>3.77</v>
      </c>
      <c r="BG252" s="14" t="s">
        <v>190</v>
      </c>
      <c r="BH252" s="14" t="s">
        <v>166</v>
      </c>
      <c r="BI252" s="14" t="s">
        <v>166</v>
      </c>
      <c r="BJ252" s="18" t="s">
        <v>166</v>
      </c>
      <c r="BK252" s="18" t="s">
        <v>166</v>
      </c>
      <c r="BL252" s="14" t="s">
        <v>191</v>
      </c>
      <c r="BM252" s="14" t="s">
        <v>178</v>
      </c>
      <c r="BN252" s="14" t="s">
        <v>177</v>
      </c>
      <c r="BO252" s="22" t="s">
        <v>166</v>
      </c>
      <c r="BP252" s="14" t="s">
        <v>5097</v>
      </c>
      <c r="BQ252" s="21">
        <v>6</v>
      </c>
      <c r="BR252" s="14" t="s">
        <v>166</v>
      </c>
      <c r="BS252" s="21" t="s">
        <v>166</v>
      </c>
      <c r="BT252" s="14" t="s">
        <v>166</v>
      </c>
      <c r="BU252" s="14" t="s">
        <v>166</v>
      </c>
      <c r="BV252" s="14" t="s">
        <v>5098</v>
      </c>
      <c r="BW252" s="14" t="s">
        <v>166</v>
      </c>
      <c r="BX252" s="14" t="s">
        <v>166</v>
      </c>
      <c r="BY252" s="14" t="s">
        <v>166</v>
      </c>
      <c r="BZ252" s="14" t="s">
        <v>5099</v>
      </c>
      <c r="CA252" s="14" t="s">
        <v>5099</v>
      </c>
      <c r="CB252" s="14" t="s">
        <v>166</v>
      </c>
      <c r="CC252" s="14" t="s">
        <v>166</v>
      </c>
      <c r="CD252" s="14" t="s">
        <v>166</v>
      </c>
      <c r="CE252" s="18" t="s">
        <v>166</v>
      </c>
      <c r="CF252" s="16" t="s">
        <v>166</v>
      </c>
      <c r="CG252" s="17" t="s">
        <v>166</v>
      </c>
      <c r="CH252" s="16" t="s">
        <v>166</v>
      </c>
      <c r="CI252" s="16" t="s">
        <v>166</v>
      </c>
      <c r="CJ252" s="16" t="s">
        <v>166</v>
      </c>
      <c r="CK252" s="16" t="s">
        <v>166</v>
      </c>
      <c r="CL252" s="16" t="s">
        <v>166</v>
      </c>
      <c r="CM252" s="20" t="s">
        <v>166</v>
      </c>
      <c r="CN252" s="16" t="s">
        <v>166</v>
      </c>
      <c r="CO252" s="16" t="s">
        <v>166</v>
      </c>
      <c r="CP252" s="16" t="s">
        <v>166</v>
      </c>
      <c r="CQ252" s="16" t="s">
        <v>166</v>
      </c>
      <c r="CR252" s="16" t="s">
        <v>166</v>
      </c>
      <c r="CS252" s="16" t="s">
        <v>166</v>
      </c>
      <c r="CT252" s="16" t="s">
        <v>166</v>
      </c>
      <c r="CU252" s="16" t="s">
        <v>166</v>
      </c>
      <c r="CV252" s="16" t="s">
        <v>166</v>
      </c>
      <c r="CW252" s="16" t="s">
        <v>166</v>
      </c>
      <c r="CX252" s="16" t="s">
        <v>166</v>
      </c>
      <c r="CY252" s="16" t="s">
        <v>166</v>
      </c>
      <c r="CZ252" s="16" t="s">
        <v>166</v>
      </c>
      <c r="DA252" s="16" t="s">
        <v>166</v>
      </c>
      <c r="DB252" s="16" t="s">
        <v>166</v>
      </c>
      <c r="DC252" s="16" t="s">
        <v>166</v>
      </c>
      <c r="DD252" s="16" t="s">
        <v>166</v>
      </c>
      <c r="DE252" s="17" t="s">
        <v>166</v>
      </c>
      <c r="DF252" s="22">
        <v>20</v>
      </c>
      <c r="DG252" s="14" t="s">
        <v>5100</v>
      </c>
      <c r="DH252" s="14" t="s">
        <v>193</v>
      </c>
      <c r="DI252" s="14" t="s">
        <v>194</v>
      </c>
      <c r="DJ252" s="14" t="s">
        <v>5101</v>
      </c>
      <c r="DK252" s="14" t="s">
        <v>257</v>
      </c>
      <c r="DL252" s="21" t="s">
        <v>5102</v>
      </c>
      <c r="DM252" s="14" t="s">
        <v>198</v>
      </c>
      <c r="DN252" s="13" t="s">
        <v>5103</v>
      </c>
      <c r="DO252" s="20">
        <v>2017</v>
      </c>
      <c r="DP252" s="14" t="s">
        <v>166</v>
      </c>
      <c r="DQ252" s="14" t="s">
        <v>166</v>
      </c>
      <c r="DR252" s="18" t="s">
        <v>166</v>
      </c>
      <c r="DS252" s="16" t="s">
        <v>166</v>
      </c>
      <c r="DT252" s="19" t="s">
        <v>166</v>
      </c>
      <c r="DU252" s="14" t="s">
        <v>166</v>
      </c>
      <c r="DV252" s="18" t="s">
        <v>166</v>
      </c>
      <c r="DW252" s="18" t="s">
        <v>166</v>
      </c>
      <c r="DX252" s="16" t="s">
        <v>166</v>
      </c>
      <c r="DY252" s="16" t="s">
        <v>166</v>
      </c>
      <c r="DZ252" s="17" t="s">
        <v>166</v>
      </c>
      <c r="EA252" s="16" t="s">
        <v>166</v>
      </c>
      <c r="EB252" s="16" t="s">
        <v>166</v>
      </c>
      <c r="EC252" s="16" t="s">
        <v>166</v>
      </c>
      <c r="ED252" s="17" t="s">
        <v>166</v>
      </c>
      <c r="EE252" s="17" t="s">
        <v>166</v>
      </c>
      <c r="EF252" s="17" t="s">
        <v>166</v>
      </c>
      <c r="EG252" s="17" t="s">
        <v>166</v>
      </c>
      <c r="EH252" s="16" t="s">
        <v>166</v>
      </c>
      <c r="EI252" s="16" t="s">
        <v>166</v>
      </c>
      <c r="EJ252" s="16" t="s">
        <v>166</v>
      </c>
      <c r="EK252" s="16" t="s">
        <v>166</v>
      </c>
      <c r="EL252" s="16" t="s">
        <v>166</v>
      </c>
      <c r="EM252" s="16" t="s">
        <v>166</v>
      </c>
      <c r="EN252" s="16" t="s">
        <v>166</v>
      </c>
      <c r="EO252" s="16" t="s">
        <v>166</v>
      </c>
      <c r="EP252" s="16" t="s">
        <v>166</v>
      </c>
      <c r="EQ252" s="16" t="s">
        <v>166</v>
      </c>
      <c r="ER252" s="16" t="s">
        <v>166</v>
      </c>
      <c r="ES252" s="16" t="s">
        <v>166</v>
      </c>
      <c r="ET252" s="14" t="s">
        <v>166</v>
      </c>
      <c r="EU252" s="16" t="s">
        <v>166</v>
      </c>
      <c r="EV252" s="16" t="s">
        <v>166</v>
      </c>
      <c r="EW252" s="16" t="s">
        <v>166</v>
      </c>
      <c r="EX252" s="14" t="s">
        <v>190</v>
      </c>
      <c r="EY252" s="14" t="s">
        <v>166</v>
      </c>
      <c r="EZ252" s="16" t="s">
        <v>166</v>
      </c>
      <c r="FA252" s="15">
        <v>7</v>
      </c>
      <c r="FB252" s="15">
        <v>1</v>
      </c>
      <c r="FC252" s="15">
        <v>6</v>
      </c>
      <c r="FD252" s="15">
        <v>1</v>
      </c>
      <c r="FE252" s="15" t="s">
        <v>166</v>
      </c>
      <c r="FF252" s="15" t="s">
        <v>166</v>
      </c>
      <c r="FG252" s="14" t="s">
        <v>4802</v>
      </c>
      <c r="FH252" s="3">
        <f>HYPERLINK("https://my.pitchbook.com?c=133180-21T","View Company Online")</f>
      </c>
    </row>
    <row r="253">
      <c r="A253" s="25" t="s">
        <v>5104</v>
      </c>
      <c r="B253" s="25" t="s">
        <v>5105</v>
      </c>
      <c r="C253" s="25" t="s">
        <v>5106</v>
      </c>
      <c r="D253" s="25" t="s">
        <v>166</v>
      </c>
      <c r="E253" s="34" t="s">
        <v>5107</v>
      </c>
      <c r="F253" s="32">
        <v>2</v>
      </c>
      <c r="G253" s="25" t="s">
        <v>5108</v>
      </c>
      <c r="H253" s="25" t="s">
        <v>166</v>
      </c>
      <c r="I253" s="25" t="s">
        <v>5109</v>
      </c>
      <c r="J253" s="25" t="s">
        <v>5110</v>
      </c>
      <c r="K253" s="25" t="s">
        <v>207</v>
      </c>
      <c r="L253" s="25" t="s">
        <v>208</v>
      </c>
      <c r="M253" s="25" t="s">
        <v>209</v>
      </c>
      <c r="N253" s="25" t="s">
        <v>269</v>
      </c>
      <c r="O253" s="25" t="s">
        <v>4487</v>
      </c>
      <c r="P253" s="25" t="s">
        <v>5111</v>
      </c>
      <c r="Q253" s="25" t="s">
        <v>166</v>
      </c>
      <c r="R253" s="25" t="s">
        <v>177</v>
      </c>
      <c r="S253" s="25" t="s">
        <v>178</v>
      </c>
      <c r="T253" s="25" t="s">
        <v>179</v>
      </c>
      <c r="U253" s="25" t="s">
        <v>5112</v>
      </c>
      <c r="V253" s="25" t="s">
        <v>5113</v>
      </c>
      <c r="W253" s="32" t="s">
        <v>5114</v>
      </c>
      <c r="X253" s="25" t="s">
        <v>5115</v>
      </c>
      <c r="Y253" s="25" t="s">
        <v>5116</v>
      </c>
      <c r="Z253" s="25" t="s">
        <v>5117</v>
      </c>
      <c r="AA253" s="25" t="s">
        <v>166</v>
      </c>
      <c r="AB253" s="25" t="s">
        <v>166</v>
      </c>
      <c r="AC253" s="25" t="s">
        <v>166</v>
      </c>
      <c r="AD253" s="25" t="s">
        <v>166</v>
      </c>
      <c r="AE253" s="25" t="s">
        <v>166</v>
      </c>
      <c r="AF253" s="25" t="s">
        <v>166</v>
      </c>
      <c r="AG253" s="25" t="s">
        <v>166</v>
      </c>
      <c r="AH253" s="32">
        <v>1</v>
      </c>
      <c r="AI253" s="4">
        <f>HYPERLINK("https://my.pitchbook.com/?d=173424-70T","173424-70T")</f>
      </c>
      <c r="AJ253" s="30">
        <v>43886</v>
      </c>
      <c r="AK253" s="30">
        <v>43888</v>
      </c>
      <c r="AL253" s="29">
        <v>0.95</v>
      </c>
      <c r="AM253" s="25" t="s">
        <v>185</v>
      </c>
      <c r="AN253" s="29" t="s">
        <v>166</v>
      </c>
      <c r="AO253" s="29" t="s">
        <v>166</v>
      </c>
      <c r="AP253" s="25" t="s">
        <v>166</v>
      </c>
      <c r="AQ253" s="32" t="s">
        <v>166</v>
      </c>
      <c r="AR253" s="32" t="s">
        <v>166</v>
      </c>
      <c r="AS253" s="28" t="s">
        <v>166</v>
      </c>
      <c r="AT253" s="29">
        <v>0.95</v>
      </c>
      <c r="AU253" s="32" t="s">
        <v>186</v>
      </c>
      <c r="AV253" s="32" t="s">
        <v>166</v>
      </c>
      <c r="AW253" s="29" t="s">
        <v>166</v>
      </c>
      <c r="AX253" s="32" t="s">
        <v>166</v>
      </c>
      <c r="AY253" s="25" t="s">
        <v>187</v>
      </c>
      <c r="AZ253" s="25" t="s">
        <v>166</v>
      </c>
      <c r="BA253" s="25" t="s">
        <v>166</v>
      </c>
      <c r="BB253" s="32" t="s">
        <v>166</v>
      </c>
      <c r="BC253" s="25" t="s">
        <v>179</v>
      </c>
      <c r="BD253" s="25" t="s">
        <v>5110</v>
      </c>
      <c r="BE253" s="25" t="s">
        <v>189</v>
      </c>
      <c r="BF253" s="29">
        <v>0.95</v>
      </c>
      <c r="BG253" s="25" t="s">
        <v>190</v>
      </c>
      <c r="BH253" s="25" t="s">
        <v>166</v>
      </c>
      <c r="BI253" s="25" t="s">
        <v>166</v>
      </c>
      <c r="BJ253" s="29" t="s">
        <v>166</v>
      </c>
      <c r="BK253" s="29" t="s">
        <v>166</v>
      </c>
      <c r="BL253" s="25" t="s">
        <v>191</v>
      </c>
      <c r="BM253" s="25" t="s">
        <v>178</v>
      </c>
      <c r="BN253" s="25" t="s">
        <v>177</v>
      </c>
      <c r="BO253" s="33" t="s">
        <v>166</v>
      </c>
      <c r="BP253" s="25" t="s">
        <v>5107</v>
      </c>
      <c r="BQ253" s="32">
        <v>2</v>
      </c>
      <c r="BR253" s="25" t="s">
        <v>166</v>
      </c>
      <c r="BS253" s="32" t="s">
        <v>166</v>
      </c>
      <c r="BT253" s="25" t="s">
        <v>166</v>
      </c>
      <c r="BU253" s="25" t="s">
        <v>166</v>
      </c>
      <c r="BV253" s="25" t="s">
        <v>5118</v>
      </c>
      <c r="BW253" s="25" t="s">
        <v>166</v>
      </c>
      <c r="BX253" s="25" t="s">
        <v>166</v>
      </c>
      <c r="BY253" s="25" t="s">
        <v>166</v>
      </c>
      <c r="BZ253" s="25" t="s">
        <v>166</v>
      </c>
      <c r="CA253" s="25" t="s">
        <v>166</v>
      </c>
      <c r="CB253" s="25" t="s">
        <v>166</v>
      </c>
      <c r="CC253" s="25" t="s">
        <v>166</v>
      </c>
      <c r="CD253" s="25" t="s">
        <v>166</v>
      </c>
      <c r="CE253" s="29" t="s">
        <v>166</v>
      </c>
      <c r="CF253" s="27" t="s">
        <v>166</v>
      </c>
      <c r="CG253" s="28" t="s">
        <v>166</v>
      </c>
      <c r="CH253" s="27" t="s">
        <v>166</v>
      </c>
      <c r="CI253" s="27" t="s">
        <v>166</v>
      </c>
      <c r="CJ253" s="27" t="s">
        <v>166</v>
      </c>
      <c r="CK253" s="27" t="s">
        <v>166</v>
      </c>
      <c r="CL253" s="27" t="s">
        <v>166</v>
      </c>
      <c r="CM253" s="31" t="s">
        <v>166</v>
      </c>
      <c r="CN253" s="27" t="s">
        <v>166</v>
      </c>
      <c r="CO253" s="27" t="s">
        <v>166</v>
      </c>
      <c r="CP253" s="27" t="s">
        <v>166</v>
      </c>
      <c r="CQ253" s="27" t="s">
        <v>166</v>
      </c>
      <c r="CR253" s="27" t="s">
        <v>166</v>
      </c>
      <c r="CS253" s="27" t="s">
        <v>166</v>
      </c>
      <c r="CT253" s="27" t="s">
        <v>166</v>
      </c>
      <c r="CU253" s="27" t="s">
        <v>166</v>
      </c>
      <c r="CV253" s="27" t="s">
        <v>166</v>
      </c>
      <c r="CW253" s="27" t="s">
        <v>166</v>
      </c>
      <c r="CX253" s="27" t="s">
        <v>166</v>
      </c>
      <c r="CY253" s="27" t="s">
        <v>166</v>
      </c>
      <c r="CZ253" s="27" t="s">
        <v>166</v>
      </c>
      <c r="DA253" s="27" t="s">
        <v>166</v>
      </c>
      <c r="DB253" s="27" t="s">
        <v>166</v>
      </c>
      <c r="DC253" s="27" t="s">
        <v>166</v>
      </c>
      <c r="DD253" s="27" t="s">
        <v>166</v>
      </c>
      <c r="DE253" s="28" t="s">
        <v>166</v>
      </c>
      <c r="DF253" s="33">
        <v>18</v>
      </c>
      <c r="DG253" s="25" t="s">
        <v>5119</v>
      </c>
      <c r="DH253" s="25" t="s">
        <v>193</v>
      </c>
      <c r="DI253" s="25" t="s">
        <v>194</v>
      </c>
      <c r="DJ253" s="25" t="s">
        <v>5120</v>
      </c>
      <c r="DK253" s="25" t="s">
        <v>386</v>
      </c>
      <c r="DL253" s="32" t="s">
        <v>5121</v>
      </c>
      <c r="DM253" s="25" t="s">
        <v>198</v>
      </c>
      <c r="DN253" s="24" t="s">
        <v>5122</v>
      </c>
      <c r="DO253" s="31">
        <v>2019</v>
      </c>
      <c r="DP253" s="25" t="s">
        <v>166</v>
      </c>
      <c r="DQ253" s="25" t="s">
        <v>166</v>
      </c>
      <c r="DR253" s="29" t="s">
        <v>166</v>
      </c>
      <c r="DS253" s="27" t="s">
        <v>166</v>
      </c>
      <c r="DT253" s="30" t="s">
        <v>166</v>
      </c>
      <c r="DU253" s="25" t="s">
        <v>166</v>
      </c>
      <c r="DV253" s="29" t="s">
        <v>166</v>
      </c>
      <c r="DW253" s="29" t="s">
        <v>166</v>
      </c>
      <c r="DX253" s="27" t="s">
        <v>166</v>
      </c>
      <c r="DY253" s="27" t="s">
        <v>166</v>
      </c>
      <c r="DZ253" s="28" t="s">
        <v>166</v>
      </c>
      <c r="EA253" s="27" t="s">
        <v>166</v>
      </c>
      <c r="EB253" s="27" t="s">
        <v>166</v>
      </c>
      <c r="EC253" s="27" t="s">
        <v>166</v>
      </c>
      <c r="ED253" s="28" t="s">
        <v>166</v>
      </c>
      <c r="EE253" s="28" t="s">
        <v>166</v>
      </c>
      <c r="EF253" s="28" t="s">
        <v>166</v>
      </c>
      <c r="EG253" s="28" t="s">
        <v>166</v>
      </c>
      <c r="EH253" s="27" t="s">
        <v>166</v>
      </c>
      <c r="EI253" s="27" t="s">
        <v>166</v>
      </c>
      <c r="EJ253" s="27" t="s">
        <v>166</v>
      </c>
      <c r="EK253" s="27" t="s">
        <v>166</v>
      </c>
      <c r="EL253" s="27" t="s">
        <v>166</v>
      </c>
      <c r="EM253" s="27" t="s">
        <v>166</v>
      </c>
      <c r="EN253" s="27" t="s">
        <v>166</v>
      </c>
      <c r="EO253" s="27" t="s">
        <v>166</v>
      </c>
      <c r="EP253" s="27" t="s">
        <v>166</v>
      </c>
      <c r="EQ253" s="27" t="s">
        <v>166</v>
      </c>
      <c r="ER253" s="27" t="s">
        <v>166</v>
      </c>
      <c r="ES253" s="27" t="s">
        <v>166</v>
      </c>
      <c r="ET253" s="25" t="s">
        <v>166</v>
      </c>
      <c r="EU253" s="27" t="s">
        <v>166</v>
      </c>
      <c r="EV253" s="27" t="s">
        <v>166</v>
      </c>
      <c r="EW253" s="27" t="s">
        <v>166</v>
      </c>
      <c r="EX253" s="25" t="s">
        <v>190</v>
      </c>
      <c r="EY253" s="25" t="s">
        <v>166</v>
      </c>
      <c r="EZ253" s="27" t="s">
        <v>166</v>
      </c>
      <c r="FA253" s="26" t="s">
        <v>166</v>
      </c>
      <c r="FB253" s="26" t="s">
        <v>166</v>
      </c>
      <c r="FC253" s="26" t="s">
        <v>166</v>
      </c>
      <c r="FD253" s="26" t="s">
        <v>166</v>
      </c>
      <c r="FE253" s="26" t="s">
        <v>166</v>
      </c>
      <c r="FF253" s="26" t="s">
        <v>166</v>
      </c>
      <c r="FG253" s="25" t="s">
        <v>166</v>
      </c>
      <c r="FH253" s="4">
        <f>HYPERLINK("https://my.pitchbook.com?c=173424-70T","View Company Online")</f>
      </c>
    </row>
    <row r="254">
      <c r="A254" s="14" t="s">
        <v>5123</v>
      </c>
      <c r="B254" s="14" t="s">
        <v>5124</v>
      </c>
      <c r="C254" s="14" t="s">
        <v>5125</v>
      </c>
      <c r="D254" s="14" t="s">
        <v>166</v>
      </c>
      <c r="E254" s="23" t="s">
        <v>5126</v>
      </c>
      <c r="F254" s="21">
        <v>5</v>
      </c>
      <c r="G254" s="14" t="s">
        <v>5127</v>
      </c>
      <c r="H254" s="14" t="s">
        <v>166</v>
      </c>
      <c r="I254" s="14" t="s">
        <v>5128</v>
      </c>
      <c r="J254" s="14" t="s">
        <v>5129</v>
      </c>
      <c r="K254" s="14" t="s">
        <v>1455</v>
      </c>
      <c r="L254" s="14" t="s">
        <v>5130</v>
      </c>
      <c r="M254" s="14" t="s">
        <v>5131</v>
      </c>
      <c r="N254" s="14" t="s">
        <v>5132</v>
      </c>
      <c r="O254" s="14" t="s">
        <v>5133</v>
      </c>
      <c r="P254" s="14" t="s">
        <v>5134</v>
      </c>
      <c r="Q254" s="14" t="s">
        <v>166</v>
      </c>
      <c r="R254" s="14" t="s">
        <v>177</v>
      </c>
      <c r="S254" s="14" t="s">
        <v>178</v>
      </c>
      <c r="T254" s="14" t="s">
        <v>179</v>
      </c>
      <c r="U254" s="14" t="s">
        <v>5135</v>
      </c>
      <c r="V254" s="14" t="s">
        <v>5136</v>
      </c>
      <c r="W254" s="21" t="s">
        <v>5137</v>
      </c>
      <c r="X254" s="14" t="s">
        <v>166</v>
      </c>
      <c r="Y254" s="14" t="s">
        <v>5138</v>
      </c>
      <c r="Z254" s="14" t="s">
        <v>5139</v>
      </c>
      <c r="AA254" s="14" t="s">
        <v>242</v>
      </c>
      <c r="AB254" s="14" t="s">
        <v>243</v>
      </c>
      <c r="AC254" s="14" t="s">
        <v>244</v>
      </c>
      <c r="AD254" s="14" t="s">
        <v>243</v>
      </c>
      <c r="AE254" s="14" t="s">
        <v>243</v>
      </c>
      <c r="AF254" s="14" t="s">
        <v>245</v>
      </c>
      <c r="AG254" s="14" t="s">
        <v>246</v>
      </c>
      <c r="AH254" s="21">
        <v>1</v>
      </c>
      <c r="AI254" s="3">
        <f>HYPERLINK("https://my.pitchbook.com/?d=264521-80T","264521-80T")</f>
      </c>
      <c r="AJ254" s="19">
        <v>45463</v>
      </c>
      <c r="AK254" s="19">
        <v>45534</v>
      </c>
      <c r="AL254" s="18">
        <v>49.66</v>
      </c>
      <c r="AM254" s="14" t="s">
        <v>185</v>
      </c>
      <c r="AN254" s="18">
        <v>83.34</v>
      </c>
      <c r="AO254" s="18">
        <v>133</v>
      </c>
      <c r="AP254" s="14" t="s">
        <v>185</v>
      </c>
      <c r="AQ254" s="21" t="s">
        <v>166</v>
      </c>
      <c r="AR254" s="21" t="s">
        <v>166</v>
      </c>
      <c r="AS254" s="17">
        <v>47.3</v>
      </c>
      <c r="AT254" s="18">
        <v>49.66</v>
      </c>
      <c r="AU254" s="21" t="s">
        <v>186</v>
      </c>
      <c r="AV254" s="21" t="s">
        <v>166</v>
      </c>
      <c r="AW254" s="18">
        <v>5.66</v>
      </c>
      <c r="AX254" s="21" t="s">
        <v>166</v>
      </c>
      <c r="AY254" s="14" t="s">
        <v>217</v>
      </c>
      <c r="AZ254" s="14" t="s">
        <v>217</v>
      </c>
      <c r="BA254" s="14" t="s">
        <v>166</v>
      </c>
      <c r="BB254" s="21" t="s">
        <v>166</v>
      </c>
      <c r="BC254" s="14" t="s">
        <v>179</v>
      </c>
      <c r="BD254" s="14" t="s">
        <v>5129</v>
      </c>
      <c r="BE254" s="14" t="s">
        <v>189</v>
      </c>
      <c r="BF254" s="18">
        <v>49.66</v>
      </c>
      <c r="BG254" s="14" t="s">
        <v>190</v>
      </c>
      <c r="BH254" s="14" t="s">
        <v>166</v>
      </c>
      <c r="BI254" s="14" t="s">
        <v>166</v>
      </c>
      <c r="BJ254" s="18" t="s">
        <v>166</v>
      </c>
      <c r="BK254" s="18" t="s">
        <v>166</v>
      </c>
      <c r="BL254" s="14" t="s">
        <v>191</v>
      </c>
      <c r="BM254" s="14" t="s">
        <v>178</v>
      </c>
      <c r="BN254" s="14" t="s">
        <v>177</v>
      </c>
      <c r="BO254" s="22" t="s">
        <v>166</v>
      </c>
      <c r="BP254" s="14" t="s">
        <v>5140</v>
      </c>
      <c r="BQ254" s="21">
        <v>5</v>
      </c>
      <c r="BR254" s="14" t="s">
        <v>166</v>
      </c>
      <c r="BS254" s="21" t="s">
        <v>166</v>
      </c>
      <c r="BT254" s="14" t="s">
        <v>5141</v>
      </c>
      <c r="BU254" s="14" t="s">
        <v>166</v>
      </c>
      <c r="BV254" s="14" t="s">
        <v>5142</v>
      </c>
      <c r="BW254" s="14" t="s">
        <v>166</v>
      </c>
      <c r="BX254" s="14" t="s">
        <v>166</v>
      </c>
      <c r="BY254" s="14" t="s">
        <v>166</v>
      </c>
      <c r="BZ254" s="14" t="s">
        <v>5143</v>
      </c>
      <c r="CA254" s="14" t="s">
        <v>1232</v>
      </c>
      <c r="CB254" s="14" t="s">
        <v>166</v>
      </c>
      <c r="CC254" s="14" t="s">
        <v>5144</v>
      </c>
      <c r="CD254" s="14" t="s">
        <v>166</v>
      </c>
      <c r="CE254" s="18" t="s">
        <v>166</v>
      </c>
      <c r="CF254" s="16" t="s">
        <v>166</v>
      </c>
      <c r="CG254" s="17" t="s">
        <v>166</v>
      </c>
      <c r="CH254" s="16" t="s">
        <v>166</v>
      </c>
      <c r="CI254" s="16" t="s">
        <v>166</v>
      </c>
      <c r="CJ254" s="16" t="s">
        <v>166</v>
      </c>
      <c r="CK254" s="16" t="s">
        <v>166</v>
      </c>
      <c r="CL254" s="16" t="s">
        <v>166</v>
      </c>
      <c r="CM254" s="20" t="s">
        <v>166</v>
      </c>
      <c r="CN254" s="16" t="s">
        <v>166</v>
      </c>
      <c r="CO254" s="16" t="s">
        <v>166</v>
      </c>
      <c r="CP254" s="16" t="s">
        <v>166</v>
      </c>
      <c r="CQ254" s="16" t="s">
        <v>166</v>
      </c>
      <c r="CR254" s="16" t="s">
        <v>166</v>
      </c>
      <c r="CS254" s="16" t="s">
        <v>166</v>
      </c>
      <c r="CT254" s="16" t="s">
        <v>166</v>
      </c>
      <c r="CU254" s="16" t="s">
        <v>166</v>
      </c>
      <c r="CV254" s="16" t="s">
        <v>166</v>
      </c>
      <c r="CW254" s="16" t="s">
        <v>166</v>
      </c>
      <c r="CX254" s="16" t="s">
        <v>166</v>
      </c>
      <c r="CY254" s="16" t="s">
        <v>166</v>
      </c>
      <c r="CZ254" s="16" t="s">
        <v>166</v>
      </c>
      <c r="DA254" s="16" t="s">
        <v>166</v>
      </c>
      <c r="DB254" s="16" t="s">
        <v>166</v>
      </c>
      <c r="DC254" s="16" t="s">
        <v>166</v>
      </c>
      <c r="DD254" s="16" t="s">
        <v>166</v>
      </c>
      <c r="DE254" s="17" t="s">
        <v>166</v>
      </c>
      <c r="DF254" s="22">
        <v>39</v>
      </c>
      <c r="DG254" s="14" t="s">
        <v>5145</v>
      </c>
      <c r="DH254" s="14" t="s">
        <v>193</v>
      </c>
      <c r="DI254" s="14" t="s">
        <v>194</v>
      </c>
      <c r="DJ254" s="14" t="s">
        <v>5146</v>
      </c>
      <c r="DK254" s="14" t="s">
        <v>257</v>
      </c>
      <c r="DL254" s="21" t="s">
        <v>5147</v>
      </c>
      <c r="DM254" s="14" t="s">
        <v>198</v>
      </c>
      <c r="DN254" s="13" t="s">
        <v>5148</v>
      </c>
      <c r="DO254" s="20">
        <v>2023</v>
      </c>
      <c r="DP254" s="14" t="s">
        <v>166</v>
      </c>
      <c r="DQ254" s="14" t="s">
        <v>166</v>
      </c>
      <c r="DR254" s="18" t="s">
        <v>166</v>
      </c>
      <c r="DS254" s="16" t="s">
        <v>166</v>
      </c>
      <c r="DT254" s="19" t="s">
        <v>166</v>
      </c>
      <c r="DU254" s="14" t="s">
        <v>166</v>
      </c>
      <c r="DV254" s="18" t="s">
        <v>166</v>
      </c>
      <c r="DW254" s="18" t="s">
        <v>166</v>
      </c>
      <c r="DX254" s="16" t="s">
        <v>166</v>
      </c>
      <c r="DY254" s="16" t="s">
        <v>166</v>
      </c>
      <c r="DZ254" s="17" t="s">
        <v>166</v>
      </c>
      <c r="EA254" s="16" t="s">
        <v>166</v>
      </c>
      <c r="EB254" s="16" t="s">
        <v>166</v>
      </c>
      <c r="EC254" s="16" t="s">
        <v>166</v>
      </c>
      <c r="ED254" s="17" t="s">
        <v>166</v>
      </c>
      <c r="EE254" s="17" t="s">
        <v>166</v>
      </c>
      <c r="EF254" s="17" t="s">
        <v>166</v>
      </c>
      <c r="EG254" s="17" t="s">
        <v>166</v>
      </c>
      <c r="EH254" s="16" t="s">
        <v>166</v>
      </c>
      <c r="EI254" s="16" t="s">
        <v>166</v>
      </c>
      <c r="EJ254" s="16" t="s">
        <v>166</v>
      </c>
      <c r="EK254" s="16" t="s">
        <v>166</v>
      </c>
      <c r="EL254" s="16" t="s">
        <v>166</v>
      </c>
      <c r="EM254" s="16" t="s">
        <v>166</v>
      </c>
      <c r="EN254" s="16" t="s">
        <v>166</v>
      </c>
      <c r="EO254" s="16" t="s">
        <v>166</v>
      </c>
      <c r="EP254" s="16" t="s">
        <v>166</v>
      </c>
      <c r="EQ254" s="16" t="s">
        <v>166</v>
      </c>
      <c r="ER254" s="16" t="s">
        <v>166</v>
      </c>
      <c r="ES254" s="16" t="s">
        <v>166</v>
      </c>
      <c r="ET254" s="14" t="s">
        <v>166</v>
      </c>
      <c r="EU254" s="16" t="s">
        <v>166</v>
      </c>
      <c r="EV254" s="16" t="s">
        <v>166</v>
      </c>
      <c r="EW254" s="16" t="s">
        <v>166</v>
      </c>
      <c r="EX254" s="14" t="s">
        <v>190</v>
      </c>
      <c r="EY254" s="14" t="s">
        <v>166</v>
      </c>
      <c r="EZ254" s="16" t="s">
        <v>166</v>
      </c>
      <c r="FA254" s="15" t="s">
        <v>166</v>
      </c>
      <c r="FB254" s="15" t="s">
        <v>166</v>
      </c>
      <c r="FC254" s="15" t="s">
        <v>166</v>
      </c>
      <c r="FD254" s="15" t="s">
        <v>166</v>
      </c>
      <c r="FE254" s="15" t="s">
        <v>166</v>
      </c>
      <c r="FF254" s="15" t="s">
        <v>166</v>
      </c>
      <c r="FG254" s="14" t="s">
        <v>166</v>
      </c>
      <c r="FH254" s="3">
        <f>HYPERLINK("https://my.pitchbook.com?c=264521-80T","View Company Online")</f>
      </c>
    </row>
    <row r="255">
      <c r="A255" s="25" t="s">
        <v>5149</v>
      </c>
      <c r="B255" s="25" t="s">
        <v>5150</v>
      </c>
      <c r="C255" s="25" t="s">
        <v>5151</v>
      </c>
      <c r="D255" s="25" t="s">
        <v>166</v>
      </c>
      <c r="E255" s="34" t="s">
        <v>5152</v>
      </c>
      <c r="F255" s="32">
        <v>3</v>
      </c>
      <c r="G255" s="25" t="s">
        <v>5153</v>
      </c>
      <c r="H255" s="25" t="s">
        <v>166</v>
      </c>
      <c r="I255" s="25" t="s">
        <v>5154</v>
      </c>
      <c r="J255" s="25" t="s">
        <v>5155</v>
      </c>
      <c r="K255" s="25" t="s">
        <v>1455</v>
      </c>
      <c r="L255" s="25" t="s">
        <v>1456</v>
      </c>
      <c r="M255" s="25" t="s">
        <v>1457</v>
      </c>
      <c r="N255" s="25" t="s">
        <v>1841</v>
      </c>
      <c r="O255" s="25" t="s">
        <v>166</v>
      </c>
      <c r="P255" s="25" t="s">
        <v>5156</v>
      </c>
      <c r="Q255" s="25" t="s">
        <v>166</v>
      </c>
      <c r="R255" s="25" t="s">
        <v>177</v>
      </c>
      <c r="S255" s="25" t="s">
        <v>178</v>
      </c>
      <c r="T255" s="25" t="s">
        <v>179</v>
      </c>
      <c r="U255" s="25" t="s">
        <v>5157</v>
      </c>
      <c r="V255" s="25" t="s">
        <v>5158</v>
      </c>
      <c r="W255" s="32" t="s">
        <v>166</v>
      </c>
      <c r="X255" s="25" t="s">
        <v>5159</v>
      </c>
      <c r="Y255" s="25" t="s">
        <v>5160</v>
      </c>
      <c r="Z255" s="25" t="s">
        <v>5161</v>
      </c>
      <c r="AA255" s="25" t="s">
        <v>166</v>
      </c>
      <c r="AB255" s="25" t="s">
        <v>166</v>
      </c>
      <c r="AC255" s="25" t="s">
        <v>166</v>
      </c>
      <c r="AD255" s="25" t="s">
        <v>166</v>
      </c>
      <c r="AE255" s="25" t="s">
        <v>166</v>
      </c>
      <c r="AF255" s="25" t="s">
        <v>166</v>
      </c>
      <c r="AG255" s="25" t="s">
        <v>166</v>
      </c>
      <c r="AH255" s="32">
        <v>1</v>
      </c>
      <c r="AI255" s="4">
        <f>HYPERLINK("https://my.pitchbook.com/?d=172336-42T","172336-42T")</f>
      </c>
      <c r="AJ255" s="30" t="s">
        <v>166</v>
      </c>
      <c r="AK255" s="30">
        <v>44340</v>
      </c>
      <c r="AL255" s="29">
        <v>3</v>
      </c>
      <c r="AM255" s="25" t="s">
        <v>185</v>
      </c>
      <c r="AN255" s="29" t="s">
        <v>166</v>
      </c>
      <c r="AO255" s="29" t="s">
        <v>166</v>
      </c>
      <c r="AP255" s="25" t="s">
        <v>166</v>
      </c>
      <c r="AQ255" s="32" t="s">
        <v>166</v>
      </c>
      <c r="AR255" s="32" t="s">
        <v>166</v>
      </c>
      <c r="AS255" s="28" t="s">
        <v>166</v>
      </c>
      <c r="AT255" s="29">
        <v>3</v>
      </c>
      <c r="AU255" s="32" t="s">
        <v>186</v>
      </c>
      <c r="AV255" s="32" t="s">
        <v>166</v>
      </c>
      <c r="AW255" s="29" t="s">
        <v>166</v>
      </c>
      <c r="AX255" s="32" t="s">
        <v>166</v>
      </c>
      <c r="AY255" s="25" t="s">
        <v>217</v>
      </c>
      <c r="AZ255" s="25" t="s">
        <v>217</v>
      </c>
      <c r="BA255" s="25" t="s">
        <v>166</v>
      </c>
      <c r="BB255" s="32" t="s">
        <v>166</v>
      </c>
      <c r="BC255" s="25" t="s">
        <v>179</v>
      </c>
      <c r="BD255" s="25" t="s">
        <v>5155</v>
      </c>
      <c r="BE255" s="25" t="s">
        <v>189</v>
      </c>
      <c r="BF255" s="29">
        <v>3</v>
      </c>
      <c r="BG255" s="25" t="s">
        <v>190</v>
      </c>
      <c r="BH255" s="25" t="s">
        <v>166</v>
      </c>
      <c r="BI255" s="25" t="s">
        <v>166</v>
      </c>
      <c r="BJ255" s="29" t="s">
        <v>166</v>
      </c>
      <c r="BK255" s="29" t="s">
        <v>166</v>
      </c>
      <c r="BL255" s="25" t="s">
        <v>191</v>
      </c>
      <c r="BM255" s="25" t="s">
        <v>178</v>
      </c>
      <c r="BN255" s="25" t="s">
        <v>177</v>
      </c>
      <c r="BO255" s="33" t="s">
        <v>166</v>
      </c>
      <c r="BP255" s="25" t="s">
        <v>5162</v>
      </c>
      <c r="BQ255" s="32">
        <v>3</v>
      </c>
      <c r="BR255" s="25" t="s">
        <v>166</v>
      </c>
      <c r="BS255" s="32" t="s">
        <v>166</v>
      </c>
      <c r="BT255" s="25" t="s">
        <v>166</v>
      </c>
      <c r="BU255" s="25" t="s">
        <v>166</v>
      </c>
      <c r="BV255" s="25" t="s">
        <v>166</v>
      </c>
      <c r="BW255" s="25" t="s">
        <v>166</v>
      </c>
      <c r="BX255" s="25" t="s">
        <v>166</v>
      </c>
      <c r="BY255" s="25" t="s">
        <v>166</v>
      </c>
      <c r="BZ255" s="25" t="s">
        <v>166</v>
      </c>
      <c r="CA255" s="25" t="s">
        <v>166</v>
      </c>
      <c r="CB255" s="25" t="s">
        <v>166</v>
      </c>
      <c r="CC255" s="25" t="s">
        <v>166</v>
      </c>
      <c r="CD255" s="25" t="s">
        <v>166</v>
      </c>
      <c r="CE255" s="29" t="s">
        <v>166</v>
      </c>
      <c r="CF255" s="27" t="s">
        <v>166</v>
      </c>
      <c r="CG255" s="28" t="s">
        <v>166</v>
      </c>
      <c r="CH255" s="27" t="s">
        <v>166</v>
      </c>
      <c r="CI255" s="27" t="s">
        <v>166</v>
      </c>
      <c r="CJ255" s="27" t="s">
        <v>166</v>
      </c>
      <c r="CK255" s="27" t="s">
        <v>166</v>
      </c>
      <c r="CL255" s="27" t="s">
        <v>166</v>
      </c>
      <c r="CM255" s="31" t="s">
        <v>166</v>
      </c>
      <c r="CN255" s="27" t="s">
        <v>166</v>
      </c>
      <c r="CO255" s="27" t="s">
        <v>166</v>
      </c>
      <c r="CP255" s="27" t="s">
        <v>166</v>
      </c>
      <c r="CQ255" s="27" t="s">
        <v>166</v>
      </c>
      <c r="CR255" s="27" t="s">
        <v>166</v>
      </c>
      <c r="CS255" s="27" t="s">
        <v>166</v>
      </c>
      <c r="CT255" s="27" t="s">
        <v>166</v>
      </c>
      <c r="CU255" s="27" t="s">
        <v>166</v>
      </c>
      <c r="CV255" s="27" t="s">
        <v>166</v>
      </c>
      <c r="CW255" s="27" t="s">
        <v>166</v>
      </c>
      <c r="CX255" s="27" t="s">
        <v>166</v>
      </c>
      <c r="CY255" s="27" t="s">
        <v>166</v>
      </c>
      <c r="CZ255" s="27" t="s">
        <v>166</v>
      </c>
      <c r="DA255" s="27" t="s">
        <v>166</v>
      </c>
      <c r="DB255" s="27" t="s">
        <v>166</v>
      </c>
      <c r="DC255" s="27" t="s">
        <v>166</v>
      </c>
      <c r="DD255" s="27" t="s">
        <v>166</v>
      </c>
      <c r="DE255" s="28" t="s">
        <v>166</v>
      </c>
      <c r="DF255" s="33">
        <v>15</v>
      </c>
      <c r="DG255" s="25" t="s">
        <v>309</v>
      </c>
      <c r="DH255" s="25" t="s">
        <v>193</v>
      </c>
      <c r="DI255" s="25" t="s">
        <v>194</v>
      </c>
      <c r="DJ255" s="25" t="s">
        <v>310</v>
      </c>
      <c r="DK255" s="25" t="s">
        <v>310</v>
      </c>
      <c r="DL255" s="32" t="s">
        <v>5163</v>
      </c>
      <c r="DM255" s="25" t="s">
        <v>198</v>
      </c>
      <c r="DN255" s="24" t="s">
        <v>5164</v>
      </c>
      <c r="DO255" s="31">
        <v>2020</v>
      </c>
      <c r="DP255" s="25" t="s">
        <v>166</v>
      </c>
      <c r="DQ255" s="25" t="s">
        <v>166</v>
      </c>
      <c r="DR255" s="29" t="s">
        <v>166</v>
      </c>
      <c r="DS255" s="27" t="s">
        <v>166</v>
      </c>
      <c r="DT255" s="30" t="s">
        <v>166</v>
      </c>
      <c r="DU255" s="25" t="s">
        <v>166</v>
      </c>
      <c r="DV255" s="29" t="s">
        <v>166</v>
      </c>
      <c r="DW255" s="29" t="s">
        <v>166</v>
      </c>
      <c r="DX255" s="27" t="s">
        <v>166</v>
      </c>
      <c r="DY255" s="27" t="s">
        <v>166</v>
      </c>
      <c r="DZ255" s="28" t="s">
        <v>166</v>
      </c>
      <c r="EA255" s="27" t="s">
        <v>166</v>
      </c>
      <c r="EB255" s="27" t="s">
        <v>166</v>
      </c>
      <c r="EC255" s="27" t="s">
        <v>166</v>
      </c>
      <c r="ED255" s="28" t="s">
        <v>166</v>
      </c>
      <c r="EE255" s="28" t="s">
        <v>166</v>
      </c>
      <c r="EF255" s="28" t="s">
        <v>166</v>
      </c>
      <c r="EG255" s="28" t="s">
        <v>166</v>
      </c>
      <c r="EH255" s="27" t="s">
        <v>166</v>
      </c>
      <c r="EI255" s="27" t="s">
        <v>166</v>
      </c>
      <c r="EJ255" s="27" t="s">
        <v>166</v>
      </c>
      <c r="EK255" s="27" t="s">
        <v>166</v>
      </c>
      <c r="EL255" s="27" t="s">
        <v>166</v>
      </c>
      <c r="EM255" s="27" t="s">
        <v>166</v>
      </c>
      <c r="EN255" s="27" t="s">
        <v>166</v>
      </c>
      <c r="EO255" s="27" t="s">
        <v>166</v>
      </c>
      <c r="EP255" s="27" t="s">
        <v>166</v>
      </c>
      <c r="EQ255" s="27" t="s">
        <v>166</v>
      </c>
      <c r="ER255" s="27" t="s">
        <v>166</v>
      </c>
      <c r="ES255" s="27" t="s">
        <v>166</v>
      </c>
      <c r="ET255" s="25" t="s">
        <v>166</v>
      </c>
      <c r="EU255" s="27" t="s">
        <v>166</v>
      </c>
      <c r="EV255" s="27" t="s">
        <v>166</v>
      </c>
      <c r="EW255" s="27" t="s">
        <v>166</v>
      </c>
      <c r="EX255" s="25" t="s">
        <v>190</v>
      </c>
      <c r="EY255" s="25" t="s">
        <v>166</v>
      </c>
      <c r="EZ255" s="27" t="s">
        <v>166</v>
      </c>
      <c r="FA255" s="26" t="s">
        <v>166</v>
      </c>
      <c r="FB255" s="26" t="s">
        <v>166</v>
      </c>
      <c r="FC255" s="26" t="s">
        <v>166</v>
      </c>
      <c r="FD255" s="26" t="s">
        <v>166</v>
      </c>
      <c r="FE255" s="26" t="s">
        <v>166</v>
      </c>
      <c r="FF255" s="26" t="s">
        <v>166</v>
      </c>
      <c r="FG255" s="25" t="s">
        <v>166</v>
      </c>
      <c r="FH255" s="4">
        <f>HYPERLINK("https://my.pitchbook.com?c=172336-42T","View Company Online")</f>
      </c>
    </row>
    <row r="256">
      <c r="A256" s="14" t="s">
        <v>5165</v>
      </c>
      <c r="B256" s="14" t="s">
        <v>5166</v>
      </c>
      <c r="C256" s="14" t="s">
        <v>5167</v>
      </c>
      <c r="D256" s="14" t="s">
        <v>166</v>
      </c>
      <c r="E256" s="23" t="s">
        <v>5168</v>
      </c>
      <c r="F256" s="21">
        <v>2</v>
      </c>
      <c r="G256" s="14" t="s">
        <v>5169</v>
      </c>
      <c r="H256" s="14" t="s">
        <v>166</v>
      </c>
      <c r="I256" s="14" t="s">
        <v>5170</v>
      </c>
      <c r="J256" s="14" t="s">
        <v>5171</v>
      </c>
      <c r="K256" s="14" t="s">
        <v>207</v>
      </c>
      <c r="L256" s="14" t="s">
        <v>208</v>
      </c>
      <c r="M256" s="14" t="s">
        <v>1220</v>
      </c>
      <c r="N256" s="14" t="s">
        <v>1379</v>
      </c>
      <c r="O256" s="14" t="s">
        <v>884</v>
      </c>
      <c r="P256" s="14" t="s">
        <v>5172</v>
      </c>
      <c r="Q256" s="14" t="s">
        <v>166</v>
      </c>
      <c r="R256" s="14" t="s">
        <v>177</v>
      </c>
      <c r="S256" s="14" t="s">
        <v>178</v>
      </c>
      <c r="T256" s="14" t="s">
        <v>179</v>
      </c>
      <c r="U256" s="14" t="s">
        <v>5173</v>
      </c>
      <c r="V256" s="14" t="s">
        <v>5174</v>
      </c>
      <c r="W256" s="21" t="s">
        <v>5175</v>
      </c>
      <c r="X256" s="14" t="s">
        <v>166</v>
      </c>
      <c r="Y256" s="14" t="s">
        <v>5176</v>
      </c>
      <c r="Z256" s="14" t="s">
        <v>166</v>
      </c>
      <c r="AA256" s="14" t="s">
        <v>242</v>
      </c>
      <c r="AB256" s="14" t="s">
        <v>243</v>
      </c>
      <c r="AC256" s="14" t="s">
        <v>244</v>
      </c>
      <c r="AD256" s="14" t="s">
        <v>243</v>
      </c>
      <c r="AE256" s="14" t="s">
        <v>243</v>
      </c>
      <c r="AF256" s="14" t="s">
        <v>166</v>
      </c>
      <c r="AG256" s="14" t="s">
        <v>246</v>
      </c>
      <c r="AH256" s="21">
        <v>1</v>
      </c>
      <c r="AI256" s="3">
        <f>HYPERLINK("https://my.pitchbook.com/?d=219476-26T","219476-26T")</f>
      </c>
      <c r="AJ256" s="19" t="s">
        <v>166</v>
      </c>
      <c r="AK256" s="19">
        <v>45027</v>
      </c>
      <c r="AL256" s="18">
        <v>6.5</v>
      </c>
      <c r="AM256" s="14" t="s">
        <v>185</v>
      </c>
      <c r="AN256" s="18">
        <v>18.5</v>
      </c>
      <c r="AO256" s="18">
        <v>25</v>
      </c>
      <c r="AP256" s="14" t="s">
        <v>185</v>
      </c>
      <c r="AQ256" s="21" t="s">
        <v>166</v>
      </c>
      <c r="AR256" s="21" t="s">
        <v>166</v>
      </c>
      <c r="AS256" s="17">
        <v>28.71</v>
      </c>
      <c r="AT256" s="18">
        <v>6.5</v>
      </c>
      <c r="AU256" s="21" t="s">
        <v>186</v>
      </c>
      <c r="AV256" s="21" t="s">
        <v>166</v>
      </c>
      <c r="AW256" s="18">
        <v>2.98</v>
      </c>
      <c r="AX256" s="21" t="s">
        <v>166</v>
      </c>
      <c r="AY256" s="14" t="s">
        <v>217</v>
      </c>
      <c r="AZ256" s="14" t="s">
        <v>217</v>
      </c>
      <c r="BA256" s="14" t="s">
        <v>166</v>
      </c>
      <c r="BB256" s="21" t="s">
        <v>166</v>
      </c>
      <c r="BC256" s="14" t="s">
        <v>179</v>
      </c>
      <c r="BD256" s="14" t="s">
        <v>5171</v>
      </c>
      <c r="BE256" s="14" t="s">
        <v>189</v>
      </c>
      <c r="BF256" s="18">
        <v>6.5</v>
      </c>
      <c r="BG256" s="14" t="s">
        <v>190</v>
      </c>
      <c r="BH256" s="14" t="s">
        <v>166</v>
      </c>
      <c r="BI256" s="14" t="s">
        <v>166</v>
      </c>
      <c r="BJ256" s="18" t="s">
        <v>166</v>
      </c>
      <c r="BK256" s="18" t="s">
        <v>166</v>
      </c>
      <c r="BL256" s="14" t="s">
        <v>191</v>
      </c>
      <c r="BM256" s="14" t="s">
        <v>178</v>
      </c>
      <c r="BN256" s="14" t="s">
        <v>177</v>
      </c>
      <c r="BO256" s="22" t="s">
        <v>166</v>
      </c>
      <c r="BP256" s="14" t="s">
        <v>5168</v>
      </c>
      <c r="BQ256" s="21">
        <v>2</v>
      </c>
      <c r="BR256" s="14" t="s">
        <v>166</v>
      </c>
      <c r="BS256" s="21" t="s">
        <v>166</v>
      </c>
      <c r="BT256" s="14" t="s">
        <v>5177</v>
      </c>
      <c r="BU256" s="14" t="s">
        <v>166</v>
      </c>
      <c r="BV256" s="14" t="s">
        <v>166</v>
      </c>
      <c r="BW256" s="14" t="s">
        <v>166</v>
      </c>
      <c r="BX256" s="14" t="s">
        <v>166</v>
      </c>
      <c r="BY256" s="14" t="s">
        <v>166</v>
      </c>
      <c r="BZ256" s="14" t="s">
        <v>5178</v>
      </c>
      <c r="CA256" s="14" t="s">
        <v>166</v>
      </c>
      <c r="CB256" s="14" t="s">
        <v>166</v>
      </c>
      <c r="CC256" s="14" t="s">
        <v>5178</v>
      </c>
      <c r="CD256" s="14" t="s">
        <v>166</v>
      </c>
      <c r="CE256" s="18" t="s">
        <v>166</v>
      </c>
      <c r="CF256" s="16" t="s">
        <v>166</v>
      </c>
      <c r="CG256" s="17" t="s">
        <v>166</v>
      </c>
      <c r="CH256" s="16" t="s">
        <v>166</v>
      </c>
      <c r="CI256" s="16" t="s">
        <v>166</v>
      </c>
      <c r="CJ256" s="16" t="s">
        <v>166</v>
      </c>
      <c r="CK256" s="16" t="s">
        <v>166</v>
      </c>
      <c r="CL256" s="16" t="s">
        <v>166</v>
      </c>
      <c r="CM256" s="20" t="s">
        <v>166</v>
      </c>
      <c r="CN256" s="16" t="s">
        <v>166</v>
      </c>
      <c r="CO256" s="16" t="s">
        <v>166</v>
      </c>
      <c r="CP256" s="16" t="s">
        <v>166</v>
      </c>
      <c r="CQ256" s="16" t="s">
        <v>166</v>
      </c>
      <c r="CR256" s="16" t="s">
        <v>166</v>
      </c>
      <c r="CS256" s="16" t="s">
        <v>166</v>
      </c>
      <c r="CT256" s="16" t="s">
        <v>166</v>
      </c>
      <c r="CU256" s="16" t="s">
        <v>166</v>
      </c>
      <c r="CV256" s="16" t="s">
        <v>166</v>
      </c>
      <c r="CW256" s="16" t="s">
        <v>166</v>
      </c>
      <c r="CX256" s="16" t="s">
        <v>166</v>
      </c>
      <c r="CY256" s="16" t="s">
        <v>166</v>
      </c>
      <c r="CZ256" s="16" t="s">
        <v>166</v>
      </c>
      <c r="DA256" s="16" t="s">
        <v>166</v>
      </c>
      <c r="DB256" s="16" t="s">
        <v>166</v>
      </c>
      <c r="DC256" s="16" t="s">
        <v>166</v>
      </c>
      <c r="DD256" s="16" t="s">
        <v>166</v>
      </c>
      <c r="DE256" s="17" t="s">
        <v>166</v>
      </c>
      <c r="DF256" s="22">
        <v>38</v>
      </c>
      <c r="DG256" s="14" t="s">
        <v>309</v>
      </c>
      <c r="DH256" s="14" t="s">
        <v>193</v>
      </c>
      <c r="DI256" s="14" t="s">
        <v>194</v>
      </c>
      <c r="DJ256" s="14" t="s">
        <v>310</v>
      </c>
      <c r="DK256" s="14" t="s">
        <v>310</v>
      </c>
      <c r="DL256" s="21" t="s">
        <v>5179</v>
      </c>
      <c r="DM256" s="14" t="s">
        <v>198</v>
      </c>
      <c r="DN256" s="13" t="s">
        <v>5180</v>
      </c>
      <c r="DO256" s="20">
        <v>2017</v>
      </c>
      <c r="DP256" s="14" t="s">
        <v>166</v>
      </c>
      <c r="DQ256" s="14" t="s">
        <v>166</v>
      </c>
      <c r="DR256" s="18" t="s">
        <v>166</v>
      </c>
      <c r="DS256" s="16" t="s">
        <v>166</v>
      </c>
      <c r="DT256" s="19" t="s">
        <v>166</v>
      </c>
      <c r="DU256" s="14" t="s">
        <v>166</v>
      </c>
      <c r="DV256" s="18" t="s">
        <v>166</v>
      </c>
      <c r="DW256" s="18" t="s">
        <v>166</v>
      </c>
      <c r="DX256" s="16" t="s">
        <v>166</v>
      </c>
      <c r="DY256" s="16" t="s">
        <v>166</v>
      </c>
      <c r="DZ256" s="17" t="s">
        <v>166</v>
      </c>
      <c r="EA256" s="16" t="s">
        <v>166</v>
      </c>
      <c r="EB256" s="16" t="s">
        <v>166</v>
      </c>
      <c r="EC256" s="16" t="s">
        <v>166</v>
      </c>
      <c r="ED256" s="17" t="s">
        <v>166</v>
      </c>
      <c r="EE256" s="17" t="s">
        <v>166</v>
      </c>
      <c r="EF256" s="17" t="s">
        <v>166</v>
      </c>
      <c r="EG256" s="17" t="s">
        <v>166</v>
      </c>
      <c r="EH256" s="16" t="s">
        <v>166</v>
      </c>
      <c r="EI256" s="16" t="s">
        <v>166</v>
      </c>
      <c r="EJ256" s="16" t="s">
        <v>166</v>
      </c>
      <c r="EK256" s="16" t="s">
        <v>166</v>
      </c>
      <c r="EL256" s="16" t="s">
        <v>166</v>
      </c>
      <c r="EM256" s="16" t="s">
        <v>166</v>
      </c>
      <c r="EN256" s="16" t="s">
        <v>166</v>
      </c>
      <c r="EO256" s="16" t="s">
        <v>166</v>
      </c>
      <c r="EP256" s="16" t="s">
        <v>166</v>
      </c>
      <c r="EQ256" s="16" t="s">
        <v>166</v>
      </c>
      <c r="ER256" s="16" t="s">
        <v>166</v>
      </c>
      <c r="ES256" s="16" t="s">
        <v>166</v>
      </c>
      <c r="ET256" s="14" t="s">
        <v>166</v>
      </c>
      <c r="EU256" s="16" t="s">
        <v>166</v>
      </c>
      <c r="EV256" s="16" t="s">
        <v>166</v>
      </c>
      <c r="EW256" s="16" t="s">
        <v>166</v>
      </c>
      <c r="EX256" s="14" t="s">
        <v>190</v>
      </c>
      <c r="EY256" s="14" t="s">
        <v>166</v>
      </c>
      <c r="EZ256" s="16" t="s">
        <v>166</v>
      </c>
      <c r="FA256" s="15" t="s">
        <v>166</v>
      </c>
      <c r="FB256" s="15" t="s">
        <v>166</v>
      </c>
      <c r="FC256" s="15" t="s">
        <v>166</v>
      </c>
      <c r="FD256" s="15" t="s">
        <v>166</v>
      </c>
      <c r="FE256" s="15" t="s">
        <v>166</v>
      </c>
      <c r="FF256" s="15" t="s">
        <v>166</v>
      </c>
      <c r="FG256" s="14" t="s">
        <v>166</v>
      </c>
      <c r="FH256" s="3">
        <f>HYPERLINK("https://my.pitchbook.com?c=219476-26T","View Company Online")</f>
      </c>
    </row>
    <row r="257">
      <c r="A257" s="25" t="s">
        <v>5181</v>
      </c>
      <c r="B257" s="25" t="s">
        <v>5182</v>
      </c>
      <c r="C257" s="25" t="s">
        <v>5183</v>
      </c>
      <c r="D257" s="25" t="s">
        <v>166</v>
      </c>
      <c r="E257" s="34" t="s">
        <v>5184</v>
      </c>
      <c r="F257" s="32">
        <v>8</v>
      </c>
      <c r="G257" s="25" t="s">
        <v>5185</v>
      </c>
      <c r="H257" s="25" t="s">
        <v>166</v>
      </c>
      <c r="I257" s="25" t="s">
        <v>5186</v>
      </c>
      <c r="J257" s="25" t="s">
        <v>5187</v>
      </c>
      <c r="K257" s="25" t="s">
        <v>207</v>
      </c>
      <c r="L257" s="25" t="s">
        <v>208</v>
      </c>
      <c r="M257" s="25" t="s">
        <v>296</v>
      </c>
      <c r="N257" s="25" t="s">
        <v>1202</v>
      </c>
      <c r="O257" s="25" t="s">
        <v>1318</v>
      </c>
      <c r="P257" s="25" t="s">
        <v>5188</v>
      </c>
      <c r="Q257" s="25" t="s">
        <v>166</v>
      </c>
      <c r="R257" s="25" t="s">
        <v>177</v>
      </c>
      <c r="S257" s="25" t="s">
        <v>178</v>
      </c>
      <c r="T257" s="25" t="s">
        <v>179</v>
      </c>
      <c r="U257" s="25" t="s">
        <v>5189</v>
      </c>
      <c r="V257" s="25" t="s">
        <v>5190</v>
      </c>
      <c r="W257" s="32" t="s">
        <v>5191</v>
      </c>
      <c r="X257" s="25" t="s">
        <v>5192</v>
      </c>
      <c r="Y257" s="25" t="s">
        <v>5193</v>
      </c>
      <c r="Z257" s="25" t="s">
        <v>166</v>
      </c>
      <c r="AA257" s="25" t="s">
        <v>166</v>
      </c>
      <c r="AB257" s="25" t="s">
        <v>166</v>
      </c>
      <c r="AC257" s="25" t="s">
        <v>166</v>
      </c>
      <c r="AD257" s="25" t="s">
        <v>166</v>
      </c>
      <c r="AE257" s="25" t="s">
        <v>166</v>
      </c>
      <c r="AF257" s="25" t="s">
        <v>166</v>
      </c>
      <c r="AG257" s="25" t="s">
        <v>166</v>
      </c>
      <c r="AH257" s="32">
        <v>1</v>
      </c>
      <c r="AI257" s="4">
        <f>HYPERLINK("https://my.pitchbook.com/?d=188918-65T","188918-65T")</f>
      </c>
      <c r="AJ257" s="30">
        <v>44614</v>
      </c>
      <c r="AK257" s="30">
        <v>44615</v>
      </c>
      <c r="AL257" s="29">
        <v>1.2</v>
      </c>
      <c r="AM257" s="25" t="s">
        <v>185</v>
      </c>
      <c r="AN257" s="29">
        <v>8.8</v>
      </c>
      <c r="AO257" s="29">
        <v>10</v>
      </c>
      <c r="AP257" s="25" t="s">
        <v>185</v>
      </c>
      <c r="AQ257" s="32" t="s">
        <v>166</v>
      </c>
      <c r="AR257" s="32" t="s">
        <v>166</v>
      </c>
      <c r="AS257" s="28">
        <v>12</v>
      </c>
      <c r="AT257" s="29">
        <v>1.2</v>
      </c>
      <c r="AU257" s="32" t="s">
        <v>186</v>
      </c>
      <c r="AV257" s="32" t="s">
        <v>166</v>
      </c>
      <c r="AW257" s="29" t="s">
        <v>166</v>
      </c>
      <c r="AX257" s="32" t="s">
        <v>166</v>
      </c>
      <c r="AY257" s="25" t="s">
        <v>187</v>
      </c>
      <c r="AZ257" s="25" t="s">
        <v>166</v>
      </c>
      <c r="BA257" s="25" t="s">
        <v>166</v>
      </c>
      <c r="BB257" s="32" t="s">
        <v>166</v>
      </c>
      <c r="BC257" s="25" t="s">
        <v>179</v>
      </c>
      <c r="BD257" s="25" t="s">
        <v>5194</v>
      </c>
      <c r="BE257" s="25" t="s">
        <v>189</v>
      </c>
      <c r="BF257" s="29">
        <v>1.2</v>
      </c>
      <c r="BG257" s="25" t="s">
        <v>190</v>
      </c>
      <c r="BH257" s="25" t="s">
        <v>166</v>
      </c>
      <c r="BI257" s="25" t="s">
        <v>166</v>
      </c>
      <c r="BJ257" s="29" t="s">
        <v>166</v>
      </c>
      <c r="BK257" s="29" t="s">
        <v>166</v>
      </c>
      <c r="BL257" s="25" t="s">
        <v>191</v>
      </c>
      <c r="BM257" s="25" t="s">
        <v>178</v>
      </c>
      <c r="BN257" s="25" t="s">
        <v>177</v>
      </c>
      <c r="BO257" s="33">
        <v>5</v>
      </c>
      <c r="BP257" s="25" t="s">
        <v>5184</v>
      </c>
      <c r="BQ257" s="32">
        <v>8</v>
      </c>
      <c r="BR257" s="25" t="s">
        <v>166</v>
      </c>
      <c r="BS257" s="32" t="s">
        <v>166</v>
      </c>
      <c r="BT257" s="25" t="s">
        <v>166</v>
      </c>
      <c r="BU257" s="25" t="s">
        <v>166</v>
      </c>
      <c r="BV257" s="25" t="s">
        <v>5195</v>
      </c>
      <c r="BW257" s="25" t="s">
        <v>166</v>
      </c>
      <c r="BX257" s="25" t="s">
        <v>166</v>
      </c>
      <c r="BY257" s="25" t="s">
        <v>166</v>
      </c>
      <c r="BZ257" s="25" t="s">
        <v>166</v>
      </c>
      <c r="CA257" s="25" t="s">
        <v>166</v>
      </c>
      <c r="CB257" s="25" t="s">
        <v>166</v>
      </c>
      <c r="CC257" s="25" t="s">
        <v>166</v>
      </c>
      <c r="CD257" s="25" t="s">
        <v>166</v>
      </c>
      <c r="CE257" s="29" t="s">
        <v>166</v>
      </c>
      <c r="CF257" s="27" t="s">
        <v>166</v>
      </c>
      <c r="CG257" s="28" t="s">
        <v>166</v>
      </c>
      <c r="CH257" s="27" t="s">
        <v>166</v>
      </c>
      <c r="CI257" s="27" t="s">
        <v>166</v>
      </c>
      <c r="CJ257" s="27" t="s">
        <v>166</v>
      </c>
      <c r="CK257" s="27" t="s">
        <v>166</v>
      </c>
      <c r="CL257" s="27" t="s">
        <v>166</v>
      </c>
      <c r="CM257" s="31" t="s">
        <v>166</v>
      </c>
      <c r="CN257" s="27" t="s">
        <v>166</v>
      </c>
      <c r="CO257" s="27" t="s">
        <v>166</v>
      </c>
      <c r="CP257" s="27" t="s">
        <v>166</v>
      </c>
      <c r="CQ257" s="27" t="s">
        <v>166</v>
      </c>
      <c r="CR257" s="27" t="s">
        <v>166</v>
      </c>
      <c r="CS257" s="27" t="s">
        <v>166</v>
      </c>
      <c r="CT257" s="27" t="s">
        <v>166</v>
      </c>
      <c r="CU257" s="27" t="s">
        <v>166</v>
      </c>
      <c r="CV257" s="27" t="s">
        <v>166</v>
      </c>
      <c r="CW257" s="27" t="s">
        <v>166</v>
      </c>
      <c r="CX257" s="27" t="s">
        <v>166</v>
      </c>
      <c r="CY257" s="27" t="s">
        <v>166</v>
      </c>
      <c r="CZ257" s="27" t="s">
        <v>166</v>
      </c>
      <c r="DA257" s="27" t="s">
        <v>166</v>
      </c>
      <c r="DB257" s="27" t="s">
        <v>166</v>
      </c>
      <c r="DC257" s="27" t="s">
        <v>166</v>
      </c>
      <c r="DD257" s="27" t="s">
        <v>166</v>
      </c>
      <c r="DE257" s="28" t="s">
        <v>166</v>
      </c>
      <c r="DF257" s="33">
        <v>3</v>
      </c>
      <c r="DG257" s="25" t="s">
        <v>360</v>
      </c>
      <c r="DH257" s="25" t="s">
        <v>193</v>
      </c>
      <c r="DI257" s="25" t="s">
        <v>194</v>
      </c>
      <c r="DJ257" s="25" t="s">
        <v>361</v>
      </c>
      <c r="DK257" s="25" t="s">
        <v>196</v>
      </c>
      <c r="DL257" s="32" t="s">
        <v>809</v>
      </c>
      <c r="DM257" s="25" t="s">
        <v>198</v>
      </c>
      <c r="DN257" s="24" t="s">
        <v>5196</v>
      </c>
      <c r="DO257" s="31">
        <v>2021</v>
      </c>
      <c r="DP257" s="25" t="s">
        <v>166</v>
      </c>
      <c r="DQ257" s="25" t="s">
        <v>166</v>
      </c>
      <c r="DR257" s="29" t="s">
        <v>166</v>
      </c>
      <c r="DS257" s="27" t="s">
        <v>166</v>
      </c>
      <c r="DT257" s="30" t="s">
        <v>166</v>
      </c>
      <c r="DU257" s="25" t="s">
        <v>166</v>
      </c>
      <c r="DV257" s="29" t="s">
        <v>166</v>
      </c>
      <c r="DW257" s="29" t="s">
        <v>166</v>
      </c>
      <c r="DX257" s="27" t="s">
        <v>166</v>
      </c>
      <c r="DY257" s="27" t="s">
        <v>166</v>
      </c>
      <c r="DZ257" s="28" t="s">
        <v>166</v>
      </c>
      <c r="EA257" s="27" t="s">
        <v>166</v>
      </c>
      <c r="EB257" s="27" t="s">
        <v>166</v>
      </c>
      <c r="EC257" s="27" t="s">
        <v>166</v>
      </c>
      <c r="ED257" s="28" t="s">
        <v>166</v>
      </c>
      <c r="EE257" s="28" t="s">
        <v>166</v>
      </c>
      <c r="EF257" s="28" t="s">
        <v>166</v>
      </c>
      <c r="EG257" s="28" t="s">
        <v>166</v>
      </c>
      <c r="EH257" s="27" t="s">
        <v>166</v>
      </c>
      <c r="EI257" s="27" t="s">
        <v>166</v>
      </c>
      <c r="EJ257" s="27" t="s">
        <v>166</v>
      </c>
      <c r="EK257" s="27" t="s">
        <v>166</v>
      </c>
      <c r="EL257" s="27" t="s">
        <v>166</v>
      </c>
      <c r="EM257" s="27" t="s">
        <v>166</v>
      </c>
      <c r="EN257" s="27" t="s">
        <v>166</v>
      </c>
      <c r="EO257" s="27" t="s">
        <v>166</v>
      </c>
      <c r="EP257" s="27" t="s">
        <v>166</v>
      </c>
      <c r="EQ257" s="27" t="s">
        <v>166</v>
      </c>
      <c r="ER257" s="27" t="s">
        <v>166</v>
      </c>
      <c r="ES257" s="27" t="s">
        <v>166</v>
      </c>
      <c r="ET257" s="25" t="s">
        <v>166</v>
      </c>
      <c r="EU257" s="27" t="s">
        <v>166</v>
      </c>
      <c r="EV257" s="27" t="s">
        <v>166</v>
      </c>
      <c r="EW257" s="27" t="s">
        <v>166</v>
      </c>
      <c r="EX257" s="25" t="s">
        <v>190</v>
      </c>
      <c r="EY257" s="25" t="s">
        <v>166</v>
      </c>
      <c r="EZ257" s="27" t="s">
        <v>166</v>
      </c>
      <c r="FA257" s="26" t="s">
        <v>166</v>
      </c>
      <c r="FB257" s="26" t="s">
        <v>166</v>
      </c>
      <c r="FC257" s="26" t="s">
        <v>166</v>
      </c>
      <c r="FD257" s="26" t="s">
        <v>166</v>
      </c>
      <c r="FE257" s="26" t="s">
        <v>166</v>
      </c>
      <c r="FF257" s="26" t="s">
        <v>166</v>
      </c>
      <c r="FG257" s="25" t="s">
        <v>166</v>
      </c>
      <c r="FH257" s="4">
        <f>HYPERLINK("https://my.pitchbook.com?c=188918-65T","View Company Online")</f>
      </c>
    </row>
    <row r="258">
      <c r="A258" s="14" t="s">
        <v>5197</v>
      </c>
      <c r="B258" s="14" t="s">
        <v>5198</v>
      </c>
      <c r="C258" s="14" t="s">
        <v>5199</v>
      </c>
      <c r="D258" s="14" t="s">
        <v>166</v>
      </c>
      <c r="E258" s="23" t="s">
        <v>5200</v>
      </c>
      <c r="F258" s="21">
        <v>20</v>
      </c>
      <c r="G258" s="14" t="s">
        <v>5201</v>
      </c>
      <c r="H258" s="14" t="s">
        <v>166</v>
      </c>
      <c r="I258" s="14" t="s">
        <v>5202</v>
      </c>
      <c r="J258" s="14" t="s">
        <v>5203</v>
      </c>
      <c r="K258" s="14" t="s">
        <v>207</v>
      </c>
      <c r="L258" s="14" t="s">
        <v>208</v>
      </c>
      <c r="M258" s="14" t="s">
        <v>882</v>
      </c>
      <c r="N258" s="14" t="s">
        <v>1416</v>
      </c>
      <c r="O258" s="14" t="s">
        <v>5204</v>
      </c>
      <c r="P258" s="14" t="s">
        <v>5205</v>
      </c>
      <c r="Q258" s="14" t="s">
        <v>166</v>
      </c>
      <c r="R258" s="14" t="s">
        <v>177</v>
      </c>
      <c r="S258" s="14" t="s">
        <v>178</v>
      </c>
      <c r="T258" s="14" t="s">
        <v>179</v>
      </c>
      <c r="U258" s="14" t="s">
        <v>5206</v>
      </c>
      <c r="V258" s="14" t="s">
        <v>5207</v>
      </c>
      <c r="W258" s="21" t="s">
        <v>166</v>
      </c>
      <c r="X258" s="14" t="s">
        <v>166</v>
      </c>
      <c r="Y258" s="14" t="s">
        <v>5208</v>
      </c>
      <c r="Z258" s="14" t="s">
        <v>166</v>
      </c>
      <c r="AA258" s="14" t="s">
        <v>166</v>
      </c>
      <c r="AB258" s="14" t="s">
        <v>166</v>
      </c>
      <c r="AC258" s="14" t="s">
        <v>166</v>
      </c>
      <c r="AD258" s="14" t="s">
        <v>166</v>
      </c>
      <c r="AE258" s="14" t="s">
        <v>166</v>
      </c>
      <c r="AF258" s="14" t="s">
        <v>166</v>
      </c>
      <c r="AG258" s="14" t="s">
        <v>166</v>
      </c>
      <c r="AH258" s="21">
        <v>1</v>
      </c>
      <c r="AI258" s="3">
        <f>HYPERLINK("https://my.pitchbook.com/?d=234960-58T","234960-58T")</f>
      </c>
      <c r="AJ258" s="19" t="s">
        <v>166</v>
      </c>
      <c r="AK258" s="19">
        <v>45169</v>
      </c>
      <c r="AL258" s="18">
        <v>4.6</v>
      </c>
      <c r="AM258" s="14" t="s">
        <v>185</v>
      </c>
      <c r="AN258" s="18" t="s">
        <v>166</v>
      </c>
      <c r="AO258" s="18" t="s">
        <v>166</v>
      </c>
      <c r="AP258" s="14" t="s">
        <v>166</v>
      </c>
      <c r="AQ258" s="21" t="s">
        <v>166</v>
      </c>
      <c r="AR258" s="21" t="s">
        <v>166</v>
      </c>
      <c r="AS258" s="17" t="s">
        <v>166</v>
      </c>
      <c r="AT258" s="18">
        <v>4.6</v>
      </c>
      <c r="AU258" s="21" t="s">
        <v>186</v>
      </c>
      <c r="AV258" s="21" t="s">
        <v>166</v>
      </c>
      <c r="AW258" s="18" t="s">
        <v>166</v>
      </c>
      <c r="AX258" s="21" t="s">
        <v>166</v>
      </c>
      <c r="AY258" s="14" t="s">
        <v>217</v>
      </c>
      <c r="AZ258" s="14" t="s">
        <v>217</v>
      </c>
      <c r="BA258" s="14" t="s">
        <v>166</v>
      </c>
      <c r="BB258" s="21" t="s">
        <v>166</v>
      </c>
      <c r="BC258" s="14" t="s">
        <v>179</v>
      </c>
      <c r="BD258" s="14" t="s">
        <v>5209</v>
      </c>
      <c r="BE258" s="14" t="s">
        <v>189</v>
      </c>
      <c r="BF258" s="18">
        <v>4.6</v>
      </c>
      <c r="BG258" s="14" t="s">
        <v>190</v>
      </c>
      <c r="BH258" s="14" t="s">
        <v>166</v>
      </c>
      <c r="BI258" s="14" t="s">
        <v>166</v>
      </c>
      <c r="BJ258" s="18" t="s">
        <v>166</v>
      </c>
      <c r="BK258" s="18" t="s">
        <v>166</v>
      </c>
      <c r="BL258" s="14" t="s">
        <v>191</v>
      </c>
      <c r="BM258" s="14" t="s">
        <v>178</v>
      </c>
      <c r="BN258" s="14" t="s">
        <v>177</v>
      </c>
      <c r="BO258" s="22" t="s">
        <v>166</v>
      </c>
      <c r="BP258" s="14" t="s">
        <v>5210</v>
      </c>
      <c r="BQ258" s="21">
        <v>20</v>
      </c>
      <c r="BR258" s="14" t="s">
        <v>166</v>
      </c>
      <c r="BS258" s="21" t="s">
        <v>166</v>
      </c>
      <c r="BT258" s="14" t="s">
        <v>5211</v>
      </c>
      <c r="BU258" s="14" t="s">
        <v>166</v>
      </c>
      <c r="BV258" s="14" t="s">
        <v>166</v>
      </c>
      <c r="BW258" s="14" t="s">
        <v>166</v>
      </c>
      <c r="BX258" s="14" t="s">
        <v>166</v>
      </c>
      <c r="BY258" s="14" t="s">
        <v>166</v>
      </c>
      <c r="BZ258" s="14" t="s">
        <v>166</v>
      </c>
      <c r="CA258" s="14" t="s">
        <v>166</v>
      </c>
      <c r="CB258" s="14" t="s">
        <v>166</v>
      </c>
      <c r="CC258" s="14" t="s">
        <v>166</v>
      </c>
      <c r="CD258" s="14" t="s">
        <v>166</v>
      </c>
      <c r="CE258" s="18" t="s">
        <v>166</v>
      </c>
      <c r="CF258" s="16" t="s">
        <v>166</v>
      </c>
      <c r="CG258" s="17" t="s">
        <v>166</v>
      </c>
      <c r="CH258" s="16" t="s">
        <v>166</v>
      </c>
      <c r="CI258" s="16" t="s">
        <v>166</v>
      </c>
      <c r="CJ258" s="16" t="s">
        <v>166</v>
      </c>
      <c r="CK258" s="16" t="s">
        <v>166</v>
      </c>
      <c r="CL258" s="16" t="s">
        <v>166</v>
      </c>
      <c r="CM258" s="20" t="s">
        <v>166</v>
      </c>
      <c r="CN258" s="16" t="s">
        <v>166</v>
      </c>
      <c r="CO258" s="16" t="s">
        <v>166</v>
      </c>
      <c r="CP258" s="16" t="s">
        <v>166</v>
      </c>
      <c r="CQ258" s="16" t="s">
        <v>166</v>
      </c>
      <c r="CR258" s="16" t="s">
        <v>166</v>
      </c>
      <c r="CS258" s="16" t="s">
        <v>166</v>
      </c>
      <c r="CT258" s="16" t="s">
        <v>166</v>
      </c>
      <c r="CU258" s="16" t="s">
        <v>166</v>
      </c>
      <c r="CV258" s="16" t="s">
        <v>166</v>
      </c>
      <c r="CW258" s="16" t="s">
        <v>166</v>
      </c>
      <c r="CX258" s="16" t="s">
        <v>166</v>
      </c>
      <c r="CY258" s="16" t="s">
        <v>166</v>
      </c>
      <c r="CZ258" s="16" t="s">
        <v>166</v>
      </c>
      <c r="DA258" s="16" t="s">
        <v>166</v>
      </c>
      <c r="DB258" s="16" t="s">
        <v>166</v>
      </c>
      <c r="DC258" s="16" t="s">
        <v>166</v>
      </c>
      <c r="DD258" s="16" t="s">
        <v>166</v>
      </c>
      <c r="DE258" s="17" t="s">
        <v>166</v>
      </c>
      <c r="DF258" s="22">
        <v>6</v>
      </c>
      <c r="DG258" s="14" t="s">
        <v>673</v>
      </c>
      <c r="DH258" s="14" t="s">
        <v>193</v>
      </c>
      <c r="DI258" s="14" t="s">
        <v>194</v>
      </c>
      <c r="DJ258" s="14" t="s">
        <v>674</v>
      </c>
      <c r="DK258" s="14" t="s">
        <v>257</v>
      </c>
      <c r="DL258" s="21" t="s">
        <v>4341</v>
      </c>
      <c r="DM258" s="14" t="s">
        <v>198</v>
      </c>
      <c r="DN258" s="13" t="s">
        <v>5212</v>
      </c>
      <c r="DO258" s="20">
        <v>2022</v>
      </c>
      <c r="DP258" s="14" t="s">
        <v>166</v>
      </c>
      <c r="DQ258" s="14" t="s">
        <v>166</v>
      </c>
      <c r="DR258" s="18" t="s">
        <v>166</v>
      </c>
      <c r="DS258" s="16" t="s">
        <v>166</v>
      </c>
      <c r="DT258" s="19" t="s">
        <v>166</v>
      </c>
      <c r="DU258" s="14" t="s">
        <v>166</v>
      </c>
      <c r="DV258" s="18" t="s">
        <v>166</v>
      </c>
      <c r="DW258" s="18" t="s">
        <v>166</v>
      </c>
      <c r="DX258" s="16" t="s">
        <v>166</v>
      </c>
      <c r="DY258" s="16" t="s">
        <v>166</v>
      </c>
      <c r="DZ258" s="17" t="s">
        <v>166</v>
      </c>
      <c r="EA258" s="16" t="s">
        <v>166</v>
      </c>
      <c r="EB258" s="16" t="s">
        <v>166</v>
      </c>
      <c r="EC258" s="16" t="s">
        <v>166</v>
      </c>
      <c r="ED258" s="17" t="s">
        <v>166</v>
      </c>
      <c r="EE258" s="17" t="s">
        <v>166</v>
      </c>
      <c r="EF258" s="17" t="s">
        <v>166</v>
      </c>
      <c r="EG258" s="17" t="s">
        <v>166</v>
      </c>
      <c r="EH258" s="16" t="s">
        <v>166</v>
      </c>
      <c r="EI258" s="16" t="s">
        <v>166</v>
      </c>
      <c r="EJ258" s="16" t="s">
        <v>166</v>
      </c>
      <c r="EK258" s="16" t="s">
        <v>166</v>
      </c>
      <c r="EL258" s="16" t="s">
        <v>166</v>
      </c>
      <c r="EM258" s="16" t="s">
        <v>166</v>
      </c>
      <c r="EN258" s="16" t="s">
        <v>166</v>
      </c>
      <c r="EO258" s="16" t="s">
        <v>166</v>
      </c>
      <c r="EP258" s="16" t="s">
        <v>166</v>
      </c>
      <c r="EQ258" s="16" t="s">
        <v>166</v>
      </c>
      <c r="ER258" s="16" t="s">
        <v>166</v>
      </c>
      <c r="ES258" s="16" t="s">
        <v>166</v>
      </c>
      <c r="ET258" s="14" t="s">
        <v>166</v>
      </c>
      <c r="EU258" s="16" t="s">
        <v>166</v>
      </c>
      <c r="EV258" s="16" t="s">
        <v>166</v>
      </c>
      <c r="EW258" s="16" t="s">
        <v>166</v>
      </c>
      <c r="EX258" s="14" t="s">
        <v>190</v>
      </c>
      <c r="EY258" s="14" t="s">
        <v>166</v>
      </c>
      <c r="EZ258" s="16" t="s">
        <v>166</v>
      </c>
      <c r="FA258" s="15" t="s">
        <v>166</v>
      </c>
      <c r="FB258" s="15" t="s">
        <v>166</v>
      </c>
      <c r="FC258" s="15" t="s">
        <v>166</v>
      </c>
      <c r="FD258" s="15" t="s">
        <v>166</v>
      </c>
      <c r="FE258" s="15" t="s">
        <v>166</v>
      </c>
      <c r="FF258" s="15" t="s">
        <v>166</v>
      </c>
      <c r="FG258" s="14" t="s">
        <v>166</v>
      </c>
      <c r="FH258" s="3">
        <f>HYPERLINK("https://my.pitchbook.com?c=234960-58T","View Company Online")</f>
      </c>
    </row>
    <row r="259">
      <c r="A259" s="25" t="s">
        <v>5213</v>
      </c>
      <c r="B259" s="25" t="s">
        <v>5214</v>
      </c>
      <c r="C259" s="25" t="s">
        <v>5215</v>
      </c>
      <c r="D259" s="25" t="s">
        <v>166</v>
      </c>
      <c r="E259" s="34" t="s">
        <v>5216</v>
      </c>
      <c r="F259" s="32">
        <v>7</v>
      </c>
      <c r="G259" s="25" t="s">
        <v>5217</v>
      </c>
      <c r="H259" s="25" t="s">
        <v>166</v>
      </c>
      <c r="I259" s="25" t="s">
        <v>5218</v>
      </c>
      <c r="J259" s="25" t="s">
        <v>5219</v>
      </c>
      <c r="K259" s="25" t="s">
        <v>207</v>
      </c>
      <c r="L259" s="25" t="s">
        <v>208</v>
      </c>
      <c r="M259" s="25" t="s">
        <v>296</v>
      </c>
      <c r="N259" s="25" t="s">
        <v>5220</v>
      </c>
      <c r="O259" s="25" t="s">
        <v>2931</v>
      </c>
      <c r="P259" s="25" t="s">
        <v>5221</v>
      </c>
      <c r="Q259" s="25" t="s">
        <v>2555</v>
      </c>
      <c r="R259" s="25" t="s">
        <v>177</v>
      </c>
      <c r="S259" s="25" t="s">
        <v>178</v>
      </c>
      <c r="T259" s="25" t="s">
        <v>179</v>
      </c>
      <c r="U259" s="25" t="s">
        <v>5222</v>
      </c>
      <c r="V259" s="25" t="s">
        <v>5223</v>
      </c>
      <c r="W259" s="32" t="s">
        <v>166</v>
      </c>
      <c r="X259" s="25" t="s">
        <v>166</v>
      </c>
      <c r="Y259" s="25" t="s">
        <v>5224</v>
      </c>
      <c r="Z259" s="25" t="s">
        <v>5225</v>
      </c>
      <c r="AA259" s="25" t="s">
        <v>166</v>
      </c>
      <c r="AB259" s="25" t="s">
        <v>166</v>
      </c>
      <c r="AC259" s="25" t="s">
        <v>166</v>
      </c>
      <c r="AD259" s="25" t="s">
        <v>166</v>
      </c>
      <c r="AE259" s="25" t="s">
        <v>166</v>
      </c>
      <c r="AF259" s="25" t="s">
        <v>166</v>
      </c>
      <c r="AG259" s="25" t="s">
        <v>166</v>
      </c>
      <c r="AH259" s="32">
        <v>1</v>
      </c>
      <c r="AI259" s="4">
        <f>HYPERLINK("https://my.pitchbook.com/?d=185943-79T","185943-79T")</f>
      </c>
      <c r="AJ259" s="30" t="s">
        <v>166</v>
      </c>
      <c r="AK259" s="30">
        <v>44469</v>
      </c>
      <c r="AL259" s="29">
        <v>0.12</v>
      </c>
      <c r="AM259" s="25" t="s">
        <v>185</v>
      </c>
      <c r="AN259" s="29" t="s">
        <v>166</v>
      </c>
      <c r="AO259" s="29" t="s">
        <v>166</v>
      </c>
      <c r="AP259" s="25" t="s">
        <v>166</v>
      </c>
      <c r="AQ259" s="32" t="s">
        <v>166</v>
      </c>
      <c r="AR259" s="32" t="s">
        <v>166</v>
      </c>
      <c r="AS259" s="28" t="s">
        <v>166</v>
      </c>
      <c r="AT259" s="29">
        <v>0.12</v>
      </c>
      <c r="AU259" s="32" t="s">
        <v>186</v>
      </c>
      <c r="AV259" s="32" t="s">
        <v>166</v>
      </c>
      <c r="AW259" s="29" t="s">
        <v>166</v>
      </c>
      <c r="AX259" s="32" t="s">
        <v>166</v>
      </c>
      <c r="AY259" s="25" t="s">
        <v>187</v>
      </c>
      <c r="AZ259" s="25" t="s">
        <v>166</v>
      </c>
      <c r="BA259" s="25" t="s">
        <v>166</v>
      </c>
      <c r="BB259" s="32" t="s">
        <v>166</v>
      </c>
      <c r="BC259" s="25" t="s">
        <v>179</v>
      </c>
      <c r="BD259" s="25" t="s">
        <v>5226</v>
      </c>
      <c r="BE259" s="25" t="s">
        <v>189</v>
      </c>
      <c r="BF259" s="29">
        <v>0.12</v>
      </c>
      <c r="BG259" s="25" t="s">
        <v>190</v>
      </c>
      <c r="BH259" s="25" t="s">
        <v>166</v>
      </c>
      <c r="BI259" s="25" t="s">
        <v>166</v>
      </c>
      <c r="BJ259" s="29" t="s">
        <v>166</v>
      </c>
      <c r="BK259" s="29" t="s">
        <v>166</v>
      </c>
      <c r="BL259" s="25" t="s">
        <v>191</v>
      </c>
      <c r="BM259" s="25" t="s">
        <v>178</v>
      </c>
      <c r="BN259" s="25" t="s">
        <v>177</v>
      </c>
      <c r="BO259" s="33" t="s">
        <v>166</v>
      </c>
      <c r="BP259" s="25" t="s">
        <v>5216</v>
      </c>
      <c r="BQ259" s="32">
        <v>7</v>
      </c>
      <c r="BR259" s="25" t="s">
        <v>166</v>
      </c>
      <c r="BS259" s="32" t="s">
        <v>166</v>
      </c>
      <c r="BT259" s="25" t="s">
        <v>166</v>
      </c>
      <c r="BU259" s="25" t="s">
        <v>166</v>
      </c>
      <c r="BV259" s="25" t="s">
        <v>166</v>
      </c>
      <c r="BW259" s="25" t="s">
        <v>166</v>
      </c>
      <c r="BX259" s="25" t="s">
        <v>166</v>
      </c>
      <c r="BY259" s="25" t="s">
        <v>166</v>
      </c>
      <c r="BZ259" s="25" t="s">
        <v>166</v>
      </c>
      <c r="CA259" s="25" t="s">
        <v>166</v>
      </c>
      <c r="CB259" s="25" t="s">
        <v>166</v>
      </c>
      <c r="CC259" s="25" t="s">
        <v>166</v>
      </c>
      <c r="CD259" s="25" t="s">
        <v>166</v>
      </c>
      <c r="CE259" s="29" t="s">
        <v>166</v>
      </c>
      <c r="CF259" s="27" t="s">
        <v>166</v>
      </c>
      <c r="CG259" s="28" t="s">
        <v>166</v>
      </c>
      <c r="CH259" s="27" t="s">
        <v>166</v>
      </c>
      <c r="CI259" s="27" t="s">
        <v>166</v>
      </c>
      <c r="CJ259" s="27" t="s">
        <v>166</v>
      </c>
      <c r="CK259" s="27" t="s">
        <v>166</v>
      </c>
      <c r="CL259" s="27" t="s">
        <v>166</v>
      </c>
      <c r="CM259" s="31" t="s">
        <v>166</v>
      </c>
      <c r="CN259" s="27" t="s">
        <v>166</v>
      </c>
      <c r="CO259" s="27" t="s">
        <v>166</v>
      </c>
      <c r="CP259" s="27" t="s">
        <v>166</v>
      </c>
      <c r="CQ259" s="27" t="s">
        <v>166</v>
      </c>
      <c r="CR259" s="27" t="s">
        <v>166</v>
      </c>
      <c r="CS259" s="27" t="s">
        <v>166</v>
      </c>
      <c r="CT259" s="27" t="s">
        <v>166</v>
      </c>
      <c r="CU259" s="27" t="s">
        <v>166</v>
      </c>
      <c r="CV259" s="27" t="s">
        <v>166</v>
      </c>
      <c r="CW259" s="27" t="s">
        <v>166</v>
      </c>
      <c r="CX259" s="27" t="s">
        <v>166</v>
      </c>
      <c r="CY259" s="27" t="s">
        <v>166</v>
      </c>
      <c r="CZ259" s="27" t="s">
        <v>166</v>
      </c>
      <c r="DA259" s="27" t="s">
        <v>166</v>
      </c>
      <c r="DB259" s="27" t="s">
        <v>166</v>
      </c>
      <c r="DC259" s="27" t="s">
        <v>166</v>
      </c>
      <c r="DD259" s="27" t="s">
        <v>166</v>
      </c>
      <c r="DE259" s="28" t="s">
        <v>166</v>
      </c>
      <c r="DF259" s="33">
        <v>12</v>
      </c>
      <c r="DG259" s="25" t="s">
        <v>5227</v>
      </c>
      <c r="DH259" s="25" t="s">
        <v>193</v>
      </c>
      <c r="DI259" s="25" t="s">
        <v>194</v>
      </c>
      <c r="DJ259" s="25" t="s">
        <v>5228</v>
      </c>
      <c r="DK259" s="25" t="s">
        <v>196</v>
      </c>
      <c r="DL259" s="32" t="s">
        <v>5229</v>
      </c>
      <c r="DM259" s="25" t="s">
        <v>198</v>
      </c>
      <c r="DN259" s="24" t="s">
        <v>5230</v>
      </c>
      <c r="DO259" s="31">
        <v>2021</v>
      </c>
      <c r="DP259" s="25" t="s">
        <v>166</v>
      </c>
      <c r="DQ259" s="25" t="s">
        <v>166</v>
      </c>
      <c r="DR259" s="29" t="s">
        <v>166</v>
      </c>
      <c r="DS259" s="27" t="s">
        <v>166</v>
      </c>
      <c r="DT259" s="30" t="s">
        <v>166</v>
      </c>
      <c r="DU259" s="25" t="s">
        <v>166</v>
      </c>
      <c r="DV259" s="29" t="s">
        <v>166</v>
      </c>
      <c r="DW259" s="29" t="s">
        <v>166</v>
      </c>
      <c r="DX259" s="27" t="s">
        <v>166</v>
      </c>
      <c r="DY259" s="27" t="s">
        <v>166</v>
      </c>
      <c r="DZ259" s="28" t="s">
        <v>166</v>
      </c>
      <c r="EA259" s="27" t="s">
        <v>166</v>
      </c>
      <c r="EB259" s="27" t="s">
        <v>166</v>
      </c>
      <c r="EC259" s="27" t="s">
        <v>166</v>
      </c>
      <c r="ED259" s="28" t="s">
        <v>166</v>
      </c>
      <c r="EE259" s="28" t="s">
        <v>166</v>
      </c>
      <c r="EF259" s="28" t="s">
        <v>166</v>
      </c>
      <c r="EG259" s="28" t="s">
        <v>166</v>
      </c>
      <c r="EH259" s="27" t="s">
        <v>166</v>
      </c>
      <c r="EI259" s="27" t="s">
        <v>166</v>
      </c>
      <c r="EJ259" s="27" t="s">
        <v>166</v>
      </c>
      <c r="EK259" s="27" t="s">
        <v>166</v>
      </c>
      <c r="EL259" s="27" t="s">
        <v>166</v>
      </c>
      <c r="EM259" s="27" t="s">
        <v>166</v>
      </c>
      <c r="EN259" s="27" t="s">
        <v>166</v>
      </c>
      <c r="EO259" s="27" t="s">
        <v>166</v>
      </c>
      <c r="EP259" s="27" t="s">
        <v>166</v>
      </c>
      <c r="EQ259" s="27" t="s">
        <v>166</v>
      </c>
      <c r="ER259" s="27" t="s">
        <v>166</v>
      </c>
      <c r="ES259" s="27" t="s">
        <v>166</v>
      </c>
      <c r="ET259" s="25" t="s">
        <v>166</v>
      </c>
      <c r="EU259" s="27" t="s">
        <v>166</v>
      </c>
      <c r="EV259" s="27" t="s">
        <v>166</v>
      </c>
      <c r="EW259" s="27" t="s">
        <v>166</v>
      </c>
      <c r="EX259" s="25" t="s">
        <v>190</v>
      </c>
      <c r="EY259" s="25" t="s">
        <v>166</v>
      </c>
      <c r="EZ259" s="27" t="s">
        <v>166</v>
      </c>
      <c r="FA259" s="26" t="s">
        <v>166</v>
      </c>
      <c r="FB259" s="26" t="s">
        <v>166</v>
      </c>
      <c r="FC259" s="26" t="s">
        <v>166</v>
      </c>
      <c r="FD259" s="26" t="s">
        <v>166</v>
      </c>
      <c r="FE259" s="26" t="s">
        <v>166</v>
      </c>
      <c r="FF259" s="26" t="s">
        <v>166</v>
      </c>
      <c r="FG259" s="25" t="s">
        <v>166</v>
      </c>
      <c r="FH259" s="4">
        <f>HYPERLINK("https://my.pitchbook.com?c=185943-79T","View Company Online")</f>
      </c>
    </row>
    <row r="260">
      <c r="A260" s="14" t="s">
        <v>5231</v>
      </c>
      <c r="B260" s="14" t="s">
        <v>5232</v>
      </c>
      <c r="C260" s="14" t="s">
        <v>5233</v>
      </c>
      <c r="D260" s="14" t="s">
        <v>166</v>
      </c>
      <c r="E260" s="23" t="s">
        <v>5234</v>
      </c>
      <c r="F260" s="21">
        <v>1</v>
      </c>
      <c r="G260" s="14" t="s">
        <v>166</v>
      </c>
      <c r="H260" s="14" t="s">
        <v>166</v>
      </c>
      <c r="I260" s="14" t="s">
        <v>5235</v>
      </c>
      <c r="J260" s="14" t="s">
        <v>5236</v>
      </c>
      <c r="K260" s="14" t="s">
        <v>207</v>
      </c>
      <c r="L260" s="14" t="s">
        <v>208</v>
      </c>
      <c r="M260" s="14" t="s">
        <v>209</v>
      </c>
      <c r="N260" s="14" t="s">
        <v>269</v>
      </c>
      <c r="O260" s="14" t="s">
        <v>665</v>
      </c>
      <c r="P260" s="14" t="s">
        <v>5237</v>
      </c>
      <c r="Q260" s="14" t="s">
        <v>926</v>
      </c>
      <c r="R260" s="14" t="s">
        <v>177</v>
      </c>
      <c r="S260" s="14" t="s">
        <v>178</v>
      </c>
      <c r="T260" s="14" t="s">
        <v>179</v>
      </c>
      <c r="U260" s="14" t="s">
        <v>5238</v>
      </c>
      <c r="V260" s="14" t="s">
        <v>5239</v>
      </c>
      <c r="W260" s="21" t="s">
        <v>166</v>
      </c>
      <c r="X260" s="14" t="s">
        <v>166</v>
      </c>
      <c r="Y260" s="14" t="s">
        <v>5240</v>
      </c>
      <c r="Z260" s="14" t="s">
        <v>166</v>
      </c>
      <c r="AA260" s="14" t="s">
        <v>166</v>
      </c>
      <c r="AB260" s="14" t="s">
        <v>166</v>
      </c>
      <c r="AC260" s="14" t="s">
        <v>166</v>
      </c>
      <c r="AD260" s="14" t="s">
        <v>166</v>
      </c>
      <c r="AE260" s="14" t="s">
        <v>166</v>
      </c>
      <c r="AF260" s="14" t="s">
        <v>166</v>
      </c>
      <c r="AG260" s="14" t="s">
        <v>166</v>
      </c>
      <c r="AH260" s="21">
        <v>2</v>
      </c>
      <c r="AI260" s="3">
        <f>HYPERLINK("https://my.pitchbook.com/?d=219251-98T","219251-98T")</f>
      </c>
      <c r="AJ260" s="19" t="s">
        <v>166</v>
      </c>
      <c r="AK260" s="19">
        <v>44562</v>
      </c>
      <c r="AL260" s="18">
        <v>0.45</v>
      </c>
      <c r="AM260" s="14" t="s">
        <v>185</v>
      </c>
      <c r="AN260" s="18" t="s">
        <v>166</v>
      </c>
      <c r="AO260" s="18" t="s">
        <v>166</v>
      </c>
      <c r="AP260" s="14" t="s">
        <v>166</v>
      </c>
      <c r="AQ260" s="21" t="s">
        <v>166</v>
      </c>
      <c r="AR260" s="21" t="s">
        <v>166</v>
      </c>
      <c r="AS260" s="17" t="s">
        <v>166</v>
      </c>
      <c r="AT260" s="18">
        <v>0.45</v>
      </c>
      <c r="AU260" s="21" t="s">
        <v>186</v>
      </c>
      <c r="AV260" s="21" t="s">
        <v>166</v>
      </c>
      <c r="AW260" s="18" t="s">
        <v>166</v>
      </c>
      <c r="AX260" s="21" t="s">
        <v>166</v>
      </c>
      <c r="AY260" s="14" t="s">
        <v>217</v>
      </c>
      <c r="AZ260" s="14" t="s">
        <v>217</v>
      </c>
      <c r="BA260" s="14" t="s">
        <v>166</v>
      </c>
      <c r="BB260" s="21" t="s">
        <v>166</v>
      </c>
      <c r="BC260" s="14" t="s">
        <v>179</v>
      </c>
      <c r="BD260" s="14" t="s">
        <v>5241</v>
      </c>
      <c r="BE260" s="14" t="s">
        <v>189</v>
      </c>
      <c r="BF260" s="18">
        <v>0.45</v>
      </c>
      <c r="BG260" s="14" t="s">
        <v>190</v>
      </c>
      <c r="BH260" s="14" t="s">
        <v>166</v>
      </c>
      <c r="BI260" s="14" t="s">
        <v>166</v>
      </c>
      <c r="BJ260" s="18" t="s">
        <v>166</v>
      </c>
      <c r="BK260" s="18" t="s">
        <v>166</v>
      </c>
      <c r="BL260" s="14" t="s">
        <v>191</v>
      </c>
      <c r="BM260" s="14" t="s">
        <v>178</v>
      </c>
      <c r="BN260" s="14" t="s">
        <v>177</v>
      </c>
      <c r="BO260" s="22" t="s">
        <v>166</v>
      </c>
      <c r="BP260" s="14" t="s">
        <v>5242</v>
      </c>
      <c r="BQ260" s="21">
        <v>1</v>
      </c>
      <c r="BR260" s="14" t="s">
        <v>166</v>
      </c>
      <c r="BS260" s="21" t="s">
        <v>166</v>
      </c>
      <c r="BT260" s="14" t="s">
        <v>166</v>
      </c>
      <c r="BU260" s="14" t="s">
        <v>166</v>
      </c>
      <c r="BV260" s="14" t="s">
        <v>166</v>
      </c>
      <c r="BW260" s="14" t="s">
        <v>166</v>
      </c>
      <c r="BX260" s="14" t="s">
        <v>166</v>
      </c>
      <c r="BY260" s="14" t="s">
        <v>166</v>
      </c>
      <c r="BZ260" s="14" t="s">
        <v>166</v>
      </c>
      <c r="CA260" s="14" t="s">
        <v>166</v>
      </c>
      <c r="CB260" s="14" t="s">
        <v>166</v>
      </c>
      <c r="CC260" s="14" t="s">
        <v>166</v>
      </c>
      <c r="CD260" s="14" t="s">
        <v>166</v>
      </c>
      <c r="CE260" s="18" t="s">
        <v>166</v>
      </c>
      <c r="CF260" s="16" t="s">
        <v>166</v>
      </c>
      <c r="CG260" s="17" t="s">
        <v>166</v>
      </c>
      <c r="CH260" s="16" t="s">
        <v>166</v>
      </c>
      <c r="CI260" s="16" t="s">
        <v>166</v>
      </c>
      <c r="CJ260" s="16" t="s">
        <v>166</v>
      </c>
      <c r="CK260" s="16" t="s">
        <v>166</v>
      </c>
      <c r="CL260" s="16" t="s">
        <v>166</v>
      </c>
      <c r="CM260" s="20" t="s">
        <v>166</v>
      </c>
      <c r="CN260" s="16" t="s">
        <v>166</v>
      </c>
      <c r="CO260" s="16" t="s">
        <v>166</v>
      </c>
      <c r="CP260" s="16" t="s">
        <v>166</v>
      </c>
      <c r="CQ260" s="16" t="s">
        <v>166</v>
      </c>
      <c r="CR260" s="16" t="s">
        <v>166</v>
      </c>
      <c r="CS260" s="16" t="s">
        <v>166</v>
      </c>
      <c r="CT260" s="16" t="s">
        <v>166</v>
      </c>
      <c r="CU260" s="16" t="s">
        <v>166</v>
      </c>
      <c r="CV260" s="16" t="s">
        <v>166</v>
      </c>
      <c r="CW260" s="16" t="s">
        <v>166</v>
      </c>
      <c r="CX260" s="16" t="s">
        <v>166</v>
      </c>
      <c r="CY260" s="16" t="s">
        <v>166</v>
      </c>
      <c r="CZ260" s="16" t="s">
        <v>166</v>
      </c>
      <c r="DA260" s="16" t="s">
        <v>166</v>
      </c>
      <c r="DB260" s="16" t="s">
        <v>166</v>
      </c>
      <c r="DC260" s="16" t="s">
        <v>166</v>
      </c>
      <c r="DD260" s="16" t="s">
        <v>166</v>
      </c>
      <c r="DE260" s="17" t="s">
        <v>166</v>
      </c>
      <c r="DF260" s="22">
        <v>10</v>
      </c>
      <c r="DG260" s="14" t="s">
        <v>360</v>
      </c>
      <c r="DH260" s="14" t="s">
        <v>193</v>
      </c>
      <c r="DI260" s="14" t="s">
        <v>194</v>
      </c>
      <c r="DJ260" s="14" t="s">
        <v>361</v>
      </c>
      <c r="DK260" s="14" t="s">
        <v>196</v>
      </c>
      <c r="DL260" s="21" t="s">
        <v>166</v>
      </c>
      <c r="DM260" s="14" t="s">
        <v>198</v>
      </c>
      <c r="DN260" s="13" t="s">
        <v>5243</v>
      </c>
      <c r="DO260" s="20">
        <v>2021</v>
      </c>
      <c r="DP260" s="14" t="s">
        <v>166</v>
      </c>
      <c r="DQ260" s="14" t="s">
        <v>166</v>
      </c>
      <c r="DR260" s="18" t="s">
        <v>166</v>
      </c>
      <c r="DS260" s="16" t="s">
        <v>166</v>
      </c>
      <c r="DT260" s="19" t="s">
        <v>166</v>
      </c>
      <c r="DU260" s="14" t="s">
        <v>166</v>
      </c>
      <c r="DV260" s="18" t="s">
        <v>166</v>
      </c>
      <c r="DW260" s="18" t="s">
        <v>166</v>
      </c>
      <c r="DX260" s="16" t="s">
        <v>166</v>
      </c>
      <c r="DY260" s="16" t="s">
        <v>166</v>
      </c>
      <c r="DZ260" s="17" t="s">
        <v>166</v>
      </c>
      <c r="EA260" s="16" t="s">
        <v>166</v>
      </c>
      <c r="EB260" s="16" t="s">
        <v>166</v>
      </c>
      <c r="EC260" s="16" t="s">
        <v>166</v>
      </c>
      <c r="ED260" s="17" t="s">
        <v>166</v>
      </c>
      <c r="EE260" s="17" t="s">
        <v>166</v>
      </c>
      <c r="EF260" s="17" t="s">
        <v>166</v>
      </c>
      <c r="EG260" s="17" t="s">
        <v>166</v>
      </c>
      <c r="EH260" s="16" t="s">
        <v>166</v>
      </c>
      <c r="EI260" s="16" t="s">
        <v>166</v>
      </c>
      <c r="EJ260" s="16" t="s">
        <v>166</v>
      </c>
      <c r="EK260" s="16" t="s">
        <v>166</v>
      </c>
      <c r="EL260" s="16" t="s">
        <v>166</v>
      </c>
      <c r="EM260" s="16" t="s">
        <v>166</v>
      </c>
      <c r="EN260" s="16" t="s">
        <v>166</v>
      </c>
      <c r="EO260" s="16" t="s">
        <v>166</v>
      </c>
      <c r="EP260" s="16" t="s">
        <v>166</v>
      </c>
      <c r="EQ260" s="16" t="s">
        <v>166</v>
      </c>
      <c r="ER260" s="16" t="s">
        <v>166</v>
      </c>
      <c r="ES260" s="16" t="s">
        <v>166</v>
      </c>
      <c r="ET260" s="14" t="s">
        <v>166</v>
      </c>
      <c r="EU260" s="16" t="s">
        <v>166</v>
      </c>
      <c r="EV260" s="16" t="s">
        <v>166</v>
      </c>
      <c r="EW260" s="16" t="s">
        <v>166</v>
      </c>
      <c r="EX260" s="14" t="s">
        <v>190</v>
      </c>
      <c r="EY260" s="14" t="s">
        <v>166</v>
      </c>
      <c r="EZ260" s="16" t="s">
        <v>166</v>
      </c>
      <c r="FA260" s="15" t="s">
        <v>166</v>
      </c>
      <c r="FB260" s="15" t="s">
        <v>166</v>
      </c>
      <c r="FC260" s="15" t="s">
        <v>166</v>
      </c>
      <c r="FD260" s="15" t="s">
        <v>166</v>
      </c>
      <c r="FE260" s="15" t="s">
        <v>166</v>
      </c>
      <c r="FF260" s="15" t="s">
        <v>166</v>
      </c>
      <c r="FG260" s="14" t="s">
        <v>166</v>
      </c>
      <c r="FH260" s="3">
        <f>HYPERLINK("https://my.pitchbook.com?c=219251-98T","View Company Online")</f>
      </c>
    </row>
    <row r="261">
      <c r="A261" s="25" t="s">
        <v>5244</v>
      </c>
      <c r="B261" s="25" t="s">
        <v>5245</v>
      </c>
      <c r="C261" s="25" t="s">
        <v>5246</v>
      </c>
      <c r="D261" s="25" t="s">
        <v>166</v>
      </c>
      <c r="E261" s="34" t="s">
        <v>5247</v>
      </c>
      <c r="F261" s="32">
        <v>4</v>
      </c>
      <c r="G261" s="25" t="s">
        <v>5248</v>
      </c>
      <c r="H261" s="25" t="s">
        <v>166</v>
      </c>
      <c r="I261" s="25" t="s">
        <v>5249</v>
      </c>
      <c r="J261" s="25" t="s">
        <v>5250</v>
      </c>
      <c r="K261" s="25" t="s">
        <v>171</v>
      </c>
      <c r="L261" s="25" t="s">
        <v>172</v>
      </c>
      <c r="M261" s="25" t="s">
        <v>5251</v>
      </c>
      <c r="N261" s="25" t="s">
        <v>5252</v>
      </c>
      <c r="O261" s="25" t="s">
        <v>5253</v>
      </c>
      <c r="P261" s="25" t="s">
        <v>5254</v>
      </c>
      <c r="Q261" s="25" t="s">
        <v>166</v>
      </c>
      <c r="R261" s="25" t="s">
        <v>177</v>
      </c>
      <c r="S261" s="25" t="s">
        <v>178</v>
      </c>
      <c r="T261" s="25" t="s">
        <v>179</v>
      </c>
      <c r="U261" s="25" t="s">
        <v>5255</v>
      </c>
      <c r="V261" s="25" t="s">
        <v>5256</v>
      </c>
      <c r="W261" s="32" t="s">
        <v>166</v>
      </c>
      <c r="X261" s="25" t="s">
        <v>5257</v>
      </c>
      <c r="Y261" s="25" t="s">
        <v>5258</v>
      </c>
      <c r="Z261" s="25" t="s">
        <v>166</v>
      </c>
      <c r="AA261" s="25" t="s">
        <v>166</v>
      </c>
      <c r="AB261" s="25" t="s">
        <v>166</v>
      </c>
      <c r="AC261" s="25" t="s">
        <v>166</v>
      </c>
      <c r="AD261" s="25" t="s">
        <v>166</v>
      </c>
      <c r="AE261" s="25" t="s">
        <v>166</v>
      </c>
      <c r="AF261" s="25" t="s">
        <v>166</v>
      </c>
      <c r="AG261" s="25" t="s">
        <v>166</v>
      </c>
      <c r="AH261" s="32">
        <v>3</v>
      </c>
      <c r="AI261" s="4">
        <f>HYPERLINK("https://my.pitchbook.com/?d=214687-27T","214687-27T")</f>
      </c>
      <c r="AJ261" s="30" t="s">
        <v>166</v>
      </c>
      <c r="AK261" s="30">
        <v>45139</v>
      </c>
      <c r="AL261" s="29">
        <v>0.8</v>
      </c>
      <c r="AM261" s="25" t="s">
        <v>185</v>
      </c>
      <c r="AN261" s="29">
        <v>4.2</v>
      </c>
      <c r="AO261" s="29">
        <v>5</v>
      </c>
      <c r="AP261" s="25" t="s">
        <v>185</v>
      </c>
      <c r="AQ261" s="32" t="s">
        <v>166</v>
      </c>
      <c r="AR261" s="32" t="s">
        <v>166</v>
      </c>
      <c r="AS261" s="28">
        <v>16</v>
      </c>
      <c r="AT261" s="29">
        <v>0.9</v>
      </c>
      <c r="AU261" s="32" t="s">
        <v>186</v>
      </c>
      <c r="AV261" s="32" t="s">
        <v>166</v>
      </c>
      <c r="AW261" s="29" t="s">
        <v>166</v>
      </c>
      <c r="AX261" s="32" t="s">
        <v>166</v>
      </c>
      <c r="AY261" s="25" t="s">
        <v>187</v>
      </c>
      <c r="AZ261" s="25" t="s">
        <v>166</v>
      </c>
      <c r="BA261" s="25" t="s">
        <v>166</v>
      </c>
      <c r="BB261" s="32" t="s">
        <v>166</v>
      </c>
      <c r="BC261" s="25" t="s">
        <v>179</v>
      </c>
      <c r="BD261" s="25" t="s">
        <v>5259</v>
      </c>
      <c r="BE261" s="25" t="s">
        <v>189</v>
      </c>
      <c r="BF261" s="29">
        <v>0.8</v>
      </c>
      <c r="BG261" s="25" t="s">
        <v>190</v>
      </c>
      <c r="BH261" s="25" t="s">
        <v>166</v>
      </c>
      <c r="BI261" s="25" t="s">
        <v>166</v>
      </c>
      <c r="BJ261" s="29" t="s">
        <v>166</v>
      </c>
      <c r="BK261" s="29" t="s">
        <v>166</v>
      </c>
      <c r="BL261" s="25" t="s">
        <v>191</v>
      </c>
      <c r="BM261" s="25" t="s">
        <v>178</v>
      </c>
      <c r="BN261" s="25" t="s">
        <v>177</v>
      </c>
      <c r="BO261" s="33" t="s">
        <v>166</v>
      </c>
      <c r="BP261" s="25" t="s">
        <v>5247</v>
      </c>
      <c r="BQ261" s="32">
        <v>4</v>
      </c>
      <c r="BR261" s="25" t="s">
        <v>166</v>
      </c>
      <c r="BS261" s="32" t="s">
        <v>166</v>
      </c>
      <c r="BT261" s="25" t="s">
        <v>166</v>
      </c>
      <c r="BU261" s="25" t="s">
        <v>166</v>
      </c>
      <c r="BV261" s="25" t="s">
        <v>5260</v>
      </c>
      <c r="BW261" s="25" t="s">
        <v>166</v>
      </c>
      <c r="BX261" s="25" t="s">
        <v>166</v>
      </c>
      <c r="BY261" s="25" t="s">
        <v>166</v>
      </c>
      <c r="BZ261" s="25" t="s">
        <v>166</v>
      </c>
      <c r="CA261" s="25" t="s">
        <v>166</v>
      </c>
      <c r="CB261" s="25" t="s">
        <v>166</v>
      </c>
      <c r="CC261" s="25" t="s">
        <v>166</v>
      </c>
      <c r="CD261" s="25" t="s">
        <v>166</v>
      </c>
      <c r="CE261" s="29" t="s">
        <v>166</v>
      </c>
      <c r="CF261" s="27" t="s">
        <v>166</v>
      </c>
      <c r="CG261" s="28" t="s">
        <v>166</v>
      </c>
      <c r="CH261" s="27" t="s">
        <v>166</v>
      </c>
      <c r="CI261" s="27" t="s">
        <v>166</v>
      </c>
      <c r="CJ261" s="27" t="s">
        <v>166</v>
      </c>
      <c r="CK261" s="27" t="s">
        <v>166</v>
      </c>
      <c r="CL261" s="27" t="s">
        <v>166</v>
      </c>
      <c r="CM261" s="31" t="s">
        <v>166</v>
      </c>
      <c r="CN261" s="27" t="s">
        <v>166</v>
      </c>
      <c r="CO261" s="27" t="s">
        <v>166</v>
      </c>
      <c r="CP261" s="27" t="s">
        <v>166</v>
      </c>
      <c r="CQ261" s="27" t="s">
        <v>166</v>
      </c>
      <c r="CR261" s="27" t="s">
        <v>166</v>
      </c>
      <c r="CS261" s="27" t="s">
        <v>166</v>
      </c>
      <c r="CT261" s="27" t="s">
        <v>166</v>
      </c>
      <c r="CU261" s="27" t="s">
        <v>166</v>
      </c>
      <c r="CV261" s="27" t="s">
        <v>166</v>
      </c>
      <c r="CW261" s="27" t="s">
        <v>166</v>
      </c>
      <c r="CX261" s="27" t="s">
        <v>166</v>
      </c>
      <c r="CY261" s="27" t="s">
        <v>166</v>
      </c>
      <c r="CZ261" s="27" t="s">
        <v>166</v>
      </c>
      <c r="DA261" s="27" t="s">
        <v>166</v>
      </c>
      <c r="DB261" s="27" t="s">
        <v>166</v>
      </c>
      <c r="DC261" s="27" t="s">
        <v>166</v>
      </c>
      <c r="DD261" s="27" t="s">
        <v>166</v>
      </c>
      <c r="DE261" s="28" t="s">
        <v>166</v>
      </c>
      <c r="DF261" s="33">
        <v>10</v>
      </c>
      <c r="DG261" s="25" t="s">
        <v>429</v>
      </c>
      <c r="DH261" s="25" t="s">
        <v>193</v>
      </c>
      <c r="DI261" s="25" t="s">
        <v>194</v>
      </c>
      <c r="DJ261" s="25" t="s">
        <v>430</v>
      </c>
      <c r="DK261" s="25" t="s">
        <v>431</v>
      </c>
      <c r="DL261" s="32" t="s">
        <v>432</v>
      </c>
      <c r="DM261" s="25" t="s">
        <v>198</v>
      </c>
      <c r="DN261" s="24" t="s">
        <v>5261</v>
      </c>
      <c r="DO261" s="31">
        <v>2022</v>
      </c>
      <c r="DP261" s="25" t="s">
        <v>166</v>
      </c>
      <c r="DQ261" s="25" t="s">
        <v>5262</v>
      </c>
      <c r="DR261" s="29" t="s">
        <v>166</v>
      </c>
      <c r="DS261" s="27" t="s">
        <v>166</v>
      </c>
      <c r="DT261" s="30" t="s">
        <v>166</v>
      </c>
      <c r="DU261" s="25" t="s">
        <v>166</v>
      </c>
      <c r="DV261" s="29" t="s">
        <v>166</v>
      </c>
      <c r="DW261" s="29" t="s">
        <v>166</v>
      </c>
      <c r="DX261" s="27" t="s">
        <v>166</v>
      </c>
      <c r="DY261" s="27" t="s">
        <v>166</v>
      </c>
      <c r="DZ261" s="28" t="s">
        <v>166</v>
      </c>
      <c r="EA261" s="27" t="s">
        <v>166</v>
      </c>
      <c r="EB261" s="27" t="s">
        <v>166</v>
      </c>
      <c r="EC261" s="27" t="s">
        <v>166</v>
      </c>
      <c r="ED261" s="28" t="s">
        <v>166</v>
      </c>
      <c r="EE261" s="28" t="s">
        <v>166</v>
      </c>
      <c r="EF261" s="28" t="s">
        <v>166</v>
      </c>
      <c r="EG261" s="28" t="s">
        <v>166</v>
      </c>
      <c r="EH261" s="27" t="s">
        <v>166</v>
      </c>
      <c r="EI261" s="27" t="s">
        <v>166</v>
      </c>
      <c r="EJ261" s="27" t="s">
        <v>166</v>
      </c>
      <c r="EK261" s="27" t="s">
        <v>166</v>
      </c>
      <c r="EL261" s="27" t="s">
        <v>166</v>
      </c>
      <c r="EM261" s="27" t="s">
        <v>166</v>
      </c>
      <c r="EN261" s="27" t="s">
        <v>166</v>
      </c>
      <c r="EO261" s="27" t="s">
        <v>166</v>
      </c>
      <c r="EP261" s="27" t="s">
        <v>166</v>
      </c>
      <c r="EQ261" s="27" t="s">
        <v>166</v>
      </c>
      <c r="ER261" s="27" t="s">
        <v>166</v>
      </c>
      <c r="ES261" s="27" t="s">
        <v>166</v>
      </c>
      <c r="ET261" s="25" t="s">
        <v>166</v>
      </c>
      <c r="EU261" s="27" t="s">
        <v>166</v>
      </c>
      <c r="EV261" s="27" t="s">
        <v>166</v>
      </c>
      <c r="EW261" s="27" t="s">
        <v>166</v>
      </c>
      <c r="EX261" s="25" t="s">
        <v>190</v>
      </c>
      <c r="EY261" s="25" t="s">
        <v>190</v>
      </c>
      <c r="EZ261" s="27" t="s">
        <v>166</v>
      </c>
      <c r="FA261" s="26" t="s">
        <v>166</v>
      </c>
      <c r="FB261" s="26" t="s">
        <v>166</v>
      </c>
      <c r="FC261" s="26" t="s">
        <v>166</v>
      </c>
      <c r="FD261" s="26" t="s">
        <v>166</v>
      </c>
      <c r="FE261" s="26" t="s">
        <v>166</v>
      </c>
      <c r="FF261" s="26" t="s">
        <v>166</v>
      </c>
      <c r="FG261" s="25" t="s">
        <v>166</v>
      </c>
      <c r="FH261" s="4">
        <f>HYPERLINK("https://my.pitchbook.com?c=214687-27T","View Company Online")</f>
      </c>
    </row>
    <row r="262">
      <c r="A262" s="14" t="s">
        <v>5263</v>
      </c>
      <c r="B262" s="14" t="s">
        <v>5264</v>
      </c>
      <c r="C262" s="14" t="s">
        <v>5265</v>
      </c>
      <c r="D262" s="14" t="s">
        <v>166</v>
      </c>
      <c r="E262" s="23" t="s">
        <v>5266</v>
      </c>
      <c r="F262" s="21">
        <v>5</v>
      </c>
      <c r="G262" s="14" t="s">
        <v>5267</v>
      </c>
      <c r="H262" s="14" t="s">
        <v>166</v>
      </c>
      <c r="I262" s="14" t="s">
        <v>5268</v>
      </c>
      <c r="J262" s="14" t="s">
        <v>5269</v>
      </c>
      <c r="K262" s="14" t="s">
        <v>207</v>
      </c>
      <c r="L262" s="14" t="s">
        <v>208</v>
      </c>
      <c r="M262" s="14" t="s">
        <v>209</v>
      </c>
      <c r="N262" s="14" t="s">
        <v>5270</v>
      </c>
      <c r="O262" s="14" t="s">
        <v>5271</v>
      </c>
      <c r="P262" s="14" t="s">
        <v>5272</v>
      </c>
      <c r="Q262" s="14" t="s">
        <v>166</v>
      </c>
      <c r="R262" s="14" t="s">
        <v>177</v>
      </c>
      <c r="S262" s="14" t="s">
        <v>178</v>
      </c>
      <c r="T262" s="14" t="s">
        <v>179</v>
      </c>
      <c r="U262" s="14" t="s">
        <v>5273</v>
      </c>
      <c r="V262" s="14" t="s">
        <v>5274</v>
      </c>
      <c r="W262" s="21" t="s">
        <v>5275</v>
      </c>
      <c r="X262" s="14" t="s">
        <v>5276</v>
      </c>
      <c r="Y262" s="14" t="s">
        <v>5277</v>
      </c>
      <c r="Z262" s="14" t="s">
        <v>166</v>
      </c>
      <c r="AA262" s="14" t="s">
        <v>242</v>
      </c>
      <c r="AB262" s="14" t="s">
        <v>243</v>
      </c>
      <c r="AC262" s="14" t="s">
        <v>244</v>
      </c>
      <c r="AD262" s="14" t="s">
        <v>243</v>
      </c>
      <c r="AE262" s="14" t="s">
        <v>243</v>
      </c>
      <c r="AF262" s="14" t="s">
        <v>245</v>
      </c>
      <c r="AG262" s="14" t="s">
        <v>807</v>
      </c>
      <c r="AH262" s="21">
        <v>1</v>
      </c>
      <c r="AI262" s="3">
        <f>HYPERLINK("https://my.pitchbook.com/?d=204136-12T","204136-12T")</f>
      </c>
      <c r="AJ262" s="19" t="s">
        <v>166</v>
      </c>
      <c r="AK262" s="19">
        <v>44819</v>
      </c>
      <c r="AL262" s="18">
        <v>2.7</v>
      </c>
      <c r="AM262" s="14" t="s">
        <v>185</v>
      </c>
      <c r="AN262" s="18">
        <v>7</v>
      </c>
      <c r="AO262" s="18">
        <v>9.7</v>
      </c>
      <c r="AP262" s="14" t="s">
        <v>185</v>
      </c>
      <c r="AQ262" s="21" t="s">
        <v>166</v>
      </c>
      <c r="AR262" s="21" t="s">
        <v>166</v>
      </c>
      <c r="AS262" s="17">
        <v>27.84</v>
      </c>
      <c r="AT262" s="18">
        <v>2.7</v>
      </c>
      <c r="AU262" s="21" t="s">
        <v>186</v>
      </c>
      <c r="AV262" s="21" t="s">
        <v>166</v>
      </c>
      <c r="AW262" s="18">
        <v>0.66</v>
      </c>
      <c r="AX262" s="21" t="s">
        <v>166</v>
      </c>
      <c r="AY262" s="14" t="s">
        <v>217</v>
      </c>
      <c r="AZ262" s="14" t="s">
        <v>217</v>
      </c>
      <c r="BA262" s="14" t="s">
        <v>166</v>
      </c>
      <c r="BB262" s="21" t="s">
        <v>166</v>
      </c>
      <c r="BC262" s="14" t="s">
        <v>179</v>
      </c>
      <c r="BD262" s="14" t="s">
        <v>5269</v>
      </c>
      <c r="BE262" s="14" t="s">
        <v>189</v>
      </c>
      <c r="BF262" s="18">
        <v>2.7</v>
      </c>
      <c r="BG262" s="14" t="s">
        <v>190</v>
      </c>
      <c r="BH262" s="14" t="s">
        <v>166</v>
      </c>
      <c r="BI262" s="14" t="s">
        <v>166</v>
      </c>
      <c r="BJ262" s="18" t="s">
        <v>166</v>
      </c>
      <c r="BK262" s="18" t="s">
        <v>166</v>
      </c>
      <c r="BL262" s="14" t="s">
        <v>191</v>
      </c>
      <c r="BM262" s="14" t="s">
        <v>178</v>
      </c>
      <c r="BN262" s="14" t="s">
        <v>177</v>
      </c>
      <c r="BO262" s="22" t="s">
        <v>166</v>
      </c>
      <c r="BP262" s="14" t="s">
        <v>5278</v>
      </c>
      <c r="BQ262" s="21">
        <v>5</v>
      </c>
      <c r="BR262" s="14" t="s">
        <v>166</v>
      </c>
      <c r="BS262" s="21" t="s">
        <v>166</v>
      </c>
      <c r="BT262" s="14" t="s">
        <v>5279</v>
      </c>
      <c r="BU262" s="14" t="s">
        <v>166</v>
      </c>
      <c r="BV262" s="14" t="s">
        <v>5280</v>
      </c>
      <c r="BW262" s="14" t="s">
        <v>166</v>
      </c>
      <c r="BX262" s="14" t="s">
        <v>166</v>
      </c>
      <c r="BY262" s="14" t="s">
        <v>166</v>
      </c>
      <c r="BZ262" s="14" t="s">
        <v>5281</v>
      </c>
      <c r="CA262" s="14" t="s">
        <v>166</v>
      </c>
      <c r="CB262" s="14" t="s">
        <v>166</v>
      </c>
      <c r="CC262" s="14" t="s">
        <v>5281</v>
      </c>
      <c r="CD262" s="14" t="s">
        <v>166</v>
      </c>
      <c r="CE262" s="18" t="s">
        <v>166</v>
      </c>
      <c r="CF262" s="16" t="s">
        <v>166</v>
      </c>
      <c r="CG262" s="17" t="s">
        <v>166</v>
      </c>
      <c r="CH262" s="16" t="s">
        <v>166</v>
      </c>
      <c r="CI262" s="16" t="s">
        <v>166</v>
      </c>
      <c r="CJ262" s="16" t="s">
        <v>166</v>
      </c>
      <c r="CK262" s="16" t="s">
        <v>166</v>
      </c>
      <c r="CL262" s="16" t="s">
        <v>166</v>
      </c>
      <c r="CM262" s="20" t="s">
        <v>166</v>
      </c>
      <c r="CN262" s="16" t="s">
        <v>166</v>
      </c>
      <c r="CO262" s="16" t="s">
        <v>166</v>
      </c>
      <c r="CP262" s="16" t="s">
        <v>166</v>
      </c>
      <c r="CQ262" s="16" t="s">
        <v>166</v>
      </c>
      <c r="CR262" s="16" t="s">
        <v>166</v>
      </c>
      <c r="CS262" s="16" t="s">
        <v>166</v>
      </c>
      <c r="CT262" s="16" t="s">
        <v>166</v>
      </c>
      <c r="CU262" s="16" t="s">
        <v>166</v>
      </c>
      <c r="CV262" s="16" t="s">
        <v>166</v>
      </c>
      <c r="CW262" s="16" t="s">
        <v>166</v>
      </c>
      <c r="CX262" s="16" t="s">
        <v>166</v>
      </c>
      <c r="CY262" s="16" t="s">
        <v>166</v>
      </c>
      <c r="CZ262" s="16" t="s">
        <v>166</v>
      </c>
      <c r="DA262" s="16" t="s">
        <v>166</v>
      </c>
      <c r="DB262" s="16" t="s">
        <v>166</v>
      </c>
      <c r="DC262" s="16" t="s">
        <v>166</v>
      </c>
      <c r="DD262" s="16" t="s">
        <v>166</v>
      </c>
      <c r="DE262" s="17" t="s">
        <v>166</v>
      </c>
      <c r="DF262" s="22">
        <v>11</v>
      </c>
      <c r="DG262" s="14" t="s">
        <v>5282</v>
      </c>
      <c r="DH262" s="14" t="s">
        <v>193</v>
      </c>
      <c r="DI262" s="14" t="s">
        <v>194</v>
      </c>
      <c r="DJ262" s="14" t="s">
        <v>5283</v>
      </c>
      <c r="DK262" s="14" t="s">
        <v>257</v>
      </c>
      <c r="DL262" s="21" t="s">
        <v>5284</v>
      </c>
      <c r="DM262" s="14" t="s">
        <v>198</v>
      </c>
      <c r="DN262" s="13" t="s">
        <v>5285</v>
      </c>
      <c r="DO262" s="20">
        <v>2022</v>
      </c>
      <c r="DP262" s="14" t="s">
        <v>166</v>
      </c>
      <c r="DQ262" s="14" t="s">
        <v>166</v>
      </c>
      <c r="DR262" s="18" t="s">
        <v>166</v>
      </c>
      <c r="DS262" s="16" t="s">
        <v>166</v>
      </c>
      <c r="DT262" s="19" t="s">
        <v>166</v>
      </c>
      <c r="DU262" s="14" t="s">
        <v>166</v>
      </c>
      <c r="DV262" s="18" t="s">
        <v>166</v>
      </c>
      <c r="DW262" s="18" t="s">
        <v>166</v>
      </c>
      <c r="DX262" s="16" t="s">
        <v>166</v>
      </c>
      <c r="DY262" s="16" t="s">
        <v>166</v>
      </c>
      <c r="DZ262" s="17" t="s">
        <v>166</v>
      </c>
      <c r="EA262" s="16" t="s">
        <v>166</v>
      </c>
      <c r="EB262" s="16" t="s">
        <v>166</v>
      </c>
      <c r="EC262" s="16" t="s">
        <v>166</v>
      </c>
      <c r="ED262" s="17" t="s">
        <v>166</v>
      </c>
      <c r="EE262" s="17" t="s">
        <v>166</v>
      </c>
      <c r="EF262" s="17" t="s">
        <v>166</v>
      </c>
      <c r="EG262" s="17" t="s">
        <v>166</v>
      </c>
      <c r="EH262" s="16" t="s">
        <v>166</v>
      </c>
      <c r="EI262" s="16" t="s">
        <v>166</v>
      </c>
      <c r="EJ262" s="16" t="s">
        <v>166</v>
      </c>
      <c r="EK262" s="16" t="s">
        <v>166</v>
      </c>
      <c r="EL262" s="16" t="s">
        <v>166</v>
      </c>
      <c r="EM262" s="16" t="s">
        <v>166</v>
      </c>
      <c r="EN262" s="16" t="s">
        <v>166</v>
      </c>
      <c r="EO262" s="16" t="s">
        <v>166</v>
      </c>
      <c r="EP262" s="16" t="s">
        <v>166</v>
      </c>
      <c r="EQ262" s="16" t="s">
        <v>166</v>
      </c>
      <c r="ER262" s="16" t="s">
        <v>166</v>
      </c>
      <c r="ES262" s="16" t="s">
        <v>166</v>
      </c>
      <c r="ET262" s="14" t="s">
        <v>166</v>
      </c>
      <c r="EU262" s="16" t="s">
        <v>166</v>
      </c>
      <c r="EV262" s="16" t="s">
        <v>166</v>
      </c>
      <c r="EW262" s="16" t="s">
        <v>166</v>
      </c>
      <c r="EX262" s="14" t="s">
        <v>190</v>
      </c>
      <c r="EY262" s="14" t="s">
        <v>166</v>
      </c>
      <c r="EZ262" s="16" t="s">
        <v>166</v>
      </c>
      <c r="FA262" s="15" t="s">
        <v>166</v>
      </c>
      <c r="FB262" s="15" t="s">
        <v>166</v>
      </c>
      <c r="FC262" s="15" t="s">
        <v>166</v>
      </c>
      <c r="FD262" s="15" t="s">
        <v>166</v>
      </c>
      <c r="FE262" s="15" t="s">
        <v>166</v>
      </c>
      <c r="FF262" s="15" t="s">
        <v>166</v>
      </c>
      <c r="FG262" s="14" t="s">
        <v>166</v>
      </c>
      <c r="FH262" s="3">
        <f>HYPERLINK("https://my.pitchbook.com?c=204136-12T","View Company Online")</f>
      </c>
    </row>
    <row r="263">
      <c r="A263" s="25" t="s">
        <v>5286</v>
      </c>
      <c r="B263" s="25" t="s">
        <v>5287</v>
      </c>
      <c r="C263" s="25" t="s">
        <v>5288</v>
      </c>
      <c r="D263" s="25" t="s">
        <v>166</v>
      </c>
      <c r="E263" s="34" t="s">
        <v>5289</v>
      </c>
      <c r="F263" s="32">
        <v>1</v>
      </c>
      <c r="G263" s="25" t="s">
        <v>5290</v>
      </c>
      <c r="H263" s="25" t="s">
        <v>166</v>
      </c>
      <c r="I263" s="25" t="s">
        <v>5291</v>
      </c>
      <c r="J263" s="25" t="s">
        <v>5292</v>
      </c>
      <c r="K263" s="25" t="s">
        <v>207</v>
      </c>
      <c r="L263" s="25" t="s">
        <v>208</v>
      </c>
      <c r="M263" s="25" t="s">
        <v>965</v>
      </c>
      <c r="N263" s="25" t="s">
        <v>966</v>
      </c>
      <c r="O263" s="25" t="s">
        <v>580</v>
      </c>
      <c r="P263" s="25" t="s">
        <v>5293</v>
      </c>
      <c r="Q263" s="25" t="s">
        <v>166</v>
      </c>
      <c r="R263" s="25" t="s">
        <v>177</v>
      </c>
      <c r="S263" s="25" t="s">
        <v>178</v>
      </c>
      <c r="T263" s="25" t="s">
        <v>179</v>
      </c>
      <c r="U263" s="25" t="s">
        <v>5294</v>
      </c>
      <c r="V263" s="25" t="s">
        <v>5295</v>
      </c>
      <c r="W263" s="32" t="s">
        <v>166</v>
      </c>
      <c r="X263" s="25" t="s">
        <v>5296</v>
      </c>
      <c r="Y263" s="25" t="s">
        <v>5297</v>
      </c>
      <c r="Z263" s="25" t="s">
        <v>166</v>
      </c>
      <c r="AA263" s="25" t="s">
        <v>166</v>
      </c>
      <c r="AB263" s="25" t="s">
        <v>166</v>
      </c>
      <c r="AC263" s="25" t="s">
        <v>166</v>
      </c>
      <c r="AD263" s="25" t="s">
        <v>166</v>
      </c>
      <c r="AE263" s="25" t="s">
        <v>166</v>
      </c>
      <c r="AF263" s="25" t="s">
        <v>166</v>
      </c>
      <c r="AG263" s="25" t="s">
        <v>166</v>
      </c>
      <c r="AH263" s="32">
        <v>2</v>
      </c>
      <c r="AI263" s="4">
        <f>HYPERLINK("https://my.pitchbook.com/?d=186326-38T","186326-38T")</f>
      </c>
      <c r="AJ263" s="30" t="s">
        <v>166</v>
      </c>
      <c r="AK263" s="30">
        <v>44438</v>
      </c>
      <c r="AL263" s="29">
        <v>0.05</v>
      </c>
      <c r="AM263" s="25" t="s">
        <v>185</v>
      </c>
      <c r="AN263" s="29" t="s">
        <v>166</v>
      </c>
      <c r="AO263" s="29" t="s">
        <v>166</v>
      </c>
      <c r="AP263" s="25" t="s">
        <v>166</v>
      </c>
      <c r="AQ263" s="32" t="s">
        <v>166</v>
      </c>
      <c r="AR263" s="32" t="s">
        <v>166</v>
      </c>
      <c r="AS263" s="28" t="s">
        <v>166</v>
      </c>
      <c r="AT263" s="29">
        <v>0.1</v>
      </c>
      <c r="AU263" s="32" t="s">
        <v>186</v>
      </c>
      <c r="AV263" s="32" t="s">
        <v>166</v>
      </c>
      <c r="AW263" s="29" t="s">
        <v>166</v>
      </c>
      <c r="AX263" s="32" t="s">
        <v>166</v>
      </c>
      <c r="AY263" s="25" t="s">
        <v>217</v>
      </c>
      <c r="AZ263" s="25" t="s">
        <v>217</v>
      </c>
      <c r="BA263" s="25" t="s">
        <v>166</v>
      </c>
      <c r="BB263" s="32" t="s">
        <v>166</v>
      </c>
      <c r="BC263" s="25" t="s">
        <v>179</v>
      </c>
      <c r="BD263" s="25" t="s">
        <v>5298</v>
      </c>
      <c r="BE263" s="25" t="s">
        <v>189</v>
      </c>
      <c r="BF263" s="29">
        <v>0.05</v>
      </c>
      <c r="BG263" s="25" t="s">
        <v>190</v>
      </c>
      <c r="BH263" s="25" t="s">
        <v>166</v>
      </c>
      <c r="BI263" s="25" t="s">
        <v>166</v>
      </c>
      <c r="BJ263" s="29" t="s">
        <v>166</v>
      </c>
      <c r="BK263" s="29" t="s">
        <v>166</v>
      </c>
      <c r="BL263" s="25" t="s">
        <v>191</v>
      </c>
      <c r="BM263" s="25" t="s">
        <v>178</v>
      </c>
      <c r="BN263" s="25" t="s">
        <v>177</v>
      </c>
      <c r="BO263" s="33" t="s">
        <v>166</v>
      </c>
      <c r="BP263" s="25" t="s">
        <v>5289</v>
      </c>
      <c r="BQ263" s="32">
        <v>1</v>
      </c>
      <c r="BR263" s="25" t="s">
        <v>166</v>
      </c>
      <c r="BS263" s="32" t="s">
        <v>166</v>
      </c>
      <c r="BT263" s="25" t="s">
        <v>166</v>
      </c>
      <c r="BU263" s="25" t="s">
        <v>166</v>
      </c>
      <c r="BV263" s="25" t="s">
        <v>166</v>
      </c>
      <c r="BW263" s="25" t="s">
        <v>166</v>
      </c>
      <c r="BX263" s="25" t="s">
        <v>166</v>
      </c>
      <c r="BY263" s="25" t="s">
        <v>166</v>
      </c>
      <c r="BZ263" s="25" t="s">
        <v>166</v>
      </c>
      <c r="CA263" s="25" t="s">
        <v>166</v>
      </c>
      <c r="CB263" s="25" t="s">
        <v>166</v>
      </c>
      <c r="CC263" s="25" t="s">
        <v>166</v>
      </c>
      <c r="CD263" s="25" t="s">
        <v>166</v>
      </c>
      <c r="CE263" s="29" t="s">
        <v>166</v>
      </c>
      <c r="CF263" s="27" t="s">
        <v>166</v>
      </c>
      <c r="CG263" s="28" t="s">
        <v>166</v>
      </c>
      <c r="CH263" s="27" t="s">
        <v>166</v>
      </c>
      <c r="CI263" s="27" t="s">
        <v>166</v>
      </c>
      <c r="CJ263" s="27" t="s">
        <v>166</v>
      </c>
      <c r="CK263" s="27" t="s">
        <v>166</v>
      </c>
      <c r="CL263" s="27" t="s">
        <v>166</v>
      </c>
      <c r="CM263" s="31" t="s">
        <v>166</v>
      </c>
      <c r="CN263" s="27" t="s">
        <v>166</v>
      </c>
      <c r="CO263" s="27" t="s">
        <v>166</v>
      </c>
      <c r="CP263" s="27" t="s">
        <v>166</v>
      </c>
      <c r="CQ263" s="27" t="s">
        <v>166</v>
      </c>
      <c r="CR263" s="27" t="s">
        <v>166</v>
      </c>
      <c r="CS263" s="27" t="s">
        <v>166</v>
      </c>
      <c r="CT263" s="27" t="s">
        <v>166</v>
      </c>
      <c r="CU263" s="27" t="s">
        <v>166</v>
      </c>
      <c r="CV263" s="27" t="s">
        <v>166</v>
      </c>
      <c r="CW263" s="27" t="s">
        <v>166</v>
      </c>
      <c r="CX263" s="27" t="s">
        <v>166</v>
      </c>
      <c r="CY263" s="27" t="s">
        <v>166</v>
      </c>
      <c r="CZ263" s="27" t="s">
        <v>166</v>
      </c>
      <c r="DA263" s="27" t="s">
        <v>166</v>
      </c>
      <c r="DB263" s="27" t="s">
        <v>166</v>
      </c>
      <c r="DC263" s="27" t="s">
        <v>166</v>
      </c>
      <c r="DD263" s="27" t="s">
        <v>166</v>
      </c>
      <c r="DE263" s="28" t="s">
        <v>166</v>
      </c>
      <c r="DF263" s="33">
        <v>6</v>
      </c>
      <c r="DG263" s="25" t="s">
        <v>309</v>
      </c>
      <c r="DH263" s="25" t="s">
        <v>193</v>
      </c>
      <c r="DI263" s="25" t="s">
        <v>194</v>
      </c>
      <c r="DJ263" s="25" t="s">
        <v>310</v>
      </c>
      <c r="DK263" s="25" t="s">
        <v>310</v>
      </c>
      <c r="DL263" s="32" t="s">
        <v>166</v>
      </c>
      <c r="DM263" s="25" t="s">
        <v>198</v>
      </c>
      <c r="DN263" s="24" t="s">
        <v>5299</v>
      </c>
      <c r="DO263" s="31">
        <v>2021</v>
      </c>
      <c r="DP263" s="25" t="s">
        <v>166</v>
      </c>
      <c r="DQ263" s="25" t="s">
        <v>166</v>
      </c>
      <c r="DR263" s="29" t="s">
        <v>166</v>
      </c>
      <c r="DS263" s="27" t="s">
        <v>166</v>
      </c>
      <c r="DT263" s="30" t="s">
        <v>166</v>
      </c>
      <c r="DU263" s="25" t="s">
        <v>166</v>
      </c>
      <c r="DV263" s="29" t="s">
        <v>166</v>
      </c>
      <c r="DW263" s="29" t="s">
        <v>166</v>
      </c>
      <c r="DX263" s="27" t="s">
        <v>166</v>
      </c>
      <c r="DY263" s="27" t="s">
        <v>166</v>
      </c>
      <c r="DZ263" s="28" t="s">
        <v>166</v>
      </c>
      <c r="EA263" s="27" t="s">
        <v>166</v>
      </c>
      <c r="EB263" s="27" t="s">
        <v>166</v>
      </c>
      <c r="EC263" s="27" t="s">
        <v>166</v>
      </c>
      <c r="ED263" s="28" t="s">
        <v>166</v>
      </c>
      <c r="EE263" s="28" t="s">
        <v>166</v>
      </c>
      <c r="EF263" s="28" t="s">
        <v>166</v>
      </c>
      <c r="EG263" s="28" t="s">
        <v>166</v>
      </c>
      <c r="EH263" s="27" t="s">
        <v>166</v>
      </c>
      <c r="EI263" s="27" t="s">
        <v>166</v>
      </c>
      <c r="EJ263" s="27" t="s">
        <v>166</v>
      </c>
      <c r="EK263" s="27" t="s">
        <v>166</v>
      </c>
      <c r="EL263" s="27" t="s">
        <v>166</v>
      </c>
      <c r="EM263" s="27" t="s">
        <v>166</v>
      </c>
      <c r="EN263" s="27" t="s">
        <v>166</v>
      </c>
      <c r="EO263" s="27" t="s">
        <v>166</v>
      </c>
      <c r="EP263" s="27" t="s">
        <v>166</v>
      </c>
      <c r="EQ263" s="27" t="s">
        <v>166</v>
      </c>
      <c r="ER263" s="27" t="s">
        <v>166</v>
      </c>
      <c r="ES263" s="27" t="s">
        <v>166</v>
      </c>
      <c r="ET263" s="25" t="s">
        <v>166</v>
      </c>
      <c r="EU263" s="27" t="s">
        <v>166</v>
      </c>
      <c r="EV263" s="27" t="s">
        <v>166</v>
      </c>
      <c r="EW263" s="27" t="s">
        <v>166</v>
      </c>
      <c r="EX263" s="25" t="s">
        <v>190</v>
      </c>
      <c r="EY263" s="25" t="s">
        <v>166</v>
      </c>
      <c r="EZ263" s="27" t="s">
        <v>166</v>
      </c>
      <c r="FA263" s="26" t="s">
        <v>166</v>
      </c>
      <c r="FB263" s="26" t="s">
        <v>166</v>
      </c>
      <c r="FC263" s="26" t="s">
        <v>166</v>
      </c>
      <c r="FD263" s="26" t="s">
        <v>166</v>
      </c>
      <c r="FE263" s="26" t="s">
        <v>166</v>
      </c>
      <c r="FF263" s="26" t="s">
        <v>166</v>
      </c>
      <c r="FG263" s="25" t="s">
        <v>166</v>
      </c>
      <c r="FH263" s="4">
        <f>HYPERLINK("https://my.pitchbook.com?c=186326-38T","View Company Online")</f>
      </c>
    </row>
    <row r="264">
      <c r="A264" s="14" t="s">
        <v>5300</v>
      </c>
      <c r="B264" s="14" t="s">
        <v>5301</v>
      </c>
      <c r="C264" s="14" t="s">
        <v>5302</v>
      </c>
      <c r="D264" s="14" t="s">
        <v>166</v>
      </c>
      <c r="E264" s="23" t="s">
        <v>5303</v>
      </c>
      <c r="F264" s="21">
        <v>2</v>
      </c>
      <c r="G264" s="14" t="s">
        <v>5304</v>
      </c>
      <c r="H264" s="14" t="s">
        <v>166</v>
      </c>
      <c r="I264" s="14" t="s">
        <v>5305</v>
      </c>
      <c r="J264" s="14" t="s">
        <v>5306</v>
      </c>
      <c r="K264" s="14" t="s">
        <v>171</v>
      </c>
      <c r="L264" s="14" t="s">
        <v>172</v>
      </c>
      <c r="M264" s="14" t="s">
        <v>818</v>
      </c>
      <c r="N264" s="14" t="s">
        <v>5307</v>
      </c>
      <c r="O264" s="14" t="s">
        <v>5308</v>
      </c>
      <c r="P264" s="14" t="s">
        <v>5309</v>
      </c>
      <c r="Q264" s="14" t="s">
        <v>5310</v>
      </c>
      <c r="R264" s="14" t="s">
        <v>177</v>
      </c>
      <c r="S264" s="14" t="s">
        <v>358</v>
      </c>
      <c r="T264" s="14" t="s">
        <v>179</v>
      </c>
      <c r="U264" s="14" t="s">
        <v>5311</v>
      </c>
      <c r="V264" s="14" t="s">
        <v>5312</v>
      </c>
      <c r="W264" s="21" t="s">
        <v>5313</v>
      </c>
      <c r="X264" s="14" t="s">
        <v>5314</v>
      </c>
      <c r="Y264" s="14" t="s">
        <v>5315</v>
      </c>
      <c r="Z264" s="14" t="s">
        <v>166</v>
      </c>
      <c r="AA264" s="14" t="s">
        <v>166</v>
      </c>
      <c r="AB264" s="14" t="s">
        <v>166</v>
      </c>
      <c r="AC264" s="14" t="s">
        <v>166</v>
      </c>
      <c r="AD264" s="14" t="s">
        <v>166</v>
      </c>
      <c r="AE264" s="14" t="s">
        <v>166</v>
      </c>
      <c r="AF264" s="14" t="s">
        <v>166</v>
      </c>
      <c r="AG264" s="14" t="s">
        <v>166</v>
      </c>
      <c r="AH264" s="21">
        <v>1</v>
      </c>
      <c r="AI264" s="3">
        <f>HYPERLINK("https://my.pitchbook.com/?d=184859-11T","184859-11T")</f>
      </c>
      <c r="AJ264" s="19">
        <v>44524</v>
      </c>
      <c r="AK264" s="19">
        <v>44539</v>
      </c>
      <c r="AL264" s="18">
        <v>4.78</v>
      </c>
      <c r="AM264" s="14" t="s">
        <v>185</v>
      </c>
      <c r="AN264" s="18" t="s">
        <v>166</v>
      </c>
      <c r="AO264" s="18" t="s">
        <v>166</v>
      </c>
      <c r="AP264" s="14" t="s">
        <v>166</v>
      </c>
      <c r="AQ264" s="21" t="s">
        <v>166</v>
      </c>
      <c r="AR264" s="21" t="s">
        <v>166</v>
      </c>
      <c r="AS264" s="17" t="s">
        <v>166</v>
      </c>
      <c r="AT264" s="18">
        <v>4.78</v>
      </c>
      <c r="AU264" s="21" t="s">
        <v>186</v>
      </c>
      <c r="AV264" s="21" t="s">
        <v>166</v>
      </c>
      <c r="AW264" s="18" t="s">
        <v>166</v>
      </c>
      <c r="AX264" s="21" t="s">
        <v>746</v>
      </c>
      <c r="AY264" s="14" t="s">
        <v>217</v>
      </c>
      <c r="AZ264" s="14" t="s">
        <v>746</v>
      </c>
      <c r="BA264" s="14" t="s">
        <v>166</v>
      </c>
      <c r="BB264" s="21" t="s">
        <v>166</v>
      </c>
      <c r="BC264" s="14" t="s">
        <v>179</v>
      </c>
      <c r="BD264" s="14" t="s">
        <v>5316</v>
      </c>
      <c r="BE264" s="14" t="s">
        <v>189</v>
      </c>
      <c r="BF264" s="18">
        <v>4.78</v>
      </c>
      <c r="BG264" s="14" t="s">
        <v>190</v>
      </c>
      <c r="BH264" s="14" t="s">
        <v>166</v>
      </c>
      <c r="BI264" s="14" t="s">
        <v>166</v>
      </c>
      <c r="BJ264" s="18" t="s">
        <v>166</v>
      </c>
      <c r="BK264" s="18" t="s">
        <v>166</v>
      </c>
      <c r="BL264" s="14" t="s">
        <v>191</v>
      </c>
      <c r="BM264" s="14" t="s">
        <v>358</v>
      </c>
      <c r="BN264" s="14" t="s">
        <v>177</v>
      </c>
      <c r="BO264" s="22" t="s">
        <v>166</v>
      </c>
      <c r="BP264" s="14" t="s">
        <v>5303</v>
      </c>
      <c r="BQ264" s="21">
        <v>2</v>
      </c>
      <c r="BR264" s="14" t="s">
        <v>166</v>
      </c>
      <c r="BS264" s="21" t="s">
        <v>166</v>
      </c>
      <c r="BT264" s="14" t="s">
        <v>5317</v>
      </c>
      <c r="BU264" s="14" t="s">
        <v>166</v>
      </c>
      <c r="BV264" s="14" t="s">
        <v>166</v>
      </c>
      <c r="BW264" s="14" t="s">
        <v>166</v>
      </c>
      <c r="BX264" s="14" t="s">
        <v>166</v>
      </c>
      <c r="BY264" s="14" t="s">
        <v>166</v>
      </c>
      <c r="BZ264" s="14" t="s">
        <v>5318</v>
      </c>
      <c r="CA264" s="14" t="s">
        <v>5318</v>
      </c>
      <c r="CB264" s="14" t="s">
        <v>166</v>
      </c>
      <c r="CC264" s="14" t="s">
        <v>166</v>
      </c>
      <c r="CD264" s="14" t="s">
        <v>166</v>
      </c>
      <c r="CE264" s="18" t="s">
        <v>166</v>
      </c>
      <c r="CF264" s="16" t="s">
        <v>166</v>
      </c>
      <c r="CG264" s="17" t="s">
        <v>166</v>
      </c>
      <c r="CH264" s="16" t="s">
        <v>166</v>
      </c>
      <c r="CI264" s="16" t="s">
        <v>166</v>
      </c>
      <c r="CJ264" s="16" t="s">
        <v>166</v>
      </c>
      <c r="CK264" s="16" t="s">
        <v>166</v>
      </c>
      <c r="CL264" s="16" t="s">
        <v>166</v>
      </c>
      <c r="CM264" s="20" t="s">
        <v>166</v>
      </c>
      <c r="CN264" s="16" t="s">
        <v>166</v>
      </c>
      <c r="CO264" s="16" t="s">
        <v>166</v>
      </c>
      <c r="CP264" s="16" t="s">
        <v>166</v>
      </c>
      <c r="CQ264" s="16" t="s">
        <v>166</v>
      </c>
      <c r="CR264" s="16" t="s">
        <v>166</v>
      </c>
      <c r="CS264" s="16" t="s">
        <v>166</v>
      </c>
      <c r="CT264" s="16" t="s">
        <v>166</v>
      </c>
      <c r="CU264" s="16" t="s">
        <v>166</v>
      </c>
      <c r="CV264" s="16" t="s">
        <v>166</v>
      </c>
      <c r="CW264" s="16" t="s">
        <v>166</v>
      </c>
      <c r="CX264" s="16" t="s">
        <v>166</v>
      </c>
      <c r="CY264" s="16" t="s">
        <v>166</v>
      </c>
      <c r="CZ264" s="16" t="s">
        <v>166</v>
      </c>
      <c r="DA264" s="16" t="s">
        <v>166</v>
      </c>
      <c r="DB264" s="16" t="s">
        <v>166</v>
      </c>
      <c r="DC264" s="16" t="s">
        <v>166</v>
      </c>
      <c r="DD264" s="16" t="s">
        <v>166</v>
      </c>
      <c r="DE264" s="17" t="s">
        <v>166</v>
      </c>
      <c r="DF264" s="22">
        <v>20</v>
      </c>
      <c r="DG264" s="14" t="s">
        <v>5319</v>
      </c>
      <c r="DH264" s="14" t="s">
        <v>193</v>
      </c>
      <c r="DI264" s="14" t="s">
        <v>194</v>
      </c>
      <c r="DJ264" s="14" t="s">
        <v>5320</v>
      </c>
      <c r="DK264" s="14" t="s">
        <v>4671</v>
      </c>
      <c r="DL264" s="21" t="s">
        <v>5321</v>
      </c>
      <c r="DM264" s="14" t="s">
        <v>198</v>
      </c>
      <c r="DN264" s="13" t="s">
        <v>5322</v>
      </c>
      <c r="DO264" s="20" t="s">
        <v>166</v>
      </c>
      <c r="DP264" s="14" t="s">
        <v>166</v>
      </c>
      <c r="DQ264" s="14" t="s">
        <v>166</v>
      </c>
      <c r="DR264" s="18" t="s">
        <v>166</v>
      </c>
      <c r="DS264" s="16" t="s">
        <v>166</v>
      </c>
      <c r="DT264" s="19" t="s">
        <v>166</v>
      </c>
      <c r="DU264" s="14" t="s">
        <v>166</v>
      </c>
      <c r="DV264" s="18" t="s">
        <v>166</v>
      </c>
      <c r="DW264" s="18" t="s">
        <v>166</v>
      </c>
      <c r="DX264" s="16" t="s">
        <v>166</v>
      </c>
      <c r="DY264" s="16" t="s">
        <v>166</v>
      </c>
      <c r="DZ264" s="17" t="s">
        <v>166</v>
      </c>
      <c r="EA264" s="16" t="s">
        <v>166</v>
      </c>
      <c r="EB264" s="16" t="s">
        <v>166</v>
      </c>
      <c r="EC264" s="16" t="s">
        <v>166</v>
      </c>
      <c r="ED264" s="17" t="s">
        <v>166</v>
      </c>
      <c r="EE264" s="17" t="s">
        <v>166</v>
      </c>
      <c r="EF264" s="17" t="s">
        <v>166</v>
      </c>
      <c r="EG264" s="17" t="s">
        <v>166</v>
      </c>
      <c r="EH264" s="16" t="s">
        <v>166</v>
      </c>
      <c r="EI264" s="16" t="s">
        <v>166</v>
      </c>
      <c r="EJ264" s="16" t="s">
        <v>166</v>
      </c>
      <c r="EK264" s="16" t="s">
        <v>166</v>
      </c>
      <c r="EL264" s="16" t="s">
        <v>166</v>
      </c>
      <c r="EM264" s="16" t="s">
        <v>166</v>
      </c>
      <c r="EN264" s="16" t="s">
        <v>166</v>
      </c>
      <c r="EO264" s="16" t="s">
        <v>166</v>
      </c>
      <c r="EP264" s="16" t="s">
        <v>166</v>
      </c>
      <c r="EQ264" s="16" t="s">
        <v>166</v>
      </c>
      <c r="ER264" s="16" t="s">
        <v>166</v>
      </c>
      <c r="ES264" s="16" t="s">
        <v>166</v>
      </c>
      <c r="ET264" s="14" t="s">
        <v>166</v>
      </c>
      <c r="EU264" s="16" t="s">
        <v>166</v>
      </c>
      <c r="EV264" s="16" t="s">
        <v>166</v>
      </c>
      <c r="EW264" s="16" t="s">
        <v>166</v>
      </c>
      <c r="EX264" s="14" t="s">
        <v>190</v>
      </c>
      <c r="EY264" s="14" t="s">
        <v>166</v>
      </c>
      <c r="EZ264" s="16" t="s">
        <v>166</v>
      </c>
      <c r="FA264" s="15">
        <v>1</v>
      </c>
      <c r="FB264" s="15">
        <v>1</v>
      </c>
      <c r="FC264" s="15" t="s">
        <v>166</v>
      </c>
      <c r="FD264" s="15" t="s">
        <v>166</v>
      </c>
      <c r="FE264" s="15" t="s">
        <v>166</v>
      </c>
      <c r="FF264" s="15">
        <v>1</v>
      </c>
      <c r="FG264" s="14" t="s">
        <v>166</v>
      </c>
      <c r="FH264" s="3">
        <f>HYPERLINK("https://my.pitchbook.com?c=184859-11T","View Company Online")</f>
      </c>
    </row>
    <row r="265">
      <c r="A265" s="25" t="s">
        <v>5323</v>
      </c>
      <c r="B265" s="25" t="s">
        <v>5324</v>
      </c>
      <c r="C265" s="25" t="s">
        <v>5325</v>
      </c>
      <c r="D265" s="25" t="s">
        <v>166</v>
      </c>
      <c r="E265" s="34" t="s">
        <v>5326</v>
      </c>
      <c r="F265" s="32">
        <v>2</v>
      </c>
      <c r="G265" s="25" t="s">
        <v>5327</v>
      </c>
      <c r="H265" s="25" t="s">
        <v>166</v>
      </c>
      <c r="I265" s="25" t="s">
        <v>5328</v>
      </c>
      <c r="J265" s="25" t="s">
        <v>5329</v>
      </c>
      <c r="K265" s="25" t="s">
        <v>1500</v>
      </c>
      <c r="L265" s="25" t="s">
        <v>1501</v>
      </c>
      <c r="M265" s="25" t="s">
        <v>1502</v>
      </c>
      <c r="N265" s="25" t="s">
        <v>1503</v>
      </c>
      <c r="O265" s="25" t="s">
        <v>5330</v>
      </c>
      <c r="P265" s="25" t="s">
        <v>5331</v>
      </c>
      <c r="Q265" s="25" t="s">
        <v>166</v>
      </c>
      <c r="R265" s="25" t="s">
        <v>177</v>
      </c>
      <c r="S265" s="25" t="s">
        <v>178</v>
      </c>
      <c r="T265" s="25" t="s">
        <v>179</v>
      </c>
      <c r="U265" s="25" t="s">
        <v>5332</v>
      </c>
      <c r="V265" s="25" t="s">
        <v>5333</v>
      </c>
      <c r="W265" s="32" t="s">
        <v>5334</v>
      </c>
      <c r="X265" s="25" t="s">
        <v>5335</v>
      </c>
      <c r="Y265" s="25" t="s">
        <v>5336</v>
      </c>
      <c r="Z265" s="25" t="s">
        <v>5337</v>
      </c>
      <c r="AA265" s="25" t="s">
        <v>166</v>
      </c>
      <c r="AB265" s="25" t="s">
        <v>166</v>
      </c>
      <c r="AC265" s="25" t="s">
        <v>166</v>
      </c>
      <c r="AD265" s="25" t="s">
        <v>166</v>
      </c>
      <c r="AE265" s="25" t="s">
        <v>166</v>
      </c>
      <c r="AF265" s="25" t="s">
        <v>166</v>
      </c>
      <c r="AG265" s="25" t="s">
        <v>166</v>
      </c>
      <c r="AH265" s="32">
        <v>1</v>
      </c>
      <c r="AI265" s="4">
        <f>HYPERLINK("https://my.pitchbook.com/?d=218917-81T","218917-81T")</f>
      </c>
      <c r="AJ265" s="30" t="s">
        <v>166</v>
      </c>
      <c r="AK265" s="30">
        <v>44932</v>
      </c>
      <c r="AL265" s="29">
        <v>0.27</v>
      </c>
      <c r="AM265" s="25" t="s">
        <v>185</v>
      </c>
      <c r="AN265" s="29">
        <v>1.73</v>
      </c>
      <c r="AO265" s="29">
        <v>2</v>
      </c>
      <c r="AP265" s="25" t="s">
        <v>185</v>
      </c>
      <c r="AQ265" s="32" t="s">
        <v>166</v>
      </c>
      <c r="AR265" s="32" t="s">
        <v>166</v>
      </c>
      <c r="AS265" s="28" t="s">
        <v>166</v>
      </c>
      <c r="AT265" s="29">
        <v>0.27</v>
      </c>
      <c r="AU265" s="32" t="s">
        <v>186</v>
      </c>
      <c r="AV265" s="32" t="s">
        <v>166</v>
      </c>
      <c r="AW265" s="29" t="s">
        <v>166</v>
      </c>
      <c r="AX265" s="32" t="s">
        <v>166</v>
      </c>
      <c r="AY265" s="25" t="s">
        <v>217</v>
      </c>
      <c r="AZ265" s="25" t="s">
        <v>217</v>
      </c>
      <c r="BA265" s="25" t="s">
        <v>166</v>
      </c>
      <c r="BB265" s="32" t="s">
        <v>166</v>
      </c>
      <c r="BC265" s="25" t="s">
        <v>179</v>
      </c>
      <c r="BD265" s="25" t="s">
        <v>5338</v>
      </c>
      <c r="BE265" s="25" t="s">
        <v>189</v>
      </c>
      <c r="BF265" s="29">
        <v>0.27</v>
      </c>
      <c r="BG265" s="25" t="s">
        <v>190</v>
      </c>
      <c r="BH265" s="25" t="s">
        <v>166</v>
      </c>
      <c r="BI265" s="25" t="s">
        <v>166</v>
      </c>
      <c r="BJ265" s="29" t="s">
        <v>166</v>
      </c>
      <c r="BK265" s="29" t="s">
        <v>166</v>
      </c>
      <c r="BL265" s="25" t="s">
        <v>191</v>
      </c>
      <c r="BM265" s="25" t="s">
        <v>178</v>
      </c>
      <c r="BN265" s="25" t="s">
        <v>177</v>
      </c>
      <c r="BO265" s="33">
        <v>3</v>
      </c>
      <c r="BP265" s="25" t="s">
        <v>5339</v>
      </c>
      <c r="BQ265" s="32">
        <v>2</v>
      </c>
      <c r="BR265" s="25" t="s">
        <v>166</v>
      </c>
      <c r="BS265" s="32" t="s">
        <v>166</v>
      </c>
      <c r="BT265" s="25" t="s">
        <v>5340</v>
      </c>
      <c r="BU265" s="25" t="s">
        <v>166</v>
      </c>
      <c r="BV265" s="25" t="s">
        <v>5341</v>
      </c>
      <c r="BW265" s="25" t="s">
        <v>166</v>
      </c>
      <c r="BX265" s="25" t="s">
        <v>166</v>
      </c>
      <c r="BY265" s="25" t="s">
        <v>166</v>
      </c>
      <c r="BZ265" s="25" t="s">
        <v>166</v>
      </c>
      <c r="CA265" s="25" t="s">
        <v>166</v>
      </c>
      <c r="CB265" s="25" t="s">
        <v>166</v>
      </c>
      <c r="CC265" s="25" t="s">
        <v>166</v>
      </c>
      <c r="CD265" s="25" t="s">
        <v>166</v>
      </c>
      <c r="CE265" s="29" t="s">
        <v>166</v>
      </c>
      <c r="CF265" s="27" t="s">
        <v>166</v>
      </c>
      <c r="CG265" s="28" t="s">
        <v>166</v>
      </c>
      <c r="CH265" s="27" t="s">
        <v>166</v>
      </c>
      <c r="CI265" s="27" t="s">
        <v>166</v>
      </c>
      <c r="CJ265" s="27" t="s">
        <v>166</v>
      </c>
      <c r="CK265" s="27" t="s">
        <v>166</v>
      </c>
      <c r="CL265" s="27" t="s">
        <v>166</v>
      </c>
      <c r="CM265" s="31" t="s">
        <v>166</v>
      </c>
      <c r="CN265" s="27" t="s">
        <v>166</v>
      </c>
      <c r="CO265" s="27" t="s">
        <v>166</v>
      </c>
      <c r="CP265" s="27" t="s">
        <v>166</v>
      </c>
      <c r="CQ265" s="27" t="s">
        <v>166</v>
      </c>
      <c r="CR265" s="27" t="s">
        <v>166</v>
      </c>
      <c r="CS265" s="27" t="s">
        <v>166</v>
      </c>
      <c r="CT265" s="27" t="s">
        <v>166</v>
      </c>
      <c r="CU265" s="27" t="s">
        <v>166</v>
      </c>
      <c r="CV265" s="27" t="s">
        <v>166</v>
      </c>
      <c r="CW265" s="27" t="s">
        <v>166</v>
      </c>
      <c r="CX265" s="27" t="s">
        <v>166</v>
      </c>
      <c r="CY265" s="27" t="s">
        <v>166</v>
      </c>
      <c r="CZ265" s="27" t="s">
        <v>166</v>
      </c>
      <c r="DA265" s="27" t="s">
        <v>166</v>
      </c>
      <c r="DB265" s="27" t="s">
        <v>166</v>
      </c>
      <c r="DC265" s="27" t="s">
        <v>166</v>
      </c>
      <c r="DD265" s="27" t="s">
        <v>166</v>
      </c>
      <c r="DE265" s="28" t="s">
        <v>166</v>
      </c>
      <c r="DF265" s="33">
        <v>5</v>
      </c>
      <c r="DG265" s="25" t="s">
        <v>998</v>
      </c>
      <c r="DH265" s="25" t="s">
        <v>193</v>
      </c>
      <c r="DI265" s="25" t="s">
        <v>194</v>
      </c>
      <c r="DJ265" s="25" t="s">
        <v>999</v>
      </c>
      <c r="DK265" s="25" t="s">
        <v>1000</v>
      </c>
      <c r="DL265" s="32" t="s">
        <v>5342</v>
      </c>
      <c r="DM265" s="25" t="s">
        <v>198</v>
      </c>
      <c r="DN265" s="24" t="s">
        <v>5343</v>
      </c>
      <c r="DO265" s="31">
        <v>2021</v>
      </c>
      <c r="DP265" s="25" t="s">
        <v>166</v>
      </c>
      <c r="DQ265" s="25" t="s">
        <v>166</v>
      </c>
      <c r="DR265" s="29" t="s">
        <v>166</v>
      </c>
      <c r="DS265" s="27" t="s">
        <v>166</v>
      </c>
      <c r="DT265" s="30" t="s">
        <v>166</v>
      </c>
      <c r="DU265" s="25" t="s">
        <v>166</v>
      </c>
      <c r="DV265" s="29" t="s">
        <v>166</v>
      </c>
      <c r="DW265" s="29" t="s">
        <v>166</v>
      </c>
      <c r="DX265" s="27" t="s">
        <v>166</v>
      </c>
      <c r="DY265" s="27" t="s">
        <v>166</v>
      </c>
      <c r="DZ265" s="28" t="s">
        <v>166</v>
      </c>
      <c r="EA265" s="27" t="s">
        <v>166</v>
      </c>
      <c r="EB265" s="27" t="s">
        <v>166</v>
      </c>
      <c r="EC265" s="27" t="s">
        <v>166</v>
      </c>
      <c r="ED265" s="28" t="s">
        <v>166</v>
      </c>
      <c r="EE265" s="28" t="s">
        <v>166</v>
      </c>
      <c r="EF265" s="28" t="s">
        <v>166</v>
      </c>
      <c r="EG265" s="28" t="s">
        <v>166</v>
      </c>
      <c r="EH265" s="27" t="s">
        <v>166</v>
      </c>
      <c r="EI265" s="27" t="s">
        <v>166</v>
      </c>
      <c r="EJ265" s="27" t="s">
        <v>166</v>
      </c>
      <c r="EK265" s="27" t="s">
        <v>166</v>
      </c>
      <c r="EL265" s="27" t="s">
        <v>166</v>
      </c>
      <c r="EM265" s="27" t="s">
        <v>166</v>
      </c>
      <c r="EN265" s="27" t="s">
        <v>166</v>
      </c>
      <c r="EO265" s="27" t="s">
        <v>166</v>
      </c>
      <c r="EP265" s="27" t="s">
        <v>166</v>
      </c>
      <c r="EQ265" s="27" t="s">
        <v>166</v>
      </c>
      <c r="ER265" s="27" t="s">
        <v>166</v>
      </c>
      <c r="ES265" s="27" t="s">
        <v>166</v>
      </c>
      <c r="ET265" s="25" t="s">
        <v>166</v>
      </c>
      <c r="EU265" s="27" t="s">
        <v>166</v>
      </c>
      <c r="EV265" s="27" t="s">
        <v>166</v>
      </c>
      <c r="EW265" s="27" t="s">
        <v>166</v>
      </c>
      <c r="EX265" s="25" t="s">
        <v>190</v>
      </c>
      <c r="EY265" s="25" t="s">
        <v>166</v>
      </c>
      <c r="EZ265" s="27" t="s">
        <v>166</v>
      </c>
      <c r="FA265" s="26">
        <v>1</v>
      </c>
      <c r="FB265" s="26">
        <v>1</v>
      </c>
      <c r="FC265" s="26" t="s">
        <v>166</v>
      </c>
      <c r="FD265" s="26">
        <v>1</v>
      </c>
      <c r="FE265" s="26" t="s">
        <v>166</v>
      </c>
      <c r="FF265" s="26" t="s">
        <v>166</v>
      </c>
      <c r="FG265" s="25" t="s">
        <v>5344</v>
      </c>
      <c r="FH265" s="4">
        <f>HYPERLINK("https://my.pitchbook.com?c=218917-81T","View Company Online")</f>
      </c>
    </row>
    <row r="266">
      <c r="A266" s="14" t="s">
        <v>5345</v>
      </c>
      <c r="B266" s="14" t="s">
        <v>5346</v>
      </c>
      <c r="C266" s="14" t="s">
        <v>5347</v>
      </c>
      <c r="D266" s="14" t="s">
        <v>166</v>
      </c>
      <c r="E266" s="23" t="s">
        <v>5348</v>
      </c>
      <c r="F266" s="21">
        <v>4</v>
      </c>
      <c r="G266" s="14" t="s">
        <v>5349</v>
      </c>
      <c r="H266" s="14" t="s">
        <v>166</v>
      </c>
      <c r="I266" s="14" t="s">
        <v>5350</v>
      </c>
      <c r="J266" s="14" t="s">
        <v>5351</v>
      </c>
      <c r="K266" s="14" t="s">
        <v>207</v>
      </c>
      <c r="L266" s="14" t="s">
        <v>208</v>
      </c>
      <c r="M266" s="14" t="s">
        <v>296</v>
      </c>
      <c r="N266" s="14" t="s">
        <v>1052</v>
      </c>
      <c r="O266" s="14" t="s">
        <v>945</v>
      </c>
      <c r="P266" s="14" t="s">
        <v>5352</v>
      </c>
      <c r="Q266" s="14" t="s">
        <v>166</v>
      </c>
      <c r="R266" s="14" t="s">
        <v>177</v>
      </c>
      <c r="S266" s="14" t="s">
        <v>178</v>
      </c>
      <c r="T266" s="14" t="s">
        <v>179</v>
      </c>
      <c r="U266" s="14" t="s">
        <v>5353</v>
      </c>
      <c r="V266" s="14" t="s">
        <v>5354</v>
      </c>
      <c r="W266" s="21" t="s">
        <v>5355</v>
      </c>
      <c r="X266" s="14" t="s">
        <v>5356</v>
      </c>
      <c r="Y266" s="14" t="s">
        <v>5357</v>
      </c>
      <c r="Z266" s="14" t="s">
        <v>166</v>
      </c>
      <c r="AA266" s="14" t="s">
        <v>166</v>
      </c>
      <c r="AB266" s="14" t="s">
        <v>166</v>
      </c>
      <c r="AC266" s="14" t="s">
        <v>166</v>
      </c>
      <c r="AD266" s="14" t="s">
        <v>166</v>
      </c>
      <c r="AE266" s="14" t="s">
        <v>166</v>
      </c>
      <c r="AF266" s="14" t="s">
        <v>166</v>
      </c>
      <c r="AG266" s="14" t="s">
        <v>166</v>
      </c>
      <c r="AH266" s="21">
        <v>1</v>
      </c>
      <c r="AI266" s="3">
        <f>HYPERLINK("https://my.pitchbook.com/?d=242017-48T","242017-48T")</f>
      </c>
      <c r="AJ266" s="19" t="s">
        <v>166</v>
      </c>
      <c r="AK266" s="19">
        <v>45170</v>
      </c>
      <c r="AL266" s="18">
        <v>0.6</v>
      </c>
      <c r="AM266" s="14" t="s">
        <v>185</v>
      </c>
      <c r="AN266" s="18" t="s">
        <v>166</v>
      </c>
      <c r="AO266" s="18" t="s">
        <v>166</v>
      </c>
      <c r="AP266" s="14" t="s">
        <v>166</v>
      </c>
      <c r="AQ266" s="21" t="s">
        <v>166</v>
      </c>
      <c r="AR266" s="21" t="s">
        <v>166</v>
      </c>
      <c r="AS266" s="17" t="s">
        <v>166</v>
      </c>
      <c r="AT266" s="18">
        <v>0.6</v>
      </c>
      <c r="AU266" s="21" t="s">
        <v>186</v>
      </c>
      <c r="AV266" s="21" t="s">
        <v>166</v>
      </c>
      <c r="AW266" s="18" t="s">
        <v>166</v>
      </c>
      <c r="AX266" s="21" t="s">
        <v>166</v>
      </c>
      <c r="AY266" s="14" t="s">
        <v>217</v>
      </c>
      <c r="AZ266" s="14" t="s">
        <v>217</v>
      </c>
      <c r="BA266" s="14" t="s">
        <v>166</v>
      </c>
      <c r="BB266" s="21" t="s">
        <v>166</v>
      </c>
      <c r="BC266" s="14" t="s">
        <v>179</v>
      </c>
      <c r="BD266" s="14" t="s">
        <v>5351</v>
      </c>
      <c r="BE266" s="14" t="s">
        <v>189</v>
      </c>
      <c r="BF266" s="18" t="s">
        <v>166</v>
      </c>
      <c r="BG266" s="14" t="s">
        <v>190</v>
      </c>
      <c r="BH266" s="14" t="s">
        <v>166</v>
      </c>
      <c r="BI266" s="14" t="s">
        <v>166</v>
      </c>
      <c r="BJ266" s="18" t="s">
        <v>166</v>
      </c>
      <c r="BK266" s="18" t="s">
        <v>166</v>
      </c>
      <c r="BL266" s="14" t="s">
        <v>191</v>
      </c>
      <c r="BM266" s="14" t="s">
        <v>178</v>
      </c>
      <c r="BN266" s="14" t="s">
        <v>177</v>
      </c>
      <c r="BO266" s="22" t="s">
        <v>166</v>
      </c>
      <c r="BP266" s="14" t="s">
        <v>5348</v>
      </c>
      <c r="BQ266" s="21">
        <v>4</v>
      </c>
      <c r="BR266" s="14" t="s">
        <v>166</v>
      </c>
      <c r="BS266" s="21" t="s">
        <v>166</v>
      </c>
      <c r="BT266" s="14" t="s">
        <v>5358</v>
      </c>
      <c r="BU266" s="14" t="s">
        <v>166</v>
      </c>
      <c r="BV266" s="14" t="s">
        <v>748</v>
      </c>
      <c r="BW266" s="14" t="s">
        <v>166</v>
      </c>
      <c r="BX266" s="14" t="s">
        <v>166</v>
      </c>
      <c r="BY266" s="14" t="s">
        <v>166</v>
      </c>
      <c r="BZ266" s="14" t="s">
        <v>166</v>
      </c>
      <c r="CA266" s="14" t="s">
        <v>166</v>
      </c>
      <c r="CB266" s="14" t="s">
        <v>166</v>
      </c>
      <c r="CC266" s="14" t="s">
        <v>166</v>
      </c>
      <c r="CD266" s="14" t="s">
        <v>166</v>
      </c>
      <c r="CE266" s="18" t="s">
        <v>166</v>
      </c>
      <c r="CF266" s="16" t="s">
        <v>166</v>
      </c>
      <c r="CG266" s="17" t="s">
        <v>166</v>
      </c>
      <c r="CH266" s="16" t="s">
        <v>166</v>
      </c>
      <c r="CI266" s="16" t="s">
        <v>166</v>
      </c>
      <c r="CJ266" s="16" t="s">
        <v>166</v>
      </c>
      <c r="CK266" s="16" t="s">
        <v>166</v>
      </c>
      <c r="CL266" s="16" t="s">
        <v>166</v>
      </c>
      <c r="CM266" s="20" t="s">
        <v>166</v>
      </c>
      <c r="CN266" s="16" t="s">
        <v>166</v>
      </c>
      <c r="CO266" s="16" t="s">
        <v>166</v>
      </c>
      <c r="CP266" s="16" t="s">
        <v>166</v>
      </c>
      <c r="CQ266" s="16" t="s">
        <v>166</v>
      </c>
      <c r="CR266" s="16" t="s">
        <v>166</v>
      </c>
      <c r="CS266" s="16" t="s">
        <v>166</v>
      </c>
      <c r="CT266" s="16" t="s">
        <v>166</v>
      </c>
      <c r="CU266" s="16" t="s">
        <v>166</v>
      </c>
      <c r="CV266" s="16" t="s">
        <v>166</v>
      </c>
      <c r="CW266" s="16" t="s">
        <v>166</v>
      </c>
      <c r="CX266" s="16" t="s">
        <v>166</v>
      </c>
      <c r="CY266" s="16" t="s">
        <v>166</v>
      </c>
      <c r="CZ266" s="16" t="s">
        <v>166</v>
      </c>
      <c r="DA266" s="16" t="s">
        <v>166</v>
      </c>
      <c r="DB266" s="16" t="s">
        <v>166</v>
      </c>
      <c r="DC266" s="16" t="s">
        <v>166</v>
      </c>
      <c r="DD266" s="16" t="s">
        <v>166</v>
      </c>
      <c r="DE266" s="17" t="s">
        <v>166</v>
      </c>
      <c r="DF266" s="22">
        <v>6</v>
      </c>
      <c r="DG266" s="14" t="s">
        <v>5359</v>
      </c>
      <c r="DH266" s="14" t="s">
        <v>193</v>
      </c>
      <c r="DI266" s="14" t="s">
        <v>194</v>
      </c>
      <c r="DJ266" s="14" t="s">
        <v>5360</v>
      </c>
      <c r="DK266" s="14" t="s">
        <v>310</v>
      </c>
      <c r="DL266" s="21" t="s">
        <v>5361</v>
      </c>
      <c r="DM266" s="14" t="s">
        <v>198</v>
      </c>
      <c r="DN266" s="13" t="s">
        <v>5362</v>
      </c>
      <c r="DO266" s="20">
        <v>2022</v>
      </c>
      <c r="DP266" s="14" t="s">
        <v>166</v>
      </c>
      <c r="DQ266" s="14" t="s">
        <v>5363</v>
      </c>
      <c r="DR266" s="18" t="s">
        <v>166</v>
      </c>
      <c r="DS266" s="16" t="s">
        <v>166</v>
      </c>
      <c r="DT266" s="19" t="s">
        <v>166</v>
      </c>
      <c r="DU266" s="14" t="s">
        <v>166</v>
      </c>
      <c r="DV266" s="18" t="s">
        <v>166</v>
      </c>
      <c r="DW266" s="18" t="s">
        <v>166</v>
      </c>
      <c r="DX266" s="16" t="s">
        <v>166</v>
      </c>
      <c r="DY266" s="16" t="s">
        <v>166</v>
      </c>
      <c r="DZ266" s="17" t="s">
        <v>166</v>
      </c>
      <c r="EA266" s="16" t="s">
        <v>166</v>
      </c>
      <c r="EB266" s="16" t="s">
        <v>166</v>
      </c>
      <c r="EC266" s="16" t="s">
        <v>166</v>
      </c>
      <c r="ED266" s="17" t="s">
        <v>166</v>
      </c>
      <c r="EE266" s="17" t="s">
        <v>166</v>
      </c>
      <c r="EF266" s="17" t="s">
        <v>166</v>
      </c>
      <c r="EG266" s="17" t="s">
        <v>166</v>
      </c>
      <c r="EH266" s="16" t="s">
        <v>166</v>
      </c>
      <c r="EI266" s="16" t="s">
        <v>166</v>
      </c>
      <c r="EJ266" s="16" t="s">
        <v>166</v>
      </c>
      <c r="EK266" s="16" t="s">
        <v>166</v>
      </c>
      <c r="EL266" s="16" t="s">
        <v>166</v>
      </c>
      <c r="EM266" s="16" t="s">
        <v>166</v>
      </c>
      <c r="EN266" s="16" t="s">
        <v>166</v>
      </c>
      <c r="EO266" s="16" t="s">
        <v>166</v>
      </c>
      <c r="EP266" s="16" t="s">
        <v>166</v>
      </c>
      <c r="EQ266" s="16" t="s">
        <v>166</v>
      </c>
      <c r="ER266" s="16" t="s">
        <v>166</v>
      </c>
      <c r="ES266" s="16" t="s">
        <v>166</v>
      </c>
      <c r="ET266" s="14" t="s">
        <v>166</v>
      </c>
      <c r="EU266" s="16" t="s">
        <v>166</v>
      </c>
      <c r="EV266" s="16" t="s">
        <v>166</v>
      </c>
      <c r="EW266" s="16" t="s">
        <v>166</v>
      </c>
      <c r="EX266" s="14" t="s">
        <v>190</v>
      </c>
      <c r="EY266" s="14" t="s">
        <v>190</v>
      </c>
      <c r="EZ266" s="16" t="s">
        <v>166</v>
      </c>
      <c r="FA266" s="15" t="s">
        <v>166</v>
      </c>
      <c r="FB266" s="15" t="s">
        <v>166</v>
      </c>
      <c r="FC266" s="15" t="s">
        <v>166</v>
      </c>
      <c r="FD266" s="15" t="s">
        <v>166</v>
      </c>
      <c r="FE266" s="15" t="s">
        <v>166</v>
      </c>
      <c r="FF266" s="15" t="s">
        <v>166</v>
      </c>
      <c r="FG266" s="14" t="s">
        <v>166</v>
      </c>
      <c r="FH266" s="3">
        <f>HYPERLINK("https://my.pitchbook.com?c=242017-48T","View Company Online")</f>
      </c>
    </row>
    <row r="267">
      <c r="A267" s="25" t="s">
        <v>5364</v>
      </c>
      <c r="B267" s="25" t="s">
        <v>5365</v>
      </c>
      <c r="C267" s="25" t="s">
        <v>5366</v>
      </c>
      <c r="D267" s="25" t="s">
        <v>166</v>
      </c>
      <c r="E267" s="34" t="s">
        <v>5367</v>
      </c>
      <c r="F267" s="32">
        <v>6</v>
      </c>
      <c r="G267" s="25" t="s">
        <v>5368</v>
      </c>
      <c r="H267" s="25" t="s">
        <v>166</v>
      </c>
      <c r="I267" s="25" t="s">
        <v>5369</v>
      </c>
      <c r="J267" s="25" t="s">
        <v>5370</v>
      </c>
      <c r="K267" s="25" t="s">
        <v>207</v>
      </c>
      <c r="L267" s="25" t="s">
        <v>208</v>
      </c>
      <c r="M267" s="25" t="s">
        <v>1181</v>
      </c>
      <c r="N267" s="25" t="s">
        <v>5371</v>
      </c>
      <c r="O267" s="25" t="s">
        <v>685</v>
      </c>
      <c r="P267" s="25" t="s">
        <v>5372</v>
      </c>
      <c r="Q267" s="25" t="s">
        <v>166</v>
      </c>
      <c r="R267" s="25" t="s">
        <v>177</v>
      </c>
      <c r="S267" s="25" t="s">
        <v>178</v>
      </c>
      <c r="T267" s="25" t="s">
        <v>179</v>
      </c>
      <c r="U267" s="25" t="s">
        <v>5373</v>
      </c>
      <c r="V267" s="25" t="s">
        <v>5374</v>
      </c>
      <c r="W267" s="32" t="s">
        <v>166</v>
      </c>
      <c r="X267" s="25" t="s">
        <v>5375</v>
      </c>
      <c r="Y267" s="25" t="s">
        <v>5376</v>
      </c>
      <c r="Z267" s="25" t="s">
        <v>5377</v>
      </c>
      <c r="AA267" s="25" t="s">
        <v>166</v>
      </c>
      <c r="AB267" s="25" t="s">
        <v>166</v>
      </c>
      <c r="AC267" s="25" t="s">
        <v>166</v>
      </c>
      <c r="AD267" s="25" t="s">
        <v>166</v>
      </c>
      <c r="AE267" s="25" t="s">
        <v>166</v>
      </c>
      <c r="AF267" s="25" t="s">
        <v>166</v>
      </c>
      <c r="AG267" s="25" t="s">
        <v>166</v>
      </c>
      <c r="AH267" s="32">
        <v>1</v>
      </c>
      <c r="AI267" s="4">
        <f>HYPERLINK("https://my.pitchbook.com/?d=188652-25T","188652-25T")</f>
      </c>
      <c r="AJ267" s="30" t="s">
        <v>166</v>
      </c>
      <c r="AK267" s="30">
        <v>43928</v>
      </c>
      <c r="AL267" s="29">
        <v>0.4</v>
      </c>
      <c r="AM267" s="25" t="s">
        <v>185</v>
      </c>
      <c r="AN267" s="29">
        <v>2</v>
      </c>
      <c r="AO267" s="29">
        <v>2.4</v>
      </c>
      <c r="AP267" s="25" t="s">
        <v>185</v>
      </c>
      <c r="AQ267" s="32" t="s">
        <v>166</v>
      </c>
      <c r="AR267" s="32" t="s">
        <v>166</v>
      </c>
      <c r="AS267" s="28">
        <v>16.67</v>
      </c>
      <c r="AT267" s="29">
        <v>0.4</v>
      </c>
      <c r="AU267" s="32" t="s">
        <v>186</v>
      </c>
      <c r="AV267" s="32" t="s">
        <v>166</v>
      </c>
      <c r="AW267" s="29">
        <v>0.23</v>
      </c>
      <c r="AX267" s="32" t="s">
        <v>166</v>
      </c>
      <c r="AY267" s="25" t="s">
        <v>217</v>
      </c>
      <c r="AZ267" s="25" t="s">
        <v>217</v>
      </c>
      <c r="BA267" s="25" t="s">
        <v>166</v>
      </c>
      <c r="BB267" s="32" t="s">
        <v>166</v>
      </c>
      <c r="BC267" s="25" t="s">
        <v>179</v>
      </c>
      <c r="BD267" s="25" t="s">
        <v>5378</v>
      </c>
      <c r="BE267" s="25" t="s">
        <v>189</v>
      </c>
      <c r="BF267" s="29">
        <v>0.4</v>
      </c>
      <c r="BG267" s="25" t="s">
        <v>190</v>
      </c>
      <c r="BH267" s="25" t="s">
        <v>166</v>
      </c>
      <c r="BI267" s="25" t="s">
        <v>166</v>
      </c>
      <c r="BJ267" s="29" t="s">
        <v>166</v>
      </c>
      <c r="BK267" s="29" t="s">
        <v>166</v>
      </c>
      <c r="BL267" s="25" t="s">
        <v>191</v>
      </c>
      <c r="BM267" s="25" t="s">
        <v>178</v>
      </c>
      <c r="BN267" s="25" t="s">
        <v>177</v>
      </c>
      <c r="BO267" s="33" t="s">
        <v>166</v>
      </c>
      <c r="BP267" s="25" t="s">
        <v>5379</v>
      </c>
      <c r="BQ267" s="32">
        <v>6</v>
      </c>
      <c r="BR267" s="25" t="s">
        <v>166</v>
      </c>
      <c r="BS267" s="32" t="s">
        <v>166</v>
      </c>
      <c r="BT267" s="25" t="s">
        <v>166</v>
      </c>
      <c r="BU267" s="25" t="s">
        <v>166</v>
      </c>
      <c r="BV267" s="25" t="s">
        <v>5380</v>
      </c>
      <c r="BW267" s="25" t="s">
        <v>166</v>
      </c>
      <c r="BX267" s="25" t="s">
        <v>166</v>
      </c>
      <c r="BY267" s="25" t="s">
        <v>166</v>
      </c>
      <c r="BZ267" s="25" t="s">
        <v>166</v>
      </c>
      <c r="CA267" s="25" t="s">
        <v>166</v>
      </c>
      <c r="CB267" s="25" t="s">
        <v>166</v>
      </c>
      <c r="CC267" s="25" t="s">
        <v>166</v>
      </c>
      <c r="CD267" s="25" t="s">
        <v>166</v>
      </c>
      <c r="CE267" s="29" t="s">
        <v>166</v>
      </c>
      <c r="CF267" s="27" t="s">
        <v>166</v>
      </c>
      <c r="CG267" s="28" t="s">
        <v>166</v>
      </c>
      <c r="CH267" s="27" t="s">
        <v>166</v>
      </c>
      <c r="CI267" s="27" t="s">
        <v>166</v>
      </c>
      <c r="CJ267" s="27" t="s">
        <v>166</v>
      </c>
      <c r="CK267" s="27" t="s">
        <v>166</v>
      </c>
      <c r="CL267" s="27" t="s">
        <v>166</v>
      </c>
      <c r="CM267" s="31" t="s">
        <v>166</v>
      </c>
      <c r="CN267" s="27" t="s">
        <v>166</v>
      </c>
      <c r="CO267" s="27" t="s">
        <v>166</v>
      </c>
      <c r="CP267" s="27" t="s">
        <v>166</v>
      </c>
      <c r="CQ267" s="27" t="s">
        <v>166</v>
      </c>
      <c r="CR267" s="27" t="s">
        <v>166</v>
      </c>
      <c r="CS267" s="27" t="s">
        <v>166</v>
      </c>
      <c r="CT267" s="27" t="s">
        <v>166</v>
      </c>
      <c r="CU267" s="27" t="s">
        <v>166</v>
      </c>
      <c r="CV267" s="27" t="s">
        <v>166</v>
      </c>
      <c r="CW267" s="27" t="s">
        <v>166</v>
      </c>
      <c r="CX267" s="27" t="s">
        <v>166</v>
      </c>
      <c r="CY267" s="27" t="s">
        <v>166</v>
      </c>
      <c r="CZ267" s="27" t="s">
        <v>166</v>
      </c>
      <c r="DA267" s="27" t="s">
        <v>166</v>
      </c>
      <c r="DB267" s="27" t="s">
        <v>166</v>
      </c>
      <c r="DC267" s="27" t="s">
        <v>166</v>
      </c>
      <c r="DD267" s="27" t="s">
        <v>166</v>
      </c>
      <c r="DE267" s="28" t="s">
        <v>166</v>
      </c>
      <c r="DF267" s="33">
        <v>14</v>
      </c>
      <c r="DG267" s="25" t="s">
        <v>673</v>
      </c>
      <c r="DH267" s="25" t="s">
        <v>193</v>
      </c>
      <c r="DI267" s="25" t="s">
        <v>194</v>
      </c>
      <c r="DJ267" s="25" t="s">
        <v>674</v>
      </c>
      <c r="DK267" s="25" t="s">
        <v>257</v>
      </c>
      <c r="DL267" s="32" t="s">
        <v>675</v>
      </c>
      <c r="DM267" s="25" t="s">
        <v>198</v>
      </c>
      <c r="DN267" s="24" t="s">
        <v>5381</v>
      </c>
      <c r="DO267" s="31">
        <v>2019</v>
      </c>
      <c r="DP267" s="25" t="s">
        <v>166</v>
      </c>
      <c r="DQ267" s="25" t="s">
        <v>166</v>
      </c>
      <c r="DR267" s="29" t="s">
        <v>166</v>
      </c>
      <c r="DS267" s="27" t="s">
        <v>166</v>
      </c>
      <c r="DT267" s="30" t="s">
        <v>166</v>
      </c>
      <c r="DU267" s="25" t="s">
        <v>166</v>
      </c>
      <c r="DV267" s="29" t="s">
        <v>166</v>
      </c>
      <c r="DW267" s="29" t="s">
        <v>166</v>
      </c>
      <c r="DX267" s="27" t="s">
        <v>166</v>
      </c>
      <c r="DY267" s="27" t="s">
        <v>166</v>
      </c>
      <c r="DZ267" s="28" t="s">
        <v>166</v>
      </c>
      <c r="EA267" s="27" t="s">
        <v>166</v>
      </c>
      <c r="EB267" s="27" t="s">
        <v>166</v>
      </c>
      <c r="EC267" s="27" t="s">
        <v>166</v>
      </c>
      <c r="ED267" s="28" t="s">
        <v>166</v>
      </c>
      <c r="EE267" s="28" t="s">
        <v>166</v>
      </c>
      <c r="EF267" s="28" t="s">
        <v>166</v>
      </c>
      <c r="EG267" s="28" t="s">
        <v>166</v>
      </c>
      <c r="EH267" s="27" t="s">
        <v>166</v>
      </c>
      <c r="EI267" s="27" t="s">
        <v>166</v>
      </c>
      <c r="EJ267" s="27" t="s">
        <v>166</v>
      </c>
      <c r="EK267" s="27" t="s">
        <v>166</v>
      </c>
      <c r="EL267" s="27" t="s">
        <v>166</v>
      </c>
      <c r="EM267" s="27" t="s">
        <v>166</v>
      </c>
      <c r="EN267" s="27" t="s">
        <v>166</v>
      </c>
      <c r="EO267" s="27" t="s">
        <v>166</v>
      </c>
      <c r="EP267" s="27" t="s">
        <v>166</v>
      </c>
      <c r="EQ267" s="27" t="s">
        <v>166</v>
      </c>
      <c r="ER267" s="27" t="s">
        <v>166</v>
      </c>
      <c r="ES267" s="27" t="s">
        <v>166</v>
      </c>
      <c r="ET267" s="25" t="s">
        <v>166</v>
      </c>
      <c r="EU267" s="27" t="s">
        <v>166</v>
      </c>
      <c r="EV267" s="27" t="s">
        <v>166</v>
      </c>
      <c r="EW267" s="27" t="s">
        <v>166</v>
      </c>
      <c r="EX267" s="25" t="s">
        <v>190</v>
      </c>
      <c r="EY267" s="25" t="s">
        <v>166</v>
      </c>
      <c r="EZ267" s="27" t="s">
        <v>166</v>
      </c>
      <c r="FA267" s="26" t="s">
        <v>166</v>
      </c>
      <c r="FB267" s="26" t="s">
        <v>166</v>
      </c>
      <c r="FC267" s="26" t="s">
        <v>166</v>
      </c>
      <c r="FD267" s="26" t="s">
        <v>166</v>
      </c>
      <c r="FE267" s="26" t="s">
        <v>166</v>
      </c>
      <c r="FF267" s="26" t="s">
        <v>166</v>
      </c>
      <c r="FG267" s="25" t="s">
        <v>166</v>
      </c>
      <c r="FH267" s="4">
        <f>HYPERLINK("https://my.pitchbook.com?c=188652-25T","View Company Online")</f>
      </c>
    </row>
    <row r="268">
      <c r="A268" s="14" t="s">
        <v>5382</v>
      </c>
      <c r="B268" s="14" t="s">
        <v>5383</v>
      </c>
      <c r="C268" s="14" t="s">
        <v>5384</v>
      </c>
      <c r="D268" s="14" t="s">
        <v>166</v>
      </c>
      <c r="E268" s="23" t="s">
        <v>5385</v>
      </c>
      <c r="F268" s="21">
        <v>12</v>
      </c>
      <c r="G268" s="14" t="s">
        <v>5386</v>
      </c>
      <c r="H268" s="14" t="s">
        <v>166</v>
      </c>
      <c r="I268" s="14" t="s">
        <v>5387</v>
      </c>
      <c r="J268" s="14" t="s">
        <v>5388</v>
      </c>
      <c r="K268" s="14" t="s">
        <v>207</v>
      </c>
      <c r="L268" s="14" t="s">
        <v>208</v>
      </c>
      <c r="M268" s="14" t="s">
        <v>209</v>
      </c>
      <c r="N268" s="14" t="s">
        <v>269</v>
      </c>
      <c r="O268" s="14" t="s">
        <v>5389</v>
      </c>
      <c r="P268" s="14" t="s">
        <v>5390</v>
      </c>
      <c r="Q268" s="14" t="s">
        <v>166</v>
      </c>
      <c r="R268" s="14" t="s">
        <v>177</v>
      </c>
      <c r="S268" s="14" t="s">
        <v>178</v>
      </c>
      <c r="T268" s="14" t="s">
        <v>179</v>
      </c>
      <c r="U268" s="14" t="s">
        <v>5391</v>
      </c>
      <c r="V268" s="14" t="s">
        <v>5392</v>
      </c>
      <c r="W268" s="21" t="s">
        <v>166</v>
      </c>
      <c r="X268" s="14" t="s">
        <v>5393</v>
      </c>
      <c r="Y268" s="14" t="s">
        <v>5394</v>
      </c>
      <c r="Z268" s="14" t="s">
        <v>166</v>
      </c>
      <c r="AA268" s="14" t="s">
        <v>166</v>
      </c>
      <c r="AB268" s="14" t="s">
        <v>166</v>
      </c>
      <c r="AC268" s="14" t="s">
        <v>166</v>
      </c>
      <c r="AD268" s="14" t="s">
        <v>166</v>
      </c>
      <c r="AE268" s="14" t="s">
        <v>166</v>
      </c>
      <c r="AF268" s="14" t="s">
        <v>166</v>
      </c>
      <c r="AG268" s="14" t="s">
        <v>166</v>
      </c>
      <c r="AH268" s="21">
        <v>1</v>
      </c>
      <c r="AI268" s="3">
        <f>HYPERLINK("https://my.pitchbook.com/?d=195247-90T","195247-90T")</f>
      </c>
      <c r="AJ268" s="19" t="s">
        <v>166</v>
      </c>
      <c r="AK268" s="19">
        <v>44713</v>
      </c>
      <c r="AL268" s="18">
        <v>1.5</v>
      </c>
      <c r="AM268" s="14" t="s">
        <v>185</v>
      </c>
      <c r="AN268" s="18" t="s">
        <v>166</v>
      </c>
      <c r="AO268" s="18" t="s">
        <v>166</v>
      </c>
      <c r="AP268" s="14" t="s">
        <v>166</v>
      </c>
      <c r="AQ268" s="21" t="s">
        <v>166</v>
      </c>
      <c r="AR268" s="21" t="s">
        <v>166</v>
      </c>
      <c r="AS268" s="17" t="s">
        <v>166</v>
      </c>
      <c r="AT268" s="18">
        <v>1.5</v>
      </c>
      <c r="AU268" s="21" t="s">
        <v>186</v>
      </c>
      <c r="AV268" s="21" t="s">
        <v>166</v>
      </c>
      <c r="AW268" s="18" t="s">
        <v>166</v>
      </c>
      <c r="AX268" s="21" t="s">
        <v>166</v>
      </c>
      <c r="AY268" s="14" t="s">
        <v>187</v>
      </c>
      <c r="AZ268" s="14" t="s">
        <v>166</v>
      </c>
      <c r="BA268" s="14" t="s">
        <v>166</v>
      </c>
      <c r="BB268" s="21" t="s">
        <v>166</v>
      </c>
      <c r="BC268" s="14" t="s">
        <v>179</v>
      </c>
      <c r="BD268" s="14" t="s">
        <v>5395</v>
      </c>
      <c r="BE268" s="14" t="s">
        <v>189</v>
      </c>
      <c r="BF268" s="18">
        <v>1.5</v>
      </c>
      <c r="BG268" s="14" t="s">
        <v>190</v>
      </c>
      <c r="BH268" s="14" t="s">
        <v>166</v>
      </c>
      <c r="BI268" s="14" t="s">
        <v>166</v>
      </c>
      <c r="BJ268" s="18" t="s">
        <v>166</v>
      </c>
      <c r="BK268" s="18" t="s">
        <v>166</v>
      </c>
      <c r="BL268" s="14" t="s">
        <v>191</v>
      </c>
      <c r="BM268" s="14" t="s">
        <v>178</v>
      </c>
      <c r="BN268" s="14" t="s">
        <v>177</v>
      </c>
      <c r="BO268" s="22" t="s">
        <v>166</v>
      </c>
      <c r="BP268" s="14" t="s">
        <v>5385</v>
      </c>
      <c r="BQ268" s="21">
        <v>12</v>
      </c>
      <c r="BR268" s="14" t="s">
        <v>166</v>
      </c>
      <c r="BS268" s="21" t="s">
        <v>166</v>
      </c>
      <c r="BT268" s="14" t="s">
        <v>166</v>
      </c>
      <c r="BU268" s="14" t="s">
        <v>166</v>
      </c>
      <c r="BV268" s="14" t="s">
        <v>166</v>
      </c>
      <c r="BW268" s="14" t="s">
        <v>166</v>
      </c>
      <c r="BX268" s="14" t="s">
        <v>166</v>
      </c>
      <c r="BY268" s="14" t="s">
        <v>166</v>
      </c>
      <c r="BZ268" s="14" t="s">
        <v>5396</v>
      </c>
      <c r="CA268" s="14" t="s">
        <v>5396</v>
      </c>
      <c r="CB268" s="14" t="s">
        <v>166</v>
      </c>
      <c r="CC268" s="14" t="s">
        <v>166</v>
      </c>
      <c r="CD268" s="14" t="s">
        <v>166</v>
      </c>
      <c r="CE268" s="18" t="s">
        <v>166</v>
      </c>
      <c r="CF268" s="16" t="s">
        <v>166</v>
      </c>
      <c r="CG268" s="17" t="s">
        <v>166</v>
      </c>
      <c r="CH268" s="16" t="s">
        <v>166</v>
      </c>
      <c r="CI268" s="16" t="s">
        <v>166</v>
      </c>
      <c r="CJ268" s="16" t="s">
        <v>166</v>
      </c>
      <c r="CK268" s="16" t="s">
        <v>166</v>
      </c>
      <c r="CL268" s="16" t="s">
        <v>166</v>
      </c>
      <c r="CM268" s="20" t="s">
        <v>166</v>
      </c>
      <c r="CN268" s="16" t="s">
        <v>166</v>
      </c>
      <c r="CO268" s="16" t="s">
        <v>166</v>
      </c>
      <c r="CP268" s="16" t="s">
        <v>166</v>
      </c>
      <c r="CQ268" s="16" t="s">
        <v>166</v>
      </c>
      <c r="CR268" s="16" t="s">
        <v>166</v>
      </c>
      <c r="CS268" s="16" t="s">
        <v>166</v>
      </c>
      <c r="CT268" s="16" t="s">
        <v>166</v>
      </c>
      <c r="CU268" s="16" t="s">
        <v>166</v>
      </c>
      <c r="CV268" s="16" t="s">
        <v>166</v>
      </c>
      <c r="CW268" s="16" t="s">
        <v>166</v>
      </c>
      <c r="CX268" s="16" t="s">
        <v>166</v>
      </c>
      <c r="CY268" s="16" t="s">
        <v>166</v>
      </c>
      <c r="CZ268" s="16" t="s">
        <v>166</v>
      </c>
      <c r="DA268" s="16" t="s">
        <v>166</v>
      </c>
      <c r="DB268" s="16" t="s">
        <v>166</v>
      </c>
      <c r="DC268" s="16" t="s">
        <v>166</v>
      </c>
      <c r="DD268" s="16" t="s">
        <v>166</v>
      </c>
      <c r="DE268" s="17" t="s">
        <v>166</v>
      </c>
      <c r="DF268" s="22">
        <v>7</v>
      </c>
      <c r="DG268" s="14" t="s">
        <v>1540</v>
      </c>
      <c r="DH268" s="14" t="s">
        <v>193</v>
      </c>
      <c r="DI268" s="14" t="s">
        <v>194</v>
      </c>
      <c r="DJ268" s="14" t="s">
        <v>1541</v>
      </c>
      <c r="DK268" s="14" t="s">
        <v>257</v>
      </c>
      <c r="DL268" s="21" t="s">
        <v>5397</v>
      </c>
      <c r="DM268" s="14" t="s">
        <v>198</v>
      </c>
      <c r="DN268" s="13" t="s">
        <v>5398</v>
      </c>
      <c r="DO268" s="20">
        <v>2021</v>
      </c>
      <c r="DP268" s="14" t="s">
        <v>166</v>
      </c>
      <c r="DQ268" s="14" t="s">
        <v>166</v>
      </c>
      <c r="DR268" s="18" t="s">
        <v>166</v>
      </c>
      <c r="DS268" s="16" t="s">
        <v>166</v>
      </c>
      <c r="DT268" s="19" t="s">
        <v>166</v>
      </c>
      <c r="DU268" s="14" t="s">
        <v>166</v>
      </c>
      <c r="DV268" s="18" t="s">
        <v>166</v>
      </c>
      <c r="DW268" s="18" t="s">
        <v>166</v>
      </c>
      <c r="DX268" s="16" t="s">
        <v>166</v>
      </c>
      <c r="DY268" s="16" t="s">
        <v>166</v>
      </c>
      <c r="DZ268" s="17" t="s">
        <v>166</v>
      </c>
      <c r="EA268" s="16" t="s">
        <v>166</v>
      </c>
      <c r="EB268" s="16" t="s">
        <v>166</v>
      </c>
      <c r="EC268" s="16" t="s">
        <v>166</v>
      </c>
      <c r="ED268" s="17" t="s">
        <v>166</v>
      </c>
      <c r="EE268" s="17" t="s">
        <v>166</v>
      </c>
      <c r="EF268" s="17" t="s">
        <v>166</v>
      </c>
      <c r="EG268" s="17" t="s">
        <v>166</v>
      </c>
      <c r="EH268" s="16" t="s">
        <v>166</v>
      </c>
      <c r="EI268" s="16" t="s">
        <v>166</v>
      </c>
      <c r="EJ268" s="16" t="s">
        <v>166</v>
      </c>
      <c r="EK268" s="16" t="s">
        <v>166</v>
      </c>
      <c r="EL268" s="16" t="s">
        <v>166</v>
      </c>
      <c r="EM268" s="16" t="s">
        <v>166</v>
      </c>
      <c r="EN268" s="16" t="s">
        <v>166</v>
      </c>
      <c r="EO268" s="16" t="s">
        <v>166</v>
      </c>
      <c r="EP268" s="16" t="s">
        <v>166</v>
      </c>
      <c r="EQ268" s="16" t="s">
        <v>166</v>
      </c>
      <c r="ER268" s="16" t="s">
        <v>166</v>
      </c>
      <c r="ES268" s="16" t="s">
        <v>166</v>
      </c>
      <c r="ET268" s="14" t="s">
        <v>166</v>
      </c>
      <c r="EU268" s="16" t="s">
        <v>166</v>
      </c>
      <c r="EV268" s="16" t="s">
        <v>166</v>
      </c>
      <c r="EW268" s="16" t="s">
        <v>166</v>
      </c>
      <c r="EX268" s="14" t="s">
        <v>190</v>
      </c>
      <c r="EY268" s="14" t="s">
        <v>166</v>
      </c>
      <c r="EZ268" s="16" t="s">
        <v>166</v>
      </c>
      <c r="FA268" s="15" t="s">
        <v>166</v>
      </c>
      <c r="FB268" s="15" t="s">
        <v>166</v>
      </c>
      <c r="FC268" s="15" t="s">
        <v>166</v>
      </c>
      <c r="FD268" s="15" t="s">
        <v>166</v>
      </c>
      <c r="FE268" s="15" t="s">
        <v>166</v>
      </c>
      <c r="FF268" s="15" t="s">
        <v>166</v>
      </c>
      <c r="FG268" s="14" t="s">
        <v>166</v>
      </c>
      <c r="FH268" s="3">
        <f>HYPERLINK("https://my.pitchbook.com?c=195247-90T","View Company Online")</f>
      </c>
    </row>
    <row r="269">
      <c r="A269" s="25" t="s">
        <v>5399</v>
      </c>
      <c r="B269" s="25" t="s">
        <v>5400</v>
      </c>
      <c r="C269" s="25" t="s">
        <v>5401</v>
      </c>
      <c r="D269" s="25" t="s">
        <v>166</v>
      </c>
      <c r="E269" s="34" t="s">
        <v>5402</v>
      </c>
      <c r="F269" s="32">
        <v>14</v>
      </c>
      <c r="G269" s="25" t="s">
        <v>5403</v>
      </c>
      <c r="H269" s="25" t="s">
        <v>166</v>
      </c>
      <c r="I269" s="25" t="s">
        <v>5404</v>
      </c>
      <c r="J269" s="25" t="s">
        <v>5405</v>
      </c>
      <c r="K269" s="25" t="s">
        <v>207</v>
      </c>
      <c r="L269" s="25" t="s">
        <v>208</v>
      </c>
      <c r="M269" s="25" t="s">
        <v>209</v>
      </c>
      <c r="N269" s="25" t="s">
        <v>5406</v>
      </c>
      <c r="O269" s="25" t="s">
        <v>665</v>
      </c>
      <c r="P269" s="25" t="s">
        <v>5407</v>
      </c>
      <c r="Q269" s="25" t="s">
        <v>926</v>
      </c>
      <c r="R269" s="25" t="s">
        <v>177</v>
      </c>
      <c r="S269" s="25" t="s">
        <v>178</v>
      </c>
      <c r="T269" s="25" t="s">
        <v>179</v>
      </c>
      <c r="U269" s="25" t="s">
        <v>5408</v>
      </c>
      <c r="V269" s="25" t="s">
        <v>5409</v>
      </c>
      <c r="W269" s="32" t="s">
        <v>166</v>
      </c>
      <c r="X269" s="25" t="s">
        <v>166</v>
      </c>
      <c r="Y269" s="25" t="s">
        <v>5410</v>
      </c>
      <c r="Z269" s="25" t="s">
        <v>166</v>
      </c>
      <c r="AA269" s="25" t="s">
        <v>166</v>
      </c>
      <c r="AB269" s="25" t="s">
        <v>166</v>
      </c>
      <c r="AC269" s="25" t="s">
        <v>166</v>
      </c>
      <c r="AD269" s="25" t="s">
        <v>166</v>
      </c>
      <c r="AE269" s="25" t="s">
        <v>166</v>
      </c>
      <c r="AF269" s="25" t="s">
        <v>166</v>
      </c>
      <c r="AG269" s="25" t="s">
        <v>166</v>
      </c>
      <c r="AH269" s="32">
        <v>4</v>
      </c>
      <c r="AI269" s="4">
        <f>HYPERLINK("https://my.pitchbook.com/?d=242995-69T","242995-69T")</f>
      </c>
      <c r="AJ269" s="30">
        <v>45108</v>
      </c>
      <c r="AK269" s="30">
        <v>45341</v>
      </c>
      <c r="AL269" s="29">
        <v>3.6</v>
      </c>
      <c r="AM269" s="25" t="s">
        <v>185</v>
      </c>
      <c r="AN269" s="29" t="s">
        <v>166</v>
      </c>
      <c r="AO269" s="29" t="s">
        <v>166</v>
      </c>
      <c r="AP269" s="25" t="s">
        <v>166</v>
      </c>
      <c r="AQ269" s="32" t="s">
        <v>166</v>
      </c>
      <c r="AR269" s="32" t="s">
        <v>166</v>
      </c>
      <c r="AS269" s="28" t="s">
        <v>166</v>
      </c>
      <c r="AT269" s="29">
        <v>4.1</v>
      </c>
      <c r="AU269" s="32" t="s">
        <v>186</v>
      </c>
      <c r="AV269" s="32" t="s">
        <v>166</v>
      </c>
      <c r="AW269" s="29" t="s">
        <v>166</v>
      </c>
      <c r="AX269" s="32" t="s">
        <v>166</v>
      </c>
      <c r="AY269" s="25" t="s">
        <v>187</v>
      </c>
      <c r="AZ269" s="25" t="s">
        <v>166</v>
      </c>
      <c r="BA269" s="25" t="s">
        <v>166</v>
      </c>
      <c r="BB269" s="32" t="s">
        <v>166</v>
      </c>
      <c r="BC269" s="25" t="s">
        <v>179</v>
      </c>
      <c r="BD269" s="25" t="s">
        <v>5411</v>
      </c>
      <c r="BE269" s="25" t="s">
        <v>189</v>
      </c>
      <c r="BF269" s="29">
        <v>3.6</v>
      </c>
      <c r="BG269" s="25" t="s">
        <v>190</v>
      </c>
      <c r="BH269" s="25" t="s">
        <v>166</v>
      </c>
      <c r="BI269" s="25" t="s">
        <v>166</v>
      </c>
      <c r="BJ269" s="29" t="s">
        <v>166</v>
      </c>
      <c r="BK269" s="29" t="s">
        <v>166</v>
      </c>
      <c r="BL269" s="25" t="s">
        <v>191</v>
      </c>
      <c r="BM269" s="25" t="s">
        <v>178</v>
      </c>
      <c r="BN269" s="25" t="s">
        <v>177</v>
      </c>
      <c r="BO269" s="33" t="s">
        <v>166</v>
      </c>
      <c r="BP269" s="25" t="s">
        <v>5402</v>
      </c>
      <c r="BQ269" s="32">
        <v>14</v>
      </c>
      <c r="BR269" s="25" t="s">
        <v>166</v>
      </c>
      <c r="BS269" s="32" t="s">
        <v>166</v>
      </c>
      <c r="BT269" s="25" t="s">
        <v>166</v>
      </c>
      <c r="BU269" s="25" t="s">
        <v>166</v>
      </c>
      <c r="BV269" s="25" t="s">
        <v>5412</v>
      </c>
      <c r="BW269" s="25" t="s">
        <v>166</v>
      </c>
      <c r="BX269" s="25" t="s">
        <v>166</v>
      </c>
      <c r="BY269" s="25" t="s">
        <v>166</v>
      </c>
      <c r="BZ269" s="25" t="s">
        <v>166</v>
      </c>
      <c r="CA269" s="25" t="s">
        <v>166</v>
      </c>
      <c r="CB269" s="25" t="s">
        <v>166</v>
      </c>
      <c r="CC269" s="25" t="s">
        <v>166</v>
      </c>
      <c r="CD269" s="25" t="s">
        <v>166</v>
      </c>
      <c r="CE269" s="29" t="s">
        <v>166</v>
      </c>
      <c r="CF269" s="27" t="s">
        <v>166</v>
      </c>
      <c r="CG269" s="28" t="s">
        <v>166</v>
      </c>
      <c r="CH269" s="27" t="s">
        <v>166</v>
      </c>
      <c r="CI269" s="27" t="s">
        <v>166</v>
      </c>
      <c r="CJ269" s="27" t="s">
        <v>166</v>
      </c>
      <c r="CK269" s="27" t="s">
        <v>166</v>
      </c>
      <c r="CL269" s="27" t="s">
        <v>166</v>
      </c>
      <c r="CM269" s="31" t="s">
        <v>166</v>
      </c>
      <c r="CN269" s="27" t="s">
        <v>166</v>
      </c>
      <c r="CO269" s="27" t="s">
        <v>166</v>
      </c>
      <c r="CP269" s="27" t="s">
        <v>166</v>
      </c>
      <c r="CQ269" s="27" t="s">
        <v>166</v>
      </c>
      <c r="CR269" s="27" t="s">
        <v>166</v>
      </c>
      <c r="CS269" s="27" t="s">
        <v>166</v>
      </c>
      <c r="CT269" s="27" t="s">
        <v>166</v>
      </c>
      <c r="CU269" s="27" t="s">
        <v>166</v>
      </c>
      <c r="CV269" s="27" t="s">
        <v>166</v>
      </c>
      <c r="CW269" s="27" t="s">
        <v>166</v>
      </c>
      <c r="CX269" s="27" t="s">
        <v>166</v>
      </c>
      <c r="CY269" s="27" t="s">
        <v>166</v>
      </c>
      <c r="CZ269" s="27" t="s">
        <v>166</v>
      </c>
      <c r="DA269" s="27" t="s">
        <v>166</v>
      </c>
      <c r="DB269" s="27" t="s">
        <v>166</v>
      </c>
      <c r="DC269" s="27" t="s">
        <v>166</v>
      </c>
      <c r="DD269" s="27" t="s">
        <v>166</v>
      </c>
      <c r="DE269" s="28" t="s">
        <v>166</v>
      </c>
      <c r="DF269" s="33">
        <v>9</v>
      </c>
      <c r="DG269" s="25" t="s">
        <v>309</v>
      </c>
      <c r="DH269" s="25" t="s">
        <v>193</v>
      </c>
      <c r="DI269" s="25" t="s">
        <v>194</v>
      </c>
      <c r="DJ269" s="25" t="s">
        <v>310</v>
      </c>
      <c r="DK269" s="25" t="s">
        <v>310</v>
      </c>
      <c r="DL269" s="32" t="s">
        <v>1910</v>
      </c>
      <c r="DM269" s="25" t="s">
        <v>198</v>
      </c>
      <c r="DN269" s="24" t="s">
        <v>5413</v>
      </c>
      <c r="DO269" s="31">
        <v>2023</v>
      </c>
      <c r="DP269" s="25" t="s">
        <v>166</v>
      </c>
      <c r="DQ269" s="25" t="s">
        <v>166</v>
      </c>
      <c r="DR269" s="29" t="s">
        <v>166</v>
      </c>
      <c r="DS269" s="27" t="s">
        <v>166</v>
      </c>
      <c r="DT269" s="30" t="s">
        <v>166</v>
      </c>
      <c r="DU269" s="25" t="s">
        <v>166</v>
      </c>
      <c r="DV269" s="29" t="s">
        <v>166</v>
      </c>
      <c r="DW269" s="29" t="s">
        <v>166</v>
      </c>
      <c r="DX269" s="27" t="s">
        <v>166</v>
      </c>
      <c r="DY269" s="27" t="s">
        <v>166</v>
      </c>
      <c r="DZ269" s="28" t="s">
        <v>166</v>
      </c>
      <c r="EA269" s="27" t="s">
        <v>166</v>
      </c>
      <c r="EB269" s="27" t="s">
        <v>166</v>
      </c>
      <c r="EC269" s="27" t="s">
        <v>166</v>
      </c>
      <c r="ED269" s="28" t="s">
        <v>166</v>
      </c>
      <c r="EE269" s="28" t="s">
        <v>166</v>
      </c>
      <c r="EF269" s="28" t="s">
        <v>166</v>
      </c>
      <c r="EG269" s="28" t="s">
        <v>166</v>
      </c>
      <c r="EH269" s="27" t="s">
        <v>166</v>
      </c>
      <c r="EI269" s="27" t="s">
        <v>166</v>
      </c>
      <c r="EJ269" s="27" t="s">
        <v>166</v>
      </c>
      <c r="EK269" s="27" t="s">
        <v>166</v>
      </c>
      <c r="EL269" s="27" t="s">
        <v>166</v>
      </c>
      <c r="EM269" s="27" t="s">
        <v>166</v>
      </c>
      <c r="EN269" s="27" t="s">
        <v>166</v>
      </c>
      <c r="EO269" s="27" t="s">
        <v>166</v>
      </c>
      <c r="EP269" s="27" t="s">
        <v>166</v>
      </c>
      <c r="EQ269" s="27" t="s">
        <v>166</v>
      </c>
      <c r="ER269" s="27" t="s">
        <v>166</v>
      </c>
      <c r="ES269" s="27" t="s">
        <v>166</v>
      </c>
      <c r="ET269" s="25" t="s">
        <v>166</v>
      </c>
      <c r="EU269" s="27" t="s">
        <v>166</v>
      </c>
      <c r="EV269" s="27" t="s">
        <v>166</v>
      </c>
      <c r="EW269" s="27" t="s">
        <v>166</v>
      </c>
      <c r="EX269" s="25" t="s">
        <v>190</v>
      </c>
      <c r="EY269" s="25" t="s">
        <v>166</v>
      </c>
      <c r="EZ269" s="27" t="s">
        <v>166</v>
      </c>
      <c r="FA269" s="26" t="s">
        <v>166</v>
      </c>
      <c r="FB269" s="26" t="s">
        <v>166</v>
      </c>
      <c r="FC269" s="26" t="s">
        <v>166</v>
      </c>
      <c r="FD269" s="26" t="s">
        <v>166</v>
      </c>
      <c r="FE269" s="26" t="s">
        <v>166</v>
      </c>
      <c r="FF269" s="26" t="s">
        <v>166</v>
      </c>
      <c r="FG269" s="25" t="s">
        <v>166</v>
      </c>
      <c r="FH269" s="4">
        <f>HYPERLINK("https://my.pitchbook.com?c=242995-69T","View Company Online")</f>
      </c>
    </row>
    <row r="270">
      <c r="A270" s="14" t="s">
        <v>5414</v>
      </c>
      <c r="B270" s="14" t="s">
        <v>5415</v>
      </c>
      <c r="C270" s="14" t="s">
        <v>5416</v>
      </c>
      <c r="D270" s="14" t="s">
        <v>166</v>
      </c>
      <c r="E270" s="23" t="s">
        <v>5417</v>
      </c>
      <c r="F270" s="21">
        <v>14</v>
      </c>
      <c r="G270" s="14" t="s">
        <v>5418</v>
      </c>
      <c r="H270" s="14" t="s">
        <v>166</v>
      </c>
      <c r="I270" s="14" t="s">
        <v>5419</v>
      </c>
      <c r="J270" s="14" t="s">
        <v>5420</v>
      </c>
      <c r="K270" s="14" t="s">
        <v>207</v>
      </c>
      <c r="L270" s="14" t="s">
        <v>208</v>
      </c>
      <c r="M270" s="14" t="s">
        <v>621</v>
      </c>
      <c r="N270" s="14" t="s">
        <v>5421</v>
      </c>
      <c r="O270" s="14" t="s">
        <v>5422</v>
      </c>
      <c r="P270" s="14" t="s">
        <v>5423</v>
      </c>
      <c r="Q270" s="14" t="s">
        <v>166</v>
      </c>
      <c r="R270" s="14" t="s">
        <v>177</v>
      </c>
      <c r="S270" s="14" t="s">
        <v>178</v>
      </c>
      <c r="T270" s="14" t="s">
        <v>179</v>
      </c>
      <c r="U270" s="14" t="s">
        <v>5424</v>
      </c>
      <c r="V270" s="14" t="s">
        <v>5425</v>
      </c>
      <c r="W270" s="21" t="s">
        <v>5426</v>
      </c>
      <c r="X270" s="14" t="s">
        <v>5427</v>
      </c>
      <c r="Y270" s="14" t="s">
        <v>5428</v>
      </c>
      <c r="Z270" s="14" t="s">
        <v>5429</v>
      </c>
      <c r="AA270" s="14" t="s">
        <v>242</v>
      </c>
      <c r="AB270" s="14" t="s">
        <v>243</v>
      </c>
      <c r="AC270" s="14" t="s">
        <v>244</v>
      </c>
      <c r="AD270" s="14" t="s">
        <v>243</v>
      </c>
      <c r="AE270" s="14" t="s">
        <v>243</v>
      </c>
      <c r="AF270" s="14" t="s">
        <v>166</v>
      </c>
      <c r="AG270" s="14" t="s">
        <v>246</v>
      </c>
      <c r="AH270" s="21">
        <v>2</v>
      </c>
      <c r="AI270" s="3">
        <f>HYPERLINK("https://my.pitchbook.com/?d=156126-97T","156126-97T")</f>
      </c>
      <c r="AJ270" s="19" t="s">
        <v>166</v>
      </c>
      <c r="AK270" s="19">
        <v>43862</v>
      </c>
      <c r="AL270" s="18">
        <v>1.2</v>
      </c>
      <c r="AM270" s="14" t="s">
        <v>185</v>
      </c>
      <c r="AN270" s="18">
        <v>2.8</v>
      </c>
      <c r="AO270" s="18">
        <v>4</v>
      </c>
      <c r="AP270" s="14" t="s">
        <v>185</v>
      </c>
      <c r="AQ270" s="21" t="s">
        <v>166</v>
      </c>
      <c r="AR270" s="21" t="s">
        <v>166</v>
      </c>
      <c r="AS270" s="17">
        <v>40.21</v>
      </c>
      <c r="AT270" s="18">
        <v>1.31</v>
      </c>
      <c r="AU270" s="21" t="s">
        <v>186</v>
      </c>
      <c r="AV270" s="21" t="s">
        <v>166</v>
      </c>
      <c r="AW270" s="18">
        <v>0.34</v>
      </c>
      <c r="AX270" s="21" t="s">
        <v>248</v>
      </c>
      <c r="AY270" s="14" t="s">
        <v>187</v>
      </c>
      <c r="AZ270" s="14" t="s">
        <v>248</v>
      </c>
      <c r="BA270" s="14" t="s">
        <v>166</v>
      </c>
      <c r="BB270" s="21" t="s">
        <v>166</v>
      </c>
      <c r="BC270" s="14" t="s">
        <v>179</v>
      </c>
      <c r="BD270" s="14" t="s">
        <v>5430</v>
      </c>
      <c r="BE270" s="14" t="s">
        <v>189</v>
      </c>
      <c r="BF270" s="18">
        <v>1.2</v>
      </c>
      <c r="BG270" s="14" t="s">
        <v>190</v>
      </c>
      <c r="BH270" s="14" t="s">
        <v>166</v>
      </c>
      <c r="BI270" s="14" t="s">
        <v>166</v>
      </c>
      <c r="BJ270" s="18" t="s">
        <v>166</v>
      </c>
      <c r="BK270" s="18" t="s">
        <v>166</v>
      </c>
      <c r="BL270" s="14" t="s">
        <v>191</v>
      </c>
      <c r="BM270" s="14" t="s">
        <v>178</v>
      </c>
      <c r="BN270" s="14" t="s">
        <v>177</v>
      </c>
      <c r="BO270" s="22" t="s">
        <v>166</v>
      </c>
      <c r="BP270" s="14" t="s">
        <v>5431</v>
      </c>
      <c r="BQ270" s="21">
        <v>13</v>
      </c>
      <c r="BR270" s="14" t="s">
        <v>2631</v>
      </c>
      <c r="BS270" s="21">
        <v>1</v>
      </c>
      <c r="BT270" s="14" t="s">
        <v>5432</v>
      </c>
      <c r="BU270" s="14" t="s">
        <v>166</v>
      </c>
      <c r="BV270" s="14" t="s">
        <v>5433</v>
      </c>
      <c r="BW270" s="14" t="s">
        <v>166</v>
      </c>
      <c r="BX270" s="14" t="s">
        <v>166</v>
      </c>
      <c r="BY270" s="14" t="s">
        <v>166</v>
      </c>
      <c r="BZ270" s="14" t="s">
        <v>166</v>
      </c>
      <c r="CA270" s="14" t="s">
        <v>166</v>
      </c>
      <c r="CB270" s="14" t="s">
        <v>166</v>
      </c>
      <c r="CC270" s="14" t="s">
        <v>166</v>
      </c>
      <c r="CD270" s="14" t="s">
        <v>166</v>
      </c>
      <c r="CE270" s="18" t="s">
        <v>166</v>
      </c>
      <c r="CF270" s="16" t="s">
        <v>166</v>
      </c>
      <c r="CG270" s="17" t="s">
        <v>166</v>
      </c>
      <c r="CH270" s="16" t="s">
        <v>166</v>
      </c>
      <c r="CI270" s="16" t="s">
        <v>166</v>
      </c>
      <c r="CJ270" s="16" t="s">
        <v>166</v>
      </c>
      <c r="CK270" s="16" t="s">
        <v>166</v>
      </c>
      <c r="CL270" s="16" t="s">
        <v>166</v>
      </c>
      <c r="CM270" s="20" t="s">
        <v>166</v>
      </c>
      <c r="CN270" s="16" t="s">
        <v>166</v>
      </c>
      <c r="CO270" s="16" t="s">
        <v>166</v>
      </c>
      <c r="CP270" s="16" t="s">
        <v>166</v>
      </c>
      <c r="CQ270" s="16" t="s">
        <v>166</v>
      </c>
      <c r="CR270" s="16" t="s">
        <v>166</v>
      </c>
      <c r="CS270" s="16" t="s">
        <v>166</v>
      </c>
      <c r="CT270" s="16" t="s">
        <v>166</v>
      </c>
      <c r="CU270" s="16" t="s">
        <v>166</v>
      </c>
      <c r="CV270" s="16" t="s">
        <v>166</v>
      </c>
      <c r="CW270" s="16" t="s">
        <v>166</v>
      </c>
      <c r="CX270" s="16" t="s">
        <v>166</v>
      </c>
      <c r="CY270" s="16" t="s">
        <v>166</v>
      </c>
      <c r="CZ270" s="16" t="s">
        <v>166</v>
      </c>
      <c r="DA270" s="16" t="s">
        <v>166</v>
      </c>
      <c r="DB270" s="16" t="s">
        <v>166</v>
      </c>
      <c r="DC270" s="16" t="s">
        <v>166</v>
      </c>
      <c r="DD270" s="16" t="s">
        <v>166</v>
      </c>
      <c r="DE270" s="17" t="s">
        <v>166</v>
      </c>
      <c r="DF270" s="22">
        <v>50</v>
      </c>
      <c r="DG270" s="14" t="s">
        <v>673</v>
      </c>
      <c r="DH270" s="14" t="s">
        <v>193</v>
      </c>
      <c r="DI270" s="14" t="s">
        <v>194</v>
      </c>
      <c r="DJ270" s="14" t="s">
        <v>674</v>
      </c>
      <c r="DK270" s="14" t="s">
        <v>257</v>
      </c>
      <c r="DL270" s="21" t="s">
        <v>675</v>
      </c>
      <c r="DM270" s="14" t="s">
        <v>198</v>
      </c>
      <c r="DN270" s="13" t="s">
        <v>5434</v>
      </c>
      <c r="DO270" s="20">
        <v>2019</v>
      </c>
      <c r="DP270" s="14" t="s">
        <v>166</v>
      </c>
      <c r="DQ270" s="14" t="s">
        <v>166</v>
      </c>
      <c r="DR270" s="18" t="s">
        <v>166</v>
      </c>
      <c r="DS270" s="16" t="s">
        <v>166</v>
      </c>
      <c r="DT270" s="19" t="s">
        <v>166</v>
      </c>
      <c r="DU270" s="14" t="s">
        <v>166</v>
      </c>
      <c r="DV270" s="18" t="s">
        <v>166</v>
      </c>
      <c r="DW270" s="18" t="s">
        <v>166</v>
      </c>
      <c r="DX270" s="16" t="s">
        <v>166</v>
      </c>
      <c r="DY270" s="16" t="s">
        <v>166</v>
      </c>
      <c r="DZ270" s="17" t="s">
        <v>166</v>
      </c>
      <c r="EA270" s="16" t="s">
        <v>166</v>
      </c>
      <c r="EB270" s="16" t="s">
        <v>166</v>
      </c>
      <c r="EC270" s="16" t="s">
        <v>166</v>
      </c>
      <c r="ED270" s="17" t="s">
        <v>166</v>
      </c>
      <c r="EE270" s="17" t="s">
        <v>166</v>
      </c>
      <c r="EF270" s="17" t="s">
        <v>166</v>
      </c>
      <c r="EG270" s="17" t="s">
        <v>166</v>
      </c>
      <c r="EH270" s="16" t="s">
        <v>166</v>
      </c>
      <c r="EI270" s="16" t="s">
        <v>166</v>
      </c>
      <c r="EJ270" s="16" t="s">
        <v>166</v>
      </c>
      <c r="EK270" s="16" t="s">
        <v>166</v>
      </c>
      <c r="EL270" s="16" t="s">
        <v>166</v>
      </c>
      <c r="EM270" s="16" t="s">
        <v>166</v>
      </c>
      <c r="EN270" s="16" t="s">
        <v>166</v>
      </c>
      <c r="EO270" s="16" t="s">
        <v>166</v>
      </c>
      <c r="EP270" s="16" t="s">
        <v>166</v>
      </c>
      <c r="EQ270" s="16" t="s">
        <v>166</v>
      </c>
      <c r="ER270" s="16" t="s">
        <v>166</v>
      </c>
      <c r="ES270" s="16" t="s">
        <v>166</v>
      </c>
      <c r="ET270" s="14" t="s">
        <v>166</v>
      </c>
      <c r="EU270" s="16" t="s">
        <v>166</v>
      </c>
      <c r="EV270" s="16" t="s">
        <v>166</v>
      </c>
      <c r="EW270" s="16" t="s">
        <v>166</v>
      </c>
      <c r="EX270" s="14" t="s">
        <v>190</v>
      </c>
      <c r="EY270" s="14" t="s">
        <v>166</v>
      </c>
      <c r="EZ270" s="16" t="s">
        <v>166</v>
      </c>
      <c r="FA270" s="15" t="s">
        <v>166</v>
      </c>
      <c r="FB270" s="15" t="s">
        <v>166</v>
      </c>
      <c r="FC270" s="15" t="s">
        <v>166</v>
      </c>
      <c r="FD270" s="15" t="s">
        <v>166</v>
      </c>
      <c r="FE270" s="15" t="s">
        <v>166</v>
      </c>
      <c r="FF270" s="15" t="s">
        <v>166</v>
      </c>
      <c r="FG270" s="14" t="s">
        <v>166</v>
      </c>
      <c r="FH270" s="3">
        <f>HYPERLINK("https://my.pitchbook.com?c=156126-97T","View Company Online")</f>
      </c>
    </row>
    <row r="271">
      <c r="A271" s="25" t="s">
        <v>5435</v>
      </c>
      <c r="B271" s="25" t="s">
        <v>5436</v>
      </c>
      <c r="C271" s="25" t="s">
        <v>5437</v>
      </c>
      <c r="D271" s="25" t="s">
        <v>166</v>
      </c>
      <c r="E271" s="34" t="s">
        <v>5438</v>
      </c>
      <c r="F271" s="32">
        <v>3</v>
      </c>
      <c r="G271" s="25" t="s">
        <v>5439</v>
      </c>
      <c r="H271" s="25" t="s">
        <v>166</v>
      </c>
      <c r="I271" s="25" t="s">
        <v>5440</v>
      </c>
      <c r="J271" s="25" t="s">
        <v>5441</v>
      </c>
      <c r="K271" s="25" t="s">
        <v>207</v>
      </c>
      <c r="L271" s="25" t="s">
        <v>208</v>
      </c>
      <c r="M271" s="25" t="s">
        <v>621</v>
      </c>
      <c r="N271" s="25" t="s">
        <v>5442</v>
      </c>
      <c r="O271" s="25" t="s">
        <v>166</v>
      </c>
      <c r="P271" s="25" t="s">
        <v>5443</v>
      </c>
      <c r="Q271" s="25" t="s">
        <v>166</v>
      </c>
      <c r="R271" s="25" t="s">
        <v>177</v>
      </c>
      <c r="S271" s="25" t="s">
        <v>178</v>
      </c>
      <c r="T271" s="25" t="s">
        <v>179</v>
      </c>
      <c r="U271" s="25" t="s">
        <v>5444</v>
      </c>
      <c r="V271" s="25" t="s">
        <v>5445</v>
      </c>
      <c r="W271" s="32" t="s">
        <v>166</v>
      </c>
      <c r="X271" s="25" t="s">
        <v>5446</v>
      </c>
      <c r="Y271" s="25" t="s">
        <v>5447</v>
      </c>
      <c r="Z271" s="25" t="s">
        <v>5448</v>
      </c>
      <c r="AA271" s="25" t="s">
        <v>166</v>
      </c>
      <c r="AB271" s="25" t="s">
        <v>166</v>
      </c>
      <c r="AC271" s="25" t="s">
        <v>166</v>
      </c>
      <c r="AD271" s="25" t="s">
        <v>166</v>
      </c>
      <c r="AE271" s="25" t="s">
        <v>166</v>
      </c>
      <c r="AF271" s="25" t="s">
        <v>166</v>
      </c>
      <c r="AG271" s="25" t="s">
        <v>166</v>
      </c>
      <c r="AH271" s="32">
        <v>1</v>
      </c>
      <c r="AI271" s="4">
        <f>HYPERLINK("https://my.pitchbook.com/?d=265419-73T","265419-73T")</f>
      </c>
      <c r="AJ271" s="30" t="s">
        <v>166</v>
      </c>
      <c r="AK271" s="30">
        <v>45470</v>
      </c>
      <c r="AL271" s="29">
        <v>1</v>
      </c>
      <c r="AM271" s="25" t="s">
        <v>185</v>
      </c>
      <c r="AN271" s="29" t="s">
        <v>166</v>
      </c>
      <c r="AO271" s="29" t="s">
        <v>166</v>
      </c>
      <c r="AP271" s="25" t="s">
        <v>166</v>
      </c>
      <c r="AQ271" s="32" t="s">
        <v>166</v>
      </c>
      <c r="AR271" s="32" t="s">
        <v>166</v>
      </c>
      <c r="AS271" s="28" t="s">
        <v>166</v>
      </c>
      <c r="AT271" s="29">
        <v>1</v>
      </c>
      <c r="AU271" s="32" t="s">
        <v>186</v>
      </c>
      <c r="AV271" s="32" t="s">
        <v>166</v>
      </c>
      <c r="AW271" s="29" t="s">
        <v>166</v>
      </c>
      <c r="AX271" s="32" t="s">
        <v>166</v>
      </c>
      <c r="AY271" s="25" t="s">
        <v>217</v>
      </c>
      <c r="AZ271" s="25" t="s">
        <v>217</v>
      </c>
      <c r="BA271" s="25" t="s">
        <v>166</v>
      </c>
      <c r="BB271" s="32" t="s">
        <v>166</v>
      </c>
      <c r="BC271" s="25" t="s">
        <v>179</v>
      </c>
      <c r="BD271" s="25" t="s">
        <v>5441</v>
      </c>
      <c r="BE271" s="25" t="s">
        <v>189</v>
      </c>
      <c r="BF271" s="29">
        <v>1</v>
      </c>
      <c r="BG271" s="25" t="s">
        <v>190</v>
      </c>
      <c r="BH271" s="25" t="s">
        <v>166</v>
      </c>
      <c r="BI271" s="25" t="s">
        <v>166</v>
      </c>
      <c r="BJ271" s="29" t="s">
        <v>166</v>
      </c>
      <c r="BK271" s="29" t="s">
        <v>166</v>
      </c>
      <c r="BL271" s="25" t="s">
        <v>191</v>
      </c>
      <c r="BM271" s="25" t="s">
        <v>178</v>
      </c>
      <c r="BN271" s="25" t="s">
        <v>177</v>
      </c>
      <c r="BO271" s="33" t="s">
        <v>166</v>
      </c>
      <c r="BP271" s="25" t="s">
        <v>5438</v>
      </c>
      <c r="BQ271" s="32">
        <v>3</v>
      </c>
      <c r="BR271" s="25" t="s">
        <v>166</v>
      </c>
      <c r="BS271" s="32" t="s">
        <v>166</v>
      </c>
      <c r="BT271" s="25" t="s">
        <v>166</v>
      </c>
      <c r="BU271" s="25" t="s">
        <v>166</v>
      </c>
      <c r="BV271" s="25" t="s">
        <v>166</v>
      </c>
      <c r="BW271" s="25" t="s">
        <v>166</v>
      </c>
      <c r="BX271" s="25" t="s">
        <v>166</v>
      </c>
      <c r="BY271" s="25" t="s">
        <v>166</v>
      </c>
      <c r="BZ271" s="25" t="s">
        <v>166</v>
      </c>
      <c r="CA271" s="25" t="s">
        <v>166</v>
      </c>
      <c r="CB271" s="25" t="s">
        <v>166</v>
      </c>
      <c r="CC271" s="25" t="s">
        <v>166</v>
      </c>
      <c r="CD271" s="25" t="s">
        <v>166</v>
      </c>
      <c r="CE271" s="29" t="s">
        <v>166</v>
      </c>
      <c r="CF271" s="27" t="s">
        <v>166</v>
      </c>
      <c r="CG271" s="28" t="s">
        <v>166</v>
      </c>
      <c r="CH271" s="27" t="s">
        <v>166</v>
      </c>
      <c r="CI271" s="27" t="s">
        <v>166</v>
      </c>
      <c r="CJ271" s="27" t="s">
        <v>166</v>
      </c>
      <c r="CK271" s="27" t="s">
        <v>166</v>
      </c>
      <c r="CL271" s="27" t="s">
        <v>166</v>
      </c>
      <c r="CM271" s="31" t="s">
        <v>166</v>
      </c>
      <c r="CN271" s="27" t="s">
        <v>166</v>
      </c>
      <c r="CO271" s="27" t="s">
        <v>166</v>
      </c>
      <c r="CP271" s="27" t="s">
        <v>166</v>
      </c>
      <c r="CQ271" s="27" t="s">
        <v>166</v>
      </c>
      <c r="CR271" s="27" t="s">
        <v>166</v>
      </c>
      <c r="CS271" s="27" t="s">
        <v>166</v>
      </c>
      <c r="CT271" s="27" t="s">
        <v>166</v>
      </c>
      <c r="CU271" s="27" t="s">
        <v>166</v>
      </c>
      <c r="CV271" s="27" t="s">
        <v>166</v>
      </c>
      <c r="CW271" s="27" t="s">
        <v>166</v>
      </c>
      <c r="CX271" s="27" t="s">
        <v>166</v>
      </c>
      <c r="CY271" s="27" t="s">
        <v>166</v>
      </c>
      <c r="CZ271" s="27" t="s">
        <v>166</v>
      </c>
      <c r="DA271" s="27" t="s">
        <v>166</v>
      </c>
      <c r="DB271" s="27" t="s">
        <v>166</v>
      </c>
      <c r="DC271" s="27" t="s">
        <v>166</v>
      </c>
      <c r="DD271" s="27" t="s">
        <v>166</v>
      </c>
      <c r="DE271" s="28" t="s">
        <v>166</v>
      </c>
      <c r="DF271" s="33">
        <v>9</v>
      </c>
      <c r="DG271" s="25" t="s">
        <v>4053</v>
      </c>
      <c r="DH271" s="25" t="s">
        <v>193</v>
      </c>
      <c r="DI271" s="25" t="s">
        <v>194</v>
      </c>
      <c r="DJ271" s="25" t="s">
        <v>4054</v>
      </c>
      <c r="DK271" s="25" t="s">
        <v>1063</v>
      </c>
      <c r="DL271" s="32" t="s">
        <v>1233</v>
      </c>
      <c r="DM271" s="25" t="s">
        <v>198</v>
      </c>
      <c r="DN271" s="24" t="s">
        <v>5449</v>
      </c>
      <c r="DO271" s="31">
        <v>2023</v>
      </c>
      <c r="DP271" s="25" t="s">
        <v>166</v>
      </c>
      <c r="DQ271" s="25" t="s">
        <v>166</v>
      </c>
      <c r="DR271" s="29" t="s">
        <v>166</v>
      </c>
      <c r="DS271" s="27" t="s">
        <v>166</v>
      </c>
      <c r="DT271" s="30" t="s">
        <v>166</v>
      </c>
      <c r="DU271" s="25" t="s">
        <v>166</v>
      </c>
      <c r="DV271" s="29" t="s">
        <v>166</v>
      </c>
      <c r="DW271" s="29" t="s">
        <v>166</v>
      </c>
      <c r="DX271" s="27" t="s">
        <v>166</v>
      </c>
      <c r="DY271" s="27" t="s">
        <v>166</v>
      </c>
      <c r="DZ271" s="28" t="s">
        <v>166</v>
      </c>
      <c r="EA271" s="27" t="s">
        <v>166</v>
      </c>
      <c r="EB271" s="27" t="s">
        <v>166</v>
      </c>
      <c r="EC271" s="27" t="s">
        <v>166</v>
      </c>
      <c r="ED271" s="28" t="s">
        <v>166</v>
      </c>
      <c r="EE271" s="28" t="s">
        <v>166</v>
      </c>
      <c r="EF271" s="28" t="s">
        <v>166</v>
      </c>
      <c r="EG271" s="28" t="s">
        <v>166</v>
      </c>
      <c r="EH271" s="27" t="s">
        <v>166</v>
      </c>
      <c r="EI271" s="27" t="s">
        <v>166</v>
      </c>
      <c r="EJ271" s="27" t="s">
        <v>166</v>
      </c>
      <c r="EK271" s="27" t="s">
        <v>166</v>
      </c>
      <c r="EL271" s="27" t="s">
        <v>166</v>
      </c>
      <c r="EM271" s="27" t="s">
        <v>166</v>
      </c>
      <c r="EN271" s="27" t="s">
        <v>166</v>
      </c>
      <c r="EO271" s="27" t="s">
        <v>166</v>
      </c>
      <c r="EP271" s="27" t="s">
        <v>166</v>
      </c>
      <c r="EQ271" s="27" t="s">
        <v>166</v>
      </c>
      <c r="ER271" s="27" t="s">
        <v>166</v>
      </c>
      <c r="ES271" s="27" t="s">
        <v>166</v>
      </c>
      <c r="ET271" s="25" t="s">
        <v>166</v>
      </c>
      <c r="EU271" s="27" t="s">
        <v>166</v>
      </c>
      <c r="EV271" s="27" t="s">
        <v>166</v>
      </c>
      <c r="EW271" s="27" t="s">
        <v>166</v>
      </c>
      <c r="EX271" s="25" t="s">
        <v>190</v>
      </c>
      <c r="EY271" s="25" t="s">
        <v>166</v>
      </c>
      <c r="EZ271" s="27" t="s">
        <v>166</v>
      </c>
      <c r="FA271" s="26" t="s">
        <v>166</v>
      </c>
      <c r="FB271" s="26" t="s">
        <v>166</v>
      </c>
      <c r="FC271" s="26" t="s">
        <v>166</v>
      </c>
      <c r="FD271" s="26" t="s">
        <v>166</v>
      </c>
      <c r="FE271" s="26" t="s">
        <v>166</v>
      </c>
      <c r="FF271" s="26" t="s">
        <v>166</v>
      </c>
      <c r="FG271" s="25" t="s">
        <v>166</v>
      </c>
      <c r="FH271" s="4">
        <f>HYPERLINK("https://my.pitchbook.com?c=265419-73T","View Company Online")</f>
      </c>
    </row>
    <row r="272">
      <c r="A272" s="14" t="s">
        <v>5450</v>
      </c>
      <c r="B272" s="14" t="s">
        <v>5451</v>
      </c>
      <c r="C272" s="14" t="s">
        <v>5452</v>
      </c>
      <c r="D272" s="14" t="s">
        <v>166</v>
      </c>
      <c r="E272" s="23" t="s">
        <v>5453</v>
      </c>
      <c r="F272" s="21">
        <v>4</v>
      </c>
      <c r="G272" s="14" t="s">
        <v>5454</v>
      </c>
      <c r="H272" s="14" t="s">
        <v>166</v>
      </c>
      <c r="I272" s="14" t="s">
        <v>5455</v>
      </c>
      <c r="J272" s="14" t="s">
        <v>5456</v>
      </c>
      <c r="K272" s="14" t="s">
        <v>207</v>
      </c>
      <c r="L272" s="14" t="s">
        <v>208</v>
      </c>
      <c r="M272" s="14" t="s">
        <v>209</v>
      </c>
      <c r="N272" s="14" t="s">
        <v>3221</v>
      </c>
      <c r="O272" s="14" t="s">
        <v>5457</v>
      </c>
      <c r="P272" s="14" t="s">
        <v>5458</v>
      </c>
      <c r="Q272" s="14" t="s">
        <v>166</v>
      </c>
      <c r="R272" s="14" t="s">
        <v>177</v>
      </c>
      <c r="S272" s="14" t="s">
        <v>1859</v>
      </c>
      <c r="T272" s="14" t="s">
        <v>179</v>
      </c>
      <c r="U272" s="14" t="s">
        <v>5459</v>
      </c>
      <c r="V272" s="14" t="s">
        <v>5460</v>
      </c>
      <c r="W272" s="21" t="s">
        <v>5461</v>
      </c>
      <c r="X272" s="14" t="s">
        <v>5462</v>
      </c>
      <c r="Y272" s="14" t="s">
        <v>5463</v>
      </c>
      <c r="Z272" s="14" t="s">
        <v>166</v>
      </c>
      <c r="AA272" s="14" t="s">
        <v>166</v>
      </c>
      <c r="AB272" s="14" t="s">
        <v>166</v>
      </c>
      <c r="AC272" s="14" t="s">
        <v>166</v>
      </c>
      <c r="AD272" s="14" t="s">
        <v>166</v>
      </c>
      <c r="AE272" s="14" t="s">
        <v>166</v>
      </c>
      <c r="AF272" s="14" t="s">
        <v>166</v>
      </c>
      <c r="AG272" s="14" t="s">
        <v>166</v>
      </c>
      <c r="AH272" s="21">
        <v>3</v>
      </c>
      <c r="AI272" s="3">
        <f>HYPERLINK("https://my.pitchbook.com/?d=186937-75T","186937-75T")</f>
      </c>
      <c r="AJ272" s="19">
        <v>44488</v>
      </c>
      <c r="AK272" s="19">
        <v>44586</v>
      </c>
      <c r="AL272" s="18">
        <v>6.5</v>
      </c>
      <c r="AM272" s="14" t="s">
        <v>185</v>
      </c>
      <c r="AN272" s="18" t="s">
        <v>166</v>
      </c>
      <c r="AO272" s="18" t="s">
        <v>166</v>
      </c>
      <c r="AP272" s="14" t="s">
        <v>166</v>
      </c>
      <c r="AQ272" s="21" t="s">
        <v>166</v>
      </c>
      <c r="AR272" s="21" t="s">
        <v>166</v>
      </c>
      <c r="AS272" s="17" t="s">
        <v>166</v>
      </c>
      <c r="AT272" s="18">
        <v>6.56</v>
      </c>
      <c r="AU272" s="21" t="s">
        <v>186</v>
      </c>
      <c r="AV272" s="21" t="s">
        <v>166</v>
      </c>
      <c r="AW272" s="18" t="s">
        <v>166</v>
      </c>
      <c r="AX272" s="21" t="s">
        <v>248</v>
      </c>
      <c r="AY272" s="14" t="s">
        <v>187</v>
      </c>
      <c r="AZ272" s="14" t="s">
        <v>248</v>
      </c>
      <c r="BA272" s="14" t="s">
        <v>166</v>
      </c>
      <c r="BB272" s="21" t="s">
        <v>166</v>
      </c>
      <c r="BC272" s="14" t="s">
        <v>179</v>
      </c>
      <c r="BD272" s="14" t="s">
        <v>5456</v>
      </c>
      <c r="BE272" s="14" t="s">
        <v>189</v>
      </c>
      <c r="BF272" s="18">
        <v>6.5</v>
      </c>
      <c r="BG272" s="14" t="s">
        <v>190</v>
      </c>
      <c r="BH272" s="14" t="s">
        <v>166</v>
      </c>
      <c r="BI272" s="14" t="s">
        <v>166</v>
      </c>
      <c r="BJ272" s="18" t="s">
        <v>166</v>
      </c>
      <c r="BK272" s="18" t="s">
        <v>166</v>
      </c>
      <c r="BL272" s="14" t="s">
        <v>191</v>
      </c>
      <c r="BM272" s="14" t="s">
        <v>1859</v>
      </c>
      <c r="BN272" s="14" t="s">
        <v>177</v>
      </c>
      <c r="BO272" s="22">
        <v>35</v>
      </c>
      <c r="BP272" s="14" t="s">
        <v>5464</v>
      </c>
      <c r="BQ272" s="21">
        <v>4</v>
      </c>
      <c r="BR272" s="14" t="s">
        <v>166</v>
      </c>
      <c r="BS272" s="21" t="s">
        <v>166</v>
      </c>
      <c r="BT272" s="14" t="s">
        <v>166</v>
      </c>
      <c r="BU272" s="14" t="s">
        <v>166</v>
      </c>
      <c r="BV272" s="14" t="s">
        <v>5465</v>
      </c>
      <c r="BW272" s="14" t="s">
        <v>166</v>
      </c>
      <c r="BX272" s="14" t="s">
        <v>166</v>
      </c>
      <c r="BY272" s="14" t="s">
        <v>166</v>
      </c>
      <c r="BZ272" s="14" t="s">
        <v>1232</v>
      </c>
      <c r="CA272" s="14" t="s">
        <v>1232</v>
      </c>
      <c r="CB272" s="14" t="s">
        <v>166</v>
      </c>
      <c r="CC272" s="14" t="s">
        <v>166</v>
      </c>
      <c r="CD272" s="14" t="s">
        <v>166</v>
      </c>
      <c r="CE272" s="18" t="s">
        <v>166</v>
      </c>
      <c r="CF272" s="16" t="s">
        <v>166</v>
      </c>
      <c r="CG272" s="17" t="s">
        <v>166</v>
      </c>
      <c r="CH272" s="16" t="s">
        <v>166</v>
      </c>
      <c r="CI272" s="16" t="s">
        <v>166</v>
      </c>
      <c r="CJ272" s="16" t="s">
        <v>166</v>
      </c>
      <c r="CK272" s="16" t="s">
        <v>166</v>
      </c>
      <c r="CL272" s="16" t="s">
        <v>166</v>
      </c>
      <c r="CM272" s="20" t="s">
        <v>166</v>
      </c>
      <c r="CN272" s="16" t="s">
        <v>166</v>
      </c>
      <c r="CO272" s="16" t="s">
        <v>166</v>
      </c>
      <c r="CP272" s="16" t="s">
        <v>166</v>
      </c>
      <c r="CQ272" s="16" t="s">
        <v>166</v>
      </c>
      <c r="CR272" s="16" t="s">
        <v>166</v>
      </c>
      <c r="CS272" s="16" t="s">
        <v>166</v>
      </c>
      <c r="CT272" s="16" t="s">
        <v>166</v>
      </c>
      <c r="CU272" s="16" t="s">
        <v>166</v>
      </c>
      <c r="CV272" s="16" t="s">
        <v>166</v>
      </c>
      <c r="CW272" s="16" t="s">
        <v>166</v>
      </c>
      <c r="CX272" s="16" t="s">
        <v>166</v>
      </c>
      <c r="CY272" s="16" t="s">
        <v>166</v>
      </c>
      <c r="CZ272" s="16" t="s">
        <v>166</v>
      </c>
      <c r="DA272" s="16" t="s">
        <v>166</v>
      </c>
      <c r="DB272" s="16" t="s">
        <v>166</v>
      </c>
      <c r="DC272" s="16" t="s">
        <v>166</v>
      </c>
      <c r="DD272" s="16" t="s">
        <v>166</v>
      </c>
      <c r="DE272" s="17" t="s">
        <v>166</v>
      </c>
      <c r="DF272" s="22">
        <v>41</v>
      </c>
      <c r="DG272" s="14" t="s">
        <v>2460</v>
      </c>
      <c r="DH272" s="14" t="s">
        <v>193</v>
      </c>
      <c r="DI272" s="14" t="s">
        <v>194</v>
      </c>
      <c r="DJ272" s="14" t="s">
        <v>2461</v>
      </c>
      <c r="DK272" s="14" t="s">
        <v>1063</v>
      </c>
      <c r="DL272" s="21" t="s">
        <v>2462</v>
      </c>
      <c r="DM272" s="14" t="s">
        <v>198</v>
      </c>
      <c r="DN272" s="13" t="s">
        <v>5466</v>
      </c>
      <c r="DO272" s="20">
        <v>2018</v>
      </c>
      <c r="DP272" s="14" t="s">
        <v>166</v>
      </c>
      <c r="DQ272" s="14" t="s">
        <v>166</v>
      </c>
      <c r="DR272" s="18" t="s">
        <v>166</v>
      </c>
      <c r="DS272" s="16" t="s">
        <v>166</v>
      </c>
      <c r="DT272" s="19" t="s">
        <v>166</v>
      </c>
      <c r="DU272" s="14" t="s">
        <v>166</v>
      </c>
      <c r="DV272" s="18" t="s">
        <v>166</v>
      </c>
      <c r="DW272" s="18" t="s">
        <v>166</v>
      </c>
      <c r="DX272" s="16" t="s">
        <v>166</v>
      </c>
      <c r="DY272" s="16" t="s">
        <v>166</v>
      </c>
      <c r="DZ272" s="17" t="s">
        <v>166</v>
      </c>
      <c r="EA272" s="16" t="s">
        <v>166</v>
      </c>
      <c r="EB272" s="16" t="s">
        <v>166</v>
      </c>
      <c r="EC272" s="16" t="s">
        <v>166</v>
      </c>
      <c r="ED272" s="17" t="s">
        <v>166</v>
      </c>
      <c r="EE272" s="17" t="s">
        <v>166</v>
      </c>
      <c r="EF272" s="17" t="s">
        <v>166</v>
      </c>
      <c r="EG272" s="17" t="s">
        <v>166</v>
      </c>
      <c r="EH272" s="16" t="s">
        <v>166</v>
      </c>
      <c r="EI272" s="16" t="s">
        <v>166</v>
      </c>
      <c r="EJ272" s="16" t="s">
        <v>166</v>
      </c>
      <c r="EK272" s="16" t="s">
        <v>166</v>
      </c>
      <c r="EL272" s="16" t="s">
        <v>166</v>
      </c>
      <c r="EM272" s="16" t="s">
        <v>166</v>
      </c>
      <c r="EN272" s="16" t="s">
        <v>166</v>
      </c>
      <c r="EO272" s="16" t="s">
        <v>166</v>
      </c>
      <c r="EP272" s="16" t="s">
        <v>166</v>
      </c>
      <c r="EQ272" s="16" t="s">
        <v>166</v>
      </c>
      <c r="ER272" s="16" t="s">
        <v>166</v>
      </c>
      <c r="ES272" s="16" t="s">
        <v>166</v>
      </c>
      <c r="ET272" s="14" t="s">
        <v>166</v>
      </c>
      <c r="EU272" s="16" t="s">
        <v>166</v>
      </c>
      <c r="EV272" s="16" t="s">
        <v>166</v>
      </c>
      <c r="EW272" s="16" t="s">
        <v>166</v>
      </c>
      <c r="EX272" s="14" t="s">
        <v>190</v>
      </c>
      <c r="EY272" s="14" t="s">
        <v>166</v>
      </c>
      <c r="EZ272" s="16" t="s">
        <v>166</v>
      </c>
      <c r="FA272" s="15" t="s">
        <v>166</v>
      </c>
      <c r="FB272" s="15" t="s">
        <v>166</v>
      </c>
      <c r="FC272" s="15" t="s">
        <v>166</v>
      </c>
      <c r="FD272" s="15" t="s">
        <v>166</v>
      </c>
      <c r="FE272" s="15" t="s">
        <v>166</v>
      </c>
      <c r="FF272" s="15" t="s">
        <v>166</v>
      </c>
      <c r="FG272" s="14" t="s">
        <v>166</v>
      </c>
      <c r="FH272" s="3">
        <f>HYPERLINK("https://my.pitchbook.com?c=186937-75T","View Company Online")</f>
      </c>
    </row>
    <row r="273">
      <c r="A273" s="25" t="s">
        <v>5467</v>
      </c>
      <c r="B273" s="25" t="s">
        <v>5468</v>
      </c>
      <c r="C273" s="25" t="s">
        <v>5469</v>
      </c>
      <c r="D273" s="25" t="s">
        <v>166</v>
      </c>
      <c r="E273" s="34" t="s">
        <v>5470</v>
      </c>
      <c r="F273" s="32">
        <v>3</v>
      </c>
      <c r="G273" s="25" t="s">
        <v>5471</v>
      </c>
      <c r="H273" s="25" t="s">
        <v>166</v>
      </c>
      <c r="I273" s="25" t="s">
        <v>5472</v>
      </c>
      <c r="J273" s="25" t="s">
        <v>5473</v>
      </c>
      <c r="K273" s="25" t="s">
        <v>207</v>
      </c>
      <c r="L273" s="25" t="s">
        <v>208</v>
      </c>
      <c r="M273" s="25" t="s">
        <v>209</v>
      </c>
      <c r="N273" s="25" t="s">
        <v>269</v>
      </c>
      <c r="O273" s="25" t="s">
        <v>800</v>
      </c>
      <c r="P273" s="25" t="s">
        <v>5474</v>
      </c>
      <c r="Q273" s="25" t="s">
        <v>166</v>
      </c>
      <c r="R273" s="25" t="s">
        <v>177</v>
      </c>
      <c r="S273" s="25" t="s">
        <v>178</v>
      </c>
      <c r="T273" s="25" t="s">
        <v>179</v>
      </c>
      <c r="U273" s="25" t="s">
        <v>5475</v>
      </c>
      <c r="V273" s="25" t="s">
        <v>5476</v>
      </c>
      <c r="W273" s="32" t="s">
        <v>5477</v>
      </c>
      <c r="X273" s="25" t="s">
        <v>5478</v>
      </c>
      <c r="Y273" s="25" t="s">
        <v>5479</v>
      </c>
      <c r="Z273" s="25" t="s">
        <v>5480</v>
      </c>
      <c r="AA273" s="25" t="s">
        <v>242</v>
      </c>
      <c r="AB273" s="25" t="s">
        <v>243</v>
      </c>
      <c r="AC273" s="25" t="s">
        <v>244</v>
      </c>
      <c r="AD273" s="25" t="s">
        <v>243</v>
      </c>
      <c r="AE273" s="25" t="s">
        <v>243</v>
      </c>
      <c r="AF273" s="25" t="s">
        <v>245</v>
      </c>
      <c r="AG273" s="25" t="s">
        <v>807</v>
      </c>
      <c r="AH273" s="32">
        <v>1</v>
      </c>
      <c r="AI273" s="4">
        <f>HYPERLINK("https://my.pitchbook.com/?d=168138-01T","168138-01T")</f>
      </c>
      <c r="AJ273" s="30" t="s">
        <v>166</v>
      </c>
      <c r="AK273" s="30">
        <v>44169</v>
      </c>
      <c r="AL273" s="29">
        <v>6.4</v>
      </c>
      <c r="AM273" s="25" t="s">
        <v>247</v>
      </c>
      <c r="AN273" s="29">
        <v>15</v>
      </c>
      <c r="AO273" s="29">
        <v>21.4</v>
      </c>
      <c r="AP273" s="25" t="s">
        <v>185</v>
      </c>
      <c r="AQ273" s="32" t="s">
        <v>166</v>
      </c>
      <c r="AR273" s="32" t="s">
        <v>166</v>
      </c>
      <c r="AS273" s="28">
        <v>29.91</v>
      </c>
      <c r="AT273" s="29">
        <v>6.4</v>
      </c>
      <c r="AU273" s="32" t="s">
        <v>186</v>
      </c>
      <c r="AV273" s="32" t="s">
        <v>166</v>
      </c>
      <c r="AW273" s="29">
        <v>0.88</v>
      </c>
      <c r="AX273" s="32" t="s">
        <v>166</v>
      </c>
      <c r="AY273" s="25" t="s">
        <v>217</v>
      </c>
      <c r="AZ273" s="25" t="s">
        <v>217</v>
      </c>
      <c r="BA273" s="25" t="s">
        <v>166</v>
      </c>
      <c r="BB273" s="32" t="s">
        <v>166</v>
      </c>
      <c r="BC273" s="25" t="s">
        <v>179</v>
      </c>
      <c r="BD273" s="25" t="s">
        <v>5481</v>
      </c>
      <c r="BE273" s="25" t="s">
        <v>189</v>
      </c>
      <c r="BF273" s="29">
        <v>6.4</v>
      </c>
      <c r="BG273" s="25" t="s">
        <v>190</v>
      </c>
      <c r="BH273" s="25" t="s">
        <v>166</v>
      </c>
      <c r="BI273" s="25" t="s">
        <v>166</v>
      </c>
      <c r="BJ273" s="29" t="s">
        <v>166</v>
      </c>
      <c r="BK273" s="29" t="s">
        <v>166</v>
      </c>
      <c r="BL273" s="25" t="s">
        <v>191</v>
      </c>
      <c r="BM273" s="25" t="s">
        <v>178</v>
      </c>
      <c r="BN273" s="25" t="s">
        <v>177</v>
      </c>
      <c r="BO273" s="33" t="s">
        <v>166</v>
      </c>
      <c r="BP273" s="25" t="s">
        <v>5482</v>
      </c>
      <c r="BQ273" s="32">
        <v>3</v>
      </c>
      <c r="BR273" s="25" t="s">
        <v>166</v>
      </c>
      <c r="BS273" s="32" t="s">
        <v>166</v>
      </c>
      <c r="BT273" s="25" t="s">
        <v>166</v>
      </c>
      <c r="BU273" s="25" t="s">
        <v>166</v>
      </c>
      <c r="BV273" s="25" t="s">
        <v>5483</v>
      </c>
      <c r="BW273" s="25" t="s">
        <v>166</v>
      </c>
      <c r="BX273" s="25" t="s">
        <v>166</v>
      </c>
      <c r="BY273" s="25" t="s">
        <v>166</v>
      </c>
      <c r="BZ273" s="25" t="s">
        <v>5484</v>
      </c>
      <c r="CA273" s="25" t="s">
        <v>5484</v>
      </c>
      <c r="CB273" s="25" t="s">
        <v>166</v>
      </c>
      <c r="CC273" s="25" t="s">
        <v>166</v>
      </c>
      <c r="CD273" s="25" t="s">
        <v>166</v>
      </c>
      <c r="CE273" s="29" t="s">
        <v>166</v>
      </c>
      <c r="CF273" s="27" t="s">
        <v>166</v>
      </c>
      <c r="CG273" s="28" t="s">
        <v>166</v>
      </c>
      <c r="CH273" s="27" t="s">
        <v>166</v>
      </c>
      <c r="CI273" s="27" t="s">
        <v>166</v>
      </c>
      <c r="CJ273" s="27" t="s">
        <v>166</v>
      </c>
      <c r="CK273" s="27" t="s">
        <v>166</v>
      </c>
      <c r="CL273" s="27" t="s">
        <v>166</v>
      </c>
      <c r="CM273" s="31" t="s">
        <v>166</v>
      </c>
      <c r="CN273" s="27" t="s">
        <v>166</v>
      </c>
      <c r="CO273" s="27" t="s">
        <v>166</v>
      </c>
      <c r="CP273" s="27" t="s">
        <v>166</v>
      </c>
      <c r="CQ273" s="27" t="s">
        <v>166</v>
      </c>
      <c r="CR273" s="27" t="s">
        <v>166</v>
      </c>
      <c r="CS273" s="27" t="s">
        <v>166</v>
      </c>
      <c r="CT273" s="27" t="s">
        <v>166</v>
      </c>
      <c r="CU273" s="27" t="s">
        <v>166</v>
      </c>
      <c r="CV273" s="27" t="s">
        <v>166</v>
      </c>
      <c r="CW273" s="27" t="s">
        <v>166</v>
      </c>
      <c r="CX273" s="27" t="s">
        <v>166</v>
      </c>
      <c r="CY273" s="27" t="s">
        <v>166</v>
      </c>
      <c r="CZ273" s="27" t="s">
        <v>166</v>
      </c>
      <c r="DA273" s="27" t="s">
        <v>166</v>
      </c>
      <c r="DB273" s="27" t="s">
        <v>166</v>
      </c>
      <c r="DC273" s="27" t="s">
        <v>166</v>
      </c>
      <c r="DD273" s="27" t="s">
        <v>166</v>
      </c>
      <c r="DE273" s="28" t="s">
        <v>166</v>
      </c>
      <c r="DF273" s="33">
        <v>12</v>
      </c>
      <c r="DG273" s="25" t="s">
        <v>5485</v>
      </c>
      <c r="DH273" s="25" t="s">
        <v>193</v>
      </c>
      <c r="DI273" s="25" t="s">
        <v>194</v>
      </c>
      <c r="DJ273" s="25" t="s">
        <v>5486</v>
      </c>
      <c r="DK273" s="25" t="s">
        <v>257</v>
      </c>
      <c r="DL273" s="32" t="s">
        <v>5487</v>
      </c>
      <c r="DM273" s="25" t="s">
        <v>198</v>
      </c>
      <c r="DN273" s="24" t="s">
        <v>5488</v>
      </c>
      <c r="DO273" s="31">
        <v>2020</v>
      </c>
      <c r="DP273" s="25" t="s">
        <v>166</v>
      </c>
      <c r="DQ273" s="25" t="s">
        <v>166</v>
      </c>
      <c r="DR273" s="29" t="s">
        <v>166</v>
      </c>
      <c r="DS273" s="27" t="s">
        <v>166</v>
      </c>
      <c r="DT273" s="30" t="s">
        <v>166</v>
      </c>
      <c r="DU273" s="25" t="s">
        <v>166</v>
      </c>
      <c r="DV273" s="29" t="s">
        <v>166</v>
      </c>
      <c r="DW273" s="29" t="s">
        <v>166</v>
      </c>
      <c r="DX273" s="27" t="s">
        <v>166</v>
      </c>
      <c r="DY273" s="27" t="s">
        <v>166</v>
      </c>
      <c r="DZ273" s="28" t="s">
        <v>166</v>
      </c>
      <c r="EA273" s="27" t="s">
        <v>166</v>
      </c>
      <c r="EB273" s="27" t="s">
        <v>166</v>
      </c>
      <c r="EC273" s="27" t="s">
        <v>166</v>
      </c>
      <c r="ED273" s="28" t="s">
        <v>166</v>
      </c>
      <c r="EE273" s="28" t="s">
        <v>166</v>
      </c>
      <c r="EF273" s="28" t="s">
        <v>166</v>
      </c>
      <c r="EG273" s="28" t="s">
        <v>166</v>
      </c>
      <c r="EH273" s="27" t="s">
        <v>166</v>
      </c>
      <c r="EI273" s="27" t="s">
        <v>166</v>
      </c>
      <c r="EJ273" s="27" t="s">
        <v>166</v>
      </c>
      <c r="EK273" s="27" t="s">
        <v>166</v>
      </c>
      <c r="EL273" s="27" t="s">
        <v>166</v>
      </c>
      <c r="EM273" s="27" t="s">
        <v>166</v>
      </c>
      <c r="EN273" s="27" t="s">
        <v>166</v>
      </c>
      <c r="EO273" s="27" t="s">
        <v>166</v>
      </c>
      <c r="EP273" s="27" t="s">
        <v>166</v>
      </c>
      <c r="EQ273" s="27" t="s">
        <v>166</v>
      </c>
      <c r="ER273" s="27" t="s">
        <v>166</v>
      </c>
      <c r="ES273" s="27" t="s">
        <v>166</v>
      </c>
      <c r="ET273" s="25" t="s">
        <v>166</v>
      </c>
      <c r="EU273" s="27" t="s">
        <v>166</v>
      </c>
      <c r="EV273" s="27" t="s">
        <v>166</v>
      </c>
      <c r="EW273" s="27" t="s">
        <v>166</v>
      </c>
      <c r="EX273" s="25" t="s">
        <v>190</v>
      </c>
      <c r="EY273" s="25" t="s">
        <v>166</v>
      </c>
      <c r="EZ273" s="27" t="s">
        <v>166</v>
      </c>
      <c r="FA273" s="26" t="s">
        <v>166</v>
      </c>
      <c r="FB273" s="26" t="s">
        <v>166</v>
      </c>
      <c r="FC273" s="26" t="s">
        <v>166</v>
      </c>
      <c r="FD273" s="26" t="s">
        <v>166</v>
      </c>
      <c r="FE273" s="26" t="s">
        <v>166</v>
      </c>
      <c r="FF273" s="26" t="s">
        <v>166</v>
      </c>
      <c r="FG273" s="25" t="s">
        <v>166</v>
      </c>
      <c r="FH273" s="4">
        <f>HYPERLINK("https://my.pitchbook.com?c=168138-01T","View Company Online")</f>
      </c>
    </row>
    <row r="274">
      <c r="A274" s="14" t="s">
        <v>5489</v>
      </c>
      <c r="B274" s="14" t="s">
        <v>5490</v>
      </c>
      <c r="C274" s="14" t="s">
        <v>5491</v>
      </c>
      <c r="D274" s="14" t="s">
        <v>166</v>
      </c>
      <c r="E274" s="23" t="s">
        <v>5492</v>
      </c>
      <c r="F274" s="21">
        <v>2</v>
      </c>
      <c r="G274" s="14" t="s">
        <v>5493</v>
      </c>
      <c r="H274" s="14" t="s">
        <v>166</v>
      </c>
      <c r="I274" s="14" t="s">
        <v>5494</v>
      </c>
      <c r="J274" s="14" t="s">
        <v>5495</v>
      </c>
      <c r="K274" s="14" t="s">
        <v>207</v>
      </c>
      <c r="L274" s="14" t="s">
        <v>208</v>
      </c>
      <c r="M274" s="14" t="s">
        <v>209</v>
      </c>
      <c r="N274" s="14" t="s">
        <v>1359</v>
      </c>
      <c r="O274" s="14" t="s">
        <v>1691</v>
      </c>
      <c r="P274" s="14" t="s">
        <v>5496</v>
      </c>
      <c r="Q274" s="14" t="s">
        <v>166</v>
      </c>
      <c r="R274" s="14" t="s">
        <v>177</v>
      </c>
      <c r="S274" s="14" t="s">
        <v>178</v>
      </c>
      <c r="T274" s="14" t="s">
        <v>179</v>
      </c>
      <c r="U274" s="14" t="s">
        <v>5497</v>
      </c>
      <c r="V274" s="14" t="s">
        <v>5498</v>
      </c>
      <c r="W274" s="21" t="s">
        <v>5499</v>
      </c>
      <c r="X274" s="14" t="s">
        <v>5500</v>
      </c>
      <c r="Y274" s="14" t="s">
        <v>5501</v>
      </c>
      <c r="Z274" s="14" t="s">
        <v>5502</v>
      </c>
      <c r="AA274" s="14" t="s">
        <v>242</v>
      </c>
      <c r="AB274" s="14" t="s">
        <v>243</v>
      </c>
      <c r="AC274" s="14" t="s">
        <v>244</v>
      </c>
      <c r="AD274" s="14" t="s">
        <v>243</v>
      </c>
      <c r="AE274" s="14" t="s">
        <v>243</v>
      </c>
      <c r="AF274" s="14" t="s">
        <v>166</v>
      </c>
      <c r="AG274" s="14" t="s">
        <v>246</v>
      </c>
      <c r="AH274" s="21">
        <v>1</v>
      </c>
      <c r="AI274" s="3">
        <f>HYPERLINK("https://my.pitchbook.com/?d=170367-04T","170367-04T")</f>
      </c>
      <c r="AJ274" s="19" t="s">
        <v>166</v>
      </c>
      <c r="AK274" s="19">
        <v>44286</v>
      </c>
      <c r="AL274" s="18">
        <v>1.3</v>
      </c>
      <c r="AM274" s="14" t="s">
        <v>185</v>
      </c>
      <c r="AN274" s="18">
        <v>4.3</v>
      </c>
      <c r="AO274" s="18">
        <v>5.6</v>
      </c>
      <c r="AP274" s="14" t="s">
        <v>185</v>
      </c>
      <c r="AQ274" s="21" t="s">
        <v>166</v>
      </c>
      <c r="AR274" s="21" t="s">
        <v>166</v>
      </c>
      <c r="AS274" s="17">
        <v>25.21</v>
      </c>
      <c r="AT274" s="18">
        <v>1.3</v>
      </c>
      <c r="AU274" s="21" t="s">
        <v>186</v>
      </c>
      <c r="AV274" s="21" t="s">
        <v>166</v>
      </c>
      <c r="AW274" s="18">
        <v>0.43</v>
      </c>
      <c r="AX274" s="21" t="s">
        <v>166</v>
      </c>
      <c r="AY274" s="14" t="s">
        <v>217</v>
      </c>
      <c r="AZ274" s="14" t="s">
        <v>217</v>
      </c>
      <c r="BA274" s="14" t="s">
        <v>166</v>
      </c>
      <c r="BB274" s="21" t="s">
        <v>166</v>
      </c>
      <c r="BC274" s="14" t="s">
        <v>179</v>
      </c>
      <c r="BD274" s="14" t="s">
        <v>5503</v>
      </c>
      <c r="BE274" s="14" t="s">
        <v>189</v>
      </c>
      <c r="BF274" s="18">
        <v>1.3</v>
      </c>
      <c r="BG274" s="14" t="s">
        <v>190</v>
      </c>
      <c r="BH274" s="14" t="s">
        <v>166</v>
      </c>
      <c r="BI274" s="14" t="s">
        <v>166</v>
      </c>
      <c r="BJ274" s="18" t="s">
        <v>166</v>
      </c>
      <c r="BK274" s="18" t="s">
        <v>166</v>
      </c>
      <c r="BL274" s="14" t="s">
        <v>191</v>
      </c>
      <c r="BM274" s="14" t="s">
        <v>178</v>
      </c>
      <c r="BN274" s="14" t="s">
        <v>177</v>
      </c>
      <c r="BO274" s="22">
        <v>3</v>
      </c>
      <c r="BP274" s="14" t="s">
        <v>5492</v>
      </c>
      <c r="BQ274" s="21">
        <v>2</v>
      </c>
      <c r="BR274" s="14" t="s">
        <v>166</v>
      </c>
      <c r="BS274" s="21" t="s">
        <v>166</v>
      </c>
      <c r="BT274" s="14" t="s">
        <v>5504</v>
      </c>
      <c r="BU274" s="14" t="s">
        <v>166</v>
      </c>
      <c r="BV274" s="14" t="s">
        <v>166</v>
      </c>
      <c r="BW274" s="14" t="s">
        <v>166</v>
      </c>
      <c r="BX274" s="14" t="s">
        <v>166</v>
      </c>
      <c r="BY274" s="14" t="s">
        <v>166</v>
      </c>
      <c r="BZ274" s="14" t="s">
        <v>5505</v>
      </c>
      <c r="CA274" s="14" t="s">
        <v>5505</v>
      </c>
      <c r="CB274" s="14" t="s">
        <v>166</v>
      </c>
      <c r="CC274" s="14" t="s">
        <v>166</v>
      </c>
      <c r="CD274" s="14" t="s">
        <v>166</v>
      </c>
      <c r="CE274" s="18" t="s">
        <v>166</v>
      </c>
      <c r="CF274" s="16" t="s">
        <v>166</v>
      </c>
      <c r="CG274" s="17" t="s">
        <v>166</v>
      </c>
      <c r="CH274" s="16" t="s">
        <v>166</v>
      </c>
      <c r="CI274" s="16" t="s">
        <v>166</v>
      </c>
      <c r="CJ274" s="16" t="s">
        <v>166</v>
      </c>
      <c r="CK274" s="16" t="s">
        <v>166</v>
      </c>
      <c r="CL274" s="16" t="s">
        <v>166</v>
      </c>
      <c r="CM274" s="20" t="s">
        <v>166</v>
      </c>
      <c r="CN274" s="16" t="s">
        <v>166</v>
      </c>
      <c r="CO274" s="16" t="s">
        <v>166</v>
      </c>
      <c r="CP274" s="16" t="s">
        <v>166</v>
      </c>
      <c r="CQ274" s="16" t="s">
        <v>166</v>
      </c>
      <c r="CR274" s="16" t="s">
        <v>166</v>
      </c>
      <c r="CS274" s="16" t="s">
        <v>166</v>
      </c>
      <c r="CT274" s="16" t="s">
        <v>166</v>
      </c>
      <c r="CU274" s="16" t="s">
        <v>166</v>
      </c>
      <c r="CV274" s="16" t="s">
        <v>166</v>
      </c>
      <c r="CW274" s="16" t="s">
        <v>166</v>
      </c>
      <c r="CX274" s="16" t="s">
        <v>166</v>
      </c>
      <c r="CY274" s="16" t="s">
        <v>166</v>
      </c>
      <c r="CZ274" s="16" t="s">
        <v>166</v>
      </c>
      <c r="DA274" s="16" t="s">
        <v>166</v>
      </c>
      <c r="DB274" s="16" t="s">
        <v>166</v>
      </c>
      <c r="DC274" s="16" t="s">
        <v>166</v>
      </c>
      <c r="DD274" s="16" t="s">
        <v>166</v>
      </c>
      <c r="DE274" s="17" t="s">
        <v>166</v>
      </c>
      <c r="DF274" s="22">
        <v>8</v>
      </c>
      <c r="DG274" s="14" t="s">
        <v>5506</v>
      </c>
      <c r="DH274" s="14" t="s">
        <v>193</v>
      </c>
      <c r="DI274" s="14" t="s">
        <v>194</v>
      </c>
      <c r="DJ274" s="14" t="s">
        <v>5507</v>
      </c>
      <c r="DK274" s="14" t="s">
        <v>5508</v>
      </c>
      <c r="DL274" s="21" t="s">
        <v>5509</v>
      </c>
      <c r="DM274" s="14" t="s">
        <v>198</v>
      </c>
      <c r="DN274" s="13" t="s">
        <v>5510</v>
      </c>
      <c r="DO274" s="20">
        <v>2020</v>
      </c>
      <c r="DP274" s="14" t="s">
        <v>166</v>
      </c>
      <c r="DQ274" s="14" t="s">
        <v>166</v>
      </c>
      <c r="DR274" s="18" t="s">
        <v>166</v>
      </c>
      <c r="DS274" s="16" t="s">
        <v>166</v>
      </c>
      <c r="DT274" s="19" t="s">
        <v>166</v>
      </c>
      <c r="DU274" s="14" t="s">
        <v>166</v>
      </c>
      <c r="DV274" s="18" t="s">
        <v>166</v>
      </c>
      <c r="DW274" s="18" t="s">
        <v>166</v>
      </c>
      <c r="DX274" s="16" t="s">
        <v>166</v>
      </c>
      <c r="DY274" s="16" t="s">
        <v>166</v>
      </c>
      <c r="DZ274" s="17" t="s">
        <v>166</v>
      </c>
      <c r="EA274" s="16" t="s">
        <v>166</v>
      </c>
      <c r="EB274" s="16" t="s">
        <v>166</v>
      </c>
      <c r="EC274" s="16" t="s">
        <v>166</v>
      </c>
      <c r="ED274" s="17" t="s">
        <v>166</v>
      </c>
      <c r="EE274" s="17" t="s">
        <v>166</v>
      </c>
      <c r="EF274" s="17" t="s">
        <v>166</v>
      </c>
      <c r="EG274" s="17" t="s">
        <v>166</v>
      </c>
      <c r="EH274" s="16" t="s">
        <v>166</v>
      </c>
      <c r="EI274" s="16" t="s">
        <v>166</v>
      </c>
      <c r="EJ274" s="16" t="s">
        <v>166</v>
      </c>
      <c r="EK274" s="16" t="s">
        <v>166</v>
      </c>
      <c r="EL274" s="16" t="s">
        <v>166</v>
      </c>
      <c r="EM274" s="16" t="s">
        <v>166</v>
      </c>
      <c r="EN274" s="16" t="s">
        <v>166</v>
      </c>
      <c r="EO274" s="16" t="s">
        <v>166</v>
      </c>
      <c r="EP274" s="16" t="s">
        <v>166</v>
      </c>
      <c r="EQ274" s="16" t="s">
        <v>166</v>
      </c>
      <c r="ER274" s="16" t="s">
        <v>166</v>
      </c>
      <c r="ES274" s="16" t="s">
        <v>166</v>
      </c>
      <c r="ET274" s="14" t="s">
        <v>166</v>
      </c>
      <c r="EU274" s="16" t="s">
        <v>166</v>
      </c>
      <c r="EV274" s="16" t="s">
        <v>166</v>
      </c>
      <c r="EW274" s="16" t="s">
        <v>166</v>
      </c>
      <c r="EX274" s="14" t="s">
        <v>190</v>
      </c>
      <c r="EY274" s="14" t="s">
        <v>166</v>
      </c>
      <c r="EZ274" s="16" t="s">
        <v>166</v>
      </c>
      <c r="FA274" s="15" t="s">
        <v>166</v>
      </c>
      <c r="FB274" s="15" t="s">
        <v>166</v>
      </c>
      <c r="FC274" s="15" t="s">
        <v>166</v>
      </c>
      <c r="FD274" s="15" t="s">
        <v>166</v>
      </c>
      <c r="FE274" s="15" t="s">
        <v>166</v>
      </c>
      <c r="FF274" s="15" t="s">
        <v>166</v>
      </c>
      <c r="FG274" s="14" t="s">
        <v>166</v>
      </c>
      <c r="FH274" s="3">
        <f>HYPERLINK("https://my.pitchbook.com?c=170367-04T","View Company Online")</f>
      </c>
    </row>
    <row r="275">
      <c r="A275" s="25" t="s">
        <v>5511</v>
      </c>
      <c r="B275" s="25" t="s">
        <v>5512</v>
      </c>
      <c r="C275" s="25" t="s">
        <v>5513</v>
      </c>
      <c r="D275" s="25" t="s">
        <v>166</v>
      </c>
      <c r="E275" s="34" t="s">
        <v>5514</v>
      </c>
      <c r="F275" s="32">
        <v>15</v>
      </c>
      <c r="G275" s="25" t="s">
        <v>5515</v>
      </c>
      <c r="H275" s="25" t="s">
        <v>166</v>
      </c>
      <c r="I275" s="25" t="s">
        <v>5516</v>
      </c>
      <c r="J275" s="25" t="s">
        <v>5517</v>
      </c>
      <c r="K275" s="25" t="s">
        <v>207</v>
      </c>
      <c r="L275" s="25" t="s">
        <v>208</v>
      </c>
      <c r="M275" s="25" t="s">
        <v>1940</v>
      </c>
      <c r="N275" s="25" t="s">
        <v>5518</v>
      </c>
      <c r="O275" s="25" t="s">
        <v>5519</v>
      </c>
      <c r="P275" s="25" t="s">
        <v>5520</v>
      </c>
      <c r="Q275" s="25" t="s">
        <v>166</v>
      </c>
      <c r="R275" s="25" t="s">
        <v>177</v>
      </c>
      <c r="S275" s="25" t="s">
        <v>178</v>
      </c>
      <c r="T275" s="25" t="s">
        <v>179</v>
      </c>
      <c r="U275" s="25" t="s">
        <v>5521</v>
      </c>
      <c r="V275" s="25" t="s">
        <v>5522</v>
      </c>
      <c r="W275" s="32" t="s">
        <v>166</v>
      </c>
      <c r="X275" s="25" t="s">
        <v>5523</v>
      </c>
      <c r="Y275" s="25" t="s">
        <v>5524</v>
      </c>
      <c r="Z275" s="25" t="s">
        <v>166</v>
      </c>
      <c r="AA275" s="25" t="s">
        <v>242</v>
      </c>
      <c r="AB275" s="25" t="s">
        <v>243</v>
      </c>
      <c r="AC275" s="25" t="s">
        <v>244</v>
      </c>
      <c r="AD275" s="25" t="s">
        <v>243</v>
      </c>
      <c r="AE275" s="25" t="s">
        <v>243</v>
      </c>
      <c r="AF275" s="25" t="s">
        <v>245</v>
      </c>
      <c r="AG275" s="25" t="s">
        <v>246</v>
      </c>
      <c r="AH275" s="32">
        <v>1</v>
      </c>
      <c r="AI275" s="4">
        <f>HYPERLINK("https://my.pitchbook.com/?d=117577-72T","117577-72T")</f>
      </c>
      <c r="AJ275" s="30">
        <v>43543</v>
      </c>
      <c r="AK275" s="30">
        <v>44090</v>
      </c>
      <c r="AL275" s="29">
        <v>5.45</v>
      </c>
      <c r="AM275" s="25" t="s">
        <v>185</v>
      </c>
      <c r="AN275" s="29">
        <v>7</v>
      </c>
      <c r="AO275" s="29">
        <v>12.45</v>
      </c>
      <c r="AP275" s="25" t="s">
        <v>185</v>
      </c>
      <c r="AQ275" s="32" t="s">
        <v>166</v>
      </c>
      <c r="AR275" s="32" t="s">
        <v>166</v>
      </c>
      <c r="AS275" s="28">
        <v>48.15</v>
      </c>
      <c r="AT275" s="29">
        <v>5.45</v>
      </c>
      <c r="AU275" s="32" t="s">
        <v>186</v>
      </c>
      <c r="AV275" s="32" t="s">
        <v>166</v>
      </c>
      <c r="AW275" s="29">
        <v>0.63</v>
      </c>
      <c r="AX275" s="32" t="s">
        <v>166</v>
      </c>
      <c r="AY275" s="25" t="s">
        <v>217</v>
      </c>
      <c r="AZ275" s="25" t="s">
        <v>217</v>
      </c>
      <c r="BA275" s="25" t="s">
        <v>166</v>
      </c>
      <c r="BB275" s="32" t="s">
        <v>166</v>
      </c>
      <c r="BC275" s="25" t="s">
        <v>179</v>
      </c>
      <c r="BD275" s="25" t="s">
        <v>5525</v>
      </c>
      <c r="BE275" s="25" t="s">
        <v>189</v>
      </c>
      <c r="BF275" s="29">
        <v>5.45</v>
      </c>
      <c r="BG275" s="25" t="s">
        <v>190</v>
      </c>
      <c r="BH275" s="25" t="s">
        <v>166</v>
      </c>
      <c r="BI275" s="25" t="s">
        <v>166</v>
      </c>
      <c r="BJ275" s="29" t="s">
        <v>166</v>
      </c>
      <c r="BK275" s="29" t="s">
        <v>166</v>
      </c>
      <c r="BL275" s="25" t="s">
        <v>191</v>
      </c>
      <c r="BM275" s="25" t="s">
        <v>178</v>
      </c>
      <c r="BN275" s="25" t="s">
        <v>177</v>
      </c>
      <c r="BO275" s="33" t="s">
        <v>166</v>
      </c>
      <c r="BP275" s="25" t="s">
        <v>5526</v>
      </c>
      <c r="BQ275" s="32">
        <v>15</v>
      </c>
      <c r="BR275" s="25" t="s">
        <v>166</v>
      </c>
      <c r="BS275" s="32" t="s">
        <v>166</v>
      </c>
      <c r="BT275" s="25" t="s">
        <v>5527</v>
      </c>
      <c r="BU275" s="25" t="s">
        <v>166</v>
      </c>
      <c r="BV275" s="25" t="s">
        <v>5528</v>
      </c>
      <c r="BW275" s="25" t="s">
        <v>166</v>
      </c>
      <c r="BX275" s="25" t="s">
        <v>166</v>
      </c>
      <c r="BY275" s="25" t="s">
        <v>166</v>
      </c>
      <c r="BZ275" s="25" t="s">
        <v>5529</v>
      </c>
      <c r="CA275" s="25" t="s">
        <v>872</v>
      </c>
      <c r="CB275" s="25" t="s">
        <v>166</v>
      </c>
      <c r="CC275" s="25" t="s">
        <v>5530</v>
      </c>
      <c r="CD275" s="25" t="s">
        <v>166</v>
      </c>
      <c r="CE275" s="29" t="s">
        <v>166</v>
      </c>
      <c r="CF275" s="27" t="s">
        <v>166</v>
      </c>
      <c r="CG275" s="28" t="s">
        <v>166</v>
      </c>
      <c r="CH275" s="27" t="s">
        <v>166</v>
      </c>
      <c r="CI275" s="27" t="s">
        <v>166</v>
      </c>
      <c r="CJ275" s="27" t="s">
        <v>166</v>
      </c>
      <c r="CK275" s="27" t="s">
        <v>166</v>
      </c>
      <c r="CL275" s="27" t="s">
        <v>166</v>
      </c>
      <c r="CM275" s="31" t="s">
        <v>166</v>
      </c>
      <c r="CN275" s="27" t="s">
        <v>166</v>
      </c>
      <c r="CO275" s="27" t="s">
        <v>166</v>
      </c>
      <c r="CP275" s="27" t="s">
        <v>166</v>
      </c>
      <c r="CQ275" s="27" t="s">
        <v>166</v>
      </c>
      <c r="CR275" s="27" t="s">
        <v>166</v>
      </c>
      <c r="CS275" s="27" t="s">
        <v>166</v>
      </c>
      <c r="CT275" s="27" t="s">
        <v>166</v>
      </c>
      <c r="CU275" s="27" t="s">
        <v>166</v>
      </c>
      <c r="CV275" s="27" t="s">
        <v>166</v>
      </c>
      <c r="CW275" s="27" t="s">
        <v>166</v>
      </c>
      <c r="CX275" s="27" t="s">
        <v>166</v>
      </c>
      <c r="CY275" s="27" t="s">
        <v>166</v>
      </c>
      <c r="CZ275" s="27" t="s">
        <v>166</v>
      </c>
      <c r="DA275" s="27" t="s">
        <v>166</v>
      </c>
      <c r="DB275" s="27" t="s">
        <v>166</v>
      </c>
      <c r="DC275" s="27" t="s">
        <v>166</v>
      </c>
      <c r="DD275" s="27" t="s">
        <v>166</v>
      </c>
      <c r="DE275" s="28" t="s">
        <v>166</v>
      </c>
      <c r="DF275" s="33">
        <v>50</v>
      </c>
      <c r="DG275" s="25" t="s">
        <v>5531</v>
      </c>
      <c r="DH275" s="25" t="s">
        <v>193</v>
      </c>
      <c r="DI275" s="25" t="s">
        <v>194</v>
      </c>
      <c r="DJ275" s="25" t="s">
        <v>5532</v>
      </c>
      <c r="DK275" s="25" t="s">
        <v>257</v>
      </c>
      <c r="DL275" s="32" t="s">
        <v>5533</v>
      </c>
      <c r="DM275" s="25" t="s">
        <v>198</v>
      </c>
      <c r="DN275" s="24" t="s">
        <v>5534</v>
      </c>
      <c r="DO275" s="31">
        <v>2018</v>
      </c>
      <c r="DP275" s="25" t="s">
        <v>166</v>
      </c>
      <c r="DQ275" s="25" t="s">
        <v>166</v>
      </c>
      <c r="DR275" s="29" t="s">
        <v>166</v>
      </c>
      <c r="DS275" s="27" t="s">
        <v>166</v>
      </c>
      <c r="DT275" s="30" t="s">
        <v>166</v>
      </c>
      <c r="DU275" s="25" t="s">
        <v>166</v>
      </c>
      <c r="DV275" s="29" t="s">
        <v>166</v>
      </c>
      <c r="DW275" s="29" t="s">
        <v>166</v>
      </c>
      <c r="DX275" s="27" t="s">
        <v>166</v>
      </c>
      <c r="DY275" s="27" t="s">
        <v>166</v>
      </c>
      <c r="DZ275" s="28" t="s">
        <v>166</v>
      </c>
      <c r="EA275" s="27" t="s">
        <v>166</v>
      </c>
      <c r="EB275" s="27" t="s">
        <v>166</v>
      </c>
      <c r="EC275" s="27" t="s">
        <v>166</v>
      </c>
      <c r="ED275" s="28" t="s">
        <v>166</v>
      </c>
      <c r="EE275" s="28" t="s">
        <v>166</v>
      </c>
      <c r="EF275" s="28" t="s">
        <v>166</v>
      </c>
      <c r="EG275" s="28" t="s">
        <v>166</v>
      </c>
      <c r="EH275" s="27" t="s">
        <v>166</v>
      </c>
      <c r="EI275" s="27" t="s">
        <v>166</v>
      </c>
      <c r="EJ275" s="27" t="s">
        <v>166</v>
      </c>
      <c r="EK275" s="27" t="s">
        <v>166</v>
      </c>
      <c r="EL275" s="27" t="s">
        <v>166</v>
      </c>
      <c r="EM275" s="27" t="s">
        <v>166</v>
      </c>
      <c r="EN275" s="27" t="s">
        <v>166</v>
      </c>
      <c r="EO275" s="27" t="s">
        <v>166</v>
      </c>
      <c r="EP275" s="27" t="s">
        <v>166</v>
      </c>
      <c r="EQ275" s="27" t="s">
        <v>166</v>
      </c>
      <c r="ER275" s="27" t="s">
        <v>166</v>
      </c>
      <c r="ES275" s="27" t="s">
        <v>166</v>
      </c>
      <c r="ET275" s="25" t="s">
        <v>166</v>
      </c>
      <c r="EU275" s="27" t="s">
        <v>166</v>
      </c>
      <c r="EV275" s="27" t="s">
        <v>166</v>
      </c>
      <c r="EW275" s="27" t="s">
        <v>166</v>
      </c>
      <c r="EX275" s="25" t="s">
        <v>190</v>
      </c>
      <c r="EY275" s="25" t="s">
        <v>166</v>
      </c>
      <c r="EZ275" s="27" t="s">
        <v>166</v>
      </c>
      <c r="FA275" s="26" t="s">
        <v>166</v>
      </c>
      <c r="FB275" s="26" t="s">
        <v>166</v>
      </c>
      <c r="FC275" s="26" t="s">
        <v>166</v>
      </c>
      <c r="FD275" s="26" t="s">
        <v>166</v>
      </c>
      <c r="FE275" s="26" t="s">
        <v>166</v>
      </c>
      <c r="FF275" s="26" t="s">
        <v>166</v>
      </c>
      <c r="FG275" s="25" t="s">
        <v>166</v>
      </c>
      <c r="FH275" s="4">
        <f>HYPERLINK("https://my.pitchbook.com?c=117577-72T","View Company Online")</f>
      </c>
    </row>
    <row r="276">
      <c r="A276" s="14" t="s">
        <v>5535</v>
      </c>
      <c r="B276" s="14" t="s">
        <v>5536</v>
      </c>
      <c r="C276" s="14" t="s">
        <v>5537</v>
      </c>
      <c r="D276" s="14" t="s">
        <v>166</v>
      </c>
      <c r="E276" s="23" t="s">
        <v>5538</v>
      </c>
      <c r="F276" s="21">
        <v>11</v>
      </c>
      <c r="G276" s="14" t="s">
        <v>5539</v>
      </c>
      <c r="H276" s="14" t="s">
        <v>166</v>
      </c>
      <c r="I276" s="14" t="s">
        <v>5540</v>
      </c>
      <c r="J276" s="14" t="s">
        <v>5541</v>
      </c>
      <c r="K276" s="14" t="s">
        <v>321</v>
      </c>
      <c r="L276" s="14" t="s">
        <v>322</v>
      </c>
      <c r="M276" s="14" t="s">
        <v>322</v>
      </c>
      <c r="N276" s="14" t="s">
        <v>5542</v>
      </c>
      <c r="O276" s="14" t="s">
        <v>5543</v>
      </c>
      <c r="P276" s="14" t="s">
        <v>5544</v>
      </c>
      <c r="Q276" s="14" t="s">
        <v>166</v>
      </c>
      <c r="R276" s="14" t="s">
        <v>177</v>
      </c>
      <c r="S276" s="14" t="s">
        <v>178</v>
      </c>
      <c r="T276" s="14" t="s">
        <v>1401</v>
      </c>
      <c r="U276" s="14" t="s">
        <v>5545</v>
      </c>
      <c r="V276" s="14" t="s">
        <v>5546</v>
      </c>
      <c r="W276" s="21" t="s">
        <v>166</v>
      </c>
      <c r="X276" s="14" t="s">
        <v>5547</v>
      </c>
      <c r="Y276" s="14" t="s">
        <v>5548</v>
      </c>
      <c r="Z276" s="14" t="s">
        <v>166</v>
      </c>
      <c r="AA276" s="14" t="s">
        <v>166</v>
      </c>
      <c r="AB276" s="14" t="s">
        <v>166</v>
      </c>
      <c r="AC276" s="14" t="s">
        <v>166</v>
      </c>
      <c r="AD276" s="14" t="s">
        <v>166</v>
      </c>
      <c r="AE276" s="14" t="s">
        <v>166</v>
      </c>
      <c r="AF276" s="14" t="s">
        <v>166</v>
      </c>
      <c r="AG276" s="14" t="s">
        <v>166</v>
      </c>
      <c r="AH276" s="21">
        <v>3</v>
      </c>
      <c r="AI276" s="3">
        <f>HYPERLINK("https://my.pitchbook.com/?d=184294-45T","184294-45T")</f>
      </c>
      <c r="AJ276" s="19" t="s">
        <v>166</v>
      </c>
      <c r="AK276" s="19">
        <v>44531</v>
      </c>
      <c r="AL276" s="18">
        <v>1.9</v>
      </c>
      <c r="AM276" s="14" t="s">
        <v>185</v>
      </c>
      <c r="AN276" s="18" t="s">
        <v>166</v>
      </c>
      <c r="AO276" s="18" t="s">
        <v>166</v>
      </c>
      <c r="AP276" s="14" t="s">
        <v>166</v>
      </c>
      <c r="AQ276" s="21" t="s">
        <v>166</v>
      </c>
      <c r="AR276" s="21" t="s">
        <v>166</v>
      </c>
      <c r="AS276" s="17" t="s">
        <v>166</v>
      </c>
      <c r="AT276" s="18">
        <v>2.15</v>
      </c>
      <c r="AU276" s="21" t="s">
        <v>186</v>
      </c>
      <c r="AV276" s="21" t="s">
        <v>166</v>
      </c>
      <c r="AW276" s="18" t="s">
        <v>166</v>
      </c>
      <c r="AX276" s="21" t="s">
        <v>166</v>
      </c>
      <c r="AY276" s="14" t="s">
        <v>217</v>
      </c>
      <c r="AZ276" s="14" t="s">
        <v>217</v>
      </c>
      <c r="BA276" s="14" t="s">
        <v>166</v>
      </c>
      <c r="BB276" s="21" t="s">
        <v>166</v>
      </c>
      <c r="BC276" s="14" t="s">
        <v>179</v>
      </c>
      <c r="BD276" s="14" t="s">
        <v>5549</v>
      </c>
      <c r="BE276" s="14" t="s">
        <v>189</v>
      </c>
      <c r="BF276" s="18">
        <v>1.9</v>
      </c>
      <c r="BG276" s="14" t="s">
        <v>190</v>
      </c>
      <c r="BH276" s="14" t="s">
        <v>166</v>
      </c>
      <c r="BI276" s="14" t="s">
        <v>166</v>
      </c>
      <c r="BJ276" s="18" t="s">
        <v>166</v>
      </c>
      <c r="BK276" s="18" t="s">
        <v>166</v>
      </c>
      <c r="BL276" s="14" t="s">
        <v>191</v>
      </c>
      <c r="BM276" s="14" t="s">
        <v>178</v>
      </c>
      <c r="BN276" s="14" t="s">
        <v>177</v>
      </c>
      <c r="BO276" s="22">
        <v>5</v>
      </c>
      <c r="BP276" s="14" t="s">
        <v>5550</v>
      </c>
      <c r="BQ276" s="21">
        <v>11</v>
      </c>
      <c r="BR276" s="14" t="s">
        <v>166</v>
      </c>
      <c r="BS276" s="21" t="s">
        <v>166</v>
      </c>
      <c r="BT276" s="14" t="s">
        <v>5551</v>
      </c>
      <c r="BU276" s="14" t="s">
        <v>166</v>
      </c>
      <c r="BV276" s="14" t="s">
        <v>5552</v>
      </c>
      <c r="BW276" s="14" t="s">
        <v>166</v>
      </c>
      <c r="BX276" s="14" t="s">
        <v>166</v>
      </c>
      <c r="BY276" s="14" t="s">
        <v>166</v>
      </c>
      <c r="BZ276" s="14" t="s">
        <v>5553</v>
      </c>
      <c r="CA276" s="14" t="s">
        <v>5553</v>
      </c>
      <c r="CB276" s="14" t="s">
        <v>166</v>
      </c>
      <c r="CC276" s="14" t="s">
        <v>166</v>
      </c>
      <c r="CD276" s="14" t="s">
        <v>166</v>
      </c>
      <c r="CE276" s="18" t="s">
        <v>166</v>
      </c>
      <c r="CF276" s="16" t="s">
        <v>166</v>
      </c>
      <c r="CG276" s="17" t="s">
        <v>166</v>
      </c>
      <c r="CH276" s="16" t="s">
        <v>166</v>
      </c>
      <c r="CI276" s="16" t="s">
        <v>166</v>
      </c>
      <c r="CJ276" s="16" t="s">
        <v>166</v>
      </c>
      <c r="CK276" s="16" t="s">
        <v>166</v>
      </c>
      <c r="CL276" s="16" t="s">
        <v>166</v>
      </c>
      <c r="CM276" s="20" t="s">
        <v>166</v>
      </c>
      <c r="CN276" s="16" t="s">
        <v>166</v>
      </c>
      <c r="CO276" s="16" t="s">
        <v>166</v>
      </c>
      <c r="CP276" s="16" t="s">
        <v>166</v>
      </c>
      <c r="CQ276" s="16" t="s">
        <v>166</v>
      </c>
      <c r="CR276" s="16" t="s">
        <v>166</v>
      </c>
      <c r="CS276" s="16" t="s">
        <v>166</v>
      </c>
      <c r="CT276" s="16" t="s">
        <v>166</v>
      </c>
      <c r="CU276" s="16" t="s">
        <v>166</v>
      </c>
      <c r="CV276" s="16" t="s">
        <v>166</v>
      </c>
      <c r="CW276" s="16" t="s">
        <v>166</v>
      </c>
      <c r="CX276" s="16" t="s">
        <v>166</v>
      </c>
      <c r="CY276" s="16" t="s">
        <v>166</v>
      </c>
      <c r="CZ276" s="16" t="s">
        <v>166</v>
      </c>
      <c r="DA276" s="16" t="s">
        <v>166</v>
      </c>
      <c r="DB276" s="16" t="s">
        <v>166</v>
      </c>
      <c r="DC276" s="16" t="s">
        <v>166</v>
      </c>
      <c r="DD276" s="16" t="s">
        <v>166</v>
      </c>
      <c r="DE276" s="17" t="s">
        <v>166</v>
      </c>
      <c r="DF276" s="22">
        <v>9</v>
      </c>
      <c r="DG276" s="14" t="s">
        <v>309</v>
      </c>
      <c r="DH276" s="14" t="s">
        <v>193</v>
      </c>
      <c r="DI276" s="14" t="s">
        <v>194</v>
      </c>
      <c r="DJ276" s="14" t="s">
        <v>310</v>
      </c>
      <c r="DK276" s="14" t="s">
        <v>310</v>
      </c>
      <c r="DL276" s="21" t="s">
        <v>166</v>
      </c>
      <c r="DM276" s="14" t="s">
        <v>198</v>
      </c>
      <c r="DN276" s="13" t="s">
        <v>5554</v>
      </c>
      <c r="DO276" s="20">
        <v>2018</v>
      </c>
      <c r="DP276" s="14" t="s">
        <v>166</v>
      </c>
      <c r="DQ276" s="14" t="s">
        <v>166</v>
      </c>
      <c r="DR276" s="18" t="s">
        <v>166</v>
      </c>
      <c r="DS276" s="16" t="s">
        <v>166</v>
      </c>
      <c r="DT276" s="19" t="s">
        <v>166</v>
      </c>
      <c r="DU276" s="14" t="s">
        <v>166</v>
      </c>
      <c r="DV276" s="18" t="s">
        <v>166</v>
      </c>
      <c r="DW276" s="18" t="s">
        <v>166</v>
      </c>
      <c r="DX276" s="16" t="s">
        <v>166</v>
      </c>
      <c r="DY276" s="16" t="s">
        <v>166</v>
      </c>
      <c r="DZ276" s="17" t="s">
        <v>166</v>
      </c>
      <c r="EA276" s="16" t="s">
        <v>166</v>
      </c>
      <c r="EB276" s="16" t="s">
        <v>166</v>
      </c>
      <c r="EC276" s="16" t="s">
        <v>166</v>
      </c>
      <c r="ED276" s="17" t="s">
        <v>166</v>
      </c>
      <c r="EE276" s="17" t="s">
        <v>166</v>
      </c>
      <c r="EF276" s="17" t="s">
        <v>166</v>
      </c>
      <c r="EG276" s="17" t="s">
        <v>166</v>
      </c>
      <c r="EH276" s="16" t="s">
        <v>166</v>
      </c>
      <c r="EI276" s="16" t="s">
        <v>166</v>
      </c>
      <c r="EJ276" s="16" t="s">
        <v>166</v>
      </c>
      <c r="EK276" s="16" t="s">
        <v>166</v>
      </c>
      <c r="EL276" s="16" t="s">
        <v>166</v>
      </c>
      <c r="EM276" s="16" t="s">
        <v>166</v>
      </c>
      <c r="EN276" s="16" t="s">
        <v>166</v>
      </c>
      <c r="EO276" s="16" t="s">
        <v>166</v>
      </c>
      <c r="EP276" s="16" t="s">
        <v>166</v>
      </c>
      <c r="EQ276" s="16" t="s">
        <v>166</v>
      </c>
      <c r="ER276" s="16" t="s">
        <v>166</v>
      </c>
      <c r="ES276" s="16" t="s">
        <v>166</v>
      </c>
      <c r="ET276" s="14" t="s">
        <v>166</v>
      </c>
      <c r="EU276" s="16" t="s">
        <v>166</v>
      </c>
      <c r="EV276" s="16" t="s">
        <v>166</v>
      </c>
      <c r="EW276" s="16" t="s">
        <v>166</v>
      </c>
      <c r="EX276" s="14" t="s">
        <v>190</v>
      </c>
      <c r="EY276" s="14" t="s">
        <v>166</v>
      </c>
      <c r="EZ276" s="16" t="s">
        <v>166</v>
      </c>
      <c r="FA276" s="15" t="s">
        <v>166</v>
      </c>
      <c r="FB276" s="15" t="s">
        <v>166</v>
      </c>
      <c r="FC276" s="15" t="s">
        <v>166</v>
      </c>
      <c r="FD276" s="15" t="s">
        <v>166</v>
      </c>
      <c r="FE276" s="15" t="s">
        <v>166</v>
      </c>
      <c r="FF276" s="15" t="s">
        <v>166</v>
      </c>
      <c r="FG276" s="14" t="s">
        <v>166</v>
      </c>
      <c r="FH276" s="3">
        <f>HYPERLINK("https://my.pitchbook.com?c=184294-45T","View Company Online")</f>
      </c>
    </row>
    <row r="277">
      <c r="A277" s="25" t="s">
        <v>5555</v>
      </c>
      <c r="B277" s="25" t="s">
        <v>5556</v>
      </c>
      <c r="C277" s="25" t="s">
        <v>5557</v>
      </c>
      <c r="D277" s="25" t="s">
        <v>166</v>
      </c>
      <c r="E277" s="34" t="s">
        <v>5558</v>
      </c>
      <c r="F277" s="32">
        <v>4</v>
      </c>
      <c r="G277" s="25" t="s">
        <v>5559</v>
      </c>
      <c r="H277" s="25" t="s">
        <v>166</v>
      </c>
      <c r="I277" s="25" t="s">
        <v>5560</v>
      </c>
      <c r="J277" s="25" t="s">
        <v>5561</v>
      </c>
      <c r="K277" s="25" t="s">
        <v>207</v>
      </c>
      <c r="L277" s="25" t="s">
        <v>208</v>
      </c>
      <c r="M277" s="25" t="s">
        <v>209</v>
      </c>
      <c r="N277" s="25" t="s">
        <v>5562</v>
      </c>
      <c r="O277" s="25" t="s">
        <v>5563</v>
      </c>
      <c r="P277" s="25" t="s">
        <v>5564</v>
      </c>
      <c r="Q277" s="25" t="s">
        <v>166</v>
      </c>
      <c r="R277" s="25" t="s">
        <v>177</v>
      </c>
      <c r="S277" s="25" t="s">
        <v>178</v>
      </c>
      <c r="T277" s="25" t="s">
        <v>179</v>
      </c>
      <c r="U277" s="25" t="s">
        <v>5565</v>
      </c>
      <c r="V277" s="25" t="s">
        <v>5566</v>
      </c>
      <c r="W277" s="32" t="s">
        <v>5567</v>
      </c>
      <c r="X277" s="25" t="s">
        <v>5568</v>
      </c>
      <c r="Y277" s="25" t="s">
        <v>5569</v>
      </c>
      <c r="Z277" s="25" t="s">
        <v>166</v>
      </c>
      <c r="AA277" s="25" t="s">
        <v>166</v>
      </c>
      <c r="AB277" s="25" t="s">
        <v>166</v>
      </c>
      <c r="AC277" s="25" t="s">
        <v>166</v>
      </c>
      <c r="AD277" s="25" t="s">
        <v>166</v>
      </c>
      <c r="AE277" s="25" t="s">
        <v>166</v>
      </c>
      <c r="AF277" s="25" t="s">
        <v>166</v>
      </c>
      <c r="AG277" s="25" t="s">
        <v>166</v>
      </c>
      <c r="AH277" s="32">
        <v>2</v>
      </c>
      <c r="AI277" s="4">
        <f>HYPERLINK("https://my.pitchbook.com/?d=200648-26T","200648-26T")</f>
      </c>
      <c r="AJ277" s="30" t="s">
        <v>166</v>
      </c>
      <c r="AK277" s="30">
        <v>44637</v>
      </c>
      <c r="AL277" s="29">
        <v>1.2</v>
      </c>
      <c r="AM277" s="25" t="s">
        <v>185</v>
      </c>
      <c r="AN277" s="29" t="s">
        <v>166</v>
      </c>
      <c r="AO277" s="29" t="s">
        <v>166</v>
      </c>
      <c r="AP277" s="25" t="s">
        <v>166</v>
      </c>
      <c r="AQ277" s="32" t="s">
        <v>166</v>
      </c>
      <c r="AR277" s="32" t="s">
        <v>166</v>
      </c>
      <c r="AS277" s="28" t="s">
        <v>166</v>
      </c>
      <c r="AT277" s="29">
        <v>5.9</v>
      </c>
      <c r="AU277" s="32" t="s">
        <v>186</v>
      </c>
      <c r="AV277" s="32" t="s">
        <v>166</v>
      </c>
      <c r="AW277" s="29" t="s">
        <v>166</v>
      </c>
      <c r="AX277" s="32" t="s">
        <v>746</v>
      </c>
      <c r="AY277" s="25" t="s">
        <v>249</v>
      </c>
      <c r="AZ277" s="25" t="s">
        <v>746</v>
      </c>
      <c r="BA277" s="25" t="s">
        <v>166</v>
      </c>
      <c r="BB277" s="32" t="s">
        <v>166</v>
      </c>
      <c r="BC277" s="25" t="s">
        <v>179</v>
      </c>
      <c r="BD277" s="25" t="s">
        <v>5570</v>
      </c>
      <c r="BE277" s="25" t="s">
        <v>189</v>
      </c>
      <c r="BF277" s="29">
        <v>1.2</v>
      </c>
      <c r="BG277" s="25" t="s">
        <v>190</v>
      </c>
      <c r="BH277" s="25" t="s">
        <v>166</v>
      </c>
      <c r="BI277" s="25" t="s">
        <v>166</v>
      </c>
      <c r="BJ277" s="29" t="s">
        <v>166</v>
      </c>
      <c r="BK277" s="29" t="s">
        <v>166</v>
      </c>
      <c r="BL277" s="25" t="s">
        <v>191</v>
      </c>
      <c r="BM277" s="25" t="s">
        <v>178</v>
      </c>
      <c r="BN277" s="25" t="s">
        <v>177</v>
      </c>
      <c r="BO277" s="33" t="s">
        <v>166</v>
      </c>
      <c r="BP277" s="25" t="s">
        <v>5558</v>
      </c>
      <c r="BQ277" s="32">
        <v>4</v>
      </c>
      <c r="BR277" s="25" t="s">
        <v>166</v>
      </c>
      <c r="BS277" s="32" t="s">
        <v>166</v>
      </c>
      <c r="BT277" s="25" t="s">
        <v>166</v>
      </c>
      <c r="BU277" s="25" t="s">
        <v>166</v>
      </c>
      <c r="BV277" s="25" t="s">
        <v>5571</v>
      </c>
      <c r="BW277" s="25" t="s">
        <v>166</v>
      </c>
      <c r="BX277" s="25" t="s">
        <v>166</v>
      </c>
      <c r="BY277" s="25" t="s">
        <v>166</v>
      </c>
      <c r="BZ277" s="25" t="s">
        <v>166</v>
      </c>
      <c r="CA277" s="25" t="s">
        <v>166</v>
      </c>
      <c r="CB277" s="25" t="s">
        <v>166</v>
      </c>
      <c r="CC277" s="25" t="s">
        <v>166</v>
      </c>
      <c r="CD277" s="25" t="s">
        <v>166</v>
      </c>
      <c r="CE277" s="29" t="s">
        <v>166</v>
      </c>
      <c r="CF277" s="27" t="s">
        <v>166</v>
      </c>
      <c r="CG277" s="28" t="s">
        <v>166</v>
      </c>
      <c r="CH277" s="27" t="s">
        <v>166</v>
      </c>
      <c r="CI277" s="27" t="s">
        <v>166</v>
      </c>
      <c r="CJ277" s="27" t="s">
        <v>166</v>
      </c>
      <c r="CK277" s="27" t="s">
        <v>166</v>
      </c>
      <c r="CL277" s="27" t="s">
        <v>166</v>
      </c>
      <c r="CM277" s="31" t="s">
        <v>166</v>
      </c>
      <c r="CN277" s="27" t="s">
        <v>166</v>
      </c>
      <c r="CO277" s="27" t="s">
        <v>166</v>
      </c>
      <c r="CP277" s="27" t="s">
        <v>166</v>
      </c>
      <c r="CQ277" s="27" t="s">
        <v>166</v>
      </c>
      <c r="CR277" s="27" t="s">
        <v>166</v>
      </c>
      <c r="CS277" s="27" t="s">
        <v>166</v>
      </c>
      <c r="CT277" s="27" t="s">
        <v>166</v>
      </c>
      <c r="CU277" s="27" t="s">
        <v>166</v>
      </c>
      <c r="CV277" s="27" t="s">
        <v>166</v>
      </c>
      <c r="CW277" s="27" t="s">
        <v>166</v>
      </c>
      <c r="CX277" s="27" t="s">
        <v>166</v>
      </c>
      <c r="CY277" s="27" t="s">
        <v>166</v>
      </c>
      <c r="CZ277" s="27" t="s">
        <v>166</v>
      </c>
      <c r="DA277" s="27" t="s">
        <v>166</v>
      </c>
      <c r="DB277" s="27" t="s">
        <v>166</v>
      </c>
      <c r="DC277" s="27" t="s">
        <v>166</v>
      </c>
      <c r="DD277" s="27" t="s">
        <v>166</v>
      </c>
      <c r="DE277" s="28" t="s">
        <v>166</v>
      </c>
      <c r="DF277" s="33">
        <v>27</v>
      </c>
      <c r="DG277" s="25" t="s">
        <v>384</v>
      </c>
      <c r="DH277" s="25" t="s">
        <v>193</v>
      </c>
      <c r="DI277" s="25" t="s">
        <v>194</v>
      </c>
      <c r="DJ277" s="25" t="s">
        <v>385</v>
      </c>
      <c r="DK277" s="25" t="s">
        <v>386</v>
      </c>
      <c r="DL277" s="32" t="s">
        <v>2167</v>
      </c>
      <c r="DM277" s="25" t="s">
        <v>198</v>
      </c>
      <c r="DN277" s="24" t="s">
        <v>5572</v>
      </c>
      <c r="DO277" s="31">
        <v>2013</v>
      </c>
      <c r="DP277" s="25" t="s">
        <v>166</v>
      </c>
      <c r="DQ277" s="25" t="s">
        <v>166</v>
      </c>
      <c r="DR277" s="29" t="s">
        <v>166</v>
      </c>
      <c r="DS277" s="27" t="s">
        <v>166</v>
      </c>
      <c r="DT277" s="30" t="s">
        <v>166</v>
      </c>
      <c r="DU277" s="25" t="s">
        <v>166</v>
      </c>
      <c r="DV277" s="29" t="s">
        <v>166</v>
      </c>
      <c r="DW277" s="29" t="s">
        <v>166</v>
      </c>
      <c r="DX277" s="27" t="s">
        <v>166</v>
      </c>
      <c r="DY277" s="27" t="s">
        <v>166</v>
      </c>
      <c r="DZ277" s="28" t="s">
        <v>166</v>
      </c>
      <c r="EA277" s="27" t="s">
        <v>166</v>
      </c>
      <c r="EB277" s="27" t="s">
        <v>166</v>
      </c>
      <c r="EC277" s="27" t="s">
        <v>166</v>
      </c>
      <c r="ED277" s="28" t="s">
        <v>166</v>
      </c>
      <c r="EE277" s="28" t="s">
        <v>166</v>
      </c>
      <c r="EF277" s="28" t="s">
        <v>166</v>
      </c>
      <c r="EG277" s="28" t="s">
        <v>166</v>
      </c>
      <c r="EH277" s="27" t="s">
        <v>166</v>
      </c>
      <c r="EI277" s="27" t="s">
        <v>166</v>
      </c>
      <c r="EJ277" s="27" t="s">
        <v>166</v>
      </c>
      <c r="EK277" s="27" t="s">
        <v>166</v>
      </c>
      <c r="EL277" s="27" t="s">
        <v>166</v>
      </c>
      <c r="EM277" s="27" t="s">
        <v>166</v>
      </c>
      <c r="EN277" s="27" t="s">
        <v>166</v>
      </c>
      <c r="EO277" s="27" t="s">
        <v>166</v>
      </c>
      <c r="EP277" s="27" t="s">
        <v>166</v>
      </c>
      <c r="EQ277" s="27" t="s">
        <v>166</v>
      </c>
      <c r="ER277" s="27" t="s">
        <v>166</v>
      </c>
      <c r="ES277" s="27" t="s">
        <v>166</v>
      </c>
      <c r="ET277" s="25" t="s">
        <v>166</v>
      </c>
      <c r="EU277" s="27" t="s">
        <v>166</v>
      </c>
      <c r="EV277" s="27" t="s">
        <v>166</v>
      </c>
      <c r="EW277" s="27" t="s">
        <v>166</v>
      </c>
      <c r="EX277" s="25" t="s">
        <v>190</v>
      </c>
      <c r="EY277" s="25" t="s">
        <v>166</v>
      </c>
      <c r="EZ277" s="27" t="s">
        <v>166</v>
      </c>
      <c r="FA277" s="26">
        <v>1</v>
      </c>
      <c r="FB277" s="26">
        <v>1</v>
      </c>
      <c r="FC277" s="26" t="s">
        <v>166</v>
      </c>
      <c r="FD277" s="26">
        <v>1</v>
      </c>
      <c r="FE277" s="26" t="s">
        <v>166</v>
      </c>
      <c r="FF277" s="26" t="s">
        <v>166</v>
      </c>
      <c r="FG277" s="25" t="s">
        <v>5573</v>
      </c>
      <c r="FH277" s="4">
        <f>HYPERLINK("https://my.pitchbook.com?c=200648-26T","View Company Online")</f>
      </c>
    </row>
    <row r="278">
      <c r="A278" s="14" t="s">
        <v>5574</v>
      </c>
      <c r="B278" s="14" t="s">
        <v>5575</v>
      </c>
      <c r="C278" s="14" t="s">
        <v>5576</v>
      </c>
      <c r="D278" s="14" t="s">
        <v>166</v>
      </c>
      <c r="E278" s="23" t="s">
        <v>5577</v>
      </c>
      <c r="F278" s="21">
        <v>1</v>
      </c>
      <c r="G278" s="14" t="s">
        <v>5578</v>
      </c>
      <c r="H278" s="14" t="s">
        <v>166</v>
      </c>
      <c r="I278" s="14" t="s">
        <v>5579</v>
      </c>
      <c r="J278" s="14" t="s">
        <v>5580</v>
      </c>
      <c r="K278" s="14" t="s">
        <v>207</v>
      </c>
      <c r="L278" s="14" t="s">
        <v>208</v>
      </c>
      <c r="M278" s="14" t="s">
        <v>1766</v>
      </c>
      <c r="N278" s="14" t="s">
        <v>3782</v>
      </c>
      <c r="O278" s="14" t="s">
        <v>5581</v>
      </c>
      <c r="P278" s="14" t="s">
        <v>5582</v>
      </c>
      <c r="Q278" s="14" t="s">
        <v>166</v>
      </c>
      <c r="R278" s="14" t="s">
        <v>177</v>
      </c>
      <c r="S278" s="14" t="s">
        <v>178</v>
      </c>
      <c r="T278" s="14" t="s">
        <v>179</v>
      </c>
      <c r="U278" s="14" t="s">
        <v>5583</v>
      </c>
      <c r="V278" s="14" t="s">
        <v>5584</v>
      </c>
      <c r="W278" s="21" t="s">
        <v>5585</v>
      </c>
      <c r="X278" s="14" t="s">
        <v>5586</v>
      </c>
      <c r="Y278" s="14" t="s">
        <v>5587</v>
      </c>
      <c r="Z278" s="14" t="s">
        <v>166</v>
      </c>
      <c r="AA278" s="14" t="s">
        <v>242</v>
      </c>
      <c r="AB278" s="14" t="s">
        <v>243</v>
      </c>
      <c r="AC278" s="14" t="s">
        <v>244</v>
      </c>
      <c r="AD278" s="14" t="s">
        <v>243</v>
      </c>
      <c r="AE278" s="14" t="s">
        <v>243</v>
      </c>
      <c r="AF278" s="14" t="s">
        <v>166</v>
      </c>
      <c r="AG278" s="14" t="s">
        <v>807</v>
      </c>
      <c r="AH278" s="21">
        <v>1</v>
      </c>
      <c r="AI278" s="3">
        <f>HYPERLINK("https://my.pitchbook.com/?d=226198-36T","226198-36T")</f>
      </c>
      <c r="AJ278" s="19">
        <v>44425</v>
      </c>
      <c r="AK278" s="19">
        <v>44501</v>
      </c>
      <c r="AL278" s="18">
        <v>0.5</v>
      </c>
      <c r="AM278" s="14" t="s">
        <v>247</v>
      </c>
      <c r="AN278" s="18">
        <v>1</v>
      </c>
      <c r="AO278" s="18">
        <v>1.5</v>
      </c>
      <c r="AP278" s="14" t="s">
        <v>185</v>
      </c>
      <c r="AQ278" s="21" t="s">
        <v>166</v>
      </c>
      <c r="AR278" s="21" t="s">
        <v>166</v>
      </c>
      <c r="AS278" s="17">
        <v>33.33</v>
      </c>
      <c r="AT278" s="18">
        <v>0.5</v>
      </c>
      <c r="AU278" s="21" t="s">
        <v>186</v>
      </c>
      <c r="AV278" s="21" t="s">
        <v>166</v>
      </c>
      <c r="AW278" s="18">
        <v>1</v>
      </c>
      <c r="AX278" s="21" t="s">
        <v>166</v>
      </c>
      <c r="AY278" s="14" t="s">
        <v>217</v>
      </c>
      <c r="AZ278" s="14" t="s">
        <v>217</v>
      </c>
      <c r="BA278" s="14" t="s">
        <v>166</v>
      </c>
      <c r="BB278" s="21" t="s">
        <v>166</v>
      </c>
      <c r="BC278" s="14" t="s">
        <v>179</v>
      </c>
      <c r="BD278" s="14" t="s">
        <v>5588</v>
      </c>
      <c r="BE278" s="14" t="s">
        <v>189</v>
      </c>
      <c r="BF278" s="18">
        <v>0.5</v>
      </c>
      <c r="BG278" s="14" t="s">
        <v>190</v>
      </c>
      <c r="BH278" s="14" t="s">
        <v>166</v>
      </c>
      <c r="BI278" s="14" t="s">
        <v>166</v>
      </c>
      <c r="BJ278" s="18" t="s">
        <v>166</v>
      </c>
      <c r="BK278" s="18" t="s">
        <v>166</v>
      </c>
      <c r="BL278" s="14" t="s">
        <v>191</v>
      </c>
      <c r="BM278" s="14" t="s">
        <v>178</v>
      </c>
      <c r="BN278" s="14" t="s">
        <v>177</v>
      </c>
      <c r="BO278" s="22" t="s">
        <v>166</v>
      </c>
      <c r="BP278" s="14" t="s">
        <v>5577</v>
      </c>
      <c r="BQ278" s="21">
        <v>1</v>
      </c>
      <c r="BR278" s="14" t="s">
        <v>166</v>
      </c>
      <c r="BS278" s="21" t="s">
        <v>166</v>
      </c>
      <c r="BT278" s="14" t="s">
        <v>166</v>
      </c>
      <c r="BU278" s="14" t="s">
        <v>166</v>
      </c>
      <c r="BV278" s="14" t="s">
        <v>3540</v>
      </c>
      <c r="BW278" s="14" t="s">
        <v>166</v>
      </c>
      <c r="BX278" s="14" t="s">
        <v>166</v>
      </c>
      <c r="BY278" s="14" t="s">
        <v>166</v>
      </c>
      <c r="BZ278" s="14" t="s">
        <v>166</v>
      </c>
      <c r="CA278" s="14" t="s">
        <v>166</v>
      </c>
      <c r="CB278" s="14" t="s">
        <v>166</v>
      </c>
      <c r="CC278" s="14" t="s">
        <v>166</v>
      </c>
      <c r="CD278" s="14" t="s">
        <v>166</v>
      </c>
      <c r="CE278" s="18" t="s">
        <v>166</v>
      </c>
      <c r="CF278" s="16" t="s">
        <v>166</v>
      </c>
      <c r="CG278" s="17" t="s">
        <v>166</v>
      </c>
      <c r="CH278" s="16" t="s">
        <v>166</v>
      </c>
      <c r="CI278" s="16" t="s">
        <v>166</v>
      </c>
      <c r="CJ278" s="16" t="s">
        <v>166</v>
      </c>
      <c r="CK278" s="16" t="s">
        <v>166</v>
      </c>
      <c r="CL278" s="16" t="s">
        <v>166</v>
      </c>
      <c r="CM278" s="20" t="s">
        <v>166</v>
      </c>
      <c r="CN278" s="16" t="s">
        <v>166</v>
      </c>
      <c r="CO278" s="16" t="s">
        <v>166</v>
      </c>
      <c r="CP278" s="16" t="s">
        <v>166</v>
      </c>
      <c r="CQ278" s="16" t="s">
        <v>166</v>
      </c>
      <c r="CR278" s="16" t="s">
        <v>166</v>
      </c>
      <c r="CS278" s="16" t="s">
        <v>166</v>
      </c>
      <c r="CT278" s="16" t="s">
        <v>166</v>
      </c>
      <c r="CU278" s="16" t="s">
        <v>166</v>
      </c>
      <c r="CV278" s="16" t="s">
        <v>166</v>
      </c>
      <c r="CW278" s="16" t="s">
        <v>166</v>
      </c>
      <c r="CX278" s="16" t="s">
        <v>166</v>
      </c>
      <c r="CY278" s="16" t="s">
        <v>166</v>
      </c>
      <c r="CZ278" s="16" t="s">
        <v>166</v>
      </c>
      <c r="DA278" s="16" t="s">
        <v>166</v>
      </c>
      <c r="DB278" s="16" t="s">
        <v>166</v>
      </c>
      <c r="DC278" s="16" t="s">
        <v>166</v>
      </c>
      <c r="DD278" s="16" t="s">
        <v>166</v>
      </c>
      <c r="DE278" s="17" t="s">
        <v>166</v>
      </c>
      <c r="DF278" s="22">
        <v>9</v>
      </c>
      <c r="DG278" s="14" t="s">
        <v>5589</v>
      </c>
      <c r="DH278" s="14" t="s">
        <v>193</v>
      </c>
      <c r="DI278" s="14" t="s">
        <v>194</v>
      </c>
      <c r="DJ278" s="14" t="s">
        <v>5590</v>
      </c>
      <c r="DK278" s="14" t="s">
        <v>408</v>
      </c>
      <c r="DL278" s="21" t="s">
        <v>5591</v>
      </c>
      <c r="DM278" s="14" t="s">
        <v>198</v>
      </c>
      <c r="DN278" s="13" t="s">
        <v>5592</v>
      </c>
      <c r="DO278" s="20">
        <v>2020</v>
      </c>
      <c r="DP278" s="14" t="s">
        <v>166</v>
      </c>
      <c r="DQ278" s="14" t="s">
        <v>166</v>
      </c>
      <c r="DR278" s="18" t="s">
        <v>166</v>
      </c>
      <c r="DS278" s="16" t="s">
        <v>166</v>
      </c>
      <c r="DT278" s="19" t="s">
        <v>166</v>
      </c>
      <c r="DU278" s="14" t="s">
        <v>166</v>
      </c>
      <c r="DV278" s="18" t="s">
        <v>166</v>
      </c>
      <c r="DW278" s="18" t="s">
        <v>166</v>
      </c>
      <c r="DX278" s="16" t="s">
        <v>166</v>
      </c>
      <c r="DY278" s="16" t="s">
        <v>166</v>
      </c>
      <c r="DZ278" s="17" t="s">
        <v>166</v>
      </c>
      <c r="EA278" s="16" t="s">
        <v>166</v>
      </c>
      <c r="EB278" s="16" t="s">
        <v>166</v>
      </c>
      <c r="EC278" s="16" t="s">
        <v>166</v>
      </c>
      <c r="ED278" s="17" t="s">
        <v>166</v>
      </c>
      <c r="EE278" s="17" t="s">
        <v>166</v>
      </c>
      <c r="EF278" s="17" t="s">
        <v>166</v>
      </c>
      <c r="EG278" s="17" t="s">
        <v>166</v>
      </c>
      <c r="EH278" s="16" t="s">
        <v>166</v>
      </c>
      <c r="EI278" s="16" t="s">
        <v>166</v>
      </c>
      <c r="EJ278" s="16" t="s">
        <v>166</v>
      </c>
      <c r="EK278" s="16" t="s">
        <v>166</v>
      </c>
      <c r="EL278" s="16" t="s">
        <v>166</v>
      </c>
      <c r="EM278" s="16" t="s">
        <v>166</v>
      </c>
      <c r="EN278" s="16" t="s">
        <v>166</v>
      </c>
      <c r="EO278" s="16" t="s">
        <v>166</v>
      </c>
      <c r="EP278" s="16" t="s">
        <v>166</v>
      </c>
      <c r="EQ278" s="16" t="s">
        <v>166</v>
      </c>
      <c r="ER278" s="16" t="s">
        <v>166</v>
      </c>
      <c r="ES278" s="16" t="s">
        <v>166</v>
      </c>
      <c r="ET278" s="14" t="s">
        <v>166</v>
      </c>
      <c r="EU278" s="16" t="s">
        <v>166</v>
      </c>
      <c r="EV278" s="16" t="s">
        <v>166</v>
      </c>
      <c r="EW278" s="16" t="s">
        <v>166</v>
      </c>
      <c r="EX278" s="14" t="s">
        <v>190</v>
      </c>
      <c r="EY278" s="14" t="s">
        <v>166</v>
      </c>
      <c r="EZ278" s="16" t="s">
        <v>166</v>
      </c>
      <c r="FA278" s="15" t="s">
        <v>166</v>
      </c>
      <c r="FB278" s="15" t="s">
        <v>166</v>
      </c>
      <c r="FC278" s="15" t="s">
        <v>166</v>
      </c>
      <c r="FD278" s="15" t="s">
        <v>166</v>
      </c>
      <c r="FE278" s="15" t="s">
        <v>166</v>
      </c>
      <c r="FF278" s="15" t="s">
        <v>166</v>
      </c>
      <c r="FG278" s="14" t="s">
        <v>166</v>
      </c>
      <c r="FH278" s="3">
        <f>HYPERLINK("https://my.pitchbook.com?c=226198-36T","View Company Online")</f>
      </c>
    </row>
    <row r="279">
      <c r="A279" s="25" t="s">
        <v>5593</v>
      </c>
      <c r="B279" s="25" t="s">
        <v>5594</v>
      </c>
      <c r="C279" s="25" t="s">
        <v>5595</v>
      </c>
      <c r="D279" s="25" t="s">
        <v>166</v>
      </c>
      <c r="E279" s="34" t="s">
        <v>5596</v>
      </c>
      <c r="F279" s="32">
        <v>1</v>
      </c>
      <c r="G279" s="25" t="s">
        <v>5597</v>
      </c>
      <c r="H279" s="25" t="s">
        <v>166</v>
      </c>
      <c r="I279" s="25" t="s">
        <v>5598</v>
      </c>
      <c r="J279" s="25" t="s">
        <v>5599</v>
      </c>
      <c r="K279" s="25" t="s">
        <v>207</v>
      </c>
      <c r="L279" s="25" t="s">
        <v>418</v>
      </c>
      <c r="M279" s="25" t="s">
        <v>419</v>
      </c>
      <c r="N279" s="25" t="s">
        <v>5600</v>
      </c>
      <c r="O279" s="25" t="s">
        <v>5601</v>
      </c>
      <c r="P279" s="25" t="s">
        <v>5602</v>
      </c>
      <c r="Q279" s="25" t="s">
        <v>166</v>
      </c>
      <c r="R279" s="25" t="s">
        <v>177</v>
      </c>
      <c r="S279" s="25" t="s">
        <v>178</v>
      </c>
      <c r="T279" s="25" t="s">
        <v>179</v>
      </c>
      <c r="U279" s="25" t="s">
        <v>5603</v>
      </c>
      <c r="V279" s="25" t="s">
        <v>5604</v>
      </c>
      <c r="W279" s="32" t="s">
        <v>5605</v>
      </c>
      <c r="X279" s="25" t="s">
        <v>5606</v>
      </c>
      <c r="Y279" s="25" t="s">
        <v>5607</v>
      </c>
      <c r="Z279" s="25" t="s">
        <v>166</v>
      </c>
      <c r="AA279" s="25" t="s">
        <v>242</v>
      </c>
      <c r="AB279" s="25" t="s">
        <v>243</v>
      </c>
      <c r="AC279" s="25" t="s">
        <v>244</v>
      </c>
      <c r="AD279" s="25" t="s">
        <v>243</v>
      </c>
      <c r="AE279" s="25" t="s">
        <v>243</v>
      </c>
      <c r="AF279" s="25" t="s">
        <v>306</v>
      </c>
      <c r="AG279" s="25" t="s">
        <v>807</v>
      </c>
      <c r="AH279" s="32">
        <v>3</v>
      </c>
      <c r="AI279" s="4">
        <f>HYPERLINK("https://my.pitchbook.com/?d=160996-51T","160996-51T")</f>
      </c>
      <c r="AJ279" s="30" t="s">
        <v>166</v>
      </c>
      <c r="AK279" s="30">
        <v>44179</v>
      </c>
      <c r="AL279" s="29">
        <v>1</v>
      </c>
      <c r="AM279" s="25" t="s">
        <v>185</v>
      </c>
      <c r="AN279" s="29">
        <v>4.5</v>
      </c>
      <c r="AO279" s="29">
        <v>5.5</v>
      </c>
      <c r="AP279" s="25" t="s">
        <v>185</v>
      </c>
      <c r="AQ279" s="32" t="s">
        <v>166</v>
      </c>
      <c r="AR279" s="32" t="s">
        <v>166</v>
      </c>
      <c r="AS279" s="28">
        <v>18.18</v>
      </c>
      <c r="AT279" s="29">
        <v>1</v>
      </c>
      <c r="AU279" s="32" t="s">
        <v>186</v>
      </c>
      <c r="AV279" s="32" t="s">
        <v>166</v>
      </c>
      <c r="AW279" s="29">
        <v>0.51</v>
      </c>
      <c r="AX279" s="32" t="s">
        <v>166</v>
      </c>
      <c r="AY279" s="25" t="s">
        <v>217</v>
      </c>
      <c r="AZ279" s="25" t="s">
        <v>217</v>
      </c>
      <c r="BA279" s="25" t="s">
        <v>166</v>
      </c>
      <c r="BB279" s="32" t="s">
        <v>166</v>
      </c>
      <c r="BC279" s="25" t="s">
        <v>179</v>
      </c>
      <c r="BD279" s="25" t="s">
        <v>5608</v>
      </c>
      <c r="BE279" s="25" t="s">
        <v>189</v>
      </c>
      <c r="BF279" s="29">
        <v>1</v>
      </c>
      <c r="BG279" s="25" t="s">
        <v>190</v>
      </c>
      <c r="BH279" s="25" t="s">
        <v>166</v>
      </c>
      <c r="BI279" s="25" t="s">
        <v>166</v>
      </c>
      <c r="BJ279" s="29" t="s">
        <v>166</v>
      </c>
      <c r="BK279" s="29" t="s">
        <v>166</v>
      </c>
      <c r="BL279" s="25" t="s">
        <v>191</v>
      </c>
      <c r="BM279" s="25" t="s">
        <v>178</v>
      </c>
      <c r="BN279" s="25" t="s">
        <v>177</v>
      </c>
      <c r="BO279" s="33">
        <v>2</v>
      </c>
      <c r="BP279" s="25" t="s">
        <v>5609</v>
      </c>
      <c r="BQ279" s="32">
        <v>1</v>
      </c>
      <c r="BR279" s="25" t="s">
        <v>166</v>
      </c>
      <c r="BS279" s="32" t="s">
        <v>166</v>
      </c>
      <c r="BT279" s="25" t="s">
        <v>166</v>
      </c>
      <c r="BU279" s="25" t="s">
        <v>166</v>
      </c>
      <c r="BV279" s="25" t="s">
        <v>166</v>
      </c>
      <c r="BW279" s="25" t="s">
        <v>166</v>
      </c>
      <c r="BX279" s="25" t="s">
        <v>166</v>
      </c>
      <c r="BY279" s="25" t="s">
        <v>166</v>
      </c>
      <c r="BZ279" s="25" t="s">
        <v>166</v>
      </c>
      <c r="CA279" s="25" t="s">
        <v>166</v>
      </c>
      <c r="CB279" s="25" t="s">
        <v>166</v>
      </c>
      <c r="CC279" s="25" t="s">
        <v>166</v>
      </c>
      <c r="CD279" s="25" t="s">
        <v>166</v>
      </c>
      <c r="CE279" s="29" t="s">
        <v>166</v>
      </c>
      <c r="CF279" s="27">
        <v>0.01</v>
      </c>
      <c r="CG279" s="28" t="s">
        <v>166</v>
      </c>
      <c r="CH279" s="27" t="s">
        <v>166</v>
      </c>
      <c r="CI279" s="27" t="s">
        <v>166</v>
      </c>
      <c r="CJ279" s="27" t="s">
        <v>166</v>
      </c>
      <c r="CK279" s="27" t="s">
        <v>166</v>
      </c>
      <c r="CL279" s="27" t="s">
        <v>166</v>
      </c>
      <c r="CM279" s="31">
        <v>2020</v>
      </c>
      <c r="CN279" s="27" t="s">
        <v>166</v>
      </c>
      <c r="CO279" s="27" t="s">
        <v>166</v>
      </c>
      <c r="CP279" s="27" t="s">
        <v>166</v>
      </c>
      <c r="CQ279" s="27">
        <v>687.5</v>
      </c>
      <c r="CR279" s="27" t="s">
        <v>166</v>
      </c>
      <c r="CS279" s="27" t="s">
        <v>166</v>
      </c>
      <c r="CT279" s="27" t="s">
        <v>166</v>
      </c>
      <c r="CU279" s="27" t="s">
        <v>166</v>
      </c>
      <c r="CV279" s="27">
        <v>125</v>
      </c>
      <c r="CW279" s="27" t="s">
        <v>166</v>
      </c>
      <c r="CX279" s="27" t="s">
        <v>166</v>
      </c>
      <c r="CY279" s="27" t="s">
        <v>166</v>
      </c>
      <c r="CZ279" s="27" t="s">
        <v>166</v>
      </c>
      <c r="DA279" s="27" t="s">
        <v>166</v>
      </c>
      <c r="DB279" s="27" t="s">
        <v>166</v>
      </c>
      <c r="DC279" s="27" t="s">
        <v>166</v>
      </c>
      <c r="DD279" s="27" t="s">
        <v>166</v>
      </c>
      <c r="DE279" s="28" t="s">
        <v>166</v>
      </c>
      <c r="DF279" s="33">
        <v>33</v>
      </c>
      <c r="DG279" s="25" t="s">
        <v>5610</v>
      </c>
      <c r="DH279" s="25" t="s">
        <v>193</v>
      </c>
      <c r="DI279" s="25" t="s">
        <v>194</v>
      </c>
      <c r="DJ279" s="25" t="s">
        <v>5611</v>
      </c>
      <c r="DK279" s="25" t="s">
        <v>257</v>
      </c>
      <c r="DL279" s="32" t="s">
        <v>5612</v>
      </c>
      <c r="DM279" s="25" t="s">
        <v>198</v>
      </c>
      <c r="DN279" s="24" t="s">
        <v>5613</v>
      </c>
      <c r="DO279" s="31">
        <v>2019</v>
      </c>
      <c r="DP279" s="25" t="s">
        <v>166</v>
      </c>
      <c r="DQ279" s="25" t="s">
        <v>166</v>
      </c>
      <c r="DR279" s="29" t="s">
        <v>166</v>
      </c>
      <c r="DS279" s="27" t="s">
        <v>166</v>
      </c>
      <c r="DT279" s="30" t="s">
        <v>166</v>
      </c>
      <c r="DU279" s="25" t="s">
        <v>166</v>
      </c>
      <c r="DV279" s="29" t="s">
        <v>166</v>
      </c>
      <c r="DW279" s="29" t="s">
        <v>166</v>
      </c>
      <c r="DX279" s="27" t="s">
        <v>166</v>
      </c>
      <c r="DY279" s="27" t="s">
        <v>166</v>
      </c>
      <c r="DZ279" s="28" t="s">
        <v>166</v>
      </c>
      <c r="EA279" s="27" t="s">
        <v>166</v>
      </c>
      <c r="EB279" s="27" t="s">
        <v>166</v>
      </c>
      <c r="EC279" s="27" t="s">
        <v>166</v>
      </c>
      <c r="ED279" s="28" t="s">
        <v>166</v>
      </c>
      <c r="EE279" s="28" t="s">
        <v>166</v>
      </c>
      <c r="EF279" s="28" t="s">
        <v>166</v>
      </c>
      <c r="EG279" s="28" t="s">
        <v>166</v>
      </c>
      <c r="EH279" s="27" t="s">
        <v>166</v>
      </c>
      <c r="EI279" s="27" t="s">
        <v>166</v>
      </c>
      <c r="EJ279" s="27" t="s">
        <v>166</v>
      </c>
      <c r="EK279" s="27" t="s">
        <v>166</v>
      </c>
      <c r="EL279" s="27" t="s">
        <v>166</v>
      </c>
      <c r="EM279" s="27" t="s">
        <v>166</v>
      </c>
      <c r="EN279" s="27" t="s">
        <v>166</v>
      </c>
      <c r="EO279" s="27" t="s">
        <v>166</v>
      </c>
      <c r="EP279" s="27" t="s">
        <v>166</v>
      </c>
      <c r="EQ279" s="27" t="s">
        <v>166</v>
      </c>
      <c r="ER279" s="27" t="s">
        <v>166</v>
      </c>
      <c r="ES279" s="27" t="s">
        <v>166</v>
      </c>
      <c r="ET279" s="25" t="s">
        <v>166</v>
      </c>
      <c r="EU279" s="27" t="s">
        <v>166</v>
      </c>
      <c r="EV279" s="27" t="s">
        <v>166</v>
      </c>
      <c r="EW279" s="27" t="s">
        <v>166</v>
      </c>
      <c r="EX279" s="25" t="s">
        <v>190</v>
      </c>
      <c r="EY279" s="25" t="s">
        <v>166</v>
      </c>
      <c r="EZ279" s="27" t="s">
        <v>166</v>
      </c>
      <c r="FA279" s="26" t="s">
        <v>166</v>
      </c>
      <c r="FB279" s="26" t="s">
        <v>166</v>
      </c>
      <c r="FC279" s="26" t="s">
        <v>166</v>
      </c>
      <c r="FD279" s="26" t="s">
        <v>166</v>
      </c>
      <c r="FE279" s="26" t="s">
        <v>166</v>
      </c>
      <c r="FF279" s="26" t="s">
        <v>166</v>
      </c>
      <c r="FG279" s="25" t="s">
        <v>166</v>
      </c>
      <c r="FH279" s="4">
        <f>HYPERLINK("https://my.pitchbook.com?c=160996-51T","View Company Online")</f>
      </c>
    </row>
    <row r="280">
      <c r="A280" s="14" t="s">
        <v>5614</v>
      </c>
      <c r="B280" s="14" t="s">
        <v>5615</v>
      </c>
      <c r="C280" s="14" t="s">
        <v>5616</v>
      </c>
      <c r="D280" s="14" t="s">
        <v>166</v>
      </c>
      <c r="E280" s="23" t="s">
        <v>5617</v>
      </c>
      <c r="F280" s="21">
        <v>1</v>
      </c>
      <c r="G280" s="14" t="s">
        <v>5618</v>
      </c>
      <c r="H280" s="14" t="s">
        <v>166</v>
      </c>
      <c r="I280" s="14" t="s">
        <v>5619</v>
      </c>
      <c r="J280" s="14" t="s">
        <v>5620</v>
      </c>
      <c r="K280" s="14" t="s">
        <v>207</v>
      </c>
      <c r="L280" s="14" t="s">
        <v>208</v>
      </c>
      <c r="M280" s="14" t="s">
        <v>209</v>
      </c>
      <c r="N280" s="14" t="s">
        <v>5621</v>
      </c>
      <c r="O280" s="14" t="s">
        <v>442</v>
      </c>
      <c r="P280" s="14" t="s">
        <v>5622</v>
      </c>
      <c r="Q280" s="14" t="s">
        <v>166</v>
      </c>
      <c r="R280" s="14" t="s">
        <v>177</v>
      </c>
      <c r="S280" s="14" t="s">
        <v>178</v>
      </c>
      <c r="T280" s="14" t="s">
        <v>179</v>
      </c>
      <c r="U280" s="14" t="s">
        <v>5623</v>
      </c>
      <c r="V280" s="14" t="s">
        <v>5624</v>
      </c>
      <c r="W280" s="21" t="s">
        <v>5625</v>
      </c>
      <c r="X280" s="14" t="s">
        <v>5626</v>
      </c>
      <c r="Y280" s="14" t="s">
        <v>5627</v>
      </c>
      <c r="Z280" s="14" t="s">
        <v>166</v>
      </c>
      <c r="AA280" s="14" t="s">
        <v>242</v>
      </c>
      <c r="AB280" s="14" t="s">
        <v>243</v>
      </c>
      <c r="AC280" s="14" t="s">
        <v>244</v>
      </c>
      <c r="AD280" s="14" t="s">
        <v>243</v>
      </c>
      <c r="AE280" s="14" t="s">
        <v>243</v>
      </c>
      <c r="AF280" s="14" t="s">
        <v>306</v>
      </c>
      <c r="AG280" s="14" t="s">
        <v>5628</v>
      </c>
      <c r="AH280" s="21">
        <v>1</v>
      </c>
      <c r="AI280" s="3">
        <f>HYPERLINK("https://my.pitchbook.com/?d=223153-30T","223153-30T")</f>
      </c>
      <c r="AJ280" s="19" t="s">
        <v>166</v>
      </c>
      <c r="AK280" s="19">
        <v>45016</v>
      </c>
      <c r="AL280" s="18">
        <v>5.5</v>
      </c>
      <c r="AM280" s="14" t="s">
        <v>185</v>
      </c>
      <c r="AN280" s="18">
        <v>5.9</v>
      </c>
      <c r="AO280" s="18">
        <v>11.4</v>
      </c>
      <c r="AP280" s="14" t="s">
        <v>185</v>
      </c>
      <c r="AQ280" s="21" t="s">
        <v>166</v>
      </c>
      <c r="AR280" s="21" t="s">
        <v>166</v>
      </c>
      <c r="AS280" s="17">
        <v>48.41</v>
      </c>
      <c r="AT280" s="18">
        <v>5.5</v>
      </c>
      <c r="AU280" s="21" t="s">
        <v>186</v>
      </c>
      <c r="AV280" s="21" t="s">
        <v>166</v>
      </c>
      <c r="AW280" s="18">
        <v>0.47</v>
      </c>
      <c r="AX280" s="21" t="s">
        <v>166</v>
      </c>
      <c r="AY280" s="14" t="s">
        <v>217</v>
      </c>
      <c r="AZ280" s="14" t="s">
        <v>217</v>
      </c>
      <c r="BA280" s="14" t="s">
        <v>166</v>
      </c>
      <c r="BB280" s="21" t="s">
        <v>166</v>
      </c>
      <c r="BC280" s="14" t="s">
        <v>179</v>
      </c>
      <c r="BD280" s="14" t="s">
        <v>5629</v>
      </c>
      <c r="BE280" s="14" t="s">
        <v>189</v>
      </c>
      <c r="BF280" s="18">
        <v>5.5</v>
      </c>
      <c r="BG280" s="14" t="s">
        <v>190</v>
      </c>
      <c r="BH280" s="14" t="s">
        <v>166</v>
      </c>
      <c r="BI280" s="14" t="s">
        <v>166</v>
      </c>
      <c r="BJ280" s="18" t="s">
        <v>166</v>
      </c>
      <c r="BK280" s="18" t="s">
        <v>166</v>
      </c>
      <c r="BL280" s="14" t="s">
        <v>191</v>
      </c>
      <c r="BM280" s="14" t="s">
        <v>178</v>
      </c>
      <c r="BN280" s="14" t="s">
        <v>177</v>
      </c>
      <c r="BO280" s="22" t="s">
        <v>166</v>
      </c>
      <c r="BP280" s="14" t="s">
        <v>5630</v>
      </c>
      <c r="BQ280" s="21">
        <v>1</v>
      </c>
      <c r="BR280" s="14" t="s">
        <v>166</v>
      </c>
      <c r="BS280" s="21" t="s">
        <v>166</v>
      </c>
      <c r="BT280" s="14" t="s">
        <v>5617</v>
      </c>
      <c r="BU280" s="14" t="s">
        <v>166</v>
      </c>
      <c r="BV280" s="14" t="s">
        <v>166</v>
      </c>
      <c r="BW280" s="14" t="s">
        <v>166</v>
      </c>
      <c r="BX280" s="14" t="s">
        <v>166</v>
      </c>
      <c r="BY280" s="14" t="s">
        <v>166</v>
      </c>
      <c r="BZ280" s="14" t="s">
        <v>5631</v>
      </c>
      <c r="CA280" s="14" t="s">
        <v>166</v>
      </c>
      <c r="CB280" s="14" t="s">
        <v>166</v>
      </c>
      <c r="CC280" s="14" t="s">
        <v>5631</v>
      </c>
      <c r="CD280" s="14" t="s">
        <v>166</v>
      </c>
      <c r="CE280" s="18" t="s">
        <v>166</v>
      </c>
      <c r="CF280" s="16" t="s">
        <v>166</v>
      </c>
      <c r="CG280" s="17" t="s">
        <v>166</v>
      </c>
      <c r="CH280" s="16" t="s">
        <v>166</v>
      </c>
      <c r="CI280" s="16" t="s">
        <v>166</v>
      </c>
      <c r="CJ280" s="16" t="s">
        <v>166</v>
      </c>
      <c r="CK280" s="16" t="s">
        <v>166</v>
      </c>
      <c r="CL280" s="16" t="s">
        <v>166</v>
      </c>
      <c r="CM280" s="20" t="s">
        <v>166</v>
      </c>
      <c r="CN280" s="16" t="s">
        <v>166</v>
      </c>
      <c r="CO280" s="16" t="s">
        <v>166</v>
      </c>
      <c r="CP280" s="16" t="s">
        <v>166</v>
      </c>
      <c r="CQ280" s="16" t="s">
        <v>166</v>
      </c>
      <c r="CR280" s="16" t="s">
        <v>166</v>
      </c>
      <c r="CS280" s="16" t="s">
        <v>166</v>
      </c>
      <c r="CT280" s="16" t="s">
        <v>166</v>
      </c>
      <c r="CU280" s="16" t="s">
        <v>166</v>
      </c>
      <c r="CV280" s="16" t="s">
        <v>166</v>
      </c>
      <c r="CW280" s="16" t="s">
        <v>166</v>
      </c>
      <c r="CX280" s="16" t="s">
        <v>166</v>
      </c>
      <c r="CY280" s="16" t="s">
        <v>166</v>
      </c>
      <c r="CZ280" s="16" t="s">
        <v>166</v>
      </c>
      <c r="DA280" s="16" t="s">
        <v>166</v>
      </c>
      <c r="DB280" s="16" t="s">
        <v>166</v>
      </c>
      <c r="DC280" s="16" t="s">
        <v>166</v>
      </c>
      <c r="DD280" s="16" t="s">
        <v>166</v>
      </c>
      <c r="DE280" s="17" t="s">
        <v>166</v>
      </c>
      <c r="DF280" s="22">
        <v>30</v>
      </c>
      <c r="DG280" s="14" t="s">
        <v>1540</v>
      </c>
      <c r="DH280" s="14" t="s">
        <v>193</v>
      </c>
      <c r="DI280" s="14" t="s">
        <v>194</v>
      </c>
      <c r="DJ280" s="14" t="s">
        <v>1541</v>
      </c>
      <c r="DK280" s="14" t="s">
        <v>257</v>
      </c>
      <c r="DL280" s="21" t="s">
        <v>5632</v>
      </c>
      <c r="DM280" s="14" t="s">
        <v>198</v>
      </c>
      <c r="DN280" s="13" t="s">
        <v>5633</v>
      </c>
      <c r="DO280" s="20">
        <v>2016</v>
      </c>
      <c r="DP280" s="14" t="s">
        <v>166</v>
      </c>
      <c r="DQ280" s="14" t="s">
        <v>166</v>
      </c>
      <c r="DR280" s="18" t="s">
        <v>166</v>
      </c>
      <c r="DS280" s="16" t="s">
        <v>166</v>
      </c>
      <c r="DT280" s="19" t="s">
        <v>166</v>
      </c>
      <c r="DU280" s="14" t="s">
        <v>166</v>
      </c>
      <c r="DV280" s="18" t="s">
        <v>166</v>
      </c>
      <c r="DW280" s="18" t="s">
        <v>166</v>
      </c>
      <c r="DX280" s="16" t="s">
        <v>166</v>
      </c>
      <c r="DY280" s="16" t="s">
        <v>166</v>
      </c>
      <c r="DZ280" s="17" t="s">
        <v>166</v>
      </c>
      <c r="EA280" s="16" t="s">
        <v>166</v>
      </c>
      <c r="EB280" s="16" t="s">
        <v>166</v>
      </c>
      <c r="EC280" s="16" t="s">
        <v>166</v>
      </c>
      <c r="ED280" s="17" t="s">
        <v>166</v>
      </c>
      <c r="EE280" s="17" t="s">
        <v>166</v>
      </c>
      <c r="EF280" s="17" t="s">
        <v>166</v>
      </c>
      <c r="EG280" s="17" t="s">
        <v>166</v>
      </c>
      <c r="EH280" s="16" t="s">
        <v>166</v>
      </c>
      <c r="EI280" s="16" t="s">
        <v>166</v>
      </c>
      <c r="EJ280" s="16" t="s">
        <v>166</v>
      </c>
      <c r="EK280" s="16" t="s">
        <v>166</v>
      </c>
      <c r="EL280" s="16" t="s">
        <v>166</v>
      </c>
      <c r="EM280" s="16" t="s">
        <v>166</v>
      </c>
      <c r="EN280" s="16" t="s">
        <v>166</v>
      </c>
      <c r="EO280" s="16" t="s">
        <v>166</v>
      </c>
      <c r="EP280" s="16" t="s">
        <v>166</v>
      </c>
      <c r="EQ280" s="16" t="s">
        <v>166</v>
      </c>
      <c r="ER280" s="16" t="s">
        <v>166</v>
      </c>
      <c r="ES280" s="16" t="s">
        <v>166</v>
      </c>
      <c r="ET280" s="14" t="s">
        <v>166</v>
      </c>
      <c r="EU280" s="16" t="s">
        <v>166</v>
      </c>
      <c r="EV280" s="16" t="s">
        <v>166</v>
      </c>
      <c r="EW280" s="16" t="s">
        <v>166</v>
      </c>
      <c r="EX280" s="14" t="s">
        <v>190</v>
      </c>
      <c r="EY280" s="14" t="s">
        <v>166</v>
      </c>
      <c r="EZ280" s="16" t="s">
        <v>166</v>
      </c>
      <c r="FA280" s="15" t="s">
        <v>166</v>
      </c>
      <c r="FB280" s="15" t="s">
        <v>166</v>
      </c>
      <c r="FC280" s="15" t="s">
        <v>166</v>
      </c>
      <c r="FD280" s="15" t="s">
        <v>166</v>
      </c>
      <c r="FE280" s="15" t="s">
        <v>166</v>
      </c>
      <c r="FF280" s="15" t="s">
        <v>166</v>
      </c>
      <c r="FG280" s="14" t="s">
        <v>166</v>
      </c>
      <c r="FH280" s="3">
        <f>HYPERLINK("https://my.pitchbook.com?c=223153-30T","View Company Online")</f>
      </c>
    </row>
    <row r="281">
      <c r="A281" s="25" t="s">
        <v>5634</v>
      </c>
      <c r="B281" s="25" t="s">
        <v>5635</v>
      </c>
      <c r="C281" s="25" t="s">
        <v>5636</v>
      </c>
      <c r="D281" s="25" t="s">
        <v>166</v>
      </c>
      <c r="E281" s="34" t="s">
        <v>5637</v>
      </c>
      <c r="F281" s="32">
        <v>7</v>
      </c>
      <c r="G281" s="25" t="s">
        <v>5638</v>
      </c>
      <c r="H281" s="25" t="s">
        <v>166</v>
      </c>
      <c r="I281" s="25" t="s">
        <v>5639</v>
      </c>
      <c r="J281" s="25" t="s">
        <v>5640</v>
      </c>
      <c r="K281" s="25" t="s">
        <v>1455</v>
      </c>
      <c r="L281" s="25" t="s">
        <v>1456</v>
      </c>
      <c r="M281" s="25" t="s">
        <v>1457</v>
      </c>
      <c r="N281" s="25" t="s">
        <v>1841</v>
      </c>
      <c r="O281" s="25" t="s">
        <v>442</v>
      </c>
      <c r="P281" s="25" t="s">
        <v>5641</v>
      </c>
      <c r="Q281" s="25" t="s">
        <v>166</v>
      </c>
      <c r="R281" s="25" t="s">
        <v>177</v>
      </c>
      <c r="S281" s="25" t="s">
        <v>178</v>
      </c>
      <c r="T281" s="25" t="s">
        <v>179</v>
      </c>
      <c r="U281" s="25" t="s">
        <v>5642</v>
      </c>
      <c r="V281" s="25" t="s">
        <v>5643</v>
      </c>
      <c r="W281" s="32" t="s">
        <v>5644</v>
      </c>
      <c r="X281" s="25" t="s">
        <v>166</v>
      </c>
      <c r="Y281" s="25" t="s">
        <v>5645</v>
      </c>
      <c r="Z281" s="25" t="s">
        <v>166</v>
      </c>
      <c r="AA281" s="25" t="s">
        <v>166</v>
      </c>
      <c r="AB281" s="25" t="s">
        <v>166</v>
      </c>
      <c r="AC281" s="25" t="s">
        <v>166</v>
      </c>
      <c r="AD281" s="25" t="s">
        <v>166</v>
      </c>
      <c r="AE281" s="25" t="s">
        <v>166</v>
      </c>
      <c r="AF281" s="25" t="s">
        <v>166</v>
      </c>
      <c r="AG281" s="25" t="s">
        <v>166</v>
      </c>
      <c r="AH281" s="32">
        <v>1</v>
      </c>
      <c r="AI281" s="4">
        <f>HYPERLINK("https://my.pitchbook.com/?d=241222-60T","241222-60T")</f>
      </c>
      <c r="AJ281" s="30" t="s">
        <v>166</v>
      </c>
      <c r="AK281" s="30">
        <v>45127</v>
      </c>
      <c r="AL281" s="29">
        <v>33</v>
      </c>
      <c r="AM281" s="25" t="s">
        <v>185</v>
      </c>
      <c r="AN281" s="29" t="s">
        <v>166</v>
      </c>
      <c r="AO281" s="29" t="s">
        <v>166</v>
      </c>
      <c r="AP281" s="25" t="s">
        <v>166</v>
      </c>
      <c r="AQ281" s="32" t="s">
        <v>166</v>
      </c>
      <c r="AR281" s="32" t="s">
        <v>166</v>
      </c>
      <c r="AS281" s="28" t="s">
        <v>166</v>
      </c>
      <c r="AT281" s="29">
        <v>33</v>
      </c>
      <c r="AU281" s="32" t="s">
        <v>186</v>
      </c>
      <c r="AV281" s="32" t="s">
        <v>166</v>
      </c>
      <c r="AW281" s="29" t="s">
        <v>166</v>
      </c>
      <c r="AX281" s="32" t="s">
        <v>248</v>
      </c>
      <c r="AY281" s="25" t="s">
        <v>187</v>
      </c>
      <c r="AZ281" s="25" t="s">
        <v>248</v>
      </c>
      <c r="BA281" s="25" t="s">
        <v>166</v>
      </c>
      <c r="BB281" s="32" t="s">
        <v>166</v>
      </c>
      <c r="BC281" s="25" t="s">
        <v>179</v>
      </c>
      <c r="BD281" s="25" t="s">
        <v>5646</v>
      </c>
      <c r="BE281" s="25" t="s">
        <v>189</v>
      </c>
      <c r="BF281" s="29">
        <v>33</v>
      </c>
      <c r="BG281" s="25" t="s">
        <v>190</v>
      </c>
      <c r="BH281" s="25" t="s">
        <v>166</v>
      </c>
      <c r="BI281" s="25" t="s">
        <v>166</v>
      </c>
      <c r="BJ281" s="29" t="s">
        <v>166</v>
      </c>
      <c r="BK281" s="29" t="s">
        <v>166</v>
      </c>
      <c r="BL281" s="25" t="s">
        <v>191</v>
      </c>
      <c r="BM281" s="25" t="s">
        <v>178</v>
      </c>
      <c r="BN281" s="25" t="s">
        <v>177</v>
      </c>
      <c r="BO281" s="33" t="s">
        <v>166</v>
      </c>
      <c r="BP281" s="25" t="s">
        <v>5637</v>
      </c>
      <c r="BQ281" s="32">
        <v>7</v>
      </c>
      <c r="BR281" s="25" t="s">
        <v>166</v>
      </c>
      <c r="BS281" s="32" t="s">
        <v>166</v>
      </c>
      <c r="BT281" s="25" t="s">
        <v>3341</v>
      </c>
      <c r="BU281" s="25" t="s">
        <v>166</v>
      </c>
      <c r="BV281" s="25" t="s">
        <v>5647</v>
      </c>
      <c r="BW281" s="25" t="s">
        <v>166</v>
      </c>
      <c r="BX281" s="25" t="s">
        <v>166</v>
      </c>
      <c r="BY281" s="25" t="s">
        <v>166</v>
      </c>
      <c r="BZ281" s="25" t="s">
        <v>5648</v>
      </c>
      <c r="CA281" s="25" t="s">
        <v>1232</v>
      </c>
      <c r="CB281" s="25" t="s">
        <v>166</v>
      </c>
      <c r="CC281" s="25" t="s">
        <v>5649</v>
      </c>
      <c r="CD281" s="25" t="s">
        <v>166</v>
      </c>
      <c r="CE281" s="29" t="s">
        <v>166</v>
      </c>
      <c r="CF281" s="27" t="s">
        <v>166</v>
      </c>
      <c r="CG281" s="28" t="s">
        <v>166</v>
      </c>
      <c r="CH281" s="27" t="s">
        <v>166</v>
      </c>
      <c r="CI281" s="27" t="s">
        <v>166</v>
      </c>
      <c r="CJ281" s="27" t="s">
        <v>166</v>
      </c>
      <c r="CK281" s="27" t="s">
        <v>166</v>
      </c>
      <c r="CL281" s="27" t="s">
        <v>166</v>
      </c>
      <c r="CM281" s="31" t="s">
        <v>166</v>
      </c>
      <c r="CN281" s="27" t="s">
        <v>166</v>
      </c>
      <c r="CO281" s="27" t="s">
        <v>166</v>
      </c>
      <c r="CP281" s="27" t="s">
        <v>166</v>
      </c>
      <c r="CQ281" s="27" t="s">
        <v>166</v>
      </c>
      <c r="CR281" s="27" t="s">
        <v>166</v>
      </c>
      <c r="CS281" s="27" t="s">
        <v>166</v>
      </c>
      <c r="CT281" s="27" t="s">
        <v>166</v>
      </c>
      <c r="CU281" s="27" t="s">
        <v>166</v>
      </c>
      <c r="CV281" s="27" t="s">
        <v>166</v>
      </c>
      <c r="CW281" s="27" t="s">
        <v>166</v>
      </c>
      <c r="CX281" s="27" t="s">
        <v>166</v>
      </c>
      <c r="CY281" s="27" t="s">
        <v>166</v>
      </c>
      <c r="CZ281" s="27" t="s">
        <v>166</v>
      </c>
      <c r="DA281" s="27" t="s">
        <v>166</v>
      </c>
      <c r="DB281" s="27" t="s">
        <v>166</v>
      </c>
      <c r="DC281" s="27" t="s">
        <v>166</v>
      </c>
      <c r="DD281" s="27" t="s">
        <v>166</v>
      </c>
      <c r="DE281" s="28" t="s">
        <v>166</v>
      </c>
      <c r="DF281" s="33">
        <v>45</v>
      </c>
      <c r="DG281" s="25" t="s">
        <v>1191</v>
      </c>
      <c r="DH281" s="25" t="s">
        <v>193</v>
      </c>
      <c r="DI281" s="25" t="s">
        <v>194</v>
      </c>
      <c r="DJ281" s="25" t="s">
        <v>1192</v>
      </c>
      <c r="DK281" s="25" t="s">
        <v>1023</v>
      </c>
      <c r="DL281" s="32" t="s">
        <v>5650</v>
      </c>
      <c r="DM281" s="25" t="s">
        <v>198</v>
      </c>
      <c r="DN281" s="24" t="s">
        <v>5651</v>
      </c>
      <c r="DO281" s="31">
        <v>2022</v>
      </c>
      <c r="DP281" s="25" t="s">
        <v>166</v>
      </c>
      <c r="DQ281" s="25" t="s">
        <v>166</v>
      </c>
      <c r="DR281" s="29" t="s">
        <v>166</v>
      </c>
      <c r="DS281" s="27" t="s">
        <v>166</v>
      </c>
      <c r="DT281" s="30" t="s">
        <v>166</v>
      </c>
      <c r="DU281" s="25" t="s">
        <v>166</v>
      </c>
      <c r="DV281" s="29" t="s">
        <v>166</v>
      </c>
      <c r="DW281" s="29" t="s">
        <v>166</v>
      </c>
      <c r="DX281" s="27" t="s">
        <v>166</v>
      </c>
      <c r="DY281" s="27" t="s">
        <v>166</v>
      </c>
      <c r="DZ281" s="28" t="s">
        <v>166</v>
      </c>
      <c r="EA281" s="27" t="s">
        <v>166</v>
      </c>
      <c r="EB281" s="27" t="s">
        <v>166</v>
      </c>
      <c r="EC281" s="27" t="s">
        <v>166</v>
      </c>
      <c r="ED281" s="28" t="s">
        <v>166</v>
      </c>
      <c r="EE281" s="28" t="s">
        <v>166</v>
      </c>
      <c r="EF281" s="28" t="s">
        <v>166</v>
      </c>
      <c r="EG281" s="28" t="s">
        <v>166</v>
      </c>
      <c r="EH281" s="27" t="s">
        <v>166</v>
      </c>
      <c r="EI281" s="27" t="s">
        <v>166</v>
      </c>
      <c r="EJ281" s="27" t="s">
        <v>166</v>
      </c>
      <c r="EK281" s="27" t="s">
        <v>166</v>
      </c>
      <c r="EL281" s="27" t="s">
        <v>166</v>
      </c>
      <c r="EM281" s="27" t="s">
        <v>166</v>
      </c>
      <c r="EN281" s="27" t="s">
        <v>166</v>
      </c>
      <c r="EO281" s="27" t="s">
        <v>166</v>
      </c>
      <c r="EP281" s="27" t="s">
        <v>166</v>
      </c>
      <c r="EQ281" s="27" t="s">
        <v>166</v>
      </c>
      <c r="ER281" s="27" t="s">
        <v>166</v>
      </c>
      <c r="ES281" s="27" t="s">
        <v>166</v>
      </c>
      <c r="ET281" s="25" t="s">
        <v>166</v>
      </c>
      <c r="EU281" s="27" t="s">
        <v>166</v>
      </c>
      <c r="EV281" s="27" t="s">
        <v>166</v>
      </c>
      <c r="EW281" s="27" t="s">
        <v>166</v>
      </c>
      <c r="EX281" s="25" t="s">
        <v>190</v>
      </c>
      <c r="EY281" s="25" t="s">
        <v>166</v>
      </c>
      <c r="EZ281" s="27" t="s">
        <v>166</v>
      </c>
      <c r="FA281" s="26" t="s">
        <v>166</v>
      </c>
      <c r="FB281" s="26" t="s">
        <v>166</v>
      </c>
      <c r="FC281" s="26" t="s">
        <v>166</v>
      </c>
      <c r="FD281" s="26" t="s">
        <v>166</v>
      </c>
      <c r="FE281" s="26" t="s">
        <v>166</v>
      </c>
      <c r="FF281" s="26" t="s">
        <v>166</v>
      </c>
      <c r="FG281" s="25" t="s">
        <v>166</v>
      </c>
      <c r="FH281" s="4">
        <f>HYPERLINK("https://my.pitchbook.com?c=241222-60T","View Company Online")</f>
      </c>
    </row>
    <row r="282">
      <c r="A282" s="14" t="s">
        <v>5652</v>
      </c>
      <c r="B282" s="14" t="s">
        <v>5653</v>
      </c>
      <c r="C282" s="14" t="s">
        <v>5654</v>
      </c>
      <c r="D282" s="14" t="s">
        <v>166</v>
      </c>
      <c r="E282" s="23" t="s">
        <v>5655</v>
      </c>
      <c r="F282" s="21">
        <v>1</v>
      </c>
      <c r="G282" s="14" t="s">
        <v>5656</v>
      </c>
      <c r="H282" s="14" t="s">
        <v>166</v>
      </c>
      <c r="I282" s="14" t="s">
        <v>5657</v>
      </c>
      <c r="J282" s="14" t="s">
        <v>5658</v>
      </c>
      <c r="K282" s="14" t="s">
        <v>207</v>
      </c>
      <c r="L282" s="14" t="s">
        <v>208</v>
      </c>
      <c r="M282" s="14" t="s">
        <v>1940</v>
      </c>
      <c r="N282" s="14" t="s">
        <v>1941</v>
      </c>
      <c r="O282" s="14" t="s">
        <v>5659</v>
      </c>
      <c r="P282" s="14" t="s">
        <v>5660</v>
      </c>
      <c r="Q282" s="14" t="s">
        <v>166</v>
      </c>
      <c r="R282" s="14" t="s">
        <v>177</v>
      </c>
      <c r="S282" s="14" t="s">
        <v>178</v>
      </c>
      <c r="T282" s="14" t="s">
        <v>179</v>
      </c>
      <c r="U282" s="14" t="s">
        <v>5661</v>
      </c>
      <c r="V282" s="14" t="s">
        <v>5662</v>
      </c>
      <c r="W282" s="21" t="s">
        <v>166</v>
      </c>
      <c r="X282" s="14" t="s">
        <v>166</v>
      </c>
      <c r="Y282" s="14" t="s">
        <v>5663</v>
      </c>
      <c r="Z282" s="14" t="s">
        <v>166</v>
      </c>
      <c r="AA282" s="14" t="s">
        <v>166</v>
      </c>
      <c r="AB282" s="14" t="s">
        <v>166</v>
      </c>
      <c r="AC282" s="14" t="s">
        <v>166</v>
      </c>
      <c r="AD282" s="14" t="s">
        <v>166</v>
      </c>
      <c r="AE282" s="14" t="s">
        <v>166</v>
      </c>
      <c r="AF282" s="14" t="s">
        <v>166</v>
      </c>
      <c r="AG282" s="14" t="s">
        <v>166</v>
      </c>
      <c r="AH282" s="21">
        <v>2</v>
      </c>
      <c r="AI282" s="3">
        <f>HYPERLINK("https://my.pitchbook.com/?d=159770-44T","159770-44T")</f>
      </c>
      <c r="AJ282" s="19" t="s">
        <v>166</v>
      </c>
      <c r="AK282" s="19">
        <v>44022</v>
      </c>
      <c r="AL282" s="18">
        <v>0.5</v>
      </c>
      <c r="AM282" s="14" t="s">
        <v>185</v>
      </c>
      <c r="AN282" s="18" t="s">
        <v>166</v>
      </c>
      <c r="AO282" s="18" t="s">
        <v>166</v>
      </c>
      <c r="AP282" s="14" t="s">
        <v>166</v>
      </c>
      <c r="AQ282" s="21" t="s">
        <v>166</v>
      </c>
      <c r="AR282" s="21" t="s">
        <v>166</v>
      </c>
      <c r="AS282" s="17" t="s">
        <v>166</v>
      </c>
      <c r="AT282" s="18">
        <v>0.5</v>
      </c>
      <c r="AU282" s="21" t="s">
        <v>186</v>
      </c>
      <c r="AV282" s="21" t="s">
        <v>166</v>
      </c>
      <c r="AW282" s="18" t="s">
        <v>166</v>
      </c>
      <c r="AX282" s="21" t="s">
        <v>166</v>
      </c>
      <c r="AY282" s="14" t="s">
        <v>187</v>
      </c>
      <c r="AZ282" s="14" t="s">
        <v>166</v>
      </c>
      <c r="BA282" s="14" t="s">
        <v>166</v>
      </c>
      <c r="BB282" s="21" t="s">
        <v>166</v>
      </c>
      <c r="BC282" s="14" t="s">
        <v>179</v>
      </c>
      <c r="BD282" s="14" t="s">
        <v>5664</v>
      </c>
      <c r="BE282" s="14" t="s">
        <v>189</v>
      </c>
      <c r="BF282" s="18">
        <v>0.5</v>
      </c>
      <c r="BG282" s="14" t="s">
        <v>190</v>
      </c>
      <c r="BH282" s="14" t="s">
        <v>166</v>
      </c>
      <c r="BI282" s="14" t="s">
        <v>166</v>
      </c>
      <c r="BJ282" s="18" t="s">
        <v>166</v>
      </c>
      <c r="BK282" s="18" t="s">
        <v>166</v>
      </c>
      <c r="BL282" s="14" t="s">
        <v>191</v>
      </c>
      <c r="BM282" s="14" t="s">
        <v>178</v>
      </c>
      <c r="BN282" s="14" t="s">
        <v>177</v>
      </c>
      <c r="BO282" s="22" t="s">
        <v>166</v>
      </c>
      <c r="BP282" s="14" t="s">
        <v>5655</v>
      </c>
      <c r="BQ282" s="21">
        <v>1</v>
      </c>
      <c r="BR282" s="14" t="s">
        <v>166</v>
      </c>
      <c r="BS282" s="21" t="s">
        <v>166</v>
      </c>
      <c r="BT282" s="14" t="s">
        <v>166</v>
      </c>
      <c r="BU282" s="14" t="s">
        <v>166</v>
      </c>
      <c r="BV282" s="14" t="s">
        <v>166</v>
      </c>
      <c r="BW282" s="14" t="s">
        <v>166</v>
      </c>
      <c r="BX282" s="14" t="s">
        <v>166</v>
      </c>
      <c r="BY282" s="14" t="s">
        <v>166</v>
      </c>
      <c r="BZ282" s="14" t="s">
        <v>166</v>
      </c>
      <c r="CA282" s="14" t="s">
        <v>166</v>
      </c>
      <c r="CB282" s="14" t="s">
        <v>166</v>
      </c>
      <c r="CC282" s="14" t="s">
        <v>166</v>
      </c>
      <c r="CD282" s="14" t="s">
        <v>166</v>
      </c>
      <c r="CE282" s="18" t="s">
        <v>166</v>
      </c>
      <c r="CF282" s="16" t="s">
        <v>166</v>
      </c>
      <c r="CG282" s="17" t="s">
        <v>166</v>
      </c>
      <c r="CH282" s="16" t="s">
        <v>166</v>
      </c>
      <c r="CI282" s="16" t="s">
        <v>166</v>
      </c>
      <c r="CJ282" s="16" t="s">
        <v>166</v>
      </c>
      <c r="CK282" s="16" t="s">
        <v>166</v>
      </c>
      <c r="CL282" s="16" t="s">
        <v>166</v>
      </c>
      <c r="CM282" s="20" t="s">
        <v>166</v>
      </c>
      <c r="CN282" s="16" t="s">
        <v>166</v>
      </c>
      <c r="CO282" s="16" t="s">
        <v>166</v>
      </c>
      <c r="CP282" s="16" t="s">
        <v>166</v>
      </c>
      <c r="CQ282" s="16" t="s">
        <v>166</v>
      </c>
      <c r="CR282" s="16" t="s">
        <v>166</v>
      </c>
      <c r="CS282" s="16" t="s">
        <v>166</v>
      </c>
      <c r="CT282" s="16" t="s">
        <v>166</v>
      </c>
      <c r="CU282" s="16" t="s">
        <v>166</v>
      </c>
      <c r="CV282" s="16" t="s">
        <v>166</v>
      </c>
      <c r="CW282" s="16" t="s">
        <v>166</v>
      </c>
      <c r="CX282" s="16" t="s">
        <v>166</v>
      </c>
      <c r="CY282" s="16" t="s">
        <v>166</v>
      </c>
      <c r="CZ282" s="16" t="s">
        <v>166</v>
      </c>
      <c r="DA282" s="16" t="s">
        <v>166</v>
      </c>
      <c r="DB282" s="16" t="s">
        <v>166</v>
      </c>
      <c r="DC282" s="16" t="s">
        <v>166</v>
      </c>
      <c r="DD282" s="16" t="s">
        <v>166</v>
      </c>
      <c r="DE282" s="17" t="s">
        <v>166</v>
      </c>
      <c r="DF282" s="22">
        <v>2</v>
      </c>
      <c r="DG282" s="14" t="s">
        <v>5665</v>
      </c>
      <c r="DH282" s="14" t="s">
        <v>193</v>
      </c>
      <c r="DI282" s="14" t="s">
        <v>194</v>
      </c>
      <c r="DJ282" s="14" t="s">
        <v>5666</v>
      </c>
      <c r="DK282" s="14" t="s">
        <v>5667</v>
      </c>
      <c r="DL282" s="21" t="s">
        <v>5668</v>
      </c>
      <c r="DM282" s="14" t="s">
        <v>198</v>
      </c>
      <c r="DN282" s="13" t="s">
        <v>5669</v>
      </c>
      <c r="DO282" s="20">
        <v>2019</v>
      </c>
      <c r="DP282" s="14" t="s">
        <v>166</v>
      </c>
      <c r="DQ282" s="14" t="s">
        <v>166</v>
      </c>
      <c r="DR282" s="18" t="s">
        <v>166</v>
      </c>
      <c r="DS282" s="16" t="s">
        <v>166</v>
      </c>
      <c r="DT282" s="19" t="s">
        <v>166</v>
      </c>
      <c r="DU282" s="14" t="s">
        <v>166</v>
      </c>
      <c r="DV282" s="18" t="s">
        <v>166</v>
      </c>
      <c r="DW282" s="18" t="s">
        <v>166</v>
      </c>
      <c r="DX282" s="16" t="s">
        <v>166</v>
      </c>
      <c r="DY282" s="16" t="s">
        <v>166</v>
      </c>
      <c r="DZ282" s="17" t="s">
        <v>166</v>
      </c>
      <c r="EA282" s="16" t="s">
        <v>166</v>
      </c>
      <c r="EB282" s="16" t="s">
        <v>166</v>
      </c>
      <c r="EC282" s="16" t="s">
        <v>166</v>
      </c>
      <c r="ED282" s="17" t="s">
        <v>166</v>
      </c>
      <c r="EE282" s="17" t="s">
        <v>166</v>
      </c>
      <c r="EF282" s="17" t="s">
        <v>166</v>
      </c>
      <c r="EG282" s="17" t="s">
        <v>166</v>
      </c>
      <c r="EH282" s="16" t="s">
        <v>166</v>
      </c>
      <c r="EI282" s="16" t="s">
        <v>166</v>
      </c>
      <c r="EJ282" s="16" t="s">
        <v>166</v>
      </c>
      <c r="EK282" s="16" t="s">
        <v>166</v>
      </c>
      <c r="EL282" s="16" t="s">
        <v>166</v>
      </c>
      <c r="EM282" s="16" t="s">
        <v>166</v>
      </c>
      <c r="EN282" s="16" t="s">
        <v>166</v>
      </c>
      <c r="EO282" s="16" t="s">
        <v>166</v>
      </c>
      <c r="EP282" s="16" t="s">
        <v>166</v>
      </c>
      <c r="EQ282" s="16" t="s">
        <v>166</v>
      </c>
      <c r="ER282" s="16" t="s">
        <v>166</v>
      </c>
      <c r="ES282" s="16" t="s">
        <v>166</v>
      </c>
      <c r="ET282" s="14" t="s">
        <v>166</v>
      </c>
      <c r="EU282" s="16" t="s">
        <v>166</v>
      </c>
      <c r="EV282" s="16" t="s">
        <v>166</v>
      </c>
      <c r="EW282" s="16" t="s">
        <v>166</v>
      </c>
      <c r="EX282" s="14" t="s">
        <v>190</v>
      </c>
      <c r="EY282" s="14" t="s">
        <v>166</v>
      </c>
      <c r="EZ282" s="16" t="s">
        <v>166</v>
      </c>
      <c r="FA282" s="15" t="s">
        <v>166</v>
      </c>
      <c r="FB282" s="15" t="s">
        <v>166</v>
      </c>
      <c r="FC282" s="15" t="s">
        <v>166</v>
      </c>
      <c r="FD282" s="15" t="s">
        <v>166</v>
      </c>
      <c r="FE282" s="15" t="s">
        <v>166</v>
      </c>
      <c r="FF282" s="15" t="s">
        <v>166</v>
      </c>
      <c r="FG282" s="14" t="s">
        <v>166</v>
      </c>
      <c r="FH282" s="3">
        <f>HYPERLINK("https://my.pitchbook.com?c=159770-44T","View Company Online")</f>
      </c>
    </row>
    <row r="283">
      <c r="A283" s="25" t="s">
        <v>5670</v>
      </c>
      <c r="B283" s="25" t="s">
        <v>5671</v>
      </c>
      <c r="C283" s="25" t="s">
        <v>5672</v>
      </c>
      <c r="D283" s="25" t="s">
        <v>166</v>
      </c>
      <c r="E283" s="34" t="s">
        <v>5673</v>
      </c>
      <c r="F283" s="32">
        <v>4</v>
      </c>
      <c r="G283" s="25" t="s">
        <v>5674</v>
      </c>
      <c r="H283" s="25" t="s">
        <v>166</v>
      </c>
      <c r="I283" s="25" t="s">
        <v>5675</v>
      </c>
      <c r="J283" s="25" t="s">
        <v>5676</v>
      </c>
      <c r="K283" s="25" t="s">
        <v>171</v>
      </c>
      <c r="L283" s="25" t="s">
        <v>172</v>
      </c>
      <c r="M283" s="25" t="s">
        <v>173</v>
      </c>
      <c r="N283" s="25" t="s">
        <v>5677</v>
      </c>
      <c r="O283" s="25" t="s">
        <v>234</v>
      </c>
      <c r="P283" s="25" t="s">
        <v>5678</v>
      </c>
      <c r="Q283" s="25" t="s">
        <v>5679</v>
      </c>
      <c r="R283" s="25" t="s">
        <v>177</v>
      </c>
      <c r="S283" s="25" t="s">
        <v>178</v>
      </c>
      <c r="T283" s="25" t="s">
        <v>179</v>
      </c>
      <c r="U283" s="25" t="s">
        <v>5680</v>
      </c>
      <c r="V283" s="25" t="s">
        <v>5681</v>
      </c>
      <c r="W283" s="32" t="s">
        <v>5682</v>
      </c>
      <c r="X283" s="25" t="s">
        <v>166</v>
      </c>
      <c r="Y283" s="25" t="s">
        <v>5683</v>
      </c>
      <c r="Z283" s="25" t="s">
        <v>5684</v>
      </c>
      <c r="AA283" s="25" t="s">
        <v>166</v>
      </c>
      <c r="AB283" s="25" t="s">
        <v>166</v>
      </c>
      <c r="AC283" s="25" t="s">
        <v>166</v>
      </c>
      <c r="AD283" s="25" t="s">
        <v>166</v>
      </c>
      <c r="AE283" s="25" t="s">
        <v>166</v>
      </c>
      <c r="AF283" s="25" t="s">
        <v>166</v>
      </c>
      <c r="AG283" s="25" t="s">
        <v>166</v>
      </c>
      <c r="AH283" s="32">
        <v>5</v>
      </c>
      <c r="AI283" s="4">
        <f>HYPERLINK("https://my.pitchbook.com/?d=247348-63T","247348-63T")</f>
      </c>
      <c r="AJ283" s="30">
        <v>45246</v>
      </c>
      <c r="AK283" s="30">
        <v>45539</v>
      </c>
      <c r="AL283" s="29">
        <v>1.2</v>
      </c>
      <c r="AM283" s="25" t="s">
        <v>185</v>
      </c>
      <c r="AN283" s="29" t="s">
        <v>166</v>
      </c>
      <c r="AO283" s="29" t="s">
        <v>166</v>
      </c>
      <c r="AP283" s="25" t="s">
        <v>166</v>
      </c>
      <c r="AQ283" s="32" t="s">
        <v>166</v>
      </c>
      <c r="AR283" s="32" t="s">
        <v>166</v>
      </c>
      <c r="AS283" s="28" t="s">
        <v>166</v>
      </c>
      <c r="AT283" s="29">
        <v>1.2</v>
      </c>
      <c r="AU283" s="32" t="s">
        <v>186</v>
      </c>
      <c r="AV283" s="32" t="s">
        <v>166</v>
      </c>
      <c r="AW283" s="29" t="s">
        <v>166</v>
      </c>
      <c r="AX283" s="32" t="s">
        <v>166</v>
      </c>
      <c r="AY283" s="25" t="s">
        <v>217</v>
      </c>
      <c r="AZ283" s="25" t="s">
        <v>217</v>
      </c>
      <c r="BA283" s="25" t="s">
        <v>166</v>
      </c>
      <c r="BB283" s="32" t="s">
        <v>166</v>
      </c>
      <c r="BC283" s="25" t="s">
        <v>179</v>
      </c>
      <c r="BD283" s="25" t="s">
        <v>5685</v>
      </c>
      <c r="BE283" s="25" t="s">
        <v>189</v>
      </c>
      <c r="BF283" s="29">
        <v>1.2</v>
      </c>
      <c r="BG283" s="25" t="s">
        <v>190</v>
      </c>
      <c r="BH283" s="25" t="s">
        <v>166</v>
      </c>
      <c r="BI283" s="25" t="s">
        <v>166</v>
      </c>
      <c r="BJ283" s="29" t="s">
        <v>166</v>
      </c>
      <c r="BK283" s="29" t="s">
        <v>166</v>
      </c>
      <c r="BL283" s="25" t="s">
        <v>191</v>
      </c>
      <c r="BM283" s="25" t="s">
        <v>178</v>
      </c>
      <c r="BN283" s="25" t="s">
        <v>177</v>
      </c>
      <c r="BO283" s="33" t="s">
        <v>166</v>
      </c>
      <c r="BP283" s="25" t="s">
        <v>5673</v>
      </c>
      <c r="BQ283" s="32">
        <v>4</v>
      </c>
      <c r="BR283" s="25" t="s">
        <v>166</v>
      </c>
      <c r="BS283" s="32" t="s">
        <v>166</v>
      </c>
      <c r="BT283" s="25" t="s">
        <v>5686</v>
      </c>
      <c r="BU283" s="25" t="s">
        <v>166</v>
      </c>
      <c r="BV283" s="25" t="s">
        <v>166</v>
      </c>
      <c r="BW283" s="25" t="s">
        <v>166</v>
      </c>
      <c r="BX283" s="25" t="s">
        <v>166</v>
      </c>
      <c r="BY283" s="25" t="s">
        <v>166</v>
      </c>
      <c r="BZ283" s="25" t="s">
        <v>5687</v>
      </c>
      <c r="CA283" s="25" t="s">
        <v>166</v>
      </c>
      <c r="CB283" s="25" t="s">
        <v>166</v>
      </c>
      <c r="CC283" s="25" t="s">
        <v>5687</v>
      </c>
      <c r="CD283" s="25" t="s">
        <v>166</v>
      </c>
      <c r="CE283" s="29" t="s">
        <v>166</v>
      </c>
      <c r="CF283" s="27" t="s">
        <v>166</v>
      </c>
      <c r="CG283" s="28" t="s">
        <v>166</v>
      </c>
      <c r="CH283" s="27" t="s">
        <v>166</v>
      </c>
      <c r="CI283" s="27" t="s">
        <v>166</v>
      </c>
      <c r="CJ283" s="27" t="s">
        <v>166</v>
      </c>
      <c r="CK283" s="27" t="s">
        <v>166</v>
      </c>
      <c r="CL283" s="27" t="s">
        <v>166</v>
      </c>
      <c r="CM283" s="31" t="s">
        <v>166</v>
      </c>
      <c r="CN283" s="27" t="s">
        <v>166</v>
      </c>
      <c r="CO283" s="27" t="s">
        <v>166</v>
      </c>
      <c r="CP283" s="27" t="s">
        <v>166</v>
      </c>
      <c r="CQ283" s="27" t="s">
        <v>166</v>
      </c>
      <c r="CR283" s="27" t="s">
        <v>166</v>
      </c>
      <c r="CS283" s="27" t="s">
        <v>166</v>
      </c>
      <c r="CT283" s="27" t="s">
        <v>166</v>
      </c>
      <c r="CU283" s="27" t="s">
        <v>166</v>
      </c>
      <c r="CV283" s="27" t="s">
        <v>166</v>
      </c>
      <c r="CW283" s="27" t="s">
        <v>166</v>
      </c>
      <c r="CX283" s="27" t="s">
        <v>166</v>
      </c>
      <c r="CY283" s="27" t="s">
        <v>166</v>
      </c>
      <c r="CZ283" s="27" t="s">
        <v>166</v>
      </c>
      <c r="DA283" s="27" t="s">
        <v>166</v>
      </c>
      <c r="DB283" s="27" t="s">
        <v>166</v>
      </c>
      <c r="DC283" s="27" t="s">
        <v>166</v>
      </c>
      <c r="DD283" s="27" t="s">
        <v>166</v>
      </c>
      <c r="DE283" s="28" t="s">
        <v>166</v>
      </c>
      <c r="DF283" s="33">
        <v>8</v>
      </c>
      <c r="DG283" s="25" t="s">
        <v>3174</v>
      </c>
      <c r="DH283" s="25" t="s">
        <v>193</v>
      </c>
      <c r="DI283" s="25" t="s">
        <v>194</v>
      </c>
      <c r="DJ283" s="25" t="s">
        <v>3175</v>
      </c>
      <c r="DK283" s="25" t="s">
        <v>1063</v>
      </c>
      <c r="DL283" s="32" t="s">
        <v>5688</v>
      </c>
      <c r="DM283" s="25" t="s">
        <v>198</v>
      </c>
      <c r="DN283" s="24" t="s">
        <v>5689</v>
      </c>
      <c r="DO283" s="31">
        <v>2023</v>
      </c>
      <c r="DP283" s="25" t="s">
        <v>166</v>
      </c>
      <c r="DQ283" s="25" t="s">
        <v>166</v>
      </c>
      <c r="DR283" s="29" t="s">
        <v>166</v>
      </c>
      <c r="DS283" s="27" t="s">
        <v>166</v>
      </c>
      <c r="DT283" s="30" t="s">
        <v>166</v>
      </c>
      <c r="DU283" s="25" t="s">
        <v>166</v>
      </c>
      <c r="DV283" s="29" t="s">
        <v>166</v>
      </c>
      <c r="DW283" s="29" t="s">
        <v>166</v>
      </c>
      <c r="DX283" s="27" t="s">
        <v>166</v>
      </c>
      <c r="DY283" s="27" t="s">
        <v>166</v>
      </c>
      <c r="DZ283" s="28" t="s">
        <v>166</v>
      </c>
      <c r="EA283" s="27" t="s">
        <v>166</v>
      </c>
      <c r="EB283" s="27" t="s">
        <v>166</v>
      </c>
      <c r="EC283" s="27" t="s">
        <v>166</v>
      </c>
      <c r="ED283" s="28" t="s">
        <v>166</v>
      </c>
      <c r="EE283" s="28" t="s">
        <v>166</v>
      </c>
      <c r="EF283" s="28" t="s">
        <v>166</v>
      </c>
      <c r="EG283" s="28" t="s">
        <v>166</v>
      </c>
      <c r="EH283" s="27" t="s">
        <v>166</v>
      </c>
      <c r="EI283" s="27" t="s">
        <v>166</v>
      </c>
      <c r="EJ283" s="27" t="s">
        <v>166</v>
      </c>
      <c r="EK283" s="27" t="s">
        <v>166</v>
      </c>
      <c r="EL283" s="27" t="s">
        <v>166</v>
      </c>
      <c r="EM283" s="27" t="s">
        <v>166</v>
      </c>
      <c r="EN283" s="27" t="s">
        <v>166</v>
      </c>
      <c r="EO283" s="27" t="s">
        <v>166</v>
      </c>
      <c r="EP283" s="27" t="s">
        <v>166</v>
      </c>
      <c r="EQ283" s="27" t="s">
        <v>166</v>
      </c>
      <c r="ER283" s="27" t="s">
        <v>166</v>
      </c>
      <c r="ES283" s="27" t="s">
        <v>166</v>
      </c>
      <c r="ET283" s="25" t="s">
        <v>166</v>
      </c>
      <c r="EU283" s="27" t="s">
        <v>166</v>
      </c>
      <c r="EV283" s="27" t="s">
        <v>166</v>
      </c>
      <c r="EW283" s="27" t="s">
        <v>166</v>
      </c>
      <c r="EX283" s="25" t="s">
        <v>190</v>
      </c>
      <c r="EY283" s="25" t="s">
        <v>166</v>
      </c>
      <c r="EZ283" s="27" t="s">
        <v>166</v>
      </c>
      <c r="FA283" s="26" t="s">
        <v>166</v>
      </c>
      <c r="FB283" s="26" t="s">
        <v>166</v>
      </c>
      <c r="FC283" s="26" t="s">
        <v>166</v>
      </c>
      <c r="FD283" s="26" t="s">
        <v>166</v>
      </c>
      <c r="FE283" s="26" t="s">
        <v>166</v>
      </c>
      <c r="FF283" s="26" t="s">
        <v>166</v>
      </c>
      <c r="FG283" s="25" t="s">
        <v>166</v>
      </c>
      <c r="FH283" s="4">
        <f>HYPERLINK("https://my.pitchbook.com?c=247348-63T","View Company Online")</f>
      </c>
    </row>
    <row r="284">
      <c r="A284" s="14" t="s">
        <v>5690</v>
      </c>
      <c r="B284" s="14" t="s">
        <v>5691</v>
      </c>
      <c r="C284" s="14" t="s">
        <v>5692</v>
      </c>
      <c r="D284" s="14" t="s">
        <v>166</v>
      </c>
      <c r="E284" s="23" t="s">
        <v>5693</v>
      </c>
      <c r="F284" s="21">
        <v>2</v>
      </c>
      <c r="G284" s="14" t="s">
        <v>5694</v>
      </c>
      <c r="H284" s="14" t="s">
        <v>166</v>
      </c>
      <c r="I284" s="14" t="s">
        <v>5695</v>
      </c>
      <c r="J284" s="14" t="s">
        <v>5696</v>
      </c>
      <c r="K284" s="14" t="s">
        <v>207</v>
      </c>
      <c r="L284" s="14" t="s">
        <v>208</v>
      </c>
      <c r="M284" s="14" t="s">
        <v>882</v>
      </c>
      <c r="N284" s="14" t="s">
        <v>5697</v>
      </c>
      <c r="O284" s="14" t="s">
        <v>800</v>
      </c>
      <c r="P284" s="14" t="s">
        <v>5698</v>
      </c>
      <c r="Q284" s="14" t="s">
        <v>166</v>
      </c>
      <c r="R284" s="14" t="s">
        <v>177</v>
      </c>
      <c r="S284" s="14" t="s">
        <v>178</v>
      </c>
      <c r="T284" s="14" t="s">
        <v>179</v>
      </c>
      <c r="U284" s="14" t="s">
        <v>5699</v>
      </c>
      <c r="V284" s="14" t="s">
        <v>5700</v>
      </c>
      <c r="W284" s="21" t="s">
        <v>5701</v>
      </c>
      <c r="X284" s="14" t="s">
        <v>5702</v>
      </c>
      <c r="Y284" s="14" t="s">
        <v>5703</v>
      </c>
      <c r="Z284" s="14" t="s">
        <v>5704</v>
      </c>
      <c r="AA284" s="14" t="s">
        <v>242</v>
      </c>
      <c r="AB284" s="14" t="s">
        <v>243</v>
      </c>
      <c r="AC284" s="14" t="s">
        <v>244</v>
      </c>
      <c r="AD284" s="14" t="s">
        <v>243</v>
      </c>
      <c r="AE284" s="14" t="s">
        <v>243</v>
      </c>
      <c r="AF284" s="14" t="s">
        <v>245</v>
      </c>
      <c r="AG284" s="14" t="s">
        <v>166</v>
      </c>
      <c r="AH284" s="21">
        <v>3</v>
      </c>
      <c r="AI284" s="3">
        <f>HYPERLINK("https://my.pitchbook.com/?d=181988-38T","181988-38T")</f>
      </c>
      <c r="AJ284" s="19">
        <v>44474</v>
      </c>
      <c r="AK284" s="19">
        <v>44540</v>
      </c>
      <c r="AL284" s="18">
        <v>2.53</v>
      </c>
      <c r="AM284" s="14" t="s">
        <v>185</v>
      </c>
      <c r="AN284" s="18">
        <v>2.6</v>
      </c>
      <c r="AO284" s="18">
        <v>5.13</v>
      </c>
      <c r="AP284" s="14" t="s">
        <v>185</v>
      </c>
      <c r="AQ284" s="21" t="s">
        <v>166</v>
      </c>
      <c r="AR284" s="21" t="s">
        <v>166</v>
      </c>
      <c r="AS284" s="17">
        <v>54.3</v>
      </c>
      <c r="AT284" s="18">
        <v>2.53</v>
      </c>
      <c r="AU284" s="21" t="s">
        <v>186</v>
      </c>
      <c r="AV284" s="21" t="s">
        <v>166</v>
      </c>
      <c r="AW284" s="18">
        <v>0.16</v>
      </c>
      <c r="AX284" s="21" t="s">
        <v>5705</v>
      </c>
      <c r="AY284" s="14" t="s">
        <v>187</v>
      </c>
      <c r="AZ284" s="14" t="s">
        <v>5705</v>
      </c>
      <c r="BA284" s="14" t="s">
        <v>166</v>
      </c>
      <c r="BB284" s="21" t="s">
        <v>166</v>
      </c>
      <c r="BC284" s="14" t="s">
        <v>179</v>
      </c>
      <c r="BD284" s="14" t="s">
        <v>5706</v>
      </c>
      <c r="BE284" s="14" t="s">
        <v>189</v>
      </c>
      <c r="BF284" s="18">
        <v>2.53</v>
      </c>
      <c r="BG284" s="14" t="s">
        <v>190</v>
      </c>
      <c r="BH284" s="14" t="s">
        <v>166</v>
      </c>
      <c r="BI284" s="14" t="s">
        <v>166</v>
      </c>
      <c r="BJ284" s="18" t="s">
        <v>166</v>
      </c>
      <c r="BK284" s="18" t="s">
        <v>166</v>
      </c>
      <c r="BL284" s="14" t="s">
        <v>191</v>
      </c>
      <c r="BM284" s="14" t="s">
        <v>178</v>
      </c>
      <c r="BN284" s="14" t="s">
        <v>177</v>
      </c>
      <c r="BO284" s="22" t="s">
        <v>166</v>
      </c>
      <c r="BP284" s="14" t="s">
        <v>5707</v>
      </c>
      <c r="BQ284" s="21">
        <v>1</v>
      </c>
      <c r="BR284" s="14" t="s">
        <v>5708</v>
      </c>
      <c r="BS284" s="21">
        <v>1</v>
      </c>
      <c r="BT284" s="14" t="s">
        <v>166</v>
      </c>
      <c r="BU284" s="14" t="s">
        <v>166</v>
      </c>
      <c r="BV284" s="14" t="s">
        <v>166</v>
      </c>
      <c r="BW284" s="14" t="s">
        <v>166</v>
      </c>
      <c r="BX284" s="14" t="s">
        <v>166</v>
      </c>
      <c r="BY284" s="14" t="s">
        <v>166</v>
      </c>
      <c r="BZ284" s="14" t="s">
        <v>166</v>
      </c>
      <c r="CA284" s="14" t="s">
        <v>166</v>
      </c>
      <c r="CB284" s="14" t="s">
        <v>166</v>
      </c>
      <c r="CC284" s="14" t="s">
        <v>166</v>
      </c>
      <c r="CD284" s="14" t="s">
        <v>166</v>
      </c>
      <c r="CE284" s="18" t="s">
        <v>166</v>
      </c>
      <c r="CF284" s="16" t="s">
        <v>166</v>
      </c>
      <c r="CG284" s="17" t="s">
        <v>166</v>
      </c>
      <c r="CH284" s="16" t="s">
        <v>166</v>
      </c>
      <c r="CI284" s="16" t="s">
        <v>166</v>
      </c>
      <c r="CJ284" s="16" t="s">
        <v>166</v>
      </c>
      <c r="CK284" s="16" t="s">
        <v>166</v>
      </c>
      <c r="CL284" s="16" t="s">
        <v>166</v>
      </c>
      <c r="CM284" s="20" t="s">
        <v>166</v>
      </c>
      <c r="CN284" s="16" t="s">
        <v>166</v>
      </c>
      <c r="CO284" s="16" t="s">
        <v>166</v>
      </c>
      <c r="CP284" s="16" t="s">
        <v>166</v>
      </c>
      <c r="CQ284" s="16" t="s">
        <v>166</v>
      </c>
      <c r="CR284" s="16" t="s">
        <v>166</v>
      </c>
      <c r="CS284" s="16" t="s">
        <v>166</v>
      </c>
      <c r="CT284" s="16" t="s">
        <v>166</v>
      </c>
      <c r="CU284" s="16" t="s">
        <v>166</v>
      </c>
      <c r="CV284" s="16" t="s">
        <v>166</v>
      </c>
      <c r="CW284" s="16" t="s">
        <v>166</v>
      </c>
      <c r="CX284" s="16" t="s">
        <v>166</v>
      </c>
      <c r="CY284" s="16" t="s">
        <v>166</v>
      </c>
      <c r="CZ284" s="16" t="s">
        <v>166</v>
      </c>
      <c r="DA284" s="16" t="s">
        <v>166</v>
      </c>
      <c r="DB284" s="16" t="s">
        <v>166</v>
      </c>
      <c r="DC284" s="16" t="s">
        <v>166</v>
      </c>
      <c r="DD284" s="16" t="s">
        <v>166</v>
      </c>
      <c r="DE284" s="17" t="s">
        <v>166</v>
      </c>
      <c r="DF284" s="22">
        <v>11</v>
      </c>
      <c r="DG284" s="14" t="s">
        <v>4632</v>
      </c>
      <c r="DH284" s="14" t="s">
        <v>193</v>
      </c>
      <c r="DI284" s="14" t="s">
        <v>194</v>
      </c>
      <c r="DJ284" s="14" t="s">
        <v>4633</v>
      </c>
      <c r="DK284" s="14" t="s">
        <v>257</v>
      </c>
      <c r="DL284" s="21" t="s">
        <v>5709</v>
      </c>
      <c r="DM284" s="14" t="s">
        <v>198</v>
      </c>
      <c r="DN284" s="13" t="s">
        <v>5710</v>
      </c>
      <c r="DO284" s="20">
        <v>2017</v>
      </c>
      <c r="DP284" s="14" t="s">
        <v>166</v>
      </c>
      <c r="DQ284" s="14" t="s">
        <v>166</v>
      </c>
      <c r="DR284" s="18" t="s">
        <v>166</v>
      </c>
      <c r="DS284" s="16" t="s">
        <v>166</v>
      </c>
      <c r="DT284" s="19" t="s">
        <v>166</v>
      </c>
      <c r="DU284" s="14" t="s">
        <v>166</v>
      </c>
      <c r="DV284" s="18" t="s">
        <v>166</v>
      </c>
      <c r="DW284" s="18" t="s">
        <v>166</v>
      </c>
      <c r="DX284" s="16" t="s">
        <v>166</v>
      </c>
      <c r="DY284" s="16" t="s">
        <v>166</v>
      </c>
      <c r="DZ284" s="17" t="s">
        <v>166</v>
      </c>
      <c r="EA284" s="16" t="s">
        <v>166</v>
      </c>
      <c r="EB284" s="16" t="s">
        <v>166</v>
      </c>
      <c r="EC284" s="16" t="s">
        <v>166</v>
      </c>
      <c r="ED284" s="17" t="s">
        <v>166</v>
      </c>
      <c r="EE284" s="17" t="s">
        <v>166</v>
      </c>
      <c r="EF284" s="17" t="s">
        <v>166</v>
      </c>
      <c r="EG284" s="17" t="s">
        <v>166</v>
      </c>
      <c r="EH284" s="16" t="s">
        <v>166</v>
      </c>
      <c r="EI284" s="16" t="s">
        <v>166</v>
      </c>
      <c r="EJ284" s="16" t="s">
        <v>166</v>
      </c>
      <c r="EK284" s="16" t="s">
        <v>166</v>
      </c>
      <c r="EL284" s="16" t="s">
        <v>166</v>
      </c>
      <c r="EM284" s="16" t="s">
        <v>166</v>
      </c>
      <c r="EN284" s="16" t="s">
        <v>166</v>
      </c>
      <c r="EO284" s="16" t="s">
        <v>166</v>
      </c>
      <c r="EP284" s="16" t="s">
        <v>166</v>
      </c>
      <c r="EQ284" s="16" t="s">
        <v>166</v>
      </c>
      <c r="ER284" s="16" t="s">
        <v>166</v>
      </c>
      <c r="ES284" s="16" t="s">
        <v>166</v>
      </c>
      <c r="ET284" s="14" t="s">
        <v>166</v>
      </c>
      <c r="EU284" s="16" t="s">
        <v>166</v>
      </c>
      <c r="EV284" s="16" t="s">
        <v>166</v>
      </c>
      <c r="EW284" s="16" t="s">
        <v>166</v>
      </c>
      <c r="EX284" s="14" t="s">
        <v>190</v>
      </c>
      <c r="EY284" s="14" t="s">
        <v>166</v>
      </c>
      <c r="EZ284" s="16" t="s">
        <v>166</v>
      </c>
      <c r="FA284" s="15">
        <v>4</v>
      </c>
      <c r="FB284" s="15">
        <v>4</v>
      </c>
      <c r="FC284" s="15" t="s">
        <v>166</v>
      </c>
      <c r="FD284" s="15">
        <v>3</v>
      </c>
      <c r="FE284" s="15" t="s">
        <v>166</v>
      </c>
      <c r="FF284" s="15">
        <v>1</v>
      </c>
      <c r="FG284" s="14" t="s">
        <v>5711</v>
      </c>
      <c r="FH284" s="3">
        <f>HYPERLINK("https://my.pitchbook.com?c=181988-38T","View Company Online")</f>
      </c>
    </row>
    <row r="285">
      <c r="A285" s="25" t="s">
        <v>5712</v>
      </c>
      <c r="B285" s="25" t="s">
        <v>5713</v>
      </c>
      <c r="C285" s="25" t="s">
        <v>5714</v>
      </c>
      <c r="D285" s="25" t="s">
        <v>166</v>
      </c>
      <c r="E285" s="34" t="s">
        <v>5715</v>
      </c>
      <c r="F285" s="32">
        <v>1</v>
      </c>
      <c r="G285" s="25" t="s">
        <v>5716</v>
      </c>
      <c r="H285" s="25" t="s">
        <v>166</v>
      </c>
      <c r="I285" s="25" t="s">
        <v>5717</v>
      </c>
      <c r="J285" s="25" t="s">
        <v>5718</v>
      </c>
      <c r="K285" s="25" t="s">
        <v>171</v>
      </c>
      <c r="L285" s="25" t="s">
        <v>172</v>
      </c>
      <c r="M285" s="25" t="s">
        <v>600</v>
      </c>
      <c r="N285" s="25" t="s">
        <v>5719</v>
      </c>
      <c r="O285" s="25" t="s">
        <v>5720</v>
      </c>
      <c r="P285" s="25" t="s">
        <v>5721</v>
      </c>
      <c r="Q285" s="25" t="s">
        <v>166</v>
      </c>
      <c r="R285" s="25" t="s">
        <v>177</v>
      </c>
      <c r="S285" s="25" t="s">
        <v>178</v>
      </c>
      <c r="T285" s="25" t="s">
        <v>179</v>
      </c>
      <c r="U285" s="25" t="s">
        <v>5722</v>
      </c>
      <c r="V285" s="25" t="s">
        <v>5723</v>
      </c>
      <c r="W285" s="32" t="s">
        <v>5724</v>
      </c>
      <c r="X285" s="25" t="s">
        <v>5725</v>
      </c>
      <c r="Y285" s="25" t="s">
        <v>5726</v>
      </c>
      <c r="Z285" s="25" t="s">
        <v>166</v>
      </c>
      <c r="AA285" s="25" t="s">
        <v>166</v>
      </c>
      <c r="AB285" s="25" t="s">
        <v>166</v>
      </c>
      <c r="AC285" s="25" t="s">
        <v>166</v>
      </c>
      <c r="AD285" s="25" t="s">
        <v>166</v>
      </c>
      <c r="AE285" s="25" t="s">
        <v>166</v>
      </c>
      <c r="AF285" s="25" t="s">
        <v>166</v>
      </c>
      <c r="AG285" s="25" t="s">
        <v>166</v>
      </c>
      <c r="AH285" s="32">
        <v>1</v>
      </c>
      <c r="AI285" s="4">
        <f>HYPERLINK("https://my.pitchbook.com/?d=177467-14T","177467-14T")</f>
      </c>
      <c r="AJ285" s="30" t="s">
        <v>166</v>
      </c>
      <c r="AK285" s="30">
        <v>44406</v>
      </c>
      <c r="AL285" s="29">
        <v>0.12</v>
      </c>
      <c r="AM285" s="25" t="s">
        <v>185</v>
      </c>
      <c r="AN285" s="29">
        <v>1.25</v>
      </c>
      <c r="AO285" s="29">
        <v>1.37</v>
      </c>
      <c r="AP285" s="25" t="s">
        <v>185</v>
      </c>
      <c r="AQ285" s="32" t="s">
        <v>166</v>
      </c>
      <c r="AR285" s="32" t="s">
        <v>166</v>
      </c>
      <c r="AS285" s="28" t="s">
        <v>166</v>
      </c>
      <c r="AT285" s="29">
        <v>0.12</v>
      </c>
      <c r="AU285" s="32" t="s">
        <v>186</v>
      </c>
      <c r="AV285" s="32" t="s">
        <v>166</v>
      </c>
      <c r="AW285" s="29" t="s">
        <v>166</v>
      </c>
      <c r="AX285" s="32" t="s">
        <v>166</v>
      </c>
      <c r="AY285" s="25" t="s">
        <v>187</v>
      </c>
      <c r="AZ285" s="25" t="s">
        <v>166</v>
      </c>
      <c r="BA285" s="25" t="s">
        <v>166</v>
      </c>
      <c r="BB285" s="32" t="s">
        <v>166</v>
      </c>
      <c r="BC285" s="25" t="s">
        <v>179</v>
      </c>
      <c r="BD285" s="25" t="s">
        <v>5727</v>
      </c>
      <c r="BE285" s="25" t="s">
        <v>189</v>
      </c>
      <c r="BF285" s="29">
        <v>0.12</v>
      </c>
      <c r="BG285" s="25" t="s">
        <v>190</v>
      </c>
      <c r="BH285" s="25" t="s">
        <v>166</v>
      </c>
      <c r="BI285" s="25" t="s">
        <v>166</v>
      </c>
      <c r="BJ285" s="29" t="s">
        <v>166</v>
      </c>
      <c r="BK285" s="29" t="s">
        <v>166</v>
      </c>
      <c r="BL285" s="25" t="s">
        <v>191</v>
      </c>
      <c r="BM285" s="25" t="s">
        <v>178</v>
      </c>
      <c r="BN285" s="25" t="s">
        <v>177</v>
      </c>
      <c r="BO285" s="33" t="s">
        <v>166</v>
      </c>
      <c r="BP285" s="25" t="s">
        <v>5715</v>
      </c>
      <c r="BQ285" s="32">
        <v>1</v>
      </c>
      <c r="BR285" s="25" t="s">
        <v>166</v>
      </c>
      <c r="BS285" s="32" t="s">
        <v>166</v>
      </c>
      <c r="BT285" s="25" t="s">
        <v>166</v>
      </c>
      <c r="BU285" s="25" t="s">
        <v>166</v>
      </c>
      <c r="BV285" s="25" t="s">
        <v>166</v>
      </c>
      <c r="BW285" s="25" t="s">
        <v>166</v>
      </c>
      <c r="BX285" s="25" t="s">
        <v>166</v>
      </c>
      <c r="BY285" s="25" t="s">
        <v>166</v>
      </c>
      <c r="BZ285" s="25" t="s">
        <v>5728</v>
      </c>
      <c r="CA285" s="25" t="s">
        <v>5728</v>
      </c>
      <c r="CB285" s="25" t="s">
        <v>166</v>
      </c>
      <c r="CC285" s="25" t="s">
        <v>166</v>
      </c>
      <c r="CD285" s="25" t="s">
        <v>166</v>
      </c>
      <c r="CE285" s="29" t="s">
        <v>166</v>
      </c>
      <c r="CF285" s="27" t="s">
        <v>166</v>
      </c>
      <c r="CG285" s="28" t="s">
        <v>166</v>
      </c>
      <c r="CH285" s="27" t="s">
        <v>166</v>
      </c>
      <c r="CI285" s="27" t="s">
        <v>166</v>
      </c>
      <c r="CJ285" s="27" t="s">
        <v>166</v>
      </c>
      <c r="CK285" s="27" t="s">
        <v>166</v>
      </c>
      <c r="CL285" s="27" t="s">
        <v>166</v>
      </c>
      <c r="CM285" s="31" t="s">
        <v>166</v>
      </c>
      <c r="CN285" s="27" t="s">
        <v>166</v>
      </c>
      <c r="CO285" s="27" t="s">
        <v>166</v>
      </c>
      <c r="CP285" s="27" t="s">
        <v>166</v>
      </c>
      <c r="CQ285" s="27" t="s">
        <v>166</v>
      </c>
      <c r="CR285" s="27" t="s">
        <v>166</v>
      </c>
      <c r="CS285" s="27" t="s">
        <v>166</v>
      </c>
      <c r="CT285" s="27" t="s">
        <v>166</v>
      </c>
      <c r="CU285" s="27" t="s">
        <v>166</v>
      </c>
      <c r="CV285" s="27" t="s">
        <v>166</v>
      </c>
      <c r="CW285" s="27" t="s">
        <v>166</v>
      </c>
      <c r="CX285" s="27" t="s">
        <v>166</v>
      </c>
      <c r="CY285" s="27" t="s">
        <v>166</v>
      </c>
      <c r="CZ285" s="27" t="s">
        <v>166</v>
      </c>
      <c r="DA285" s="27" t="s">
        <v>166</v>
      </c>
      <c r="DB285" s="27" t="s">
        <v>166</v>
      </c>
      <c r="DC285" s="27" t="s">
        <v>166</v>
      </c>
      <c r="DD285" s="27" t="s">
        <v>166</v>
      </c>
      <c r="DE285" s="28" t="s">
        <v>166</v>
      </c>
      <c r="DF285" s="33">
        <v>6</v>
      </c>
      <c r="DG285" s="25" t="s">
        <v>5729</v>
      </c>
      <c r="DH285" s="25" t="s">
        <v>193</v>
      </c>
      <c r="DI285" s="25" t="s">
        <v>194</v>
      </c>
      <c r="DJ285" s="25" t="s">
        <v>5730</v>
      </c>
      <c r="DK285" s="25" t="s">
        <v>222</v>
      </c>
      <c r="DL285" s="32" t="s">
        <v>5731</v>
      </c>
      <c r="DM285" s="25" t="s">
        <v>198</v>
      </c>
      <c r="DN285" s="24" t="s">
        <v>5732</v>
      </c>
      <c r="DO285" s="31">
        <v>2017</v>
      </c>
      <c r="DP285" s="25" t="s">
        <v>166</v>
      </c>
      <c r="DQ285" s="25" t="s">
        <v>166</v>
      </c>
      <c r="DR285" s="29" t="s">
        <v>166</v>
      </c>
      <c r="DS285" s="27" t="s">
        <v>166</v>
      </c>
      <c r="DT285" s="30" t="s">
        <v>166</v>
      </c>
      <c r="DU285" s="25" t="s">
        <v>166</v>
      </c>
      <c r="DV285" s="29" t="s">
        <v>166</v>
      </c>
      <c r="DW285" s="29" t="s">
        <v>166</v>
      </c>
      <c r="DX285" s="27" t="s">
        <v>166</v>
      </c>
      <c r="DY285" s="27" t="s">
        <v>166</v>
      </c>
      <c r="DZ285" s="28" t="s">
        <v>166</v>
      </c>
      <c r="EA285" s="27" t="s">
        <v>166</v>
      </c>
      <c r="EB285" s="27" t="s">
        <v>166</v>
      </c>
      <c r="EC285" s="27" t="s">
        <v>166</v>
      </c>
      <c r="ED285" s="28" t="s">
        <v>166</v>
      </c>
      <c r="EE285" s="28" t="s">
        <v>166</v>
      </c>
      <c r="EF285" s="28" t="s">
        <v>166</v>
      </c>
      <c r="EG285" s="28" t="s">
        <v>166</v>
      </c>
      <c r="EH285" s="27" t="s">
        <v>166</v>
      </c>
      <c r="EI285" s="27" t="s">
        <v>166</v>
      </c>
      <c r="EJ285" s="27" t="s">
        <v>166</v>
      </c>
      <c r="EK285" s="27" t="s">
        <v>166</v>
      </c>
      <c r="EL285" s="27" t="s">
        <v>166</v>
      </c>
      <c r="EM285" s="27" t="s">
        <v>166</v>
      </c>
      <c r="EN285" s="27" t="s">
        <v>166</v>
      </c>
      <c r="EO285" s="27" t="s">
        <v>166</v>
      </c>
      <c r="EP285" s="27" t="s">
        <v>166</v>
      </c>
      <c r="EQ285" s="27" t="s">
        <v>166</v>
      </c>
      <c r="ER285" s="27" t="s">
        <v>166</v>
      </c>
      <c r="ES285" s="27" t="s">
        <v>166</v>
      </c>
      <c r="ET285" s="25" t="s">
        <v>166</v>
      </c>
      <c r="EU285" s="27" t="s">
        <v>166</v>
      </c>
      <c r="EV285" s="27" t="s">
        <v>166</v>
      </c>
      <c r="EW285" s="27" t="s">
        <v>166</v>
      </c>
      <c r="EX285" s="25" t="s">
        <v>190</v>
      </c>
      <c r="EY285" s="25" t="s">
        <v>166</v>
      </c>
      <c r="EZ285" s="27" t="s">
        <v>166</v>
      </c>
      <c r="FA285" s="26" t="s">
        <v>166</v>
      </c>
      <c r="FB285" s="26" t="s">
        <v>166</v>
      </c>
      <c r="FC285" s="26" t="s">
        <v>166</v>
      </c>
      <c r="FD285" s="26" t="s">
        <v>166</v>
      </c>
      <c r="FE285" s="26" t="s">
        <v>166</v>
      </c>
      <c r="FF285" s="26" t="s">
        <v>166</v>
      </c>
      <c r="FG285" s="25" t="s">
        <v>166</v>
      </c>
      <c r="FH285" s="4">
        <f>HYPERLINK("https://my.pitchbook.com?c=177467-14T","View Company Online")</f>
      </c>
    </row>
    <row r="286">
      <c r="A286" s="14" t="s">
        <v>5733</v>
      </c>
      <c r="B286" s="14" t="s">
        <v>5734</v>
      </c>
      <c r="C286" s="14" t="s">
        <v>5735</v>
      </c>
      <c r="D286" s="14" t="s">
        <v>166</v>
      </c>
      <c r="E286" s="23" t="s">
        <v>5736</v>
      </c>
      <c r="F286" s="21">
        <v>2</v>
      </c>
      <c r="G286" s="14" t="s">
        <v>5737</v>
      </c>
      <c r="H286" s="14" t="s">
        <v>166</v>
      </c>
      <c r="I286" s="14" t="s">
        <v>5738</v>
      </c>
      <c r="J286" s="14" t="s">
        <v>5739</v>
      </c>
      <c r="K286" s="14" t="s">
        <v>207</v>
      </c>
      <c r="L286" s="14" t="s">
        <v>208</v>
      </c>
      <c r="M286" s="14" t="s">
        <v>1766</v>
      </c>
      <c r="N286" s="14" t="s">
        <v>2089</v>
      </c>
      <c r="O286" s="14" t="s">
        <v>1035</v>
      </c>
      <c r="P286" s="14" t="s">
        <v>5740</v>
      </c>
      <c r="Q286" s="14" t="s">
        <v>166</v>
      </c>
      <c r="R286" s="14" t="s">
        <v>177</v>
      </c>
      <c r="S286" s="14" t="s">
        <v>178</v>
      </c>
      <c r="T286" s="14" t="s">
        <v>179</v>
      </c>
      <c r="U286" s="14" t="s">
        <v>5741</v>
      </c>
      <c r="V286" s="14" t="s">
        <v>5742</v>
      </c>
      <c r="W286" s="21" t="s">
        <v>5743</v>
      </c>
      <c r="X286" s="14" t="s">
        <v>5744</v>
      </c>
      <c r="Y286" s="14" t="s">
        <v>5745</v>
      </c>
      <c r="Z286" s="14" t="s">
        <v>166</v>
      </c>
      <c r="AA286" s="14" t="s">
        <v>166</v>
      </c>
      <c r="AB286" s="14" t="s">
        <v>166</v>
      </c>
      <c r="AC286" s="14" t="s">
        <v>166</v>
      </c>
      <c r="AD286" s="14" t="s">
        <v>166</v>
      </c>
      <c r="AE286" s="14" t="s">
        <v>166</v>
      </c>
      <c r="AF286" s="14" t="s">
        <v>166</v>
      </c>
      <c r="AG286" s="14" t="s">
        <v>166</v>
      </c>
      <c r="AH286" s="21">
        <v>2</v>
      </c>
      <c r="AI286" s="3">
        <f>HYPERLINK("https://my.pitchbook.com/?d=159835-06T","159835-06T")</f>
      </c>
      <c r="AJ286" s="19">
        <v>44092</v>
      </c>
      <c r="AK286" s="19">
        <v>44095</v>
      </c>
      <c r="AL286" s="18">
        <v>0.5</v>
      </c>
      <c r="AM286" s="14" t="s">
        <v>185</v>
      </c>
      <c r="AN286" s="18">
        <v>2.5</v>
      </c>
      <c r="AO286" s="18">
        <v>3</v>
      </c>
      <c r="AP286" s="14" t="s">
        <v>185</v>
      </c>
      <c r="AQ286" s="21" t="s">
        <v>166</v>
      </c>
      <c r="AR286" s="21" t="s">
        <v>166</v>
      </c>
      <c r="AS286" s="17">
        <v>14.28</v>
      </c>
      <c r="AT286" s="18">
        <v>0.76</v>
      </c>
      <c r="AU286" s="21" t="s">
        <v>186</v>
      </c>
      <c r="AV286" s="21" t="s">
        <v>166</v>
      </c>
      <c r="AW286" s="18" t="s">
        <v>166</v>
      </c>
      <c r="AX286" s="21" t="s">
        <v>166</v>
      </c>
      <c r="AY286" s="14" t="s">
        <v>217</v>
      </c>
      <c r="AZ286" s="14" t="s">
        <v>217</v>
      </c>
      <c r="BA286" s="14" t="s">
        <v>166</v>
      </c>
      <c r="BB286" s="21" t="s">
        <v>166</v>
      </c>
      <c r="BC286" s="14" t="s">
        <v>2991</v>
      </c>
      <c r="BD286" s="14" t="s">
        <v>5746</v>
      </c>
      <c r="BE286" s="14" t="s">
        <v>189</v>
      </c>
      <c r="BF286" s="18">
        <v>0.5</v>
      </c>
      <c r="BG286" s="14" t="s">
        <v>190</v>
      </c>
      <c r="BH286" s="14" t="s">
        <v>166</v>
      </c>
      <c r="BI286" s="14" t="s">
        <v>166</v>
      </c>
      <c r="BJ286" s="18" t="s">
        <v>166</v>
      </c>
      <c r="BK286" s="18" t="s">
        <v>166</v>
      </c>
      <c r="BL286" s="14" t="s">
        <v>191</v>
      </c>
      <c r="BM286" s="14" t="s">
        <v>178</v>
      </c>
      <c r="BN286" s="14" t="s">
        <v>177</v>
      </c>
      <c r="BO286" s="22" t="s">
        <v>166</v>
      </c>
      <c r="BP286" s="14" t="s">
        <v>5736</v>
      </c>
      <c r="BQ286" s="21">
        <v>2</v>
      </c>
      <c r="BR286" s="14" t="s">
        <v>166</v>
      </c>
      <c r="BS286" s="21" t="s">
        <v>166</v>
      </c>
      <c r="BT286" s="14" t="s">
        <v>166</v>
      </c>
      <c r="BU286" s="14" t="s">
        <v>166</v>
      </c>
      <c r="BV286" s="14" t="s">
        <v>5747</v>
      </c>
      <c r="BW286" s="14" t="s">
        <v>166</v>
      </c>
      <c r="BX286" s="14" t="s">
        <v>166</v>
      </c>
      <c r="BY286" s="14" t="s">
        <v>166</v>
      </c>
      <c r="BZ286" s="14" t="s">
        <v>166</v>
      </c>
      <c r="CA286" s="14" t="s">
        <v>166</v>
      </c>
      <c r="CB286" s="14" t="s">
        <v>166</v>
      </c>
      <c r="CC286" s="14" t="s">
        <v>166</v>
      </c>
      <c r="CD286" s="14" t="s">
        <v>166</v>
      </c>
      <c r="CE286" s="18" t="s">
        <v>166</v>
      </c>
      <c r="CF286" s="16">
        <v>0.03</v>
      </c>
      <c r="CG286" s="17" t="s">
        <v>166</v>
      </c>
      <c r="CH286" s="16" t="s">
        <v>166</v>
      </c>
      <c r="CI286" s="16" t="s">
        <v>166</v>
      </c>
      <c r="CJ286" s="16" t="s">
        <v>166</v>
      </c>
      <c r="CK286" s="16" t="s">
        <v>166</v>
      </c>
      <c r="CL286" s="16" t="s">
        <v>166</v>
      </c>
      <c r="CM286" s="20">
        <v>2020</v>
      </c>
      <c r="CN286" s="16" t="s">
        <v>166</v>
      </c>
      <c r="CO286" s="16" t="s">
        <v>166</v>
      </c>
      <c r="CP286" s="16" t="s">
        <v>166</v>
      </c>
      <c r="CQ286" s="16">
        <v>111.11</v>
      </c>
      <c r="CR286" s="16" t="s">
        <v>166</v>
      </c>
      <c r="CS286" s="16" t="s">
        <v>166</v>
      </c>
      <c r="CT286" s="16" t="s">
        <v>166</v>
      </c>
      <c r="CU286" s="16" t="s">
        <v>166</v>
      </c>
      <c r="CV286" s="16">
        <v>18.52</v>
      </c>
      <c r="CW286" s="16" t="s">
        <v>166</v>
      </c>
      <c r="CX286" s="16" t="s">
        <v>166</v>
      </c>
      <c r="CY286" s="16" t="s">
        <v>166</v>
      </c>
      <c r="CZ286" s="16" t="s">
        <v>166</v>
      </c>
      <c r="DA286" s="16" t="s">
        <v>166</v>
      </c>
      <c r="DB286" s="16" t="s">
        <v>166</v>
      </c>
      <c r="DC286" s="16" t="s">
        <v>166</v>
      </c>
      <c r="DD286" s="16" t="s">
        <v>166</v>
      </c>
      <c r="DE286" s="17" t="s">
        <v>166</v>
      </c>
      <c r="DF286" s="22">
        <v>9</v>
      </c>
      <c r="DG286" s="14" t="s">
        <v>5748</v>
      </c>
      <c r="DH286" s="14" t="s">
        <v>193</v>
      </c>
      <c r="DI286" s="14" t="s">
        <v>194</v>
      </c>
      <c r="DJ286" s="14" t="s">
        <v>5749</v>
      </c>
      <c r="DK286" s="14" t="s">
        <v>454</v>
      </c>
      <c r="DL286" s="21" t="s">
        <v>5750</v>
      </c>
      <c r="DM286" s="14" t="s">
        <v>198</v>
      </c>
      <c r="DN286" s="13" t="s">
        <v>5751</v>
      </c>
      <c r="DO286" s="20">
        <v>2018</v>
      </c>
      <c r="DP286" s="14" t="s">
        <v>166</v>
      </c>
      <c r="DQ286" s="14" t="s">
        <v>166</v>
      </c>
      <c r="DR286" s="18" t="s">
        <v>166</v>
      </c>
      <c r="DS286" s="16" t="s">
        <v>166</v>
      </c>
      <c r="DT286" s="19" t="s">
        <v>166</v>
      </c>
      <c r="DU286" s="14" t="s">
        <v>166</v>
      </c>
      <c r="DV286" s="18" t="s">
        <v>166</v>
      </c>
      <c r="DW286" s="18" t="s">
        <v>166</v>
      </c>
      <c r="DX286" s="16" t="s">
        <v>166</v>
      </c>
      <c r="DY286" s="16" t="s">
        <v>166</v>
      </c>
      <c r="DZ286" s="17" t="s">
        <v>166</v>
      </c>
      <c r="EA286" s="16" t="s">
        <v>166</v>
      </c>
      <c r="EB286" s="16" t="s">
        <v>166</v>
      </c>
      <c r="EC286" s="16" t="s">
        <v>166</v>
      </c>
      <c r="ED286" s="17" t="s">
        <v>166</v>
      </c>
      <c r="EE286" s="17" t="s">
        <v>166</v>
      </c>
      <c r="EF286" s="17" t="s">
        <v>166</v>
      </c>
      <c r="EG286" s="17" t="s">
        <v>166</v>
      </c>
      <c r="EH286" s="16" t="s">
        <v>166</v>
      </c>
      <c r="EI286" s="16" t="s">
        <v>166</v>
      </c>
      <c r="EJ286" s="16" t="s">
        <v>166</v>
      </c>
      <c r="EK286" s="16" t="s">
        <v>166</v>
      </c>
      <c r="EL286" s="16" t="s">
        <v>166</v>
      </c>
      <c r="EM286" s="16" t="s">
        <v>166</v>
      </c>
      <c r="EN286" s="16" t="s">
        <v>166</v>
      </c>
      <c r="EO286" s="16" t="s">
        <v>166</v>
      </c>
      <c r="EP286" s="16" t="s">
        <v>166</v>
      </c>
      <c r="EQ286" s="16" t="s">
        <v>166</v>
      </c>
      <c r="ER286" s="16" t="s">
        <v>166</v>
      </c>
      <c r="ES286" s="16" t="s">
        <v>166</v>
      </c>
      <c r="ET286" s="14" t="s">
        <v>166</v>
      </c>
      <c r="EU286" s="16" t="s">
        <v>166</v>
      </c>
      <c r="EV286" s="16" t="s">
        <v>166</v>
      </c>
      <c r="EW286" s="16" t="s">
        <v>166</v>
      </c>
      <c r="EX286" s="14" t="s">
        <v>190</v>
      </c>
      <c r="EY286" s="14" t="s">
        <v>166</v>
      </c>
      <c r="EZ286" s="16" t="s">
        <v>166</v>
      </c>
      <c r="FA286" s="15" t="s">
        <v>166</v>
      </c>
      <c r="FB286" s="15" t="s">
        <v>166</v>
      </c>
      <c r="FC286" s="15" t="s">
        <v>166</v>
      </c>
      <c r="FD286" s="15" t="s">
        <v>166</v>
      </c>
      <c r="FE286" s="15" t="s">
        <v>166</v>
      </c>
      <c r="FF286" s="15" t="s">
        <v>166</v>
      </c>
      <c r="FG286" s="14" t="s">
        <v>166</v>
      </c>
      <c r="FH286" s="3">
        <f>HYPERLINK("https://my.pitchbook.com?c=159835-06T","View Company Online")</f>
      </c>
    </row>
    <row r="287">
      <c r="A287" s="25" t="s">
        <v>5752</v>
      </c>
      <c r="B287" s="25" t="s">
        <v>5753</v>
      </c>
      <c r="C287" s="25" t="s">
        <v>5754</v>
      </c>
      <c r="D287" s="25" t="s">
        <v>166</v>
      </c>
      <c r="E287" s="34" t="s">
        <v>5755</v>
      </c>
      <c r="F287" s="32">
        <v>1</v>
      </c>
      <c r="G287" s="25" t="s">
        <v>5756</v>
      </c>
      <c r="H287" s="25" t="s">
        <v>166</v>
      </c>
      <c r="I287" s="25" t="s">
        <v>5757</v>
      </c>
      <c r="J287" s="25" t="s">
        <v>5758</v>
      </c>
      <c r="K287" s="25" t="s">
        <v>207</v>
      </c>
      <c r="L287" s="25" t="s">
        <v>208</v>
      </c>
      <c r="M287" s="25" t="s">
        <v>621</v>
      </c>
      <c r="N287" s="25" t="s">
        <v>5759</v>
      </c>
      <c r="O287" s="25" t="s">
        <v>5760</v>
      </c>
      <c r="P287" s="25" t="s">
        <v>5761</v>
      </c>
      <c r="Q287" s="25" t="s">
        <v>166</v>
      </c>
      <c r="R287" s="25" t="s">
        <v>177</v>
      </c>
      <c r="S287" s="25" t="s">
        <v>178</v>
      </c>
      <c r="T287" s="25" t="s">
        <v>179</v>
      </c>
      <c r="U287" s="25" t="s">
        <v>5762</v>
      </c>
      <c r="V287" s="25" t="s">
        <v>5763</v>
      </c>
      <c r="W287" s="32" t="s">
        <v>5764</v>
      </c>
      <c r="X287" s="25" t="s">
        <v>5765</v>
      </c>
      <c r="Y287" s="25" t="s">
        <v>5766</v>
      </c>
      <c r="Z287" s="25" t="s">
        <v>5767</v>
      </c>
      <c r="AA287" s="25" t="s">
        <v>242</v>
      </c>
      <c r="AB287" s="25" t="s">
        <v>243</v>
      </c>
      <c r="AC287" s="25" t="s">
        <v>244</v>
      </c>
      <c r="AD287" s="25" t="s">
        <v>243</v>
      </c>
      <c r="AE287" s="25" t="s">
        <v>243</v>
      </c>
      <c r="AF287" s="25" t="s">
        <v>166</v>
      </c>
      <c r="AG287" s="25" t="s">
        <v>246</v>
      </c>
      <c r="AH287" s="32">
        <v>1</v>
      </c>
      <c r="AI287" s="4">
        <f>HYPERLINK("https://my.pitchbook.com/?d=211104-73T","211104-73T")</f>
      </c>
      <c r="AJ287" s="30" t="s">
        <v>166</v>
      </c>
      <c r="AK287" s="30">
        <v>44713</v>
      </c>
      <c r="AL287" s="29">
        <v>1</v>
      </c>
      <c r="AM287" s="25" t="s">
        <v>185</v>
      </c>
      <c r="AN287" s="29">
        <v>8</v>
      </c>
      <c r="AO287" s="29">
        <v>8.95</v>
      </c>
      <c r="AP287" s="25" t="s">
        <v>185</v>
      </c>
      <c r="AQ287" s="32" t="s">
        <v>166</v>
      </c>
      <c r="AR287" s="32" t="s">
        <v>166</v>
      </c>
      <c r="AS287" s="28">
        <v>15.79</v>
      </c>
      <c r="AT287" s="29">
        <v>1</v>
      </c>
      <c r="AU287" s="32" t="s">
        <v>186</v>
      </c>
      <c r="AV287" s="32" t="s">
        <v>166</v>
      </c>
      <c r="AW287" s="29">
        <v>7.39</v>
      </c>
      <c r="AX287" s="32" t="s">
        <v>166</v>
      </c>
      <c r="AY287" s="25" t="s">
        <v>217</v>
      </c>
      <c r="AZ287" s="25" t="s">
        <v>217</v>
      </c>
      <c r="BA287" s="25" t="s">
        <v>166</v>
      </c>
      <c r="BB287" s="32" t="s">
        <v>166</v>
      </c>
      <c r="BC287" s="25" t="s">
        <v>179</v>
      </c>
      <c r="BD287" s="25" t="s">
        <v>5768</v>
      </c>
      <c r="BE287" s="25" t="s">
        <v>189</v>
      </c>
      <c r="BF287" s="29">
        <v>0.95</v>
      </c>
      <c r="BG287" s="25" t="s">
        <v>190</v>
      </c>
      <c r="BH287" s="25" t="s">
        <v>166</v>
      </c>
      <c r="BI287" s="25" t="s">
        <v>166</v>
      </c>
      <c r="BJ287" s="29">
        <v>0.05</v>
      </c>
      <c r="BK287" s="29" t="s">
        <v>166</v>
      </c>
      <c r="BL287" s="25" t="s">
        <v>191</v>
      </c>
      <c r="BM287" s="25" t="s">
        <v>178</v>
      </c>
      <c r="BN287" s="25" t="s">
        <v>177</v>
      </c>
      <c r="BO287" s="33" t="s">
        <v>166</v>
      </c>
      <c r="BP287" s="25" t="s">
        <v>5769</v>
      </c>
      <c r="BQ287" s="32">
        <v>1</v>
      </c>
      <c r="BR287" s="25" t="s">
        <v>166</v>
      </c>
      <c r="BS287" s="32" t="s">
        <v>166</v>
      </c>
      <c r="BT287" s="25" t="s">
        <v>166</v>
      </c>
      <c r="BU287" s="25" t="s">
        <v>166</v>
      </c>
      <c r="BV287" s="25" t="s">
        <v>166</v>
      </c>
      <c r="BW287" s="25" t="s">
        <v>166</v>
      </c>
      <c r="BX287" s="25" t="s">
        <v>166</v>
      </c>
      <c r="BY287" s="25" t="s">
        <v>166</v>
      </c>
      <c r="BZ287" s="25" t="s">
        <v>166</v>
      </c>
      <c r="CA287" s="25" t="s">
        <v>166</v>
      </c>
      <c r="CB287" s="25" t="s">
        <v>166</v>
      </c>
      <c r="CC287" s="25" t="s">
        <v>166</v>
      </c>
      <c r="CD287" s="25" t="s">
        <v>166</v>
      </c>
      <c r="CE287" s="29" t="s">
        <v>166</v>
      </c>
      <c r="CF287" s="27" t="s">
        <v>166</v>
      </c>
      <c r="CG287" s="28" t="s">
        <v>166</v>
      </c>
      <c r="CH287" s="27" t="s">
        <v>166</v>
      </c>
      <c r="CI287" s="27" t="s">
        <v>166</v>
      </c>
      <c r="CJ287" s="27" t="s">
        <v>166</v>
      </c>
      <c r="CK287" s="27" t="s">
        <v>166</v>
      </c>
      <c r="CL287" s="27" t="s">
        <v>166</v>
      </c>
      <c r="CM287" s="31" t="s">
        <v>166</v>
      </c>
      <c r="CN287" s="27" t="s">
        <v>166</v>
      </c>
      <c r="CO287" s="27" t="s">
        <v>166</v>
      </c>
      <c r="CP287" s="27" t="s">
        <v>166</v>
      </c>
      <c r="CQ287" s="27" t="s">
        <v>166</v>
      </c>
      <c r="CR287" s="27" t="s">
        <v>166</v>
      </c>
      <c r="CS287" s="27" t="s">
        <v>166</v>
      </c>
      <c r="CT287" s="27" t="s">
        <v>166</v>
      </c>
      <c r="CU287" s="27" t="s">
        <v>166</v>
      </c>
      <c r="CV287" s="27" t="s">
        <v>166</v>
      </c>
      <c r="CW287" s="27" t="s">
        <v>166</v>
      </c>
      <c r="CX287" s="27" t="s">
        <v>166</v>
      </c>
      <c r="CY287" s="27">
        <v>0.05</v>
      </c>
      <c r="CZ287" s="27" t="s">
        <v>166</v>
      </c>
      <c r="DA287" s="27" t="s">
        <v>166</v>
      </c>
      <c r="DB287" s="27" t="s">
        <v>166</v>
      </c>
      <c r="DC287" s="27" t="s">
        <v>166</v>
      </c>
      <c r="DD287" s="27" t="s">
        <v>166</v>
      </c>
      <c r="DE287" s="28" t="s">
        <v>166</v>
      </c>
      <c r="DF287" s="33">
        <v>9</v>
      </c>
      <c r="DG287" s="25" t="s">
        <v>309</v>
      </c>
      <c r="DH287" s="25" t="s">
        <v>193</v>
      </c>
      <c r="DI287" s="25" t="s">
        <v>194</v>
      </c>
      <c r="DJ287" s="25" t="s">
        <v>310</v>
      </c>
      <c r="DK287" s="25" t="s">
        <v>310</v>
      </c>
      <c r="DL287" s="32" t="s">
        <v>5163</v>
      </c>
      <c r="DM287" s="25" t="s">
        <v>198</v>
      </c>
      <c r="DN287" s="24" t="s">
        <v>5770</v>
      </c>
      <c r="DO287" s="31">
        <v>2018</v>
      </c>
      <c r="DP287" s="25" t="s">
        <v>166</v>
      </c>
      <c r="DQ287" s="25" t="s">
        <v>5771</v>
      </c>
      <c r="DR287" s="29">
        <v>0.05</v>
      </c>
      <c r="DS287" s="27" t="s">
        <v>166</v>
      </c>
      <c r="DT287" s="30" t="s">
        <v>166</v>
      </c>
      <c r="DU287" s="25" t="s">
        <v>166</v>
      </c>
      <c r="DV287" s="29" t="s">
        <v>166</v>
      </c>
      <c r="DW287" s="29" t="s">
        <v>166</v>
      </c>
      <c r="DX287" s="27" t="s">
        <v>166</v>
      </c>
      <c r="DY287" s="27" t="s">
        <v>166</v>
      </c>
      <c r="DZ287" s="28" t="s">
        <v>166</v>
      </c>
      <c r="EA287" s="27" t="s">
        <v>166</v>
      </c>
      <c r="EB287" s="27" t="s">
        <v>166</v>
      </c>
      <c r="EC287" s="27" t="s">
        <v>166</v>
      </c>
      <c r="ED287" s="28" t="s">
        <v>166</v>
      </c>
      <c r="EE287" s="28" t="s">
        <v>166</v>
      </c>
      <c r="EF287" s="28" t="s">
        <v>166</v>
      </c>
      <c r="EG287" s="28" t="s">
        <v>166</v>
      </c>
      <c r="EH287" s="27" t="s">
        <v>166</v>
      </c>
      <c r="EI287" s="27" t="s">
        <v>166</v>
      </c>
      <c r="EJ287" s="27" t="s">
        <v>166</v>
      </c>
      <c r="EK287" s="27" t="s">
        <v>166</v>
      </c>
      <c r="EL287" s="27" t="s">
        <v>166</v>
      </c>
      <c r="EM287" s="27" t="s">
        <v>166</v>
      </c>
      <c r="EN287" s="27" t="s">
        <v>166</v>
      </c>
      <c r="EO287" s="27" t="s">
        <v>166</v>
      </c>
      <c r="EP287" s="27" t="s">
        <v>166</v>
      </c>
      <c r="EQ287" s="27" t="s">
        <v>166</v>
      </c>
      <c r="ER287" s="27" t="s">
        <v>166</v>
      </c>
      <c r="ES287" s="27" t="s">
        <v>166</v>
      </c>
      <c r="ET287" s="25" t="s">
        <v>166</v>
      </c>
      <c r="EU287" s="27" t="s">
        <v>166</v>
      </c>
      <c r="EV287" s="27" t="s">
        <v>166</v>
      </c>
      <c r="EW287" s="27" t="s">
        <v>166</v>
      </c>
      <c r="EX287" s="25" t="s">
        <v>190</v>
      </c>
      <c r="EY287" s="25" t="s">
        <v>190</v>
      </c>
      <c r="EZ287" s="27" t="s">
        <v>166</v>
      </c>
      <c r="FA287" s="26">
        <v>4</v>
      </c>
      <c r="FB287" s="26">
        <v>1</v>
      </c>
      <c r="FC287" s="26">
        <v>2</v>
      </c>
      <c r="FD287" s="26">
        <v>2</v>
      </c>
      <c r="FE287" s="26" t="s">
        <v>166</v>
      </c>
      <c r="FF287" s="26" t="s">
        <v>166</v>
      </c>
      <c r="FG287" s="25" t="s">
        <v>1521</v>
      </c>
      <c r="FH287" s="4">
        <f>HYPERLINK("https://my.pitchbook.com?c=211104-73T","View Company Online")</f>
      </c>
    </row>
    <row r="288">
      <c r="A288" s="14" t="s">
        <v>5772</v>
      </c>
      <c r="B288" s="14" t="s">
        <v>5773</v>
      </c>
      <c r="C288" s="14" t="s">
        <v>5774</v>
      </c>
      <c r="D288" s="14" t="s">
        <v>166</v>
      </c>
      <c r="E288" s="23" t="s">
        <v>5775</v>
      </c>
      <c r="F288" s="21">
        <v>13</v>
      </c>
      <c r="G288" s="14" t="s">
        <v>5776</v>
      </c>
      <c r="H288" s="14" t="s">
        <v>166</v>
      </c>
      <c r="I288" s="14" t="s">
        <v>5777</v>
      </c>
      <c r="J288" s="14" t="s">
        <v>5778</v>
      </c>
      <c r="K288" s="14" t="s">
        <v>207</v>
      </c>
      <c r="L288" s="14" t="s">
        <v>208</v>
      </c>
      <c r="M288" s="14" t="s">
        <v>839</v>
      </c>
      <c r="N288" s="14" t="s">
        <v>5779</v>
      </c>
      <c r="O288" s="14" t="s">
        <v>5780</v>
      </c>
      <c r="P288" s="14" t="s">
        <v>5781</v>
      </c>
      <c r="Q288" s="14" t="s">
        <v>166</v>
      </c>
      <c r="R288" s="14" t="s">
        <v>177</v>
      </c>
      <c r="S288" s="14" t="s">
        <v>178</v>
      </c>
      <c r="T288" s="14" t="s">
        <v>179</v>
      </c>
      <c r="U288" s="14" t="s">
        <v>5782</v>
      </c>
      <c r="V288" s="14" t="s">
        <v>5783</v>
      </c>
      <c r="W288" s="21" t="s">
        <v>5784</v>
      </c>
      <c r="X288" s="14" t="s">
        <v>166</v>
      </c>
      <c r="Y288" s="14" t="s">
        <v>5785</v>
      </c>
      <c r="Z288" s="14" t="s">
        <v>5786</v>
      </c>
      <c r="AA288" s="14" t="s">
        <v>242</v>
      </c>
      <c r="AB288" s="14" t="s">
        <v>243</v>
      </c>
      <c r="AC288" s="14" t="s">
        <v>244</v>
      </c>
      <c r="AD288" s="14" t="s">
        <v>243</v>
      </c>
      <c r="AE288" s="14" t="s">
        <v>243</v>
      </c>
      <c r="AF288" s="14" t="s">
        <v>166</v>
      </c>
      <c r="AG288" s="14" t="s">
        <v>807</v>
      </c>
      <c r="AH288" s="21">
        <v>1</v>
      </c>
      <c r="AI288" s="3">
        <f>HYPERLINK("https://my.pitchbook.com/?d=271407-79T","271407-79T")</f>
      </c>
      <c r="AJ288" s="19">
        <v>45498</v>
      </c>
      <c r="AK288" s="19">
        <v>45524</v>
      </c>
      <c r="AL288" s="18">
        <v>4.96</v>
      </c>
      <c r="AM288" s="14" t="s">
        <v>185</v>
      </c>
      <c r="AN288" s="18">
        <v>10</v>
      </c>
      <c r="AO288" s="18">
        <v>14.96</v>
      </c>
      <c r="AP288" s="14" t="s">
        <v>185</v>
      </c>
      <c r="AQ288" s="21" t="s">
        <v>166</v>
      </c>
      <c r="AR288" s="21" t="s">
        <v>166</v>
      </c>
      <c r="AS288" s="17">
        <v>33.17</v>
      </c>
      <c r="AT288" s="18">
        <v>4.96</v>
      </c>
      <c r="AU288" s="21" t="s">
        <v>186</v>
      </c>
      <c r="AV288" s="21" t="s">
        <v>166</v>
      </c>
      <c r="AW288" s="18">
        <v>1.02</v>
      </c>
      <c r="AX288" s="21" t="s">
        <v>166</v>
      </c>
      <c r="AY288" s="14" t="s">
        <v>217</v>
      </c>
      <c r="AZ288" s="14" t="s">
        <v>217</v>
      </c>
      <c r="BA288" s="14" t="s">
        <v>166</v>
      </c>
      <c r="BB288" s="21" t="s">
        <v>166</v>
      </c>
      <c r="BC288" s="14" t="s">
        <v>179</v>
      </c>
      <c r="BD288" s="14" t="s">
        <v>5778</v>
      </c>
      <c r="BE288" s="14" t="s">
        <v>189</v>
      </c>
      <c r="BF288" s="18">
        <v>4.96</v>
      </c>
      <c r="BG288" s="14" t="s">
        <v>190</v>
      </c>
      <c r="BH288" s="14" t="s">
        <v>166</v>
      </c>
      <c r="BI288" s="14" t="s">
        <v>166</v>
      </c>
      <c r="BJ288" s="18" t="s">
        <v>166</v>
      </c>
      <c r="BK288" s="18" t="s">
        <v>166</v>
      </c>
      <c r="BL288" s="14" t="s">
        <v>191</v>
      </c>
      <c r="BM288" s="14" t="s">
        <v>178</v>
      </c>
      <c r="BN288" s="14" t="s">
        <v>177</v>
      </c>
      <c r="BO288" s="22" t="s">
        <v>166</v>
      </c>
      <c r="BP288" s="14" t="s">
        <v>5787</v>
      </c>
      <c r="BQ288" s="21">
        <v>13</v>
      </c>
      <c r="BR288" s="14" t="s">
        <v>166</v>
      </c>
      <c r="BS288" s="21" t="s">
        <v>166</v>
      </c>
      <c r="BT288" s="14" t="s">
        <v>5788</v>
      </c>
      <c r="BU288" s="14" t="s">
        <v>166</v>
      </c>
      <c r="BV288" s="14" t="s">
        <v>166</v>
      </c>
      <c r="BW288" s="14" t="s">
        <v>166</v>
      </c>
      <c r="BX288" s="14" t="s">
        <v>166</v>
      </c>
      <c r="BY288" s="14" t="s">
        <v>166</v>
      </c>
      <c r="BZ288" s="14" t="s">
        <v>770</v>
      </c>
      <c r="CA288" s="14" t="s">
        <v>770</v>
      </c>
      <c r="CB288" s="14" t="s">
        <v>166</v>
      </c>
      <c r="CC288" s="14" t="s">
        <v>166</v>
      </c>
      <c r="CD288" s="14" t="s">
        <v>166</v>
      </c>
      <c r="CE288" s="18" t="s">
        <v>166</v>
      </c>
      <c r="CF288" s="16" t="s">
        <v>166</v>
      </c>
      <c r="CG288" s="17" t="s">
        <v>166</v>
      </c>
      <c r="CH288" s="16" t="s">
        <v>166</v>
      </c>
      <c r="CI288" s="16" t="s">
        <v>166</v>
      </c>
      <c r="CJ288" s="16" t="s">
        <v>166</v>
      </c>
      <c r="CK288" s="16" t="s">
        <v>166</v>
      </c>
      <c r="CL288" s="16" t="s">
        <v>166</v>
      </c>
      <c r="CM288" s="20" t="s">
        <v>166</v>
      </c>
      <c r="CN288" s="16" t="s">
        <v>166</v>
      </c>
      <c r="CO288" s="16" t="s">
        <v>166</v>
      </c>
      <c r="CP288" s="16" t="s">
        <v>166</v>
      </c>
      <c r="CQ288" s="16" t="s">
        <v>166</v>
      </c>
      <c r="CR288" s="16" t="s">
        <v>166</v>
      </c>
      <c r="CS288" s="16" t="s">
        <v>166</v>
      </c>
      <c r="CT288" s="16" t="s">
        <v>166</v>
      </c>
      <c r="CU288" s="16" t="s">
        <v>166</v>
      </c>
      <c r="CV288" s="16" t="s">
        <v>166</v>
      </c>
      <c r="CW288" s="16" t="s">
        <v>166</v>
      </c>
      <c r="CX288" s="16" t="s">
        <v>166</v>
      </c>
      <c r="CY288" s="16" t="s">
        <v>166</v>
      </c>
      <c r="CZ288" s="16" t="s">
        <v>166</v>
      </c>
      <c r="DA288" s="16" t="s">
        <v>166</v>
      </c>
      <c r="DB288" s="16" t="s">
        <v>166</v>
      </c>
      <c r="DC288" s="16" t="s">
        <v>166</v>
      </c>
      <c r="DD288" s="16" t="s">
        <v>166</v>
      </c>
      <c r="DE288" s="17" t="s">
        <v>166</v>
      </c>
      <c r="DF288" s="22">
        <v>9</v>
      </c>
      <c r="DG288" s="14" t="s">
        <v>1634</v>
      </c>
      <c r="DH288" s="14" t="s">
        <v>193</v>
      </c>
      <c r="DI288" s="14" t="s">
        <v>194</v>
      </c>
      <c r="DJ288" s="14" t="s">
        <v>1635</v>
      </c>
      <c r="DK288" s="14" t="s">
        <v>408</v>
      </c>
      <c r="DL288" s="21" t="s">
        <v>5789</v>
      </c>
      <c r="DM288" s="14" t="s">
        <v>198</v>
      </c>
      <c r="DN288" s="13" t="s">
        <v>5790</v>
      </c>
      <c r="DO288" s="20">
        <v>2024</v>
      </c>
      <c r="DP288" s="14" t="s">
        <v>166</v>
      </c>
      <c r="DQ288" s="14" t="s">
        <v>166</v>
      </c>
      <c r="DR288" s="18" t="s">
        <v>166</v>
      </c>
      <c r="DS288" s="16" t="s">
        <v>166</v>
      </c>
      <c r="DT288" s="19" t="s">
        <v>166</v>
      </c>
      <c r="DU288" s="14" t="s">
        <v>166</v>
      </c>
      <c r="DV288" s="18" t="s">
        <v>166</v>
      </c>
      <c r="DW288" s="18" t="s">
        <v>166</v>
      </c>
      <c r="DX288" s="16" t="s">
        <v>166</v>
      </c>
      <c r="DY288" s="16" t="s">
        <v>166</v>
      </c>
      <c r="DZ288" s="17" t="s">
        <v>166</v>
      </c>
      <c r="EA288" s="16" t="s">
        <v>166</v>
      </c>
      <c r="EB288" s="16" t="s">
        <v>166</v>
      </c>
      <c r="EC288" s="16" t="s">
        <v>166</v>
      </c>
      <c r="ED288" s="17" t="s">
        <v>166</v>
      </c>
      <c r="EE288" s="17" t="s">
        <v>166</v>
      </c>
      <c r="EF288" s="17" t="s">
        <v>166</v>
      </c>
      <c r="EG288" s="17" t="s">
        <v>166</v>
      </c>
      <c r="EH288" s="16" t="s">
        <v>166</v>
      </c>
      <c r="EI288" s="16" t="s">
        <v>166</v>
      </c>
      <c r="EJ288" s="16" t="s">
        <v>166</v>
      </c>
      <c r="EK288" s="16" t="s">
        <v>166</v>
      </c>
      <c r="EL288" s="16" t="s">
        <v>166</v>
      </c>
      <c r="EM288" s="16" t="s">
        <v>166</v>
      </c>
      <c r="EN288" s="16" t="s">
        <v>166</v>
      </c>
      <c r="EO288" s="16" t="s">
        <v>166</v>
      </c>
      <c r="EP288" s="16" t="s">
        <v>166</v>
      </c>
      <c r="EQ288" s="16" t="s">
        <v>166</v>
      </c>
      <c r="ER288" s="16" t="s">
        <v>166</v>
      </c>
      <c r="ES288" s="16" t="s">
        <v>166</v>
      </c>
      <c r="ET288" s="14" t="s">
        <v>166</v>
      </c>
      <c r="EU288" s="16" t="s">
        <v>166</v>
      </c>
      <c r="EV288" s="16" t="s">
        <v>166</v>
      </c>
      <c r="EW288" s="16" t="s">
        <v>166</v>
      </c>
      <c r="EX288" s="14" t="s">
        <v>190</v>
      </c>
      <c r="EY288" s="14" t="s">
        <v>166</v>
      </c>
      <c r="EZ288" s="16" t="s">
        <v>166</v>
      </c>
      <c r="FA288" s="15" t="s">
        <v>166</v>
      </c>
      <c r="FB288" s="15" t="s">
        <v>166</v>
      </c>
      <c r="FC288" s="15" t="s">
        <v>166</v>
      </c>
      <c r="FD288" s="15" t="s">
        <v>166</v>
      </c>
      <c r="FE288" s="15" t="s">
        <v>166</v>
      </c>
      <c r="FF288" s="15" t="s">
        <v>166</v>
      </c>
      <c r="FG288" s="14" t="s">
        <v>166</v>
      </c>
      <c r="FH288" s="3">
        <f>HYPERLINK("https://my.pitchbook.com?c=271407-79T","View Company Online")</f>
      </c>
    </row>
    <row r="289">
      <c r="A289" s="25" t="s">
        <v>5791</v>
      </c>
      <c r="B289" s="25" t="s">
        <v>5792</v>
      </c>
      <c r="C289" s="25" t="s">
        <v>5793</v>
      </c>
      <c r="D289" s="25" t="s">
        <v>166</v>
      </c>
      <c r="E289" s="34" t="s">
        <v>5794</v>
      </c>
      <c r="F289" s="32">
        <v>1</v>
      </c>
      <c r="G289" s="25" t="s">
        <v>5795</v>
      </c>
      <c r="H289" s="25" t="s">
        <v>166</v>
      </c>
      <c r="I289" s="25" t="s">
        <v>5796</v>
      </c>
      <c r="J289" s="25" t="s">
        <v>5797</v>
      </c>
      <c r="K289" s="25" t="s">
        <v>207</v>
      </c>
      <c r="L289" s="25" t="s">
        <v>208</v>
      </c>
      <c r="M289" s="25" t="s">
        <v>1766</v>
      </c>
      <c r="N289" s="25" t="s">
        <v>2393</v>
      </c>
      <c r="O289" s="25" t="s">
        <v>1035</v>
      </c>
      <c r="P289" s="25" t="s">
        <v>5798</v>
      </c>
      <c r="Q289" s="25" t="s">
        <v>166</v>
      </c>
      <c r="R289" s="25" t="s">
        <v>177</v>
      </c>
      <c r="S289" s="25" t="s">
        <v>178</v>
      </c>
      <c r="T289" s="25" t="s">
        <v>179</v>
      </c>
      <c r="U289" s="25" t="s">
        <v>5799</v>
      </c>
      <c r="V289" s="25" t="s">
        <v>5800</v>
      </c>
      <c r="W289" s="32" t="s">
        <v>5801</v>
      </c>
      <c r="X289" s="25" t="s">
        <v>5802</v>
      </c>
      <c r="Y289" s="25" t="s">
        <v>5803</v>
      </c>
      <c r="Z289" s="25" t="s">
        <v>166</v>
      </c>
      <c r="AA289" s="25" t="s">
        <v>242</v>
      </c>
      <c r="AB289" s="25" t="s">
        <v>243</v>
      </c>
      <c r="AC289" s="25" t="s">
        <v>244</v>
      </c>
      <c r="AD289" s="25" t="s">
        <v>243</v>
      </c>
      <c r="AE289" s="25" t="s">
        <v>243</v>
      </c>
      <c r="AF289" s="25" t="s">
        <v>166</v>
      </c>
      <c r="AG289" s="25" t="s">
        <v>246</v>
      </c>
      <c r="AH289" s="32">
        <v>1</v>
      </c>
      <c r="AI289" s="4">
        <f>HYPERLINK("https://my.pitchbook.com/?d=178520-50T","178520-50T")</f>
      </c>
      <c r="AJ289" s="30" t="s">
        <v>166</v>
      </c>
      <c r="AK289" s="30">
        <v>44154</v>
      </c>
      <c r="AL289" s="29">
        <v>0.7</v>
      </c>
      <c r="AM289" s="25" t="s">
        <v>185</v>
      </c>
      <c r="AN289" s="29">
        <v>1</v>
      </c>
      <c r="AO289" s="29">
        <v>1.7</v>
      </c>
      <c r="AP289" s="25" t="s">
        <v>185</v>
      </c>
      <c r="AQ289" s="32" t="s">
        <v>166</v>
      </c>
      <c r="AR289" s="32" t="s">
        <v>166</v>
      </c>
      <c r="AS289" s="28">
        <v>41.18</v>
      </c>
      <c r="AT289" s="29">
        <v>0.7</v>
      </c>
      <c r="AU289" s="32" t="s">
        <v>186</v>
      </c>
      <c r="AV289" s="32" t="s">
        <v>166</v>
      </c>
      <c r="AW289" s="29">
        <v>0.31</v>
      </c>
      <c r="AX289" s="32" t="s">
        <v>166</v>
      </c>
      <c r="AY289" s="25" t="s">
        <v>217</v>
      </c>
      <c r="AZ289" s="25" t="s">
        <v>217</v>
      </c>
      <c r="BA289" s="25" t="s">
        <v>166</v>
      </c>
      <c r="BB289" s="32" t="s">
        <v>166</v>
      </c>
      <c r="BC289" s="25" t="s">
        <v>179</v>
      </c>
      <c r="BD289" s="25" t="s">
        <v>5804</v>
      </c>
      <c r="BE289" s="25" t="s">
        <v>189</v>
      </c>
      <c r="BF289" s="29">
        <v>0.7</v>
      </c>
      <c r="BG289" s="25" t="s">
        <v>190</v>
      </c>
      <c r="BH289" s="25" t="s">
        <v>166</v>
      </c>
      <c r="BI289" s="25" t="s">
        <v>166</v>
      </c>
      <c r="BJ289" s="29" t="s">
        <v>166</v>
      </c>
      <c r="BK289" s="29" t="s">
        <v>166</v>
      </c>
      <c r="BL289" s="25" t="s">
        <v>191</v>
      </c>
      <c r="BM289" s="25" t="s">
        <v>178</v>
      </c>
      <c r="BN289" s="25" t="s">
        <v>177</v>
      </c>
      <c r="BO289" s="33">
        <v>1</v>
      </c>
      <c r="BP289" s="25" t="s">
        <v>5805</v>
      </c>
      <c r="BQ289" s="32">
        <v>1</v>
      </c>
      <c r="BR289" s="25" t="s">
        <v>166</v>
      </c>
      <c r="BS289" s="32" t="s">
        <v>166</v>
      </c>
      <c r="BT289" s="25" t="s">
        <v>166</v>
      </c>
      <c r="BU289" s="25" t="s">
        <v>166</v>
      </c>
      <c r="BV289" s="25" t="s">
        <v>166</v>
      </c>
      <c r="BW289" s="25" t="s">
        <v>166</v>
      </c>
      <c r="BX289" s="25" t="s">
        <v>166</v>
      </c>
      <c r="BY289" s="25" t="s">
        <v>166</v>
      </c>
      <c r="BZ289" s="25" t="s">
        <v>4727</v>
      </c>
      <c r="CA289" s="25" t="s">
        <v>4727</v>
      </c>
      <c r="CB289" s="25" t="s">
        <v>166</v>
      </c>
      <c r="CC289" s="25" t="s">
        <v>166</v>
      </c>
      <c r="CD289" s="25" t="s">
        <v>166</v>
      </c>
      <c r="CE289" s="29" t="s">
        <v>166</v>
      </c>
      <c r="CF289" s="27">
        <v>0.08</v>
      </c>
      <c r="CG289" s="28" t="s">
        <v>166</v>
      </c>
      <c r="CH289" s="27" t="s">
        <v>166</v>
      </c>
      <c r="CI289" s="27" t="s">
        <v>166</v>
      </c>
      <c r="CJ289" s="27" t="s">
        <v>166</v>
      </c>
      <c r="CK289" s="27" t="s">
        <v>166</v>
      </c>
      <c r="CL289" s="27" t="s">
        <v>166</v>
      </c>
      <c r="CM289" s="31">
        <v>2020</v>
      </c>
      <c r="CN289" s="27" t="s">
        <v>166</v>
      </c>
      <c r="CO289" s="27" t="s">
        <v>166</v>
      </c>
      <c r="CP289" s="27" t="s">
        <v>166</v>
      </c>
      <c r="CQ289" s="27">
        <v>21.25</v>
      </c>
      <c r="CR289" s="27" t="s">
        <v>166</v>
      </c>
      <c r="CS289" s="27" t="s">
        <v>166</v>
      </c>
      <c r="CT289" s="27" t="s">
        <v>166</v>
      </c>
      <c r="CU289" s="27" t="s">
        <v>166</v>
      </c>
      <c r="CV289" s="27">
        <v>8.75</v>
      </c>
      <c r="CW289" s="27" t="s">
        <v>166</v>
      </c>
      <c r="CX289" s="27" t="s">
        <v>166</v>
      </c>
      <c r="CY289" s="27" t="s">
        <v>166</v>
      </c>
      <c r="CZ289" s="27" t="s">
        <v>166</v>
      </c>
      <c r="DA289" s="27" t="s">
        <v>166</v>
      </c>
      <c r="DB289" s="27" t="s">
        <v>166</v>
      </c>
      <c r="DC289" s="27" t="s">
        <v>166</v>
      </c>
      <c r="DD289" s="27" t="s">
        <v>166</v>
      </c>
      <c r="DE289" s="28" t="s">
        <v>166</v>
      </c>
      <c r="DF289" s="33">
        <v>6</v>
      </c>
      <c r="DG289" s="25" t="s">
        <v>1191</v>
      </c>
      <c r="DH289" s="25" t="s">
        <v>193</v>
      </c>
      <c r="DI289" s="25" t="s">
        <v>194</v>
      </c>
      <c r="DJ289" s="25" t="s">
        <v>1192</v>
      </c>
      <c r="DK289" s="25" t="s">
        <v>1023</v>
      </c>
      <c r="DL289" s="32" t="s">
        <v>1405</v>
      </c>
      <c r="DM289" s="25" t="s">
        <v>198</v>
      </c>
      <c r="DN289" s="24" t="s">
        <v>5806</v>
      </c>
      <c r="DO289" s="31">
        <v>2019</v>
      </c>
      <c r="DP289" s="25" t="s">
        <v>166</v>
      </c>
      <c r="DQ289" s="25" t="s">
        <v>166</v>
      </c>
      <c r="DR289" s="29" t="s">
        <v>166</v>
      </c>
      <c r="DS289" s="27" t="s">
        <v>166</v>
      </c>
      <c r="DT289" s="30" t="s">
        <v>166</v>
      </c>
      <c r="DU289" s="25" t="s">
        <v>166</v>
      </c>
      <c r="DV289" s="29" t="s">
        <v>166</v>
      </c>
      <c r="DW289" s="29" t="s">
        <v>166</v>
      </c>
      <c r="DX289" s="27" t="s">
        <v>166</v>
      </c>
      <c r="DY289" s="27" t="s">
        <v>166</v>
      </c>
      <c r="DZ289" s="28" t="s">
        <v>166</v>
      </c>
      <c r="EA289" s="27" t="s">
        <v>166</v>
      </c>
      <c r="EB289" s="27" t="s">
        <v>166</v>
      </c>
      <c r="EC289" s="27" t="s">
        <v>166</v>
      </c>
      <c r="ED289" s="28" t="s">
        <v>166</v>
      </c>
      <c r="EE289" s="28" t="s">
        <v>166</v>
      </c>
      <c r="EF289" s="28" t="s">
        <v>166</v>
      </c>
      <c r="EG289" s="28" t="s">
        <v>166</v>
      </c>
      <c r="EH289" s="27" t="s">
        <v>166</v>
      </c>
      <c r="EI289" s="27" t="s">
        <v>166</v>
      </c>
      <c r="EJ289" s="27" t="s">
        <v>166</v>
      </c>
      <c r="EK289" s="27" t="s">
        <v>166</v>
      </c>
      <c r="EL289" s="27" t="s">
        <v>166</v>
      </c>
      <c r="EM289" s="27" t="s">
        <v>166</v>
      </c>
      <c r="EN289" s="27" t="s">
        <v>166</v>
      </c>
      <c r="EO289" s="27" t="s">
        <v>166</v>
      </c>
      <c r="EP289" s="27" t="s">
        <v>166</v>
      </c>
      <c r="EQ289" s="27" t="s">
        <v>166</v>
      </c>
      <c r="ER289" s="27" t="s">
        <v>166</v>
      </c>
      <c r="ES289" s="27" t="s">
        <v>166</v>
      </c>
      <c r="ET289" s="25" t="s">
        <v>166</v>
      </c>
      <c r="EU289" s="27" t="s">
        <v>166</v>
      </c>
      <c r="EV289" s="27" t="s">
        <v>166</v>
      </c>
      <c r="EW289" s="27" t="s">
        <v>166</v>
      </c>
      <c r="EX289" s="25" t="s">
        <v>190</v>
      </c>
      <c r="EY289" s="25" t="s">
        <v>166</v>
      </c>
      <c r="EZ289" s="27" t="s">
        <v>166</v>
      </c>
      <c r="FA289" s="26" t="s">
        <v>166</v>
      </c>
      <c r="FB289" s="26" t="s">
        <v>166</v>
      </c>
      <c r="FC289" s="26" t="s">
        <v>166</v>
      </c>
      <c r="FD289" s="26" t="s">
        <v>166</v>
      </c>
      <c r="FE289" s="26" t="s">
        <v>166</v>
      </c>
      <c r="FF289" s="26" t="s">
        <v>166</v>
      </c>
      <c r="FG289" s="25" t="s">
        <v>166</v>
      </c>
      <c r="FH289" s="4">
        <f>HYPERLINK("https://my.pitchbook.com?c=178520-50T","View Company Online")</f>
      </c>
    </row>
    <row r="290">
      <c r="A290" s="14" t="s">
        <v>5807</v>
      </c>
      <c r="B290" s="14" t="s">
        <v>5808</v>
      </c>
      <c r="C290" s="14" t="s">
        <v>5809</v>
      </c>
      <c r="D290" s="14" t="s">
        <v>166</v>
      </c>
      <c r="E290" s="23" t="s">
        <v>5810</v>
      </c>
      <c r="F290" s="21">
        <v>16</v>
      </c>
      <c r="G290" s="14" t="s">
        <v>5811</v>
      </c>
      <c r="H290" s="14" t="s">
        <v>166</v>
      </c>
      <c r="I290" s="14" t="s">
        <v>5812</v>
      </c>
      <c r="J290" s="14" t="s">
        <v>5813</v>
      </c>
      <c r="K290" s="14" t="s">
        <v>207</v>
      </c>
      <c r="L290" s="14" t="s">
        <v>208</v>
      </c>
      <c r="M290" s="14" t="s">
        <v>1766</v>
      </c>
      <c r="N290" s="14" t="s">
        <v>5814</v>
      </c>
      <c r="O290" s="14" t="s">
        <v>2394</v>
      </c>
      <c r="P290" s="14" t="s">
        <v>5815</v>
      </c>
      <c r="Q290" s="14" t="s">
        <v>166</v>
      </c>
      <c r="R290" s="14" t="s">
        <v>177</v>
      </c>
      <c r="S290" s="14" t="s">
        <v>178</v>
      </c>
      <c r="T290" s="14" t="s">
        <v>179</v>
      </c>
      <c r="U290" s="14" t="s">
        <v>5816</v>
      </c>
      <c r="V290" s="14" t="s">
        <v>5817</v>
      </c>
      <c r="W290" s="21" t="s">
        <v>5818</v>
      </c>
      <c r="X290" s="14" t="s">
        <v>5819</v>
      </c>
      <c r="Y290" s="14" t="s">
        <v>5820</v>
      </c>
      <c r="Z290" s="14" t="s">
        <v>166</v>
      </c>
      <c r="AA290" s="14" t="s">
        <v>166</v>
      </c>
      <c r="AB290" s="14" t="s">
        <v>166</v>
      </c>
      <c r="AC290" s="14" t="s">
        <v>166</v>
      </c>
      <c r="AD290" s="14" t="s">
        <v>166</v>
      </c>
      <c r="AE290" s="14" t="s">
        <v>166</v>
      </c>
      <c r="AF290" s="14" t="s">
        <v>166</v>
      </c>
      <c r="AG290" s="14" t="s">
        <v>166</v>
      </c>
      <c r="AH290" s="21">
        <v>2</v>
      </c>
      <c r="AI290" s="3">
        <f>HYPERLINK("https://my.pitchbook.com/?d=158319-82T","158319-82T")</f>
      </c>
      <c r="AJ290" s="19" t="s">
        <v>166</v>
      </c>
      <c r="AK290" s="19">
        <v>44132</v>
      </c>
      <c r="AL290" s="18">
        <v>1.4</v>
      </c>
      <c r="AM290" s="14" t="s">
        <v>185</v>
      </c>
      <c r="AN290" s="18" t="s">
        <v>166</v>
      </c>
      <c r="AO290" s="18" t="s">
        <v>166</v>
      </c>
      <c r="AP290" s="14" t="s">
        <v>166</v>
      </c>
      <c r="AQ290" s="21" t="s">
        <v>166</v>
      </c>
      <c r="AR290" s="21" t="s">
        <v>166</v>
      </c>
      <c r="AS290" s="17" t="s">
        <v>166</v>
      </c>
      <c r="AT290" s="18">
        <v>1.55</v>
      </c>
      <c r="AU290" s="21" t="s">
        <v>186</v>
      </c>
      <c r="AV290" s="21" t="s">
        <v>166</v>
      </c>
      <c r="AW290" s="18" t="s">
        <v>166</v>
      </c>
      <c r="AX290" s="21" t="s">
        <v>166</v>
      </c>
      <c r="AY290" s="14" t="s">
        <v>217</v>
      </c>
      <c r="AZ290" s="14" t="s">
        <v>217</v>
      </c>
      <c r="BA290" s="14" t="s">
        <v>166</v>
      </c>
      <c r="BB290" s="21" t="s">
        <v>166</v>
      </c>
      <c r="BC290" s="14" t="s">
        <v>179</v>
      </c>
      <c r="BD290" s="14" t="s">
        <v>5821</v>
      </c>
      <c r="BE290" s="14" t="s">
        <v>189</v>
      </c>
      <c r="BF290" s="18">
        <v>1.4</v>
      </c>
      <c r="BG290" s="14" t="s">
        <v>190</v>
      </c>
      <c r="BH290" s="14" t="s">
        <v>166</v>
      </c>
      <c r="BI290" s="14" t="s">
        <v>166</v>
      </c>
      <c r="BJ290" s="18" t="s">
        <v>166</v>
      </c>
      <c r="BK290" s="18" t="s">
        <v>166</v>
      </c>
      <c r="BL290" s="14" t="s">
        <v>191</v>
      </c>
      <c r="BM290" s="14" t="s">
        <v>178</v>
      </c>
      <c r="BN290" s="14" t="s">
        <v>177</v>
      </c>
      <c r="BO290" s="22" t="s">
        <v>166</v>
      </c>
      <c r="BP290" s="14" t="s">
        <v>5822</v>
      </c>
      <c r="BQ290" s="21">
        <v>15</v>
      </c>
      <c r="BR290" s="14" t="s">
        <v>914</v>
      </c>
      <c r="BS290" s="21">
        <v>1</v>
      </c>
      <c r="BT290" s="14" t="s">
        <v>166</v>
      </c>
      <c r="BU290" s="14" t="s">
        <v>166</v>
      </c>
      <c r="BV290" s="14" t="s">
        <v>5823</v>
      </c>
      <c r="BW290" s="14" t="s">
        <v>166</v>
      </c>
      <c r="BX290" s="14" t="s">
        <v>166</v>
      </c>
      <c r="BY290" s="14" t="s">
        <v>166</v>
      </c>
      <c r="BZ290" s="14" t="s">
        <v>166</v>
      </c>
      <c r="CA290" s="14" t="s">
        <v>166</v>
      </c>
      <c r="CB290" s="14" t="s">
        <v>166</v>
      </c>
      <c r="CC290" s="14" t="s">
        <v>166</v>
      </c>
      <c r="CD290" s="14" t="s">
        <v>166</v>
      </c>
      <c r="CE290" s="18" t="s">
        <v>166</v>
      </c>
      <c r="CF290" s="16" t="s">
        <v>166</v>
      </c>
      <c r="CG290" s="17" t="s">
        <v>166</v>
      </c>
      <c r="CH290" s="16" t="s">
        <v>166</v>
      </c>
      <c r="CI290" s="16" t="s">
        <v>166</v>
      </c>
      <c r="CJ290" s="16" t="s">
        <v>166</v>
      </c>
      <c r="CK290" s="16" t="s">
        <v>166</v>
      </c>
      <c r="CL290" s="16" t="s">
        <v>166</v>
      </c>
      <c r="CM290" s="20" t="s">
        <v>166</v>
      </c>
      <c r="CN290" s="16" t="s">
        <v>166</v>
      </c>
      <c r="CO290" s="16" t="s">
        <v>166</v>
      </c>
      <c r="CP290" s="16" t="s">
        <v>166</v>
      </c>
      <c r="CQ290" s="16" t="s">
        <v>166</v>
      </c>
      <c r="CR290" s="16" t="s">
        <v>166</v>
      </c>
      <c r="CS290" s="16" t="s">
        <v>166</v>
      </c>
      <c r="CT290" s="16" t="s">
        <v>166</v>
      </c>
      <c r="CU290" s="16" t="s">
        <v>166</v>
      </c>
      <c r="CV290" s="16" t="s">
        <v>166</v>
      </c>
      <c r="CW290" s="16" t="s">
        <v>166</v>
      </c>
      <c r="CX290" s="16" t="s">
        <v>166</v>
      </c>
      <c r="CY290" s="16" t="s">
        <v>166</v>
      </c>
      <c r="CZ290" s="16" t="s">
        <v>166</v>
      </c>
      <c r="DA290" s="16" t="s">
        <v>166</v>
      </c>
      <c r="DB290" s="16" t="s">
        <v>166</v>
      </c>
      <c r="DC290" s="16" t="s">
        <v>166</v>
      </c>
      <c r="DD290" s="16" t="s">
        <v>166</v>
      </c>
      <c r="DE290" s="17" t="s">
        <v>166</v>
      </c>
      <c r="DF290" s="22">
        <v>26</v>
      </c>
      <c r="DG290" s="14" t="s">
        <v>673</v>
      </c>
      <c r="DH290" s="14" t="s">
        <v>193</v>
      </c>
      <c r="DI290" s="14" t="s">
        <v>194</v>
      </c>
      <c r="DJ290" s="14" t="s">
        <v>674</v>
      </c>
      <c r="DK290" s="14" t="s">
        <v>257</v>
      </c>
      <c r="DL290" s="21" t="s">
        <v>1350</v>
      </c>
      <c r="DM290" s="14" t="s">
        <v>198</v>
      </c>
      <c r="DN290" s="13" t="s">
        <v>5824</v>
      </c>
      <c r="DO290" s="20">
        <v>2019</v>
      </c>
      <c r="DP290" s="14" t="s">
        <v>166</v>
      </c>
      <c r="DQ290" s="14" t="s">
        <v>166</v>
      </c>
      <c r="DR290" s="18" t="s">
        <v>166</v>
      </c>
      <c r="DS290" s="16" t="s">
        <v>166</v>
      </c>
      <c r="DT290" s="19" t="s">
        <v>166</v>
      </c>
      <c r="DU290" s="14" t="s">
        <v>166</v>
      </c>
      <c r="DV290" s="18" t="s">
        <v>166</v>
      </c>
      <c r="DW290" s="18" t="s">
        <v>166</v>
      </c>
      <c r="DX290" s="16" t="s">
        <v>166</v>
      </c>
      <c r="DY290" s="16" t="s">
        <v>166</v>
      </c>
      <c r="DZ290" s="17" t="s">
        <v>166</v>
      </c>
      <c r="EA290" s="16" t="s">
        <v>166</v>
      </c>
      <c r="EB290" s="16" t="s">
        <v>166</v>
      </c>
      <c r="EC290" s="16" t="s">
        <v>166</v>
      </c>
      <c r="ED290" s="17" t="s">
        <v>166</v>
      </c>
      <c r="EE290" s="17" t="s">
        <v>166</v>
      </c>
      <c r="EF290" s="17" t="s">
        <v>166</v>
      </c>
      <c r="EG290" s="17" t="s">
        <v>166</v>
      </c>
      <c r="EH290" s="16" t="s">
        <v>166</v>
      </c>
      <c r="EI290" s="16" t="s">
        <v>166</v>
      </c>
      <c r="EJ290" s="16" t="s">
        <v>166</v>
      </c>
      <c r="EK290" s="16" t="s">
        <v>166</v>
      </c>
      <c r="EL290" s="16" t="s">
        <v>166</v>
      </c>
      <c r="EM290" s="16" t="s">
        <v>166</v>
      </c>
      <c r="EN290" s="16" t="s">
        <v>166</v>
      </c>
      <c r="EO290" s="16" t="s">
        <v>166</v>
      </c>
      <c r="EP290" s="16" t="s">
        <v>166</v>
      </c>
      <c r="EQ290" s="16" t="s">
        <v>166</v>
      </c>
      <c r="ER290" s="16" t="s">
        <v>166</v>
      </c>
      <c r="ES290" s="16" t="s">
        <v>166</v>
      </c>
      <c r="ET290" s="14" t="s">
        <v>166</v>
      </c>
      <c r="EU290" s="16" t="s">
        <v>166</v>
      </c>
      <c r="EV290" s="16" t="s">
        <v>166</v>
      </c>
      <c r="EW290" s="16" t="s">
        <v>166</v>
      </c>
      <c r="EX290" s="14" t="s">
        <v>190</v>
      </c>
      <c r="EY290" s="14" t="s">
        <v>166</v>
      </c>
      <c r="EZ290" s="16" t="s">
        <v>166</v>
      </c>
      <c r="FA290" s="15" t="s">
        <v>166</v>
      </c>
      <c r="FB290" s="15" t="s">
        <v>166</v>
      </c>
      <c r="FC290" s="15" t="s">
        <v>166</v>
      </c>
      <c r="FD290" s="15" t="s">
        <v>166</v>
      </c>
      <c r="FE290" s="15" t="s">
        <v>166</v>
      </c>
      <c r="FF290" s="15" t="s">
        <v>166</v>
      </c>
      <c r="FG290" s="14" t="s">
        <v>166</v>
      </c>
      <c r="FH290" s="3">
        <f>HYPERLINK("https://my.pitchbook.com?c=158319-82T","View Company Online")</f>
      </c>
    </row>
    <row r="291">
      <c r="A291" s="25" t="s">
        <v>5825</v>
      </c>
      <c r="B291" s="25" t="s">
        <v>5826</v>
      </c>
      <c r="C291" s="25" t="s">
        <v>5827</v>
      </c>
      <c r="D291" s="25" t="s">
        <v>166</v>
      </c>
      <c r="E291" s="34" t="s">
        <v>5828</v>
      </c>
      <c r="F291" s="32">
        <v>7</v>
      </c>
      <c r="G291" s="25" t="s">
        <v>5829</v>
      </c>
      <c r="H291" s="25" t="s">
        <v>166</v>
      </c>
      <c r="I291" s="25" t="s">
        <v>5830</v>
      </c>
      <c r="J291" s="25" t="s">
        <v>5831</v>
      </c>
      <c r="K291" s="25" t="s">
        <v>207</v>
      </c>
      <c r="L291" s="25" t="s">
        <v>208</v>
      </c>
      <c r="M291" s="25" t="s">
        <v>209</v>
      </c>
      <c r="N291" s="25" t="s">
        <v>684</v>
      </c>
      <c r="O291" s="25" t="s">
        <v>800</v>
      </c>
      <c r="P291" s="25" t="s">
        <v>5832</v>
      </c>
      <c r="Q291" s="25" t="s">
        <v>166</v>
      </c>
      <c r="R291" s="25" t="s">
        <v>177</v>
      </c>
      <c r="S291" s="25" t="s">
        <v>178</v>
      </c>
      <c r="T291" s="25" t="s">
        <v>179</v>
      </c>
      <c r="U291" s="25" t="s">
        <v>5833</v>
      </c>
      <c r="V291" s="25" t="s">
        <v>5834</v>
      </c>
      <c r="W291" s="32" t="s">
        <v>5835</v>
      </c>
      <c r="X291" s="25" t="s">
        <v>5836</v>
      </c>
      <c r="Y291" s="25" t="s">
        <v>5837</v>
      </c>
      <c r="Z291" s="25" t="s">
        <v>166</v>
      </c>
      <c r="AA291" s="25" t="s">
        <v>242</v>
      </c>
      <c r="AB291" s="25" t="s">
        <v>243</v>
      </c>
      <c r="AC291" s="25" t="s">
        <v>244</v>
      </c>
      <c r="AD291" s="25" t="s">
        <v>243</v>
      </c>
      <c r="AE291" s="25" t="s">
        <v>243</v>
      </c>
      <c r="AF291" s="25" t="s">
        <v>166</v>
      </c>
      <c r="AG291" s="25" t="s">
        <v>246</v>
      </c>
      <c r="AH291" s="32">
        <v>2</v>
      </c>
      <c r="AI291" s="4">
        <f>HYPERLINK("https://my.pitchbook.com/?d=125696-80T","125696-80T")</f>
      </c>
      <c r="AJ291" s="30">
        <v>43588</v>
      </c>
      <c r="AK291" s="30">
        <v>43956</v>
      </c>
      <c r="AL291" s="29">
        <v>1.6</v>
      </c>
      <c r="AM291" s="25" t="s">
        <v>185</v>
      </c>
      <c r="AN291" s="29">
        <v>2.5</v>
      </c>
      <c r="AO291" s="29">
        <v>3.7</v>
      </c>
      <c r="AP291" s="25" t="s">
        <v>185</v>
      </c>
      <c r="AQ291" s="32" t="s">
        <v>166</v>
      </c>
      <c r="AR291" s="32" t="s">
        <v>166</v>
      </c>
      <c r="AS291" s="28">
        <v>32.44</v>
      </c>
      <c r="AT291" s="29">
        <v>1.62</v>
      </c>
      <c r="AU291" s="32" t="s">
        <v>186</v>
      </c>
      <c r="AV291" s="32" t="s">
        <v>166</v>
      </c>
      <c r="AW291" s="29">
        <v>1200</v>
      </c>
      <c r="AX291" s="32" t="s">
        <v>166</v>
      </c>
      <c r="AY291" s="25" t="s">
        <v>217</v>
      </c>
      <c r="AZ291" s="25" t="s">
        <v>217</v>
      </c>
      <c r="BA291" s="25" t="s">
        <v>166</v>
      </c>
      <c r="BB291" s="32" t="s">
        <v>166</v>
      </c>
      <c r="BC291" s="25" t="s">
        <v>179</v>
      </c>
      <c r="BD291" s="25" t="s">
        <v>5838</v>
      </c>
      <c r="BE291" s="25" t="s">
        <v>189</v>
      </c>
      <c r="BF291" s="29">
        <v>1.6</v>
      </c>
      <c r="BG291" s="25" t="s">
        <v>190</v>
      </c>
      <c r="BH291" s="25" t="s">
        <v>166</v>
      </c>
      <c r="BI291" s="25" t="s">
        <v>166</v>
      </c>
      <c r="BJ291" s="29" t="s">
        <v>166</v>
      </c>
      <c r="BK291" s="29" t="s">
        <v>166</v>
      </c>
      <c r="BL291" s="25" t="s">
        <v>191</v>
      </c>
      <c r="BM291" s="25" t="s">
        <v>178</v>
      </c>
      <c r="BN291" s="25" t="s">
        <v>177</v>
      </c>
      <c r="BO291" s="33" t="s">
        <v>166</v>
      </c>
      <c r="BP291" s="25" t="s">
        <v>5839</v>
      </c>
      <c r="BQ291" s="32">
        <v>7</v>
      </c>
      <c r="BR291" s="25" t="s">
        <v>166</v>
      </c>
      <c r="BS291" s="32" t="s">
        <v>166</v>
      </c>
      <c r="BT291" s="25" t="s">
        <v>166</v>
      </c>
      <c r="BU291" s="25" t="s">
        <v>166</v>
      </c>
      <c r="BV291" s="25" t="s">
        <v>5840</v>
      </c>
      <c r="BW291" s="25" t="s">
        <v>166</v>
      </c>
      <c r="BX291" s="25" t="s">
        <v>166</v>
      </c>
      <c r="BY291" s="25" t="s">
        <v>166</v>
      </c>
      <c r="BZ291" s="25" t="s">
        <v>166</v>
      </c>
      <c r="CA291" s="25" t="s">
        <v>166</v>
      </c>
      <c r="CB291" s="25" t="s">
        <v>166</v>
      </c>
      <c r="CC291" s="25" t="s">
        <v>166</v>
      </c>
      <c r="CD291" s="25" t="s">
        <v>166</v>
      </c>
      <c r="CE291" s="29" t="s">
        <v>166</v>
      </c>
      <c r="CF291" s="27" t="s">
        <v>166</v>
      </c>
      <c r="CG291" s="28" t="s">
        <v>166</v>
      </c>
      <c r="CH291" s="27" t="s">
        <v>166</v>
      </c>
      <c r="CI291" s="27" t="s">
        <v>166</v>
      </c>
      <c r="CJ291" s="27" t="s">
        <v>166</v>
      </c>
      <c r="CK291" s="27" t="s">
        <v>166</v>
      </c>
      <c r="CL291" s="27" t="s">
        <v>166</v>
      </c>
      <c r="CM291" s="31" t="s">
        <v>166</v>
      </c>
      <c r="CN291" s="27" t="s">
        <v>166</v>
      </c>
      <c r="CO291" s="27" t="s">
        <v>166</v>
      </c>
      <c r="CP291" s="27" t="s">
        <v>166</v>
      </c>
      <c r="CQ291" s="27" t="s">
        <v>166</v>
      </c>
      <c r="CR291" s="27" t="s">
        <v>166</v>
      </c>
      <c r="CS291" s="27" t="s">
        <v>166</v>
      </c>
      <c r="CT291" s="27" t="s">
        <v>166</v>
      </c>
      <c r="CU291" s="27" t="s">
        <v>166</v>
      </c>
      <c r="CV291" s="27" t="s">
        <v>166</v>
      </c>
      <c r="CW291" s="27" t="s">
        <v>166</v>
      </c>
      <c r="CX291" s="27" t="s">
        <v>166</v>
      </c>
      <c r="CY291" s="27" t="s">
        <v>166</v>
      </c>
      <c r="CZ291" s="27" t="s">
        <v>166</v>
      </c>
      <c r="DA291" s="27" t="s">
        <v>166</v>
      </c>
      <c r="DB291" s="27" t="s">
        <v>166</v>
      </c>
      <c r="DC291" s="27" t="s">
        <v>166</v>
      </c>
      <c r="DD291" s="27" t="s">
        <v>166</v>
      </c>
      <c r="DE291" s="28" t="s">
        <v>166</v>
      </c>
      <c r="DF291" s="33">
        <v>45</v>
      </c>
      <c r="DG291" s="25" t="s">
        <v>309</v>
      </c>
      <c r="DH291" s="25" t="s">
        <v>193</v>
      </c>
      <c r="DI291" s="25" t="s">
        <v>194</v>
      </c>
      <c r="DJ291" s="25" t="s">
        <v>310</v>
      </c>
      <c r="DK291" s="25" t="s">
        <v>310</v>
      </c>
      <c r="DL291" s="32" t="s">
        <v>1848</v>
      </c>
      <c r="DM291" s="25" t="s">
        <v>198</v>
      </c>
      <c r="DN291" s="24" t="s">
        <v>5841</v>
      </c>
      <c r="DO291" s="31">
        <v>2017</v>
      </c>
      <c r="DP291" s="25" t="s">
        <v>166</v>
      </c>
      <c r="DQ291" s="25" t="s">
        <v>166</v>
      </c>
      <c r="DR291" s="29" t="s">
        <v>166</v>
      </c>
      <c r="DS291" s="27" t="s">
        <v>166</v>
      </c>
      <c r="DT291" s="30" t="s">
        <v>166</v>
      </c>
      <c r="DU291" s="25" t="s">
        <v>166</v>
      </c>
      <c r="DV291" s="29" t="s">
        <v>166</v>
      </c>
      <c r="DW291" s="29" t="s">
        <v>166</v>
      </c>
      <c r="DX291" s="27" t="s">
        <v>166</v>
      </c>
      <c r="DY291" s="27" t="s">
        <v>166</v>
      </c>
      <c r="DZ291" s="28" t="s">
        <v>166</v>
      </c>
      <c r="EA291" s="27" t="s">
        <v>166</v>
      </c>
      <c r="EB291" s="27" t="s">
        <v>166</v>
      </c>
      <c r="EC291" s="27" t="s">
        <v>166</v>
      </c>
      <c r="ED291" s="28" t="s">
        <v>166</v>
      </c>
      <c r="EE291" s="28" t="s">
        <v>166</v>
      </c>
      <c r="EF291" s="28" t="s">
        <v>166</v>
      </c>
      <c r="EG291" s="28" t="s">
        <v>166</v>
      </c>
      <c r="EH291" s="27" t="s">
        <v>166</v>
      </c>
      <c r="EI291" s="27" t="s">
        <v>166</v>
      </c>
      <c r="EJ291" s="27" t="s">
        <v>166</v>
      </c>
      <c r="EK291" s="27" t="s">
        <v>166</v>
      </c>
      <c r="EL291" s="27" t="s">
        <v>166</v>
      </c>
      <c r="EM291" s="27" t="s">
        <v>166</v>
      </c>
      <c r="EN291" s="27" t="s">
        <v>166</v>
      </c>
      <c r="EO291" s="27" t="s">
        <v>166</v>
      </c>
      <c r="EP291" s="27" t="s">
        <v>166</v>
      </c>
      <c r="EQ291" s="27" t="s">
        <v>166</v>
      </c>
      <c r="ER291" s="27" t="s">
        <v>166</v>
      </c>
      <c r="ES291" s="27" t="s">
        <v>166</v>
      </c>
      <c r="ET291" s="25" t="s">
        <v>166</v>
      </c>
      <c r="EU291" s="27" t="s">
        <v>166</v>
      </c>
      <c r="EV291" s="27" t="s">
        <v>166</v>
      </c>
      <c r="EW291" s="27" t="s">
        <v>166</v>
      </c>
      <c r="EX291" s="25" t="s">
        <v>190</v>
      </c>
      <c r="EY291" s="25" t="s">
        <v>166</v>
      </c>
      <c r="EZ291" s="27" t="s">
        <v>166</v>
      </c>
      <c r="FA291" s="26" t="s">
        <v>166</v>
      </c>
      <c r="FB291" s="26" t="s">
        <v>166</v>
      </c>
      <c r="FC291" s="26" t="s">
        <v>166</v>
      </c>
      <c r="FD291" s="26" t="s">
        <v>166</v>
      </c>
      <c r="FE291" s="26" t="s">
        <v>166</v>
      </c>
      <c r="FF291" s="26" t="s">
        <v>166</v>
      </c>
      <c r="FG291" s="25" t="s">
        <v>166</v>
      </c>
      <c r="FH291" s="4">
        <f>HYPERLINK("https://my.pitchbook.com?c=125696-80T","View Company Online")</f>
      </c>
    </row>
    <row r="292">
      <c r="A292" s="14" t="s">
        <v>5842</v>
      </c>
      <c r="B292" s="14" t="s">
        <v>5843</v>
      </c>
      <c r="C292" s="14" t="s">
        <v>5844</v>
      </c>
      <c r="D292" s="14" t="s">
        <v>166</v>
      </c>
      <c r="E292" s="23" t="s">
        <v>5845</v>
      </c>
      <c r="F292" s="21">
        <v>6</v>
      </c>
      <c r="G292" s="14" t="s">
        <v>5846</v>
      </c>
      <c r="H292" s="14" t="s">
        <v>166</v>
      </c>
      <c r="I292" s="14" t="s">
        <v>5847</v>
      </c>
      <c r="J292" s="14" t="s">
        <v>5848</v>
      </c>
      <c r="K292" s="14" t="s">
        <v>1455</v>
      </c>
      <c r="L292" s="14" t="s">
        <v>4659</v>
      </c>
      <c r="M292" s="14" t="s">
        <v>4660</v>
      </c>
      <c r="N292" s="14" t="s">
        <v>5849</v>
      </c>
      <c r="O292" s="14" t="s">
        <v>166</v>
      </c>
      <c r="P292" s="14" t="s">
        <v>5850</v>
      </c>
      <c r="Q292" s="14" t="s">
        <v>166</v>
      </c>
      <c r="R292" s="14" t="s">
        <v>177</v>
      </c>
      <c r="S292" s="14" t="s">
        <v>178</v>
      </c>
      <c r="T292" s="14" t="s">
        <v>179</v>
      </c>
      <c r="U292" s="14" t="s">
        <v>5851</v>
      </c>
      <c r="V292" s="14" t="s">
        <v>5852</v>
      </c>
      <c r="W292" s="21" t="s">
        <v>5853</v>
      </c>
      <c r="X292" s="14" t="s">
        <v>5854</v>
      </c>
      <c r="Y292" s="14" t="s">
        <v>5855</v>
      </c>
      <c r="Z292" s="14" t="s">
        <v>5856</v>
      </c>
      <c r="AA292" s="14" t="s">
        <v>166</v>
      </c>
      <c r="AB292" s="14" t="s">
        <v>166</v>
      </c>
      <c r="AC292" s="14" t="s">
        <v>166</v>
      </c>
      <c r="AD292" s="14" t="s">
        <v>166</v>
      </c>
      <c r="AE292" s="14" t="s">
        <v>166</v>
      </c>
      <c r="AF292" s="14" t="s">
        <v>166</v>
      </c>
      <c r="AG292" s="14" t="s">
        <v>166</v>
      </c>
      <c r="AH292" s="21">
        <v>1</v>
      </c>
      <c r="AI292" s="3">
        <f>HYPERLINK("https://my.pitchbook.com/?d=207774-46T","207774-46T")</f>
      </c>
      <c r="AJ292" s="19">
        <v>44866</v>
      </c>
      <c r="AK292" s="19">
        <v>44980</v>
      </c>
      <c r="AL292" s="18">
        <v>1.1</v>
      </c>
      <c r="AM292" s="14" t="s">
        <v>185</v>
      </c>
      <c r="AN292" s="18" t="s">
        <v>166</v>
      </c>
      <c r="AO292" s="18" t="s">
        <v>166</v>
      </c>
      <c r="AP292" s="14" t="s">
        <v>166</v>
      </c>
      <c r="AQ292" s="21" t="s">
        <v>166</v>
      </c>
      <c r="AR292" s="21" t="s">
        <v>166</v>
      </c>
      <c r="AS292" s="17" t="s">
        <v>166</v>
      </c>
      <c r="AT292" s="18">
        <v>1.1</v>
      </c>
      <c r="AU292" s="21" t="s">
        <v>186</v>
      </c>
      <c r="AV292" s="21" t="s">
        <v>166</v>
      </c>
      <c r="AW292" s="18" t="s">
        <v>166</v>
      </c>
      <c r="AX292" s="21" t="s">
        <v>166</v>
      </c>
      <c r="AY292" s="14" t="s">
        <v>217</v>
      </c>
      <c r="AZ292" s="14" t="s">
        <v>217</v>
      </c>
      <c r="BA292" s="14" t="s">
        <v>166</v>
      </c>
      <c r="BB292" s="21" t="s">
        <v>166</v>
      </c>
      <c r="BC292" s="14" t="s">
        <v>179</v>
      </c>
      <c r="BD292" s="14" t="s">
        <v>5857</v>
      </c>
      <c r="BE292" s="14" t="s">
        <v>189</v>
      </c>
      <c r="BF292" s="18">
        <v>1.1</v>
      </c>
      <c r="BG292" s="14" t="s">
        <v>190</v>
      </c>
      <c r="BH292" s="14" t="s">
        <v>166</v>
      </c>
      <c r="BI292" s="14" t="s">
        <v>166</v>
      </c>
      <c r="BJ292" s="18" t="s">
        <v>166</v>
      </c>
      <c r="BK292" s="18" t="s">
        <v>166</v>
      </c>
      <c r="BL292" s="14" t="s">
        <v>191</v>
      </c>
      <c r="BM292" s="14" t="s">
        <v>178</v>
      </c>
      <c r="BN292" s="14" t="s">
        <v>177</v>
      </c>
      <c r="BO292" s="22" t="s">
        <v>166</v>
      </c>
      <c r="BP292" s="14" t="s">
        <v>5858</v>
      </c>
      <c r="BQ292" s="21">
        <v>6</v>
      </c>
      <c r="BR292" s="14" t="s">
        <v>166</v>
      </c>
      <c r="BS292" s="21" t="s">
        <v>166</v>
      </c>
      <c r="BT292" s="14" t="s">
        <v>5859</v>
      </c>
      <c r="BU292" s="14" t="s">
        <v>166</v>
      </c>
      <c r="BV292" s="14" t="s">
        <v>5860</v>
      </c>
      <c r="BW292" s="14" t="s">
        <v>166</v>
      </c>
      <c r="BX292" s="14" t="s">
        <v>166</v>
      </c>
      <c r="BY292" s="14" t="s">
        <v>166</v>
      </c>
      <c r="BZ292" s="14" t="s">
        <v>5861</v>
      </c>
      <c r="CA292" s="14" t="s">
        <v>166</v>
      </c>
      <c r="CB292" s="14" t="s">
        <v>166</v>
      </c>
      <c r="CC292" s="14" t="s">
        <v>5861</v>
      </c>
      <c r="CD292" s="14" t="s">
        <v>166</v>
      </c>
      <c r="CE292" s="18" t="s">
        <v>166</v>
      </c>
      <c r="CF292" s="16" t="s">
        <v>166</v>
      </c>
      <c r="CG292" s="17" t="s">
        <v>166</v>
      </c>
      <c r="CH292" s="16" t="s">
        <v>166</v>
      </c>
      <c r="CI292" s="16" t="s">
        <v>166</v>
      </c>
      <c r="CJ292" s="16" t="s">
        <v>166</v>
      </c>
      <c r="CK292" s="16" t="s">
        <v>166</v>
      </c>
      <c r="CL292" s="16" t="s">
        <v>166</v>
      </c>
      <c r="CM292" s="20" t="s">
        <v>166</v>
      </c>
      <c r="CN292" s="16" t="s">
        <v>166</v>
      </c>
      <c r="CO292" s="16" t="s">
        <v>166</v>
      </c>
      <c r="CP292" s="16" t="s">
        <v>166</v>
      </c>
      <c r="CQ292" s="16" t="s">
        <v>166</v>
      </c>
      <c r="CR292" s="16" t="s">
        <v>166</v>
      </c>
      <c r="CS292" s="16" t="s">
        <v>166</v>
      </c>
      <c r="CT292" s="16" t="s">
        <v>166</v>
      </c>
      <c r="CU292" s="16" t="s">
        <v>166</v>
      </c>
      <c r="CV292" s="16" t="s">
        <v>166</v>
      </c>
      <c r="CW292" s="16" t="s">
        <v>166</v>
      </c>
      <c r="CX292" s="16" t="s">
        <v>166</v>
      </c>
      <c r="CY292" s="16" t="s">
        <v>166</v>
      </c>
      <c r="CZ292" s="16" t="s">
        <v>166</v>
      </c>
      <c r="DA292" s="16" t="s">
        <v>166</v>
      </c>
      <c r="DB292" s="16" t="s">
        <v>166</v>
      </c>
      <c r="DC292" s="16" t="s">
        <v>166</v>
      </c>
      <c r="DD292" s="16" t="s">
        <v>166</v>
      </c>
      <c r="DE292" s="17" t="s">
        <v>166</v>
      </c>
      <c r="DF292" s="22">
        <v>7</v>
      </c>
      <c r="DG292" s="14" t="s">
        <v>1974</v>
      </c>
      <c r="DH292" s="14" t="s">
        <v>193</v>
      </c>
      <c r="DI292" s="14" t="s">
        <v>194</v>
      </c>
      <c r="DJ292" s="14" t="s">
        <v>408</v>
      </c>
      <c r="DK292" s="14" t="s">
        <v>1975</v>
      </c>
      <c r="DL292" s="21" t="s">
        <v>5862</v>
      </c>
      <c r="DM292" s="14" t="s">
        <v>198</v>
      </c>
      <c r="DN292" s="13" t="s">
        <v>5863</v>
      </c>
      <c r="DO292" s="20">
        <v>2014</v>
      </c>
      <c r="DP292" s="14" t="s">
        <v>166</v>
      </c>
      <c r="DQ292" s="14" t="s">
        <v>166</v>
      </c>
      <c r="DR292" s="18" t="s">
        <v>166</v>
      </c>
      <c r="DS292" s="16" t="s">
        <v>166</v>
      </c>
      <c r="DT292" s="19" t="s">
        <v>166</v>
      </c>
      <c r="DU292" s="14" t="s">
        <v>166</v>
      </c>
      <c r="DV292" s="18" t="s">
        <v>166</v>
      </c>
      <c r="DW292" s="18" t="s">
        <v>166</v>
      </c>
      <c r="DX292" s="16" t="s">
        <v>166</v>
      </c>
      <c r="DY292" s="16" t="s">
        <v>166</v>
      </c>
      <c r="DZ292" s="17" t="s">
        <v>166</v>
      </c>
      <c r="EA292" s="16" t="s">
        <v>166</v>
      </c>
      <c r="EB292" s="16" t="s">
        <v>166</v>
      </c>
      <c r="EC292" s="16" t="s">
        <v>166</v>
      </c>
      <c r="ED292" s="17" t="s">
        <v>166</v>
      </c>
      <c r="EE292" s="17" t="s">
        <v>166</v>
      </c>
      <c r="EF292" s="17" t="s">
        <v>166</v>
      </c>
      <c r="EG292" s="17" t="s">
        <v>166</v>
      </c>
      <c r="EH292" s="16" t="s">
        <v>166</v>
      </c>
      <c r="EI292" s="16" t="s">
        <v>166</v>
      </c>
      <c r="EJ292" s="16" t="s">
        <v>166</v>
      </c>
      <c r="EK292" s="16" t="s">
        <v>166</v>
      </c>
      <c r="EL292" s="16" t="s">
        <v>166</v>
      </c>
      <c r="EM292" s="16" t="s">
        <v>166</v>
      </c>
      <c r="EN292" s="16" t="s">
        <v>166</v>
      </c>
      <c r="EO292" s="16" t="s">
        <v>166</v>
      </c>
      <c r="EP292" s="16" t="s">
        <v>166</v>
      </c>
      <c r="EQ292" s="16" t="s">
        <v>166</v>
      </c>
      <c r="ER292" s="16" t="s">
        <v>166</v>
      </c>
      <c r="ES292" s="16" t="s">
        <v>166</v>
      </c>
      <c r="ET292" s="14" t="s">
        <v>166</v>
      </c>
      <c r="EU292" s="16" t="s">
        <v>166</v>
      </c>
      <c r="EV292" s="16" t="s">
        <v>166</v>
      </c>
      <c r="EW292" s="16" t="s">
        <v>166</v>
      </c>
      <c r="EX292" s="14" t="s">
        <v>190</v>
      </c>
      <c r="EY292" s="14" t="s">
        <v>166</v>
      </c>
      <c r="EZ292" s="16" t="s">
        <v>166</v>
      </c>
      <c r="FA292" s="15" t="s">
        <v>166</v>
      </c>
      <c r="FB292" s="15" t="s">
        <v>166</v>
      </c>
      <c r="FC292" s="15" t="s">
        <v>166</v>
      </c>
      <c r="FD292" s="15" t="s">
        <v>166</v>
      </c>
      <c r="FE292" s="15" t="s">
        <v>166</v>
      </c>
      <c r="FF292" s="15" t="s">
        <v>166</v>
      </c>
      <c r="FG292" s="14" t="s">
        <v>166</v>
      </c>
      <c r="FH292" s="3">
        <f>HYPERLINK("https://my.pitchbook.com?c=207774-46T","View Company Online")</f>
      </c>
    </row>
    <row r="293">
      <c r="A293" s="25" t="s">
        <v>5864</v>
      </c>
      <c r="B293" s="25" t="s">
        <v>5865</v>
      </c>
      <c r="C293" s="25" t="s">
        <v>5866</v>
      </c>
      <c r="D293" s="25" t="s">
        <v>166</v>
      </c>
      <c r="E293" s="34" t="s">
        <v>5867</v>
      </c>
      <c r="F293" s="32">
        <v>1</v>
      </c>
      <c r="G293" s="25" t="s">
        <v>5868</v>
      </c>
      <c r="H293" s="25" t="s">
        <v>166</v>
      </c>
      <c r="I293" s="25" t="s">
        <v>5869</v>
      </c>
      <c r="J293" s="25" t="s">
        <v>5870</v>
      </c>
      <c r="K293" s="25" t="s">
        <v>171</v>
      </c>
      <c r="L293" s="25" t="s">
        <v>172</v>
      </c>
      <c r="M293" s="25" t="s">
        <v>1033</v>
      </c>
      <c r="N293" s="25" t="s">
        <v>5871</v>
      </c>
      <c r="O293" s="25" t="s">
        <v>1035</v>
      </c>
      <c r="P293" s="25" t="s">
        <v>5872</v>
      </c>
      <c r="Q293" s="25" t="s">
        <v>166</v>
      </c>
      <c r="R293" s="25" t="s">
        <v>177</v>
      </c>
      <c r="S293" s="25" t="s">
        <v>178</v>
      </c>
      <c r="T293" s="25" t="s">
        <v>179</v>
      </c>
      <c r="U293" s="25" t="s">
        <v>5873</v>
      </c>
      <c r="V293" s="25" t="s">
        <v>5874</v>
      </c>
      <c r="W293" s="32" t="s">
        <v>5875</v>
      </c>
      <c r="X293" s="25" t="s">
        <v>5876</v>
      </c>
      <c r="Y293" s="25" t="s">
        <v>5877</v>
      </c>
      <c r="Z293" s="25" t="s">
        <v>166</v>
      </c>
      <c r="AA293" s="25" t="s">
        <v>166</v>
      </c>
      <c r="AB293" s="25" t="s">
        <v>166</v>
      </c>
      <c r="AC293" s="25" t="s">
        <v>166</v>
      </c>
      <c r="AD293" s="25" t="s">
        <v>166</v>
      </c>
      <c r="AE293" s="25" t="s">
        <v>166</v>
      </c>
      <c r="AF293" s="25" t="s">
        <v>166</v>
      </c>
      <c r="AG293" s="25" t="s">
        <v>166</v>
      </c>
      <c r="AH293" s="32">
        <v>1</v>
      </c>
      <c r="AI293" s="4">
        <f>HYPERLINK("https://my.pitchbook.com/?d=247224-97T","247224-97T")</f>
      </c>
      <c r="AJ293" s="30" t="s">
        <v>166</v>
      </c>
      <c r="AK293" s="30">
        <v>45261</v>
      </c>
      <c r="AL293" s="29">
        <v>0.2</v>
      </c>
      <c r="AM293" s="25" t="s">
        <v>185</v>
      </c>
      <c r="AN293" s="29">
        <v>4.8</v>
      </c>
      <c r="AO293" s="29">
        <v>5</v>
      </c>
      <c r="AP293" s="25" t="s">
        <v>185</v>
      </c>
      <c r="AQ293" s="32" t="s">
        <v>166</v>
      </c>
      <c r="AR293" s="32" t="s">
        <v>166</v>
      </c>
      <c r="AS293" s="28">
        <v>4</v>
      </c>
      <c r="AT293" s="29">
        <v>0.2</v>
      </c>
      <c r="AU293" s="32" t="s">
        <v>186</v>
      </c>
      <c r="AV293" s="32" t="s">
        <v>166</v>
      </c>
      <c r="AW293" s="29" t="s">
        <v>166</v>
      </c>
      <c r="AX293" s="32" t="s">
        <v>166</v>
      </c>
      <c r="AY293" s="25" t="s">
        <v>217</v>
      </c>
      <c r="AZ293" s="25" t="s">
        <v>217</v>
      </c>
      <c r="BA293" s="25" t="s">
        <v>166</v>
      </c>
      <c r="BB293" s="32" t="s">
        <v>166</v>
      </c>
      <c r="BC293" s="25" t="s">
        <v>179</v>
      </c>
      <c r="BD293" s="25" t="s">
        <v>5870</v>
      </c>
      <c r="BE293" s="25" t="s">
        <v>189</v>
      </c>
      <c r="BF293" s="29">
        <v>0.2</v>
      </c>
      <c r="BG293" s="25" t="s">
        <v>190</v>
      </c>
      <c r="BH293" s="25" t="s">
        <v>166</v>
      </c>
      <c r="BI293" s="25" t="s">
        <v>166</v>
      </c>
      <c r="BJ293" s="29" t="s">
        <v>166</v>
      </c>
      <c r="BK293" s="29" t="s">
        <v>166</v>
      </c>
      <c r="BL293" s="25" t="s">
        <v>191</v>
      </c>
      <c r="BM293" s="25" t="s">
        <v>178</v>
      </c>
      <c r="BN293" s="25" t="s">
        <v>177</v>
      </c>
      <c r="BO293" s="33" t="s">
        <v>166</v>
      </c>
      <c r="BP293" s="25" t="s">
        <v>5867</v>
      </c>
      <c r="BQ293" s="32">
        <v>1</v>
      </c>
      <c r="BR293" s="25" t="s">
        <v>166</v>
      </c>
      <c r="BS293" s="32" t="s">
        <v>166</v>
      </c>
      <c r="BT293" s="25" t="s">
        <v>166</v>
      </c>
      <c r="BU293" s="25" t="s">
        <v>166</v>
      </c>
      <c r="BV293" s="25" t="s">
        <v>166</v>
      </c>
      <c r="BW293" s="25" t="s">
        <v>166</v>
      </c>
      <c r="BX293" s="25" t="s">
        <v>166</v>
      </c>
      <c r="BY293" s="25" t="s">
        <v>166</v>
      </c>
      <c r="BZ293" s="25" t="s">
        <v>166</v>
      </c>
      <c r="CA293" s="25" t="s">
        <v>166</v>
      </c>
      <c r="CB293" s="25" t="s">
        <v>166</v>
      </c>
      <c r="CC293" s="25" t="s">
        <v>166</v>
      </c>
      <c r="CD293" s="25" t="s">
        <v>166</v>
      </c>
      <c r="CE293" s="29" t="s">
        <v>166</v>
      </c>
      <c r="CF293" s="27" t="s">
        <v>166</v>
      </c>
      <c r="CG293" s="28" t="s">
        <v>166</v>
      </c>
      <c r="CH293" s="27" t="s">
        <v>166</v>
      </c>
      <c r="CI293" s="27" t="s">
        <v>166</v>
      </c>
      <c r="CJ293" s="27" t="s">
        <v>166</v>
      </c>
      <c r="CK293" s="27" t="s">
        <v>166</v>
      </c>
      <c r="CL293" s="27" t="s">
        <v>166</v>
      </c>
      <c r="CM293" s="31" t="s">
        <v>166</v>
      </c>
      <c r="CN293" s="27" t="s">
        <v>166</v>
      </c>
      <c r="CO293" s="27" t="s">
        <v>166</v>
      </c>
      <c r="CP293" s="27" t="s">
        <v>166</v>
      </c>
      <c r="CQ293" s="27" t="s">
        <v>166</v>
      </c>
      <c r="CR293" s="27" t="s">
        <v>166</v>
      </c>
      <c r="CS293" s="27" t="s">
        <v>166</v>
      </c>
      <c r="CT293" s="27" t="s">
        <v>166</v>
      </c>
      <c r="CU293" s="27" t="s">
        <v>166</v>
      </c>
      <c r="CV293" s="27" t="s">
        <v>166</v>
      </c>
      <c r="CW293" s="27" t="s">
        <v>166</v>
      </c>
      <c r="CX293" s="27" t="s">
        <v>166</v>
      </c>
      <c r="CY293" s="27" t="s">
        <v>166</v>
      </c>
      <c r="CZ293" s="27" t="s">
        <v>166</v>
      </c>
      <c r="DA293" s="27" t="s">
        <v>166</v>
      </c>
      <c r="DB293" s="27" t="s">
        <v>166</v>
      </c>
      <c r="DC293" s="27" t="s">
        <v>166</v>
      </c>
      <c r="DD293" s="27" t="s">
        <v>166</v>
      </c>
      <c r="DE293" s="28" t="s">
        <v>166</v>
      </c>
      <c r="DF293" s="33">
        <v>35</v>
      </c>
      <c r="DG293" s="25" t="s">
        <v>5878</v>
      </c>
      <c r="DH293" s="25" t="s">
        <v>193</v>
      </c>
      <c r="DI293" s="25" t="s">
        <v>194</v>
      </c>
      <c r="DJ293" s="25" t="s">
        <v>5879</v>
      </c>
      <c r="DK293" s="25" t="s">
        <v>257</v>
      </c>
      <c r="DL293" s="32" t="s">
        <v>5880</v>
      </c>
      <c r="DM293" s="25" t="s">
        <v>198</v>
      </c>
      <c r="DN293" s="24" t="s">
        <v>5881</v>
      </c>
      <c r="DO293" s="31">
        <v>2023</v>
      </c>
      <c r="DP293" s="25" t="s">
        <v>166</v>
      </c>
      <c r="DQ293" s="25" t="s">
        <v>166</v>
      </c>
      <c r="DR293" s="29" t="s">
        <v>166</v>
      </c>
      <c r="DS293" s="27" t="s">
        <v>166</v>
      </c>
      <c r="DT293" s="30" t="s">
        <v>166</v>
      </c>
      <c r="DU293" s="25" t="s">
        <v>166</v>
      </c>
      <c r="DV293" s="29" t="s">
        <v>166</v>
      </c>
      <c r="DW293" s="29" t="s">
        <v>166</v>
      </c>
      <c r="DX293" s="27" t="s">
        <v>166</v>
      </c>
      <c r="DY293" s="27" t="s">
        <v>166</v>
      </c>
      <c r="DZ293" s="28" t="s">
        <v>166</v>
      </c>
      <c r="EA293" s="27" t="s">
        <v>166</v>
      </c>
      <c r="EB293" s="27" t="s">
        <v>166</v>
      </c>
      <c r="EC293" s="27" t="s">
        <v>166</v>
      </c>
      <c r="ED293" s="28" t="s">
        <v>166</v>
      </c>
      <c r="EE293" s="28" t="s">
        <v>166</v>
      </c>
      <c r="EF293" s="28" t="s">
        <v>166</v>
      </c>
      <c r="EG293" s="28" t="s">
        <v>166</v>
      </c>
      <c r="EH293" s="27" t="s">
        <v>166</v>
      </c>
      <c r="EI293" s="27" t="s">
        <v>166</v>
      </c>
      <c r="EJ293" s="27" t="s">
        <v>166</v>
      </c>
      <c r="EK293" s="27" t="s">
        <v>166</v>
      </c>
      <c r="EL293" s="27" t="s">
        <v>166</v>
      </c>
      <c r="EM293" s="27" t="s">
        <v>166</v>
      </c>
      <c r="EN293" s="27" t="s">
        <v>166</v>
      </c>
      <c r="EO293" s="27" t="s">
        <v>166</v>
      </c>
      <c r="EP293" s="27" t="s">
        <v>166</v>
      </c>
      <c r="EQ293" s="27" t="s">
        <v>166</v>
      </c>
      <c r="ER293" s="27" t="s">
        <v>166</v>
      </c>
      <c r="ES293" s="27" t="s">
        <v>166</v>
      </c>
      <c r="ET293" s="25" t="s">
        <v>166</v>
      </c>
      <c r="EU293" s="27" t="s">
        <v>166</v>
      </c>
      <c r="EV293" s="27" t="s">
        <v>166</v>
      </c>
      <c r="EW293" s="27" t="s">
        <v>166</v>
      </c>
      <c r="EX293" s="25" t="s">
        <v>190</v>
      </c>
      <c r="EY293" s="25" t="s">
        <v>166</v>
      </c>
      <c r="EZ293" s="27" t="s">
        <v>166</v>
      </c>
      <c r="FA293" s="26" t="s">
        <v>166</v>
      </c>
      <c r="FB293" s="26" t="s">
        <v>166</v>
      </c>
      <c r="FC293" s="26" t="s">
        <v>166</v>
      </c>
      <c r="FD293" s="26" t="s">
        <v>166</v>
      </c>
      <c r="FE293" s="26" t="s">
        <v>166</v>
      </c>
      <c r="FF293" s="26" t="s">
        <v>166</v>
      </c>
      <c r="FG293" s="25" t="s">
        <v>166</v>
      </c>
      <c r="FH293" s="4">
        <f>HYPERLINK("https://my.pitchbook.com?c=247224-97T","View Company Online")</f>
      </c>
    </row>
    <row r="294">
      <c r="A294" s="14" t="s">
        <v>5882</v>
      </c>
      <c r="B294" s="14" t="s">
        <v>5883</v>
      </c>
      <c r="C294" s="14" t="s">
        <v>5884</v>
      </c>
      <c r="D294" s="14" t="s">
        <v>166</v>
      </c>
      <c r="E294" s="23" t="s">
        <v>5885</v>
      </c>
      <c r="F294" s="21">
        <v>7</v>
      </c>
      <c r="G294" s="14" t="s">
        <v>5886</v>
      </c>
      <c r="H294" s="14" t="s">
        <v>166</v>
      </c>
      <c r="I294" s="14" t="s">
        <v>5887</v>
      </c>
      <c r="J294" s="14" t="s">
        <v>5888</v>
      </c>
      <c r="K294" s="14" t="s">
        <v>171</v>
      </c>
      <c r="L294" s="14" t="s">
        <v>172</v>
      </c>
      <c r="M294" s="14" t="s">
        <v>173</v>
      </c>
      <c r="N294" s="14" t="s">
        <v>5889</v>
      </c>
      <c r="O294" s="14" t="s">
        <v>3583</v>
      </c>
      <c r="P294" s="14" t="s">
        <v>5890</v>
      </c>
      <c r="Q294" s="14" t="s">
        <v>166</v>
      </c>
      <c r="R294" s="14" t="s">
        <v>177</v>
      </c>
      <c r="S294" s="14" t="s">
        <v>178</v>
      </c>
      <c r="T294" s="14" t="s">
        <v>179</v>
      </c>
      <c r="U294" s="14" t="s">
        <v>5891</v>
      </c>
      <c r="V294" s="14" t="s">
        <v>5892</v>
      </c>
      <c r="W294" s="21" t="s">
        <v>5893</v>
      </c>
      <c r="X294" s="14" t="s">
        <v>5894</v>
      </c>
      <c r="Y294" s="14" t="s">
        <v>5895</v>
      </c>
      <c r="Z294" s="14" t="s">
        <v>5896</v>
      </c>
      <c r="AA294" s="14" t="s">
        <v>242</v>
      </c>
      <c r="AB294" s="14" t="s">
        <v>243</v>
      </c>
      <c r="AC294" s="14" t="s">
        <v>244</v>
      </c>
      <c r="AD294" s="14" t="s">
        <v>243</v>
      </c>
      <c r="AE294" s="14" t="s">
        <v>243</v>
      </c>
      <c r="AF294" s="14" t="s">
        <v>245</v>
      </c>
      <c r="AG294" s="14" t="s">
        <v>246</v>
      </c>
      <c r="AH294" s="21">
        <v>4</v>
      </c>
      <c r="AI294" s="3">
        <f>HYPERLINK("https://my.pitchbook.com/?d=184290-94T","184290-94T")</f>
      </c>
      <c r="AJ294" s="19">
        <v>44587</v>
      </c>
      <c r="AK294" s="19">
        <v>45154</v>
      </c>
      <c r="AL294" s="18">
        <v>5</v>
      </c>
      <c r="AM294" s="14" t="s">
        <v>185</v>
      </c>
      <c r="AN294" s="18">
        <v>10</v>
      </c>
      <c r="AO294" s="18">
        <v>15</v>
      </c>
      <c r="AP294" s="14" t="s">
        <v>185</v>
      </c>
      <c r="AQ294" s="21" t="s">
        <v>166</v>
      </c>
      <c r="AR294" s="21" t="s">
        <v>166</v>
      </c>
      <c r="AS294" s="17">
        <v>43.82</v>
      </c>
      <c r="AT294" s="18">
        <v>5</v>
      </c>
      <c r="AU294" s="21" t="s">
        <v>186</v>
      </c>
      <c r="AV294" s="21" t="s">
        <v>166</v>
      </c>
      <c r="AW294" s="18">
        <v>0.55</v>
      </c>
      <c r="AX294" s="21" t="s">
        <v>166</v>
      </c>
      <c r="AY294" s="14" t="s">
        <v>217</v>
      </c>
      <c r="AZ294" s="14" t="s">
        <v>217</v>
      </c>
      <c r="BA294" s="14" t="s">
        <v>166</v>
      </c>
      <c r="BB294" s="21" t="s">
        <v>166</v>
      </c>
      <c r="BC294" s="14" t="s">
        <v>179</v>
      </c>
      <c r="BD294" s="14" t="s">
        <v>5897</v>
      </c>
      <c r="BE294" s="14" t="s">
        <v>189</v>
      </c>
      <c r="BF294" s="18">
        <v>5</v>
      </c>
      <c r="BG294" s="14" t="s">
        <v>190</v>
      </c>
      <c r="BH294" s="14" t="s">
        <v>166</v>
      </c>
      <c r="BI294" s="14" t="s">
        <v>166</v>
      </c>
      <c r="BJ294" s="18" t="s">
        <v>166</v>
      </c>
      <c r="BK294" s="18" t="s">
        <v>166</v>
      </c>
      <c r="BL294" s="14" t="s">
        <v>191</v>
      </c>
      <c r="BM294" s="14" t="s">
        <v>178</v>
      </c>
      <c r="BN294" s="14" t="s">
        <v>177</v>
      </c>
      <c r="BO294" s="22" t="s">
        <v>166</v>
      </c>
      <c r="BP294" s="14" t="s">
        <v>5898</v>
      </c>
      <c r="BQ294" s="21">
        <v>6</v>
      </c>
      <c r="BR294" s="14" t="s">
        <v>5899</v>
      </c>
      <c r="BS294" s="21">
        <v>1</v>
      </c>
      <c r="BT294" s="14" t="s">
        <v>5900</v>
      </c>
      <c r="BU294" s="14" t="s">
        <v>166</v>
      </c>
      <c r="BV294" s="14" t="s">
        <v>5901</v>
      </c>
      <c r="BW294" s="14" t="s">
        <v>166</v>
      </c>
      <c r="BX294" s="14" t="s">
        <v>166</v>
      </c>
      <c r="BY294" s="14" t="s">
        <v>166</v>
      </c>
      <c r="BZ294" s="14" t="s">
        <v>5902</v>
      </c>
      <c r="CA294" s="14" t="s">
        <v>1327</v>
      </c>
      <c r="CB294" s="14" t="s">
        <v>166</v>
      </c>
      <c r="CC294" s="14" t="s">
        <v>5903</v>
      </c>
      <c r="CD294" s="14" t="s">
        <v>166</v>
      </c>
      <c r="CE294" s="18" t="s">
        <v>166</v>
      </c>
      <c r="CF294" s="16" t="s">
        <v>166</v>
      </c>
      <c r="CG294" s="17" t="s">
        <v>166</v>
      </c>
      <c r="CH294" s="16" t="s">
        <v>166</v>
      </c>
      <c r="CI294" s="16" t="s">
        <v>166</v>
      </c>
      <c r="CJ294" s="16" t="s">
        <v>166</v>
      </c>
      <c r="CK294" s="16" t="s">
        <v>166</v>
      </c>
      <c r="CL294" s="16" t="s">
        <v>166</v>
      </c>
      <c r="CM294" s="20" t="s">
        <v>166</v>
      </c>
      <c r="CN294" s="16" t="s">
        <v>166</v>
      </c>
      <c r="CO294" s="16" t="s">
        <v>166</v>
      </c>
      <c r="CP294" s="16" t="s">
        <v>166</v>
      </c>
      <c r="CQ294" s="16" t="s">
        <v>166</v>
      </c>
      <c r="CR294" s="16" t="s">
        <v>166</v>
      </c>
      <c r="CS294" s="16" t="s">
        <v>166</v>
      </c>
      <c r="CT294" s="16" t="s">
        <v>166</v>
      </c>
      <c r="CU294" s="16" t="s">
        <v>166</v>
      </c>
      <c r="CV294" s="16" t="s">
        <v>166</v>
      </c>
      <c r="CW294" s="16" t="s">
        <v>166</v>
      </c>
      <c r="CX294" s="16" t="s">
        <v>166</v>
      </c>
      <c r="CY294" s="16" t="s">
        <v>166</v>
      </c>
      <c r="CZ294" s="16" t="s">
        <v>166</v>
      </c>
      <c r="DA294" s="16" t="s">
        <v>166</v>
      </c>
      <c r="DB294" s="16" t="s">
        <v>166</v>
      </c>
      <c r="DC294" s="16" t="s">
        <v>166</v>
      </c>
      <c r="DD294" s="16" t="s">
        <v>166</v>
      </c>
      <c r="DE294" s="17" t="s">
        <v>166</v>
      </c>
      <c r="DF294" s="22">
        <v>10</v>
      </c>
      <c r="DG294" s="14" t="s">
        <v>1517</v>
      </c>
      <c r="DH294" s="14" t="s">
        <v>193</v>
      </c>
      <c r="DI294" s="14" t="s">
        <v>194</v>
      </c>
      <c r="DJ294" s="14" t="s">
        <v>1518</v>
      </c>
      <c r="DK294" s="14" t="s">
        <v>1251</v>
      </c>
      <c r="DL294" s="21" t="s">
        <v>1519</v>
      </c>
      <c r="DM294" s="14" t="s">
        <v>198</v>
      </c>
      <c r="DN294" s="13" t="s">
        <v>5904</v>
      </c>
      <c r="DO294" s="20">
        <v>2020</v>
      </c>
      <c r="DP294" s="14" t="s">
        <v>166</v>
      </c>
      <c r="DQ294" s="14" t="s">
        <v>166</v>
      </c>
      <c r="DR294" s="18" t="s">
        <v>166</v>
      </c>
      <c r="DS294" s="16" t="s">
        <v>166</v>
      </c>
      <c r="DT294" s="19" t="s">
        <v>166</v>
      </c>
      <c r="DU294" s="14" t="s">
        <v>166</v>
      </c>
      <c r="DV294" s="18" t="s">
        <v>166</v>
      </c>
      <c r="DW294" s="18" t="s">
        <v>166</v>
      </c>
      <c r="DX294" s="16" t="s">
        <v>166</v>
      </c>
      <c r="DY294" s="16" t="s">
        <v>166</v>
      </c>
      <c r="DZ294" s="17" t="s">
        <v>166</v>
      </c>
      <c r="EA294" s="16" t="s">
        <v>166</v>
      </c>
      <c r="EB294" s="16" t="s">
        <v>166</v>
      </c>
      <c r="EC294" s="16" t="s">
        <v>166</v>
      </c>
      <c r="ED294" s="17" t="s">
        <v>166</v>
      </c>
      <c r="EE294" s="17" t="s">
        <v>166</v>
      </c>
      <c r="EF294" s="17" t="s">
        <v>166</v>
      </c>
      <c r="EG294" s="17" t="s">
        <v>166</v>
      </c>
      <c r="EH294" s="16" t="s">
        <v>166</v>
      </c>
      <c r="EI294" s="16" t="s">
        <v>166</v>
      </c>
      <c r="EJ294" s="16" t="s">
        <v>166</v>
      </c>
      <c r="EK294" s="16" t="s">
        <v>166</v>
      </c>
      <c r="EL294" s="16" t="s">
        <v>166</v>
      </c>
      <c r="EM294" s="16" t="s">
        <v>166</v>
      </c>
      <c r="EN294" s="16" t="s">
        <v>166</v>
      </c>
      <c r="EO294" s="16" t="s">
        <v>166</v>
      </c>
      <c r="EP294" s="16" t="s">
        <v>166</v>
      </c>
      <c r="EQ294" s="16" t="s">
        <v>166</v>
      </c>
      <c r="ER294" s="16" t="s">
        <v>166</v>
      </c>
      <c r="ES294" s="16" t="s">
        <v>166</v>
      </c>
      <c r="ET294" s="14" t="s">
        <v>166</v>
      </c>
      <c r="EU294" s="16" t="s">
        <v>166</v>
      </c>
      <c r="EV294" s="16" t="s">
        <v>166</v>
      </c>
      <c r="EW294" s="16" t="s">
        <v>166</v>
      </c>
      <c r="EX294" s="14" t="s">
        <v>190</v>
      </c>
      <c r="EY294" s="14" t="s">
        <v>166</v>
      </c>
      <c r="EZ294" s="16" t="s">
        <v>166</v>
      </c>
      <c r="FA294" s="15" t="s">
        <v>166</v>
      </c>
      <c r="FB294" s="15" t="s">
        <v>166</v>
      </c>
      <c r="FC294" s="15" t="s">
        <v>166</v>
      </c>
      <c r="FD294" s="15" t="s">
        <v>166</v>
      </c>
      <c r="FE294" s="15" t="s">
        <v>166</v>
      </c>
      <c r="FF294" s="15" t="s">
        <v>166</v>
      </c>
      <c r="FG294" s="14" t="s">
        <v>166</v>
      </c>
      <c r="FH294" s="3">
        <f>HYPERLINK("https://my.pitchbook.com?c=184290-94T","View Company Online")</f>
      </c>
    </row>
    <row r="295">
      <c r="A295" s="25" t="s">
        <v>5905</v>
      </c>
      <c r="B295" s="25" t="s">
        <v>5906</v>
      </c>
      <c r="C295" s="25" t="s">
        <v>5907</v>
      </c>
      <c r="D295" s="25" t="s">
        <v>166</v>
      </c>
      <c r="E295" s="34" t="s">
        <v>5908</v>
      </c>
      <c r="F295" s="32">
        <v>1</v>
      </c>
      <c r="G295" s="25" t="s">
        <v>5909</v>
      </c>
      <c r="H295" s="25" t="s">
        <v>166</v>
      </c>
      <c r="I295" s="25" t="s">
        <v>5910</v>
      </c>
      <c r="J295" s="25" t="s">
        <v>5911</v>
      </c>
      <c r="K295" s="25" t="s">
        <v>1455</v>
      </c>
      <c r="L295" s="25" t="s">
        <v>5912</v>
      </c>
      <c r="M295" s="25" t="s">
        <v>5913</v>
      </c>
      <c r="N295" s="25" t="s">
        <v>5914</v>
      </c>
      <c r="O295" s="25" t="s">
        <v>580</v>
      </c>
      <c r="P295" s="25" t="s">
        <v>5915</v>
      </c>
      <c r="Q295" s="25" t="s">
        <v>166</v>
      </c>
      <c r="R295" s="25" t="s">
        <v>177</v>
      </c>
      <c r="S295" s="25" t="s">
        <v>178</v>
      </c>
      <c r="T295" s="25" t="s">
        <v>179</v>
      </c>
      <c r="U295" s="25" t="s">
        <v>5916</v>
      </c>
      <c r="V295" s="25" t="s">
        <v>5917</v>
      </c>
      <c r="W295" s="32" t="s">
        <v>166</v>
      </c>
      <c r="X295" s="25" t="s">
        <v>166</v>
      </c>
      <c r="Y295" s="25" t="s">
        <v>5918</v>
      </c>
      <c r="Z295" s="25" t="s">
        <v>5919</v>
      </c>
      <c r="AA295" s="25" t="s">
        <v>166</v>
      </c>
      <c r="AB295" s="25" t="s">
        <v>166</v>
      </c>
      <c r="AC295" s="25" t="s">
        <v>166</v>
      </c>
      <c r="AD295" s="25" t="s">
        <v>166</v>
      </c>
      <c r="AE295" s="25" t="s">
        <v>166</v>
      </c>
      <c r="AF295" s="25" t="s">
        <v>166</v>
      </c>
      <c r="AG295" s="25" t="s">
        <v>166</v>
      </c>
      <c r="AH295" s="32">
        <v>1</v>
      </c>
      <c r="AI295" s="4">
        <f>HYPERLINK("https://my.pitchbook.com/?d=206486-20T","206486-20T")</f>
      </c>
      <c r="AJ295" s="30" t="s">
        <v>166</v>
      </c>
      <c r="AK295" s="30">
        <v>44835</v>
      </c>
      <c r="AL295" s="29">
        <v>0.1</v>
      </c>
      <c r="AM295" s="25" t="s">
        <v>185</v>
      </c>
      <c r="AN295" s="29" t="s">
        <v>166</v>
      </c>
      <c r="AO295" s="29" t="s">
        <v>166</v>
      </c>
      <c r="AP295" s="25" t="s">
        <v>166</v>
      </c>
      <c r="AQ295" s="32" t="s">
        <v>166</v>
      </c>
      <c r="AR295" s="32" t="s">
        <v>166</v>
      </c>
      <c r="AS295" s="28" t="s">
        <v>166</v>
      </c>
      <c r="AT295" s="29">
        <v>0.1</v>
      </c>
      <c r="AU295" s="32" t="s">
        <v>186</v>
      </c>
      <c r="AV295" s="32" t="s">
        <v>166</v>
      </c>
      <c r="AW295" s="29" t="s">
        <v>166</v>
      </c>
      <c r="AX295" s="32" t="s">
        <v>166</v>
      </c>
      <c r="AY295" s="25" t="s">
        <v>187</v>
      </c>
      <c r="AZ295" s="25" t="s">
        <v>166</v>
      </c>
      <c r="BA295" s="25" t="s">
        <v>166</v>
      </c>
      <c r="BB295" s="32" t="s">
        <v>166</v>
      </c>
      <c r="BC295" s="25" t="s">
        <v>179</v>
      </c>
      <c r="BD295" s="25" t="s">
        <v>5920</v>
      </c>
      <c r="BE295" s="25" t="s">
        <v>189</v>
      </c>
      <c r="BF295" s="29">
        <v>0.1</v>
      </c>
      <c r="BG295" s="25" t="s">
        <v>190</v>
      </c>
      <c r="BH295" s="25" t="s">
        <v>166</v>
      </c>
      <c r="BI295" s="25" t="s">
        <v>166</v>
      </c>
      <c r="BJ295" s="29" t="s">
        <v>166</v>
      </c>
      <c r="BK295" s="29" t="s">
        <v>166</v>
      </c>
      <c r="BL295" s="25" t="s">
        <v>191</v>
      </c>
      <c r="BM295" s="25" t="s">
        <v>178</v>
      </c>
      <c r="BN295" s="25" t="s">
        <v>177</v>
      </c>
      <c r="BO295" s="33" t="s">
        <v>166</v>
      </c>
      <c r="BP295" s="25" t="s">
        <v>5908</v>
      </c>
      <c r="BQ295" s="32">
        <v>1</v>
      </c>
      <c r="BR295" s="25" t="s">
        <v>166</v>
      </c>
      <c r="BS295" s="32" t="s">
        <v>166</v>
      </c>
      <c r="BT295" s="25" t="s">
        <v>166</v>
      </c>
      <c r="BU295" s="25" t="s">
        <v>166</v>
      </c>
      <c r="BV295" s="25" t="s">
        <v>166</v>
      </c>
      <c r="BW295" s="25" t="s">
        <v>166</v>
      </c>
      <c r="BX295" s="25" t="s">
        <v>166</v>
      </c>
      <c r="BY295" s="25" t="s">
        <v>166</v>
      </c>
      <c r="BZ295" s="25" t="s">
        <v>166</v>
      </c>
      <c r="CA295" s="25" t="s">
        <v>166</v>
      </c>
      <c r="CB295" s="25" t="s">
        <v>166</v>
      </c>
      <c r="CC295" s="25" t="s">
        <v>166</v>
      </c>
      <c r="CD295" s="25" t="s">
        <v>166</v>
      </c>
      <c r="CE295" s="29" t="s">
        <v>166</v>
      </c>
      <c r="CF295" s="27" t="s">
        <v>166</v>
      </c>
      <c r="CG295" s="28" t="s">
        <v>166</v>
      </c>
      <c r="CH295" s="27" t="s">
        <v>166</v>
      </c>
      <c r="CI295" s="27" t="s">
        <v>166</v>
      </c>
      <c r="CJ295" s="27" t="s">
        <v>166</v>
      </c>
      <c r="CK295" s="27" t="s">
        <v>166</v>
      </c>
      <c r="CL295" s="27" t="s">
        <v>166</v>
      </c>
      <c r="CM295" s="31" t="s">
        <v>166</v>
      </c>
      <c r="CN295" s="27" t="s">
        <v>166</v>
      </c>
      <c r="CO295" s="27" t="s">
        <v>166</v>
      </c>
      <c r="CP295" s="27" t="s">
        <v>166</v>
      </c>
      <c r="CQ295" s="27" t="s">
        <v>166</v>
      </c>
      <c r="CR295" s="27" t="s">
        <v>166</v>
      </c>
      <c r="CS295" s="27" t="s">
        <v>166</v>
      </c>
      <c r="CT295" s="27" t="s">
        <v>166</v>
      </c>
      <c r="CU295" s="27" t="s">
        <v>166</v>
      </c>
      <c r="CV295" s="27" t="s">
        <v>166</v>
      </c>
      <c r="CW295" s="27" t="s">
        <v>166</v>
      </c>
      <c r="CX295" s="27" t="s">
        <v>166</v>
      </c>
      <c r="CY295" s="27" t="s">
        <v>166</v>
      </c>
      <c r="CZ295" s="27" t="s">
        <v>166</v>
      </c>
      <c r="DA295" s="27" t="s">
        <v>166</v>
      </c>
      <c r="DB295" s="27" t="s">
        <v>166</v>
      </c>
      <c r="DC295" s="27" t="s">
        <v>166</v>
      </c>
      <c r="DD295" s="27" t="s">
        <v>166</v>
      </c>
      <c r="DE295" s="28" t="s">
        <v>166</v>
      </c>
      <c r="DF295" s="33">
        <v>3</v>
      </c>
      <c r="DG295" s="25" t="s">
        <v>5921</v>
      </c>
      <c r="DH295" s="25" t="s">
        <v>193</v>
      </c>
      <c r="DI295" s="25" t="s">
        <v>194</v>
      </c>
      <c r="DJ295" s="25" t="s">
        <v>5922</v>
      </c>
      <c r="DK295" s="25" t="s">
        <v>257</v>
      </c>
      <c r="DL295" s="32" t="s">
        <v>166</v>
      </c>
      <c r="DM295" s="25" t="s">
        <v>198</v>
      </c>
      <c r="DN295" s="24" t="s">
        <v>5923</v>
      </c>
      <c r="DO295" s="31">
        <v>2021</v>
      </c>
      <c r="DP295" s="25" t="s">
        <v>166</v>
      </c>
      <c r="DQ295" s="25" t="s">
        <v>166</v>
      </c>
      <c r="DR295" s="29" t="s">
        <v>166</v>
      </c>
      <c r="DS295" s="27" t="s">
        <v>166</v>
      </c>
      <c r="DT295" s="30" t="s">
        <v>166</v>
      </c>
      <c r="DU295" s="25" t="s">
        <v>166</v>
      </c>
      <c r="DV295" s="29" t="s">
        <v>166</v>
      </c>
      <c r="DW295" s="29" t="s">
        <v>166</v>
      </c>
      <c r="DX295" s="27" t="s">
        <v>166</v>
      </c>
      <c r="DY295" s="27" t="s">
        <v>166</v>
      </c>
      <c r="DZ295" s="28" t="s">
        <v>166</v>
      </c>
      <c r="EA295" s="27" t="s">
        <v>166</v>
      </c>
      <c r="EB295" s="27" t="s">
        <v>166</v>
      </c>
      <c r="EC295" s="27" t="s">
        <v>166</v>
      </c>
      <c r="ED295" s="28" t="s">
        <v>166</v>
      </c>
      <c r="EE295" s="28" t="s">
        <v>166</v>
      </c>
      <c r="EF295" s="28" t="s">
        <v>166</v>
      </c>
      <c r="EG295" s="28" t="s">
        <v>166</v>
      </c>
      <c r="EH295" s="27" t="s">
        <v>166</v>
      </c>
      <c r="EI295" s="27" t="s">
        <v>166</v>
      </c>
      <c r="EJ295" s="27" t="s">
        <v>166</v>
      </c>
      <c r="EK295" s="27" t="s">
        <v>166</v>
      </c>
      <c r="EL295" s="27" t="s">
        <v>166</v>
      </c>
      <c r="EM295" s="27" t="s">
        <v>166</v>
      </c>
      <c r="EN295" s="27" t="s">
        <v>166</v>
      </c>
      <c r="EO295" s="27" t="s">
        <v>166</v>
      </c>
      <c r="EP295" s="27" t="s">
        <v>166</v>
      </c>
      <c r="EQ295" s="27" t="s">
        <v>166</v>
      </c>
      <c r="ER295" s="27" t="s">
        <v>166</v>
      </c>
      <c r="ES295" s="27" t="s">
        <v>166</v>
      </c>
      <c r="ET295" s="25" t="s">
        <v>166</v>
      </c>
      <c r="EU295" s="27" t="s">
        <v>166</v>
      </c>
      <c r="EV295" s="27" t="s">
        <v>166</v>
      </c>
      <c r="EW295" s="27" t="s">
        <v>166</v>
      </c>
      <c r="EX295" s="25" t="s">
        <v>190</v>
      </c>
      <c r="EY295" s="25" t="s">
        <v>166</v>
      </c>
      <c r="EZ295" s="27" t="s">
        <v>166</v>
      </c>
      <c r="FA295" s="26" t="s">
        <v>166</v>
      </c>
      <c r="FB295" s="26" t="s">
        <v>166</v>
      </c>
      <c r="FC295" s="26" t="s">
        <v>166</v>
      </c>
      <c r="FD295" s="26" t="s">
        <v>166</v>
      </c>
      <c r="FE295" s="26" t="s">
        <v>166</v>
      </c>
      <c r="FF295" s="26" t="s">
        <v>166</v>
      </c>
      <c r="FG295" s="25" t="s">
        <v>166</v>
      </c>
      <c r="FH295" s="4">
        <f>HYPERLINK("https://my.pitchbook.com?c=206486-20T","View Company Online")</f>
      </c>
    </row>
    <row r="296">
      <c r="A296" s="14" t="s">
        <v>5924</v>
      </c>
      <c r="B296" s="14" t="s">
        <v>5925</v>
      </c>
      <c r="C296" s="14" t="s">
        <v>5926</v>
      </c>
      <c r="D296" s="14" t="s">
        <v>166</v>
      </c>
      <c r="E296" s="23" t="s">
        <v>5927</v>
      </c>
      <c r="F296" s="21">
        <v>9</v>
      </c>
      <c r="G296" s="14" t="s">
        <v>5928</v>
      </c>
      <c r="H296" s="14" t="s">
        <v>166</v>
      </c>
      <c r="I296" s="14" t="s">
        <v>5929</v>
      </c>
      <c r="J296" s="14" t="s">
        <v>5930</v>
      </c>
      <c r="K296" s="14" t="s">
        <v>207</v>
      </c>
      <c r="L296" s="14" t="s">
        <v>5931</v>
      </c>
      <c r="M296" s="14" t="s">
        <v>5932</v>
      </c>
      <c r="N296" s="14" t="s">
        <v>5933</v>
      </c>
      <c r="O296" s="14" t="s">
        <v>166</v>
      </c>
      <c r="P296" s="14" t="s">
        <v>5934</v>
      </c>
      <c r="Q296" s="14" t="s">
        <v>166</v>
      </c>
      <c r="R296" s="14" t="s">
        <v>177</v>
      </c>
      <c r="S296" s="14" t="s">
        <v>178</v>
      </c>
      <c r="T296" s="14" t="s">
        <v>179</v>
      </c>
      <c r="U296" s="14" t="s">
        <v>5935</v>
      </c>
      <c r="V296" s="14" t="s">
        <v>5936</v>
      </c>
      <c r="W296" s="21" t="s">
        <v>166</v>
      </c>
      <c r="X296" s="14" t="s">
        <v>5937</v>
      </c>
      <c r="Y296" s="14" t="s">
        <v>5938</v>
      </c>
      <c r="Z296" s="14" t="s">
        <v>166</v>
      </c>
      <c r="AA296" s="14" t="s">
        <v>242</v>
      </c>
      <c r="AB296" s="14" t="s">
        <v>243</v>
      </c>
      <c r="AC296" s="14" t="s">
        <v>244</v>
      </c>
      <c r="AD296" s="14" t="s">
        <v>243</v>
      </c>
      <c r="AE296" s="14" t="s">
        <v>243</v>
      </c>
      <c r="AF296" s="14" t="s">
        <v>166</v>
      </c>
      <c r="AG296" s="14" t="s">
        <v>807</v>
      </c>
      <c r="AH296" s="21">
        <v>2</v>
      </c>
      <c r="AI296" s="3">
        <f>HYPERLINK("https://my.pitchbook.com/?d=175106-62T","175106-62T")</f>
      </c>
      <c r="AJ296" s="19" t="s">
        <v>166</v>
      </c>
      <c r="AK296" s="19">
        <v>44358</v>
      </c>
      <c r="AL296" s="18">
        <v>7.5</v>
      </c>
      <c r="AM296" s="14" t="s">
        <v>185</v>
      </c>
      <c r="AN296" s="18">
        <v>15</v>
      </c>
      <c r="AO296" s="18">
        <v>22.5</v>
      </c>
      <c r="AP296" s="14" t="s">
        <v>185</v>
      </c>
      <c r="AQ296" s="21" t="s">
        <v>166</v>
      </c>
      <c r="AR296" s="21" t="s">
        <v>166</v>
      </c>
      <c r="AS296" s="17">
        <v>33.33</v>
      </c>
      <c r="AT296" s="18">
        <v>7.5</v>
      </c>
      <c r="AU296" s="21" t="s">
        <v>186</v>
      </c>
      <c r="AV296" s="21" t="s">
        <v>166</v>
      </c>
      <c r="AW296" s="18">
        <v>1.12</v>
      </c>
      <c r="AX296" s="21" t="s">
        <v>166</v>
      </c>
      <c r="AY296" s="14" t="s">
        <v>217</v>
      </c>
      <c r="AZ296" s="14" t="s">
        <v>217</v>
      </c>
      <c r="BA296" s="14" t="s">
        <v>166</v>
      </c>
      <c r="BB296" s="21" t="s">
        <v>166</v>
      </c>
      <c r="BC296" s="14" t="s">
        <v>179</v>
      </c>
      <c r="BD296" s="14" t="s">
        <v>5939</v>
      </c>
      <c r="BE296" s="14" t="s">
        <v>189</v>
      </c>
      <c r="BF296" s="18">
        <v>7.5</v>
      </c>
      <c r="BG296" s="14" t="s">
        <v>190</v>
      </c>
      <c r="BH296" s="14" t="s">
        <v>166</v>
      </c>
      <c r="BI296" s="14" t="s">
        <v>166</v>
      </c>
      <c r="BJ296" s="18" t="s">
        <v>166</v>
      </c>
      <c r="BK296" s="18" t="s">
        <v>166</v>
      </c>
      <c r="BL296" s="14" t="s">
        <v>191</v>
      </c>
      <c r="BM296" s="14" t="s">
        <v>178</v>
      </c>
      <c r="BN296" s="14" t="s">
        <v>177</v>
      </c>
      <c r="BO296" s="22" t="s">
        <v>166</v>
      </c>
      <c r="BP296" s="14" t="s">
        <v>5940</v>
      </c>
      <c r="BQ296" s="21">
        <v>8</v>
      </c>
      <c r="BR296" s="14" t="s">
        <v>5941</v>
      </c>
      <c r="BS296" s="21">
        <v>1</v>
      </c>
      <c r="BT296" s="14" t="s">
        <v>5942</v>
      </c>
      <c r="BU296" s="14" t="s">
        <v>166</v>
      </c>
      <c r="BV296" s="14" t="s">
        <v>166</v>
      </c>
      <c r="BW296" s="14" t="s">
        <v>166</v>
      </c>
      <c r="BX296" s="14" t="s">
        <v>166</v>
      </c>
      <c r="BY296" s="14" t="s">
        <v>166</v>
      </c>
      <c r="BZ296" s="14" t="s">
        <v>996</v>
      </c>
      <c r="CA296" s="14" t="s">
        <v>996</v>
      </c>
      <c r="CB296" s="14" t="s">
        <v>166</v>
      </c>
      <c r="CC296" s="14" t="s">
        <v>166</v>
      </c>
      <c r="CD296" s="14" t="s">
        <v>166</v>
      </c>
      <c r="CE296" s="18" t="s">
        <v>166</v>
      </c>
      <c r="CF296" s="16" t="s">
        <v>166</v>
      </c>
      <c r="CG296" s="17" t="s">
        <v>166</v>
      </c>
      <c r="CH296" s="16" t="s">
        <v>166</v>
      </c>
      <c r="CI296" s="16" t="s">
        <v>166</v>
      </c>
      <c r="CJ296" s="16" t="s">
        <v>166</v>
      </c>
      <c r="CK296" s="16" t="s">
        <v>166</v>
      </c>
      <c r="CL296" s="16" t="s">
        <v>166</v>
      </c>
      <c r="CM296" s="20" t="s">
        <v>166</v>
      </c>
      <c r="CN296" s="16" t="s">
        <v>166</v>
      </c>
      <c r="CO296" s="16" t="s">
        <v>166</v>
      </c>
      <c r="CP296" s="16" t="s">
        <v>166</v>
      </c>
      <c r="CQ296" s="16" t="s">
        <v>166</v>
      </c>
      <c r="CR296" s="16" t="s">
        <v>166</v>
      </c>
      <c r="CS296" s="16" t="s">
        <v>166</v>
      </c>
      <c r="CT296" s="16" t="s">
        <v>166</v>
      </c>
      <c r="CU296" s="16" t="s">
        <v>166</v>
      </c>
      <c r="CV296" s="16" t="s">
        <v>166</v>
      </c>
      <c r="CW296" s="16" t="s">
        <v>166</v>
      </c>
      <c r="CX296" s="16" t="s">
        <v>166</v>
      </c>
      <c r="CY296" s="16" t="s">
        <v>166</v>
      </c>
      <c r="CZ296" s="16" t="s">
        <v>166</v>
      </c>
      <c r="DA296" s="16" t="s">
        <v>166</v>
      </c>
      <c r="DB296" s="16" t="s">
        <v>166</v>
      </c>
      <c r="DC296" s="16" t="s">
        <v>166</v>
      </c>
      <c r="DD296" s="16" t="s">
        <v>166</v>
      </c>
      <c r="DE296" s="17" t="s">
        <v>166</v>
      </c>
      <c r="DF296" s="22">
        <v>10</v>
      </c>
      <c r="DG296" s="14" t="s">
        <v>673</v>
      </c>
      <c r="DH296" s="14" t="s">
        <v>193</v>
      </c>
      <c r="DI296" s="14" t="s">
        <v>194</v>
      </c>
      <c r="DJ296" s="14" t="s">
        <v>674</v>
      </c>
      <c r="DK296" s="14" t="s">
        <v>257</v>
      </c>
      <c r="DL296" s="21" t="s">
        <v>1866</v>
      </c>
      <c r="DM296" s="14" t="s">
        <v>198</v>
      </c>
      <c r="DN296" s="13" t="s">
        <v>5943</v>
      </c>
      <c r="DO296" s="20">
        <v>2016</v>
      </c>
      <c r="DP296" s="14" t="s">
        <v>166</v>
      </c>
      <c r="DQ296" s="14" t="s">
        <v>166</v>
      </c>
      <c r="DR296" s="18" t="s">
        <v>166</v>
      </c>
      <c r="DS296" s="16" t="s">
        <v>166</v>
      </c>
      <c r="DT296" s="19" t="s">
        <v>166</v>
      </c>
      <c r="DU296" s="14" t="s">
        <v>166</v>
      </c>
      <c r="DV296" s="18" t="s">
        <v>166</v>
      </c>
      <c r="DW296" s="18" t="s">
        <v>166</v>
      </c>
      <c r="DX296" s="16" t="s">
        <v>166</v>
      </c>
      <c r="DY296" s="16" t="s">
        <v>166</v>
      </c>
      <c r="DZ296" s="17" t="s">
        <v>166</v>
      </c>
      <c r="EA296" s="16" t="s">
        <v>166</v>
      </c>
      <c r="EB296" s="16" t="s">
        <v>166</v>
      </c>
      <c r="EC296" s="16" t="s">
        <v>166</v>
      </c>
      <c r="ED296" s="17" t="s">
        <v>166</v>
      </c>
      <c r="EE296" s="17" t="s">
        <v>166</v>
      </c>
      <c r="EF296" s="17" t="s">
        <v>166</v>
      </c>
      <c r="EG296" s="17" t="s">
        <v>166</v>
      </c>
      <c r="EH296" s="16" t="s">
        <v>166</v>
      </c>
      <c r="EI296" s="16" t="s">
        <v>166</v>
      </c>
      <c r="EJ296" s="16" t="s">
        <v>166</v>
      </c>
      <c r="EK296" s="16" t="s">
        <v>166</v>
      </c>
      <c r="EL296" s="16" t="s">
        <v>166</v>
      </c>
      <c r="EM296" s="16" t="s">
        <v>166</v>
      </c>
      <c r="EN296" s="16" t="s">
        <v>166</v>
      </c>
      <c r="EO296" s="16" t="s">
        <v>166</v>
      </c>
      <c r="EP296" s="16" t="s">
        <v>166</v>
      </c>
      <c r="EQ296" s="16" t="s">
        <v>166</v>
      </c>
      <c r="ER296" s="16" t="s">
        <v>166</v>
      </c>
      <c r="ES296" s="16" t="s">
        <v>166</v>
      </c>
      <c r="ET296" s="14" t="s">
        <v>166</v>
      </c>
      <c r="EU296" s="16" t="s">
        <v>166</v>
      </c>
      <c r="EV296" s="16" t="s">
        <v>166</v>
      </c>
      <c r="EW296" s="16" t="s">
        <v>166</v>
      </c>
      <c r="EX296" s="14" t="s">
        <v>190</v>
      </c>
      <c r="EY296" s="14" t="s">
        <v>166</v>
      </c>
      <c r="EZ296" s="16" t="s">
        <v>166</v>
      </c>
      <c r="FA296" s="15" t="s">
        <v>166</v>
      </c>
      <c r="FB296" s="15" t="s">
        <v>166</v>
      </c>
      <c r="FC296" s="15" t="s">
        <v>166</v>
      </c>
      <c r="FD296" s="15" t="s">
        <v>166</v>
      </c>
      <c r="FE296" s="15" t="s">
        <v>166</v>
      </c>
      <c r="FF296" s="15" t="s">
        <v>166</v>
      </c>
      <c r="FG296" s="14" t="s">
        <v>166</v>
      </c>
      <c r="FH296" s="3">
        <f>HYPERLINK("https://my.pitchbook.com?c=175106-62T","View Company Online")</f>
      </c>
    </row>
    <row r="297">
      <c r="A297" s="25" t="s">
        <v>5944</v>
      </c>
      <c r="B297" s="25" t="s">
        <v>5945</v>
      </c>
      <c r="C297" s="25" t="s">
        <v>5946</v>
      </c>
      <c r="D297" s="25" t="s">
        <v>166</v>
      </c>
      <c r="E297" s="34" t="s">
        <v>5947</v>
      </c>
      <c r="F297" s="32">
        <v>1</v>
      </c>
      <c r="G297" s="25" t="s">
        <v>5948</v>
      </c>
      <c r="H297" s="25" t="s">
        <v>166</v>
      </c>
      <c r="I297" s="25" t="s">
        <v>5949</v>
      </c>
      <c r="J297" s="25" t="s">
        <v>5950</v>
      </c>
      <c r="K297" s="25" t="s">
        <v>207</v>
      </c>
      <c r="L297" s="25" t="s">
        <v>208</v>
      </c>
      <c r="M297" s="25" t="s">
        <v>1940</v>
      </c>
      <c r="N297" s="25" t="s">
        <v>5951</v>
      </c>
      <c r="O297" s="25" t="s">
        <v>2931</v>
      </c>
      <c r="P297" s="25" t="s">
        <v>5952</v>
      </c>
      <c r="Q297" s="25" t="s">
        <v>2555</v>
      </c>
      <c r="R297" s="25" t="s">
        <v>177</v>
      </c>
      <c r="S297" s="25" t="s">
        <v>178</v>
      </c>
      <c r="T297" s="25" t="s">
        <v>179</v>
      </c>
      <c r="U297" s="25" t="s">
        <v>5953</v>
      </c>
      <c r="V297" s="25" t="s">
        <v>5954</v>
      </c>
      <c r="W297" s="32" t="s">
        <v>5955</v>
      </c>
      <c r="X297" s="25" t="s">
        <v>5956</v>
      </c>
      <c r="Y297" s="25" t="s">
        <v>5957</v>
      </c>
      <c r="Z297" s="25" t="s">
        <v>5958</v>
      </c>
      <c r="AA297" s="25" t="s">
        <v>166</v>
      </c>
      <c r="AB297" s="25" t="s">
        <v>166</v>
      </c>
      <c r="AC297" s="25" t="s">
        <v>166</v>
      </c>
      <c r="AD297" s="25" t="s">
        <v>166</v>
      </c>
      <c r="AE297" s="25" t="s">
        <v>166</v>
      </c>
      <c r="AF297" s="25" t="s">
        <v>166</v>
      </c>
      <c r="AG297" s="25" t="s">
        <v>166</v>
      </c>
      <c r="AH297" s="32">
        <v>2</v>
      </c>
      <c r="AI297" s="4">
        <f>HYPERLINK("https://my.pitchbook.com/?d=178971-76T","178971-76T")</f>
      </c>
      <c r="AJ297" s="30" t="s">
        <v>166</v>
      </c>
      <c r="AK297" s="30">
        <v>44433</v>
      </c>
      <c r="AL297" s="29">
        <v>100</v>
      </c>
      <c r="AM297" s="25" t="s">
        <v>247</v>
      </c>
      <c r="AN297" s="29" t="s">
        <v>166</v>
      </c>
      <c r="AO297" s="29" t="s">
        <v>166</v>
      </c>
      <c r="AP297" s="25" t="s">
        <v>166</v>
      </c>
      <c r="AQ297" s="32" t="s">
        <v>166</v>
      </c>
      <c r="AR297" s="32" t="s">
        <v>166</v>
      </c>
      <c r="AS297" s="28" t="s">
        <v>166</v>
      </c>
      <c r="AT297" s="29">
        <v>100</v>
      </c>
      <c r="AU297" s="32" t="s">
        <v>186</v>
      </c>
      <c r="AV297" s="32" t="s">
        <v>166</v>
      </c>
      <c r="AW297" s="29" t="s">
        <v>166</v>
      </c>
      <c r="AX297" s="32" t="s">
        <v>248</v>
      </c>
      <c r="AY297" s="25" t="s">
        <v>187</v>
      </c>
      <c r="AZ297" s="25" t="s">
        <v>248</v>
      </c>
      <c r="BA297" s="25" t="s">
        <v>166</v>
      </c>
      <c r="BB297" s="32" t="s">
        <v>166</v>
      </c>
      <c r="BC297" s="25" t="s">
        <v>179</v>
      </c>
      <c r="BD297" s="25" t="s">
        <v>5950</v>
      </c>
      <c r="BE297" s="25" t="s">
        <v>189</v>
      </c>
      <c r="BF297" s="29">
        <v>100</v>
      </c>
      <c r="BG297" s="25" t="s">
        <v>190</v>
      </c>
      <c r="BH297" s="25" t="s">
        <v>166</v>
      </c>
      <c r="BI297" s="25" t="s">
        <v>166</v>
      </c>
      <c r="BJ297" s="29" t="s">
        <v>166</v>
      </c>
      <c r="BK297" s="29" t="s">
        <v>166</v>
      </c>
      <c r="BL297" s="25" t="s">
        <v>191</v>
      </c>
      <c r="BM297" s="25" t="s">
        <v>178</v>
      </c>
      <c r="BN297" s="25" t="s">
        <v>177</v>
      </c>
      <c r="BO297" s="33" t="s">
        <v>166</v>
      </c>
      <c r="BP297" s="25" t="s">
        <v>5959</v>
      </c>
      <c r="BQ297" s="32">
        <v>1</v>
      </c>
      <c r="BR297" s="25" t="s">
        <v>166</v>
      </c>
      <c r="BS297" s="32" t="s">
        <v>166</v>
      </c>
      <c r="BT297" s="25" t="s">
        <v>5947</v>
      </c>
      <c r="BU297" s="25" t="s">
        <v>166</v>
      </c>
      <c r="BV297" s="25" t="s">
        <v>166</v>
      </c>
      <c r="BW297" s="25" t="s">
        <v>166</v>
      </c>
      <c r="BX297" s="25" t="s">
        <v>166</v>
      </c>
      <c r="BY297" s="25" t="s">
        <v>166</v>
      </c>
      <c r="BZ297" s="25" t="s">
        <v>166</v>
      </c>
      <c r="CA297" s="25" t="s">
        <v>166</v>
      </c>
      <c r="CB297" s="25" t="s">
        <v>166</v>
      </c>
      <c r="CC297" s="25" t="s">
        <v>166</v>
      </c>
      <c r="CD297" s="25" t="s">
        <v>166</v>
      </c>
      <c r="CE297" s="29" t="s">
        <v>166</v>
      </c>
      <c r="CF297" s="27" t="s">
        <v>166</v>
      </c>
      <c r="CG297" s="28" t="s">
        <v>166</v>
      </c>
      <c r="CH297" s="27" t="s">
        <v>166</v>
      </c>
      <c r="CI297" s="27" t="s">
        <v>166</v>
      </c>
      <c r="CJ297" s="27" t="s">
        <v>166</v>
      </c>
      <c r="CK297" s="27" t="s">
        <v>166</v>
      </c>
      <c r="CL297" s="27" t="s">
        <v>166</v>
      </c>
      <c r="CM297" s="31" t="s">
        <v>166</v>
      </c>
      <c r="CN297" s="27" t="s">
        <v>166</v>
      </c>
      <c r="CO297" s="27" t="s">
        <v>166</v>
      </c>
      <c r="CP297" s="27" t="s">
        <v>166</v>
      </c>
      <c r="CQ297" s="27" t="s">
        <v>166</v>
      </c>
      <c r="CR297" s="27" t="s">
        <v>166</v>
      </c>
      <c r="CS297" s="27" t="s">
        <v>166</v>
      </c>
      <c r="CT297" s="27" t="s">
        <v>166</v>
      </c>
      <c r="CU297" s="27" t="s">
        <v>166</v>
      </c>
      <c r="CV297" s="27" t="s">
        <v>166</v>
      </c>
      <c r="CW297" s="27" t="s">
        <v>166</v>
      </c>
      <c r="CX297" s="27" t="s">
        <v>166</v>
      </c>
      <c r="CY297" s="27" t="s">
        <v>166</v>
      </c>
      <c r="CZ297" s="27" t="s">
        <v>166</v>
      </c>
      <c r="DA297" s="27" t="s">
        <v>166</v>
      </c>
      <c r="DB297" s="27" t="s">
        <v>166</v>
      </c>
      <c r="DC297" s="27" t="s">
        <v>166</v>
      </c>
      <c r="DD297" s="27" t="s">
        <v>166</v>
      </c>
      <c r="DE297" s="28" t="s">
        <v>166</v>
      </c>
      <c r="DF297" s="33">
        <v>40</v>
      </c>
      <c r="DG297" s="25" t="s">
        <v>5921</v>
      </c>
      <c r="DH297" s="25" t="s">
        <v>193</v>
      </c>
      <c r="DI297" s="25" t="s">
        <v>194</v>
      </c>
      <c r="DJ297" s="25" t="s">
        <v>5922</v>
      </c>
      <c r="DK297" s="25" t="s">
        <v>257</v>
      </c>
      <c r="DL297" s="32" t="s">
        <v>5960</v>
      </c>
      <c r="DM297" s="25" t="s">
        <v>198</v>
      </c>
      <c r="DN297" s="24" t="s">
        <v>5961</v>
      </c>
      <c r="DO297" s="31">
        <v>2017</v>
      </c>
      <c r="DP297" s="25" t="s">
        <v>166</v>
      </c>
      <c r="DQ297" s="25" t="s">
        <v>166</v>
      </c>
      <c r="DR297" s="29" t="s">
        <v>166</v>
      </c>
      <c r="DS297" s="27" t="s">
        <v>166</v>
      </c>
      <c r="DT297" s="30" t="s">
        <v>166</v>
      </c>
      <c r="DU297" s="25" t="s">
        <v>166</v>
      </c>
      <c r="DV297" s="29" t="s">
        <v>166</v>
      </c>
      <c r="DW297" s="29" t="s">
        <v>166</v>
      </c>
      <c r="DX297" s="27" t="s">
        <v>166</v>
      </c>
      <c r="DY297" s="27" t="s">
        <v>166</v>
      </c>
      <c r="DZ297" s="28" t="s">
        <v>166</v>
      </c>
      <c r="EA297" s="27" t="s">
        <v>166</v>
      </c>
      <c r="EB297" s="27" t="s">
        <v>166</v>
      </c>
      <c r="EC297" s="27" t="s">
        <v>166</v>
      </c>
      <c r="ED297" s="28" t="s">
        <v>166</v>
      </c>
      <c r="EE297" s="28" t="s">
        <v>166</v>
      </c>
      <c r="EF297" s="28" t="s">
        <v>166</v>
      </c>
      <c r="EG297" s="28" t="s">
        <v>166</v>
      </c>
      <c r="EH297" s="27" t="s">
        <v>166</v>
      </c>
      <c r="EI297" s="27" t="s">
        <v>166</v>
      </c>
      <c r="EJ297" s="27" t="s">
        <v>166</v>
      </c>
      <c r="EK297" s="27" t="s">
        <v>166</v>
      </c>
      <c r="EL297" s="27" t="s">
        <v>166</v>
      </c>
      <c r="EM297" s="27" t="s">
        <v>166</v>
      </c>
      <c r="EN297" s="27" t="s">
        <v>166</v>
      </c>
      <c r="EO297" s="27" t="s">
        <v>166</v>
      </c>
      <c r="EP297" s="27" t="s">
        <v>166</v>
      </c>
      <c r="EQ297" s="27" t="s">
        <v>166</v>
      </c>
      <c r="ER297" s="27" t="s">
        <v>166</v>
      </c>
      <c r="ES297" s="27" t="s">
        <v>166</v>
      </c>
      <c r="ET297" s="25" t="s">
        <v>166</v>
      </c>
      <c r="EU297" s="27" t="s">
        <v>166</v>
      </c>
      <c r="EV297" s="27" t="s">
        <v>166</v>
      </c>
      <c r="EW297" s="27" t="s">
        <v>166</v>
      </c>
      <c r="EX297" s="25" t="s">
        <v>190</v>
      </c>
      <c r="EY297" s="25" t="s">
        <v>166</v>
      </c>
      <c r="EZ297" s="27" t="s">
        <v>166</v>
      </c>
      <c r="FA297" s="26">
        <v>28</v>
      </c>
      <c r="FB297" s="26">
        <v>2</v>
      </c>
      <c r="FC297" s="26">
        <v>25</v>
      </c>
      <c r="FD297" s="26">
        <v>2</v>
      </c>
      <c r="FE297" s="26" t="s">
        <v>166</v>
      </c>
      <c r="FF297" s="26">
        <v>1</v>
      </c>
      <c r="FG297" s="25" t="s">
        <v>5962</v>
      </c>
      <c r="FH297" s="4">
        <f>HYPERLINK("https://my.pitchbook.com?c=178971-76T","View Company Online")</f>
      </c>
    </row>
    <row r="298">
      <c r="A298" s="14" t="s">
        <v>5963</v>
      </c>
      <c r="B298" s="14" t="s">
        <v>5964</v>
      </c>
      <c r="C298" s="14" t="s">
        <v>5965</v>
      </c>
      <c r="D298" s="14" t="s">
        <v>166</v>
      </c>
      <c r="E298" s="23" t="s">
        <v>5966</v>
      </c>
      <c r="F298" s="21">
        <v>1</v>
      </c>
      <c r="G298" s="14" t="s">
        <v>5967</v>
      </c>
      <c r="H298" s="14" t="s">
        <v>166</v>
      </c>
      <c r="I298" s="14" t="s">
        <v>5968</v>
      </c>
      <c r="J298" s="14" t="s">
        <v>5969</v>
      </c>
      <c r="K298" s="14" t="s">
        <v>207</v>
      </c>
      <c r="L298" s="14" t="s">
        <v>3128</v>
      </c>
      <c r="M298" s="14" t="s">
        <v>5970</v>
      </c>
      <c r="N298" s="14" t="s">
        <v>5971</v>
      </c>
      <c r="O298" s="14" t="s">
        <v>5972</v>
      </c>
      <c r="P298" s="14" t="s">
        <v>5973</v>
      </c>
      <c r="Q298" s="14" t="s">
        <v>166</v>
      </c>
      <c r="R298" s="14" t="s">
        <v>177</v>
      </c>
      <c r="S298" s="14" t="s">
        <v>178</v>
      </c>
      <c r="T298" s="14" t="s">
        <v>179</v>
      </c>
      <c r="U298" s="14" t="s">
        <v>5974</v>
      </c>
      <c r="V298" s="14" t="s">
        <v>5975</v>
      </c>
      <c r="W298" s="21" t="s">
        <v>166</v>
      </c>
      <c r="X298" s="14" t="s">
        <v>5976</v>
      </c>
      <c r="Y298" s="14" t="s">
        <v>5977</v>
      </c>
      <c r="Z298" s="14" t="s">
        <v>5978</v>
      </c>
      <c r="AA298" s="14" t="s">
        <v>242</v>
      </c>
      <c r="AB298" s="14" t="s">
        <v>243</v>
      </c>
      <c r="AC298" s="14" t="s">
        <v>244</v>
      </c>
      <c r="AD298" s="14" t="s">
        <v>243</v>
      </c>
      <c r="AE298" s="14" t="s">
        <v>243</v>
      </c>
      <c r="AF298" s="14" t="s">
        <v>166</v>
      </c>
      <c r="AG298" s="14" t="s">
        <v>246</v>
      </c>
      <c r="AH298" s="21">
        <v>1</v>
      </c>
      <c r="AI298" s="3">
        <f>HYPERLINK("https://my.pitchbook.com/?d=185408-02T","185408-02T")</f>
      </c>
      <c r="AJ298" s="19" t="s">
        <v>166</v>
      </c>
      <c r="AK298" s="19">
        <v>44435</v>
      </c>
      <c r="AL298" s="18">
        <v>3</v>
      </c>
      <c r="AM298" s="14" t="s">
        <v>185</v>
      </c>
      <c r="AN298" s="18">
        <v>2.89</v>
      </c>
      <c r="AO298" s="18">
        <v>5</v>
      </c>
      <c r="AP298" s="14" t="s">
        <v>185</v>
      </c>
      <c r="AQ298" s="21" t="s">
        <v>166</v>
      </c>
      <c r="AR298" s="21" t="s">
        <v>166</v>
      </c>
      <c r="AS298" s="17">
        <v>42.25</v>
      </c>
      <c r="AT298" s="18">
        <v>3</v>
      </c>
      <c r="AU298" s="21" t="s">
        <v>186</v>
      </c>
      <c r="AV298" s="21" t="s">
        <v>166</v>
      </c>
      <c r="AW298" s="18">
        <v>0.57</v>
      </c>
      <c r="AX298" s="21" t="s">
        <v>166</v>
      </c>
      <c r="AY298" s="14" t="s">
        <v>217</v>
      </c>
      <c r="AZ298" s="14" t="s">
        <v>217</v>
      </c>
      <c r="BA298" s="14" t="s">
        <v>166</v>
      </c>
      <c r="BB298" s="21" t="s">
        <v>166</v>
      </c>
      <c r="BC298" s="14" t="s">
        <v>179</v>
      </c>
      <c r="BD298" s="14" t="s">
        <v>5979</v>
      </c>
      <c r="BE298" s="14" t="s">
        <v>189</v>
      </c>
      <c r="BF298" s="18">
        <v>2.11</v>
      </c>
      <c r="BG298" s="14" t="s">
        <v>190</v>
      </c>
      <c r="BH298" s="14" t="s">
        <v>166</v>
      </c>
      <c r="BI298" s="14" t="s">
        <v>166</v>
      </c>
      <c r="BJ298" s="18">
        <v>0.89</v>
      </c>
      <c r="BK298" s="18" t="s">
        <v>166</v>
      </c>
      <c r="BL298" s="14" t="s">
        <v>191</v>
      </c>
      <c r="BM298" s="14" t="s">
        <v>178</v>
      </c>
      <c r="BN298" s="14" t="s">
        <v>177</v>
      </c>
      <c r="BO298" s="22" t="s">
        <v>166</v>
      </c>
      <c r="BP298" s="14" t="s">
        <v>5980</v>
      </c>
      <c r="BQ298" s="21">
        <v>1</v>
      </c>
      <c r="BR298" s="14" t="s">
        <v>166</v>
      </c>
      <c r="BS298" s="21" t="s">
        <v>166</v>
      </c>
      <c r="BT298" s="14" t="s">
        <v>166</v>
      </c>
      <c r="BU298" s="14" t="s">
        <v>166</v>
      </c>
      <c r="BV298" s="14" t="s">
        <v>5981</v>
      </c>
      <c r="BW298" s="14" t="s">
        <v>166</v>
      </c>
      <c r="BX298" s="14" t="s">
        <v>166</v>
      </c>
      <c r="BY298" s="14" t="s">
        <v>166</v>
      </c>
      <c r="BZ298" s="14" t="s">
        <v>166</v>
      </c>
      <c r="CA298" s="14" t="s">
        <v>166</v>
      </c>
      <c r="CB298" s="14" t="s">
        <v>166</v>
      </c>
      <c r="CC298" s="14" t="s">
        <v>166</v>
      </c>
      <c r="CD298" s="14" t="s">
        <v>166</v>
      </c>
      <c r="CE298" s="18" t="s">
        <v>166</v>
      </c>
      <c r="CF298" s="16" t="s">
        <v>166</v>
      </c>
      <c r="CG298" s="17" t="s">
        <v>166</v>
      </c>
      <c r="CH298" s="16" t="s">
        <v>166</v>
      </c>
      <c r="CI298" s="16" t="s">
        <v>166</v>
      </c>
      <c r="CJ298" s="16" t="s">
        <v>166</v>
      </c>
      <c r="CK298" s="16" t="s">
        <v>166</v>
      </c>
      <c r="CL298" s="16" t="s">
        <v>166</v>
      </c>
      <c r="CM298" s="20" t="s">
        <v>166</v>
      </c>
      <c r="CN298" s="16" t="s">
        <v>166</v>
      </c>
      <c r="CO298" s="16" t="s">
        <v>166</v>
      </c>
      <c r="CP298" s="16" t="s">
        <v>166</v>
      </c>
      <c r="CQ298" s="16" t="s">
        <v>166</v>
      </c>
      <c r="CR298" s="16" t="s">
        <v>166</v>
      </c>
      <c r="CS298" s="16" t="s">
        <v>166</v>
      </c>
      <c r="CT298" s="16" t="s">
        <v>166</v>
      </c>
      <c r="CU298" s="16" t="s">
        <v>166</v>
      </c>
      <c r="CV298" s="16" t="s">
        <v>166</v>
      </c>
      <c r="CW298" s="16" t="s">
        <v>166</v>
      </c>
      <c r="CX298" s="16" t="s">
        <v>166</v>
      </c>
      <c r="CY298" s="16">
        <v>0.42</v>
      </c>
      <c r="CZ298" s="16" t="s">
        <v>166</v>
      </c>
      <c r="DA298" s="16" t="s">
        <v>166</v>
      </c>
      <c r="DB298" s="16" t="s">
        <v>166</v>
      </c>
      <c r="DC298" s="16" t="s">
        <v>166</v>
      </c>
      <c r="DD298" s="16" t="s">
        <v>166</v>
      </c>
      <c r="DE298" s="17" t="s">
        <v>166</v>
      </c>
      <c r="DF298" s="22">
        <v>25</v>
      </c>
      <c r="DG298" s="14" t="s">
        <v>5982</v>
      </c>
      <c r="DH298" s="14" t="s">
        <v>193</v>
      </c>
      <c r="DI298" s="14" t="s">
        <v>194</v>
      </c>
      <c r="DJ298" s="14" t="s">
        <v>5983</v>
      </c>
      <c r="DK298" s="14" t="s">
        <v>257</v>
      </c>
      <c r="DL298" s="21" t="s">
        <v>5984</v>
      </c>
      <c r="DM298" s="14" t="s">
        <v>198</v>
      </c>
      <c r="DN298" s="13" t="s">
        <v>5985</v>
      </c>
      <c r="DO298" s="20">
        <v>2020</v>
      </c>
      <c r="DP298" s="14" t="s">
        <v>166</v>
      </c>
      <c r="DQ298" s="14" t="s">
        <v>5986</v>
      </c>
      <c r="DR298" s="18">
        <v>0.89</v>
      </c>
      <c r="DS298" s="16" t="s">
        <v>166</v>
      </c>
      <c r="DT298" s="19" t="s">
        <v>166</v>
      </c>
      <c r="DU298" s="14" t="s">
        <v>166</v>
      </c>
      <c r="DV298" s="18" t="s">
        <v>166</v>
      </c>
      <c r="DW298" s="18" t="s">
        <v>166</v>
      </c>
      <c r="DX298" s="16" t="s">
        <v>166</v>
      </c>
      <c r="DY298" s="16" t="s">
        <v>166</v>
      </c>
      <c r="DZ298" s="17" t="s">
        <v>166</v>
      </c>
      <c r="EA298" s="16" t="s">
        <v>166</v>
      </c>
      <c r="EB298" s="16" t="s">
        <v>166</v>
      </c>
      <c r="EC298" s="16" t="s">
        <v>166</v>
      </c>
      <c r="ED298" s="17" t="s">
        <v>166</v>
      </c>
      <c r="EE298" s="17" t="s">
        <v>166</v>
      </c>
      <c r="EF298" s="17" t="s">
        <v>166</v>
      </c>
      <c r="EG298" s="17" t="s">
        <v>166</v>
      </c>
      <c r="EH298" s="16" t="s">
        <v>166</v>
      </c>
      <c r="EI298" s="16" t="s">
        <v>166</v>
      </c>
      <c r="EJ298" s="16" t="s">
        <v>166</v>
      </c>
      <c r="EK298" s="16" t="s">
        <v>166</v>
      </c>
      <c r="EL298" s="16" t="s">
        <v>166</v>
      </c>
      <c r="EM298" s="16" t="s">
        <v>166</v>
      </c>
      <c r="EN298" s="16" t="s">
        <v>166</v>
      </c>
      <c r="EO298" s="16" t="s">
        <v>166</v>
      </c>
      <c r="EP298" s="16" t="s">
        <v>166</v>
      </c>
      <c r="EQ298" s="16" t="s">
        <v>166</v>
      </c>
      <c r="ER298" s="16" t="s">
        <v>166</v>
      </c>
      <c r="ES298" s="16" t="s">
        <v>166</v>
      </c>
      <c r="ET298" s="14" t="s">
        <v>166</v>
      </c>
      <c r="EU298" s="16" t="s">
        <v>166</v>
      </c>
      <c r="EV298" s="16" t="s">
        <v>166</v>
      </c>
      <c r="EW298" s="16" t="s">
        <v>166</v>
      </c>
      <c r="EX298" s="14" t="s">
        <v>190</v>
      </c>
      <c r="EY298" s="14" t="s">
        <v>190</v>
      </c>
      <c r="EZ298" s="16" t="s">
        <v>166</v>
      </c>
      <c r="FA298" s="15">
        <v>18</v>
      </c>
      <c r="FB298" s="15">
        <v>9</v>
      </c>
      <c r="FC298" s="15">
        <v>6</v>
      </c>
      <c r="FD298" s="15">
        <v>12</v>
      </c>
      <c r="FE298" s="15" t="s">
        <v>166</v>
      </c>
      <c r="FF298" s="15" t="s">
        <v>166</v>
      </c>
      <c r="FG298" s="14" t="s">
        <v>5987</v>
      </c>
      <c r="FH298" s="3">
        <f>HYPERLINK("https://my.pitchbook.com?c=185408-02T","View Company Online")</f>
      </c>
    </row>
    <row r="299">
      <c r="A299" s="25" t="s">
        <v>5988</v>
      </c>
      <c r="B299" s="25" t="s">
        <v>5989</v>
      </c>
      <c r="C299" s="25" t="s">
        <v>5990</v>
      </c>
      <c r="D299" s="25" t="s">
        <v>166</v>
      </c>
      <c r="E299" s="34" t="s">
        <v>5991</v>
      </c>
      <c r="F299" s="32">
        <v>9</v>
      </c>
      <c r="G299" s="25" t="s">
        <v>5992</v>
      </c>
      <c r="H299" s="25" t="s">
        <v>166</v>
      </c>
      <c r="I299" s="25" t="s">
        <v>5993</v>
      </c>
      <c r="J299" s="25" t="s">
        <v>5994</v>
      </c>
      <c r="K299" s="25" t="s">
        <v>1500</v>
      </c>
      <c r="L299" s="25" t="s">
        <v>2200</v>
      </c>
      <c r="M299" s="25" t="s">
        <v>2201</v>
      </c>
      <c r="N299" s="25" t="s">
        <v>5995</v>
      </c>
      <c r="O299" s="25" t="s">
        <v>5996</v>
      </c>
      <c r="P299" s="25" t="s">
        <v>5997</v>
      </c>
      <c r="Q299" s="25" t="s">
        <v>166</v>
      </c>
      <c r="R299" s="25" t="s">
        <v>177</v>
      </c>
      <c r="S299" s="25" t="s">
        <v>178</v>
      </c>
      <c r="T299" s="25" t="s">
        <v>179</v>
      </c>
      <c r="U299" s="25" t="s">
        <v>5998</v>
      </c>
      <c r="V299" s="25" t="s">
        <v>5999</v>
      </c>
      <c r="W299" s="32" t="s">
        <v>6000</v>
      </c>
      <c r="X299" s="25" t="s">
        <v>6001</v>
      </c>
      <c r="Y299" s="25" t="s">
        <v>6002</v>
      </c>
      <c r="Z299" s="25" t="s">
        <v>6003</v>
      </c>
      <c r="AA299" s="25" t="s">
        <v>242</v>
      </c>
      <c r="AB299" s="25" t="s">
        <v>243</v>
      </c>
      <c r="AC299" s="25" t="s">
        <v>244</v>
      </c>
      <c r="AD299" s="25" t="s">
        <v>243</v>
      </c>
      <c r="AE299" s="25" t="s">
        <v>243</v>
      </c>
      <c r="AF299" s="25" t="s">
        <v>166</v>
      </c>
      <c r="AG299" s="25" t="s">
        <v>246</v>
      </c>
      <c r="AH299" s="32">
        <v>6</v>
      </c>
      <c r="AI299" s="4">
        <f>HYPERLINK("https://my.pitchbook.com/?d=129698-65T","129698-65T")</f>
      </c>
      <c r="AJ299" s="30">
        <v>43838</v>
      </c>
      <c r="AK299" s="30">
        <v>43845</v>
      </c>
      <c r="AL299" s="29">
        <v>3.2</v>
      </c>
      <c r="AM299" s="25" t="s">
        <v>185</v>
      </c>
      <c r="AN299" s="29">
        <v>10</v>
      </c>
      <c r="AO299" s="29">
        <v>13.2</v>
      </c>
      <c r="AP299" s="25" t="s">
        <v>185</v>
      </c>
      <c r="AQ299" s="32" t="s">
        <v>166</v>
      </c>
      <c r="AR299" s="32" t="s">
        <v>166</v>
      </c>
      <c r="AS299" s="28">
        <v>28.29</v>
      </c>
      <c r="AT299" s="29">
        <v>5.08</v>
      </c>
      <c r="AU299" s="32" t="s">
        <v>186</v>
      </c>
      <c r="AV299" s="32" t="s">
        <v>166</v>
      </c>
      <c r="AW299" s="29">
        <v>0.94</v>
      </c>
      <c r="AX299" s="32" t="s">
        <v>166</v>
      </c>
      <c r="AY299" s="25" t="s">
        <v>217</v>
      </c>
      <c r="AZ299" s="25" t="s">
        <v>217</v>
      </c>
      <c r="BA299" s="25" t="s">
        <v>166</v>
      </c>
      <c r="BB299" s="32" t="s">
        <v>166</v>
      </c>
      <c r="BC299" s="25" t="s">
        <v>179</v>
      </c>
      <c r="BD299" s="25" t="s">
        <v>6004</v>
      </c>
      <c r="BE299" s="25" t="s">
        <v>189</v>
      </c>
      <c r="BF299" s="29">
        <v>3.2</v>
      </c>
      <c r="BG299" s="25" t="s">
        <v>190</v>
      </c>
      <c r="BH299" s="25" t="s">
        <v>166</v>
      </c>
      <c r="BI299" s="25" t="s">
        <v>166</v>
      </c>
      <c r="BJ299" s="29" t="s">
        <v>166</v>
      </c>
      <c r="BK299" s="29" t="s">
        <v>166</v>
      </c>
      <c r="BL299" s="25" t="s">
        <v>191</v>
      </c>
      <c r="BM299" s="25" t="s">
        <v>178</v>
      </c>
      <c r="BN299" s="25" t="s">
        <v>177</v>
      </c>
      <c r="BO299" s="33" t="s">
        <v>166</v>
      </c>
      <c r="BP299" s="25" t="s">
        <v>6005</v>
      </c>
      <c r="BQ299" s="32">
        <v>8</v>
      </c>
      <c r="BR299" s="25" t="s">
        <v>6006</v>
      </c>
      <c r="BS299" s="32">
        <v>1</v>
      </c>
      <c r="BT299" s="25" t="s">
        <v>6007</v>
      </c>
      <c r="BU299" s="25" t="s">
        <v>166</v>
      </c>
      <c r="BV299" s="25" t="s">
        <v>6008</v>
      </c>
      <c r="BW299" s="25" t="s">
        <v>166</v>
      </c>
      <c r="BX299" s="25" t="s">
        <v>166</v>
      </c>
      <c r="BY299" s="25" t="s">
        <v>166</v>
      </c>
      <c r="BZ299" s="25" t="s">
        <v>6009</v>
      </c>
      <c r="CA299" s="25" t="s">
        <v>6010</v>
      </c>
      <c r="CB299" s="25" t="s">
        <v>166</v>
      </c>
      <c r="CC299" s="25" t="s">
        <v>6011</v>
      </c>
      <c r="CD299" s="25" t="s">
        <v>166</v>
      </c>
      <c r="CE299" s="29" t="s">
        <v>166</v>
      </c>
      <c r="CF299" s="27" t="s">
        <v>166</v>
      </c>
      <c r="CG299" s="28" t="s">
        <v>166</v>
      </c>
      <c r="CH299" s="27" t="s">
        <v>166</v>
      </c>
      <c r="CI299" s="27" t="s">
        <v>166</v>
      </c>
      <c r="CJ299" s="27" t="s">
        <v>166</v>
      </c>
      <c r="CK299" s="27" t="s">
        <v>166</v>
      </c>
      <c r="CL299" s="27" t="s">
        <v>166</v>
      </c>
      <c r="CM299" s="31" t="s">
        <v>166</v>
      </c>
      <c r="CN299" s="27" t="s">
        <v>166</v>
      </c>
      <c r="CO299" s="27" t="s">
        <v>166</v>
      </c>
      <c r="CP299" s="27" t="s">
        <v>166</v>
      </c>
      <c r="CQ299" s="27" t="s">
        <v>166</v>
      </c>
      <c r="CR299" s="27" t="s">
        <v>166</v>
      </c>
      <c r="CS299" s="27" t="s">
        <v>166</v>
      </c>
      <c r="CT299" s="27" t="s">
        <v>166</v>
      </c>
      <c r="CU299" s="27" t="s">
        <v>166</v>
      </c>
      <c r="CV299" s="27" t="s">
        <v>166</v>
      </c>
      <c r="CW299" s="27" t="s">
        <v>166</v>
      </c>
      <c r="CX299" s="27" t="s">
        <v>166</v>
      </c>
      <c r="CY299" s="27" t="s">
        <v>166</v>
      </c>
      <c r="CZ299" s="27" t="s">
        <v>166</v>
      </c>
      <c r="DA299" s="27" t="s">
        <v>166</v>
      </c>
      <c r="DB299" s="27" t="s">
        <v>166</v>
      </c>
      <c r="DC299" s="27" t="s">
        <v>166</v>
      </c>
      <c r="DD299" s="27" t="s">
        <v>166</v>
      </c>
      <c r="DE299" s="28" t="s">
        <v>166</v>
      </c>
      <c r="DF299" s="33">
        <v>27</v>
      </c>
      <c r="DG299" s="25" t="s">
        <v>5531</v>
      </c>
      <c r="DH299" s="25" t="s">
        <v>193</v>
      </c>
      <c r="DI299" s="25" t="s">
        <v>194</v>
      </c>
      <c r="DJ299" s="25" t="s">
        <v>5532</v>
      </c>
      <c r="DK299" s="25" t="s">
        <v>257</v>
      </c>
      <c r="DL299" s="32" t="s">
        <v>5533</v>
      </c>
      <c r="DM299" s="25" t="s">
        <v>198</v>
      </c>
      <c r="DN299" s="24" t="s">
        <v>6012</v>
      </c>
      <c r="DO299" s="31">
        <v>2016</v>
      </c>
      <c r="DP299" s="25" t="s">
        <v>166</v>
      </c>
      <c r="DQ299" s="25" t="s">
        <v>166</v>
      </c>
      <c r="DR299" s="29" t="s">
        <v>166</v>
      </c>
      <c r="DS299" s="27" t="s">
        <v>166</v>
      </c>
      <c r="DT299" s="30" t="s">
        <v>166</v>
      </c>
      <c r="DU299" s="25" t="s">
        <v>166</v>
      </c>
      <c r="DV299" s="29" t="s">
        <v>166</v>
      </c>
      <c r="DW299" s="29" t="s">
        <v>166</v>
      </c>
      <c r="DX299" s="27" t="s">
        <v>166</v>
      </c>
      <c r="DY299" s="27" t="s">
        <v>166</v>
      </c>
      <c r="DZ299" s="28" t="s">
        <v>166</v>
      </c>
      <c r="EA299" s="27" t="s">
        <v>166</v>
      </c>
      <c r="EB299" s="27" t="s">
        <v>166</v>
      </c>
      <c r="EC299" s="27" t="s">
        <v>166</v>
      </c>
      <c r="ED299" s="28" t="s">
        <v>166</v>
      </c>
      <c r="EE299" s="28" t="s">
        <v>166</v>
      </c>
      <c r="EF299" s="28" t="s">
        <v>166</v>
      </c>
      <c r="EG299" s="28" t="s">
        <v>166</v>
      </c>
      <c r="EH299" s="27" t="s">
        <v>166</v>
      </c>
      <c r="EI299" s="27" t="s">
        <v>166</v>
      </c>
      <c r="EJ299" s="27" t="s">
        <v>166</v>
      </c>
      <c r="EK299" s="27" t="s">
        <v>166</v>
      </c>
      <c r="EL299" s="27" t="s">
        <v>166</v>
      </c>
      <c r="EM299" s="27" t="s">
        <v>166</v>
      </c>
      <c r="EN299" s="27" t="s">
        <v>166</v>
      </c>
      <c r="EO299" s="27" t="s">
        <v>166</v>
      </c>
      <c r="EP299" s="27" t="s">
        <v>166</v>
      </c>
      <c r="EQ299" s="27" t="s">
        <v>166</v>
      </c>
      <c r="ER299" s="27" t="s">
        <v>166</v>
      </c>
      <c r="ES299" s="27" t="s">
        <v>166</v>
      </c>
      <c r="ET299" s="25" t="s">
        <v>166</v>
      </c>
      <c r="EU299" s="27" t="s">
        <v>166</v>
      </c>
      <c r="EV299" s="27" t="s">
        <v>166</v>
      </c>
      <c r="EW299" s="27" t="s">
        <v>166</v>
      </c>
      <c r="EX299" s="25" t="s">
        <v>190</v>
      </c>
      <c r="EY299" s="25" t="s">
        <v>166</v>
      </c>
      <c r="EZ299" s="27" t="s">
        <v>166</v>
      </c>
      <c r="FA299" s="26" t="s">
        <v>166</v>
      </c>
      <c r="FB299" s="26" t="s">
        <v>166</v>
      </c>
      <c r="FC299" s="26" t="s">
        <v>166</v>
      </c>
      <c r="FD299" s="26" t="s">
        <v>166</v>
      </c>
      <c r="FE299" s="26" t="s">
        <v>166</v>
      </c>
      <c r="FF299" s="26" t="s">
        <v>166</v>
      </c>
      <c r="FG299" s="25" t="s">
        <v>166</v>
      </c>
      <c r="FH299" s="4">
        <f>HYPERLINK("https://my.pitchbook.com?c=129698-65T","View Company Online")</f>
      </c>
    </row>
    <row r="300">
      <c r="A300" s="14" t="s">
        <v>6013</v>
      </c>
      <c r="B300" s="14" t="s">
        <v>6014</v>
      </c>
      <c r="C300" s="14" t="s">
        <v>6015</v>
      </c>
      <c r="D300" s="14" t="s">
        <v>166</v>
      </c>
      <c r="E300" s="23" t="s">
        <v>6016</v>
      </c>
      <c r="F300" s="21">
        <v>2</v>
      </c>
      <c r="G300" s="14" t="s">
        <v>6017</v>
      </c>
      <c r="H300" s="14" t="s">
        <v>166</v>
      </c>
      <c r="I300" s="14" t="s">
        <v>6018</v>
      </c>
      <c r="J300" s="14" t="s">
        <v>6019</v>
      </c>
      <c r="K300" s="14" t="s">
        <v>207</v>
      </c>
      <c r="L300" s="14" t="s">
        <v>208</v>
      </c>
      <c r="M300" s="14" t="s">
        <v>209</v>
      </c>
      <c r="N300" s="14" t="s">
        <v>269</v>
      </c>
      <c r="O300" s="14" t="s">
        <v>6020</v>
      </c>
      <c r="P300" s="14" t="s">
        <v>6021</v>
      </c>
      <c r="Q300" s="14" t="s">
        <v>6022</v>
      </c>
      <c r="R300" s="14" t="s">
        <v>177</v>
      </c>
      <c r="S300" s="14" t="s">
        <v>178</v>
      </c>
      <c r="T300" s="14" t="s">
        <v>179</v>
      </c>
      <c r="U300" s="14" t="s">
        <v>6023</v>
      </c>
      <c r="V300" s="14" t="s">
        <v>6024</v>
      </c>
      <c r="W300" s="21" t="s">
        <v>6025</v>
      </c>
      <c r="X300" s="14" t="s">
        <v>6026</v>
      </c>
      <c r="Y300" s="14" t="s">
        <v>6027</v>
      </c>
      <c r="Z300" s="14" t="s">
        <v>166</v>
      </c>
      <c r="AA300" s="14" t="s">
        <v>166</v>
      </c>
      <c r="AB300" s="14" t="s">
        <v>166</v>
      </c>
      <c r="AC300" s="14" t="s">
        <v>166</v>
      </c>
      <c r="AD300" s="14" t="s">
        <v>166</v>
      </c>
      <c r="AE300" s="14" t="s">
        <v>166</v>
      </c>
      <c r="AF300" s="14" t="s">
        <v>166</v>
      </c>
      <c r="AG300" s="14" t="s">
        <v>166</v>
      </c>
      <c r="AH300" s="21">
        <v>1</v>
      </c>
      <c r="AI300" s="3">
        <f>HYPERLINK("https://my.pitchbook.com/?d=203250-16T","203250-16T")</f>
      </c>
      <c r="AJ300" s="19">
        <v>44756</v>
      </c>
      <c r="AK300" s="19">
        <v>44811</v>
      </c>
      <c r="AL300" s="18">
        <v>3</v>
      </c>
      <c r="AM300" s="14" t="s">
        <v>185</v>
      </c>
      <c r="AN300" s="18" t="s">
        <v>166</v>
      </c>
      <c r="AO300" s="18" t="s">
        <v>166</v>
      </c>
      <c r="AP300" s="14" t="s">
        <v>166</v>
      </c>
      <c r="AQ300" s="21" t="s">
        <v>166</v>
      </c>
      <c r="AR300" s="21" t="s">
        <v>166</v>
      </c>
      <c r="AS300" s="17" t="s">
        <v>166</v>
      </c>
      <c r="AT300" s="18">
        <v>3</v>
      </c>
      <c r="AU300" s="21" t="s">
        <v>186</v>
      </c>
      <c r="AV300" s="21" t="s">
        <v>166</v>
      </c>
      <c r="AW300" s="18" t="s">
        <v>166</v>
      </c>
      <c r="AX300" s="21" t="s">
        <v>166</v>
      </c>
      <c r="AY300" s="14" t="s">
        <v>217</v>
      </c>
      <c r="AZ300" s="14" t="s">
        <v>217</v>
      </c>
      <c r="BA300" s="14" t="s">
        <v>166</v>
      </c>
      <c r="BB300" s="21" t="s">
        <v>166</v>
      </c>
      <c r="BC300" s="14" t="s">
        <v>179</v>
      </c>
      <c r="BD300" s="14" t="s">
        <v>6028</v>
      </c>
      <c r="BE300" s="14" t="s">
        <v>189</v>
      </c>
      <c r="BF300" s="18">
        <v>3</v>
      </c>
      <c r="BG300" s="14" t="s">
        <v>190</v>
      </c>
      <c r="BH300" s="14" t="s">
        <v>166</v>
      </c>
      <c r="BI300" s="14" t="s">
        <v>166</v>
      </c>
      <c r="BJ300" s="18" t="s">
        <v>166</v>
      </c>
      <c r="BK300" s="18" t="s">
        <v>166</v>
      </c>
      <c r="BL300" s="14" t="s">
        <v>191</v>
      </c>
      <c r="BM300" s="14" t="s">
        <v>358</v>
      </c>
      <c r="BN300" s="14" t="s">
        <v>177</v>
      </c>
      <c r="BO300" s="22" t="s">
        <v>166</v>
      </c>
      <c r="BP300" s="14" t="s">
        <v>6029</v>
      </c>
      <c r="BQ300" s="21">
        <v>2</v>
      </c>
      <c r="BR300" s="14" t="s">
        <v>166</v>
      </c>
      <c r="BS300" s="21" t="s">
        <v>166</v>
      </c>
      <c r="BT300" s="14" t="s">
        <v>6030</v>
      </c>
      <c r="BU300" s="14" t="s">
        <v>166</v>
      </c>
      <c r="BV300" s="14" t="s">
        <v>166</v>
      </c>
      <c r="BW300" s="14" t="s">
        <v>166</v>
      </c>
      <c r="BX300" s="14" t="s">
        <v>166</v>
      </c>
      <c r="BY300" s="14" t="s">
        <v>166</v>
      </c>
      <c r="BZ300" s="14" t="s">
        <v>166</v>
      </c>
      <c r="CA300" s="14" t="s">
        <v>166</v>
      </c>
      <c r="CB300" s="14" t="s">
        <v>166</v>
      </c>
      <c r="CC300" s="14" t="s">
        <v>166</v>
      </c>
      <c r="CD300" s="14" t="s">
        <v>166</v>
      </c>
      <c r="CE300" s="18" t="s">
        <v>166</v>
      </c>
      <c r="CF300" s="16" t="s">
        <v>166</v>
      </c>
      <c r="CG300" s="17" t="s">
        <v>166</v>
      </c>
      <c r="CH300" s="16" t="s">
        <v>166</v>
      </c>
      <c r="CI300" s="16" t="s">
        <v>166</v>
      </c>
      <c r="CJ300" s="16" t="s">
        <v>166</v>
      </c>
      <c r="CK300" s="16" t="s">
        <v>166</v>
      </c>
      <c r="CL300" s="16" t="s">
        <v>166</v>
      </c>
      <c r="CM300" s="20" t="s">
        <v>166</v>
      </c>
      <c r="CN300" s="16" t="s">
        <v>166</v>
      </c>
      <c r="CO300" s="16" t="s">
        <v>166</v>
      </c>
      <c r="CP300" s="16" t="s">
        <v>166</v>
      </c>
      <c r="CQ300" s="16" t="s">
        <v>166</v>
      </c>
      <c r="CR300" s="16" t="s">
        <v>166</v>
      </c>
      <c r="CS300" s="16" t="s">
        <v>166</v>
      </c>
      <c r="CT300" s="16" t="s">
        <v>166</v>
      </c>
      <c r="CU300" s="16" t="s">
        <v>166</v>
      </c>
      <c r="CV300" s="16" t="s">
        <v>166</v>
      </c>
      <c r="CW300" s="16" t="s">
        <v>166</v>
      </c>
      <c r="CX300" s="16" t="s">
        <v>166</v>
      </c>
      <c r="CY300" s="16" t="s">
        <v>166</v>
      </c>
      <c r="CZ300" s="16" t="s">
        <v>166</v>
      </c>
      <c r="DA300" s="16" t="s">
        <v>166</v>
      </c>
      <c r="DB300" s="16" t="s">
        <v>166</v>
      </c>
      <c r="DC300" s="16" t="s">
        <v>166</v>
      </c>
      <c r="DD300" s="16" t="s">
        <v>166</v>
      </c>
      <c r="DE300" s="17" t="s">
        <v>166</v>
      </c>
      <c r="DF300" s="22">
        <v>9</v>
      </c>
      <c r="DG300" s="14" t="s">
        <v>1886</v>
      </c>
      <c r="DH300" s="14" t="s">
        <v>193</v>
      </c>
      <c r="DI300" s="14" t="s">
        <v>194</v>
      </c>
      <c r="DJ300" s="14" t="s">
        <v>1887</v>
      </c>
      <c r="DK300" s="14" t="s">
        <v>1888</v>
      </c>
      <c r="DL300" s="21" t="s">
        <v>6031</v>
      </c>
      <c r="DM300" s="14" t="s">
        <v>198</v>
      </c>
      <c r="DN300" s="13" t="s">
        <v>6032</v>
      </c>
      <c r="DO300" s="20">
        <v>2022</v>
      </c>
      <c r="DP300" s="14" t="s">
        <v>166</v>
      </c>
      <c r="DQ300" s="14" t="s">
        <v>166</v>
      </c>
      <c r="DR300" s="18" t="s">
        <v>166</v>
      </c>
      <c r="DS300" s="16" t="s">
        <v>166</v>
      </c>
      <c r="DT300" s="19" t="s">
        <v>166</v>
      </c>
      <c r="DU300" s="14" t="s">
        <v>166</v>
      </c>
      <c r="DV300" s="18" t="s">
        <v>166</v>
      </c>
      <c r="DW300" s="18" t="s">
        <v>166</v>
      </c>
      <c r="DX300" s="16" t="s">
        <v>166</v>
      </c>
      <c r="DY300" s="16" t="s">
        <v>166</v>
      </c>
      <c r="DZ300" s="17" t="s">
        <v>166</v>
      </c>
      <c r="EA300" s="16" t="s">
        <v>166</v>
      </c>
      <c r="EB300" s="16" t="s">
        <v>166</v>
      </c>
      <c r="EC300" s="16" t="s">
        <v>166</v>
      </c>
      <c r="ED300" s="17" t="s">
        <v>166</v>
      </c>
      <c r="EE300" s="17" t="s">
        <v>166</v>
      </c>
      <c r="EF300" s="17" t="s">
        <v>166</v>
      </c>
      <c r="EG300" s="17" t="s">
        <v>166</v>
      </c>
      <c r="EH300" s="16" t="s">
        <v>166</v>
      </c>
      <c r="EI300" s="16" t="s">
        <v>166</v>
      </c>
      <c r="EJ300" s="16" t="s">
        <v>166</v>
      </c>
      <c r="EK300" s="16" t="s">
        <v>166</v>
      </c>
      <c r="EL300" s="16" t="s">
        <v>166</v>
      </c>
      <c r="EM300" s="16" t="s">
        <v>166</v>
      </c>
      <c r="EN300" s="16" t="s">
        <v>166</v>
      </c>
      <c r="EO300" s="16" t="s">
        <v>166</v>
      </c>
      <c r="EP300" s="16" t="s">
        <v>166</v>
      </c>
      <c r="EQ300" s="16" t="s">
        <v>166</v>
      </c>
      <c r="ER300" s="16" t="s">
        <v>166</v>
      </c>
      <c r="ES300" s="16" t="s">
        <v>166</v>
      </c>
      <c r="ET300" s="14" t="s">
        <v>166</v>
      </c>
      <c r="EU300" s="16" t="s">
        <v>166</v>
      </c>
      <c r="EV300" s="16" t="s">
        <v>166</v>
      </c>
      <c r="EW300" s="16" t="s">
        <v>166</v>
      </c>
      <c r="EX300" s="14" t="s">
        <v>190</v>
      </c>
      <c r="EY300" s="14" t="s">
        <v>166</v>
      </c>
      <c r="EZ300" s="16" t="s">
        <v>166</v>
      </c>
      <c r="FA300" s="15" t="s">
        <v>166</v>
      </c>
      <c r="FB300" s="15" t="s">
        <v>166</v>
      </c>
      <c r="FC300" s="15" t="s">
        <v>166</v>
      </c>
      <c r="FD300" s="15" t="s">
        <v>166</v>
      </c>
      <c r="FE300" s="15" t="s">
        <v>166</v>
      </c>
      <c r="FF300" s="15" t="s">
        <v>166</v>
      </c>
      <c r="FG300" s="14" t="s">
        <v>166</v>
      </c>
      <c r="FH300" s="3">
        <f>HYPERLINK("https://my.pitchbook.com?c=203250-16T","View Company Online")</f>
      </c>
    </row>
    <row r="301">
      <c r="A301" s="25" t="s">
        <v>6033</v>
      </c>
      <c r="B301" s="25" t="s">
        <v>6034</v>
      </c>
      <c r="C301" s="25" t="s">
        <v>6035</v>
      </c>
      <c r="D301" s="25" t="s">
        <v>166</v>
      </c>
      <c r="E301" s="34" t="s">
        <v>6036</v>
      </c>
      <c r="F301" s="32">
        <v>7</v>
      </c>
      <c r="G301" s="25" t="s">
        <v>6037</v>
      </c>
      <c r="H301" s="25" t="s">
        <v>166</v>
      </c>
      <c r="I301" s="25" t="s">
        <v>6038</v>
      </c>
      <c r="J301" s="25" t="s">
        <v>6039</v>
      </c>
      <c r="K301" s="25" t="s">
        <v>207</v>
      </c>
      <c r="L301" s="25" t="s">
        <v>208</v>
      </c>
      <c r="M301" s="25" t="s">
        <v>296</v>
      </c>
      <c r="N301" s="25" t="s">
        <v>1666</v>
      </c>
      <c r="O301" s="25" t="s">
        <v>6040</v>
      </c>
      <c r="P301" s="25" t="s">
        <v>6041</v>
      </c>
      <c r="Q301" s="25" t="s">
        <v>166</v>
      </c>
      <c r="R301" s="25" t="s">
        <v>177</v>
      </c>
      <c r="S301" s="25" t="s">
        <v>178</v>
      </c>
      <c r="T301" s="25" t="s">
        <v>179</v>
      </c>
      <c r="U301" s="25" t="s">
        <v>6042</v>
      </c>
      <c r="V301" s="25" t="s">
        <v>6043</v>
      </c>
      <c r="W301" s="32" t="s">
        <v>6044</v>
      </c>
      <c r="X301" s="25" t="s">
        <v>6045</v>
      </c>
      <c r="Y301" s="25" t="s">
        <v>6046</v>
      </c>
      <c r="Z301" s="25" t="s">
        <v>6047</v>
      </c>
      <c r="AA301" s="25" t="s">
        <v>242</v>
      </c>
      <c r="AB301" s="25" t="s">
        <v>243</v>
      </c>
      <c r="AC301" s="25" t="s">
        <v>244</v>
      </c>
      <c r="AD301" s="25" t="s">
        <v>166</v>
      </c>
      <c r="AE301" s="25" t="s">
        <v>243</v>
      </c>
      <c r="AF301" s="25" t="s">
        <v>166</v>
      </c>
      <c r="AG301" s="25" t="s">
        <v>246</v>
      </c>
      <c r="AH301" s="32">
        <v>1</v>
      </c>
      <c r="AI301" s="4">
        <f>HYPERLINK("https://my.pitchbook.com/?d=175110-76T","175110-76T")</f>
      </c>
      <c r="AJ301" s="30" t="s">
        <v>166</v>
      </c>
      <c r="AK301" s="30">
        <v>44127</v>
      </c>
      <c r="AL301" s="29">
        <v>0.17</v>
      </c>
      <c r="AM301" s="25" t="s">
        <v>247</v>
      </c>
      <c r="AN301" s="29">
        <v>2.83</v>
      </c>
      <c r="AO301" s="29">
        <v>3</v>
      </c>
      <c r="AP301" s="25" t="s">
        <v>185</v>
      </c>
      <c r="AQ301" s="32" t="s">
        <v>166</v>
      </c>
      <c r="AR301" s="32" t="s">
        <v>166</v>
      </c>
      <c r="AS301" s="28">
        <v>12.47</v>
      </c>
      <c r="AT301" s="29">
        <v>0.17</v>
      </c>
      <c r="AU301" s="32" t="s">
        <v>186</v>
      </c>
      <c r="AV301" s="32" t="s">
        <v>166</v>
      </c>
      <c r="AW301" s="29">
        <v>0.11</v>
      </c>
      <c r="AX301" s="32" t="s">
        <v>166</v>
      </c>
      <c r="AY301" s="25" t="s">
        <v>217</v>
      </c>
      <c r="AZ301" s="25" t="s">
        <v>217</v>
      </c>
      <c r="BA301" s="25" t="s">
        <v>166</v>
      </c>
      <c r="BB301" s="32" t="s">
        <v>166</v>
      </c>
      <c r="BC301" s="25" t="s">
        <v>179</v>
      </c>
      <c r="BD301" s="25" t="s">
        <v>6048</v>
      </c>
      <c r="BE301" s="25" t="s">
        <v>189</v>
      </c>
      <c r="BF301" s="29">
        <v>0.17</v>
      </c>
      <c r="BG301" s="25" t="s">
        <v>190</v>
      </c>
      <c r="BH301" s="25" t="s">
        <v>166</v>
      </c>
      <c r="BI301" s="25" t="s">
        <v>166</v>
      </c>
      <c r="BJ301" s="29" t="s">
        <v>166</v>
      </c>
      <c r="BK301" s="29" t="s">
        <v>166</v>
      </c>
      <c r="BL301" s="25" t="s">
        <v>191</v>
      </c>
      <c r="BM301" s="25" t="s">
        <v>178</v>
      </c>
      <c r="BN301" s="25" t="s">
        <v>177</v>
      </c>
      <c r="BO301" s="33" t="s">
        <v>166</v>
      </c>
      <c r="BP301" s="25" t="s">
        <v>6036</v>
      </c>
      <c r="BQ301" s="32">
        <v>7</v>
      </c>
      <c r="BR301" s="25" t="s">
        <v>166</v>
      </c>
      <c r="BS301" s="32" t="s">
        <v>166</v>
      </c>
      <c r="BT301" s="25" t="s">
        <v>166</v>
      </c>
      <c r="BU301" s="25" t="s">
        <v>166</v>
      </c>
      <c r="BV301" s="25" t="s">
        <v>6049</v>
      </c>
      <c r="BW301" s="25" t="s">
        <v>166</v>
      </c>
      <c r="BX301" s="25" t="s">
        <v>166</v>
      </c>
      <c r="BY301" s="25" t="s">
        <v>166</v>
      </c>
      <c r="BZ301" s="25" t="s">
        <v>166</v>
      </c>
      <c r="CA301" s="25" t="s">
        <v>166</v>
      </c>
      <c r="CB301" s="25" t="s">
        <v>166</v>
      </c>
      <c r="CC301" s="25" t="s">
        <v>166</v>
      </c>
      <c r="CD301" s="25" t="s">
        <v>166</v>
      </c>
      <c r="CE301" s="29" t="s">
        <v>166</v>
      </c>
      <c r="CF301" s="27" t="s">
        <v>166</v>
      </c>
      <c r="CG301" s="28" t="s">
        <v>166</v>
      </c>
      <c r="CH301" s="27" t="s">
        <v>166</v>
      </c>
      <c r="CI301" s="27" t="s">
        <v>166</v>
      </c>
      <c r="CJ301" s="27" t="s">
        <v>166</v>
      </c>
      <c r="CK301" s="27" t="s">
        <v>166</v>
      </c>
      <c r="CL301" s="27" t="s">
        <v>166</v>
      </c>
      <c r="CM301" s="31" t="s">
        <v>166</v>
      </c>
      <c r="CN301" s="27" t="s">
        <v>166</v>
      </c>
      <c r="CO301" s="27" t="s">
        <v>166</v>
      </c>
      <c r="CP301" s="27" t="s">
        <v>166</v>
      </c>
      <c r="CQ301" s="27" t="s">
        <v>166</v>
      </c>
      <c r="CR301" s="27" t="s">
        <v>166</v>
      </c>
      <c r="CS301" s="27" t="s">
        <v>166</v>
      </c>
      <c r="CT301" s="27" t="s">
        <v>166</v>
      </c>
      <c r="CU301" s="27" t="s">
        <v>166</v>
      </c>
      <c r="CV301" s="27" t="s">
        <v>166</v>
      </c>
      <c r="CW301" s="27" t="s">
        <v>166</v>
      </c>
      <c r="CX301" s="27" t="s">
        <v>166</v>
      </c>
      <c r="CY301" s="27" t="s">
        <v>166</v>
      </c>
      <c r="CZ301" s="27" t="s">
        <v>166</v>
      </c>
      <c r="DA301" s="27" t="s">
        <v>166</v>
      </c>
      <c r="DB301" s="27" t="s">
        <v>166</v>
      </c>
      <c r="DC301" s="27" t="s">
        <v>166</v>
      </c>
      <c r="DD301" s="27" t="s">
        <v>166</v>
      </c>
      <c r="DE301" s="28" t="s">
        <v>166</v>
      </c>
      <c r="DF301" s="33">
        <v>20</v>
      </c>
      <c r="DG301" s="25" t="s">
        <v>309</v>
      </c>
      <c r="DH301" s="25" t="s">
        <v>193</v>
      </c>
      <c r="DI301" s="25" t="s">
        <v>194</v>
      </c>
      <c r="DJ301" s="25" t="s">
        <v>310</v>
      </c>
      <c r="DK301" s="25" t="s">
        <v>310</v>
      </c>
      <c r="DL301" s="32" t="s">
        <v>6050</v>
      </c>
      <c r="DM301" s="25" t="s">
        <v>198</v>
      </c>
      <c r="DN301" s="24" t="s">
        <v>6051</v>
      </c>
      <c r="DO301" s="31">
        <v>2019</v>
      </c>
      <c r="DP301" s="25" t="s">
        <v>166</v>
      </c>
      <c r="DQ301" s="25" t="s">
        <v>166</v>
      </c>
      <c r="DR301" s="29" t="s">
        <v>166</v>
      </c>
      <c r="DS301" s="27" t="s">
        <v>166</v>
      </c>
      <c r="DT301" s="30" t="s">
        <v>166</v>
      </c>
      <c r="DU301" s="25" t="s">
        <v>166</v>
      </c>
      <c r="DV301" s="29" t="s">
        <v>166</v>
      </c>
      <c r="DW301" s="29" t="s">
        <v>166</v>
      </c>
      <c r="DX301" s="27" t="s">
        <v>166</v>
      </c>
      <c r="DY301" s="27" t="s">
        <v>166</v>
      </c>
      <c r="DZ301" s="28" t="s">
        <v>166</v>
      </c>
      <c r="EA301" s="27" t="s">
        <v>166</v>
      </c>
      <c r="EB301" s="27" t="s">
        <v>166</v>
      </c>
      <c r="EC301" s="27" t="s">
        <v>166</v>
      </c>
      <c r="ED301" s="28" t="s">
        <v>166</v>
      </c>
      <c r="EE301" s="28" t="s">
        <v>166</v>
      </c>
      <c r="EF301" s="28" t="s">
        <v>166</v>
      </c>
      <c r="EG301" s="28" t="s">
        <v>166</v>
      </c>
      <c r="EH301" s="27" t="s">
        <v>166</v>
      </c>
      <c r="EI301" s="27" t="s">
        <v>166</v>
      </c>
      <c r="EJ301" s="27" t="s">
        <v>166</v>
      </c>
      <c r="EK301" s="27" t="s">
        <v>166</v>
      </c>
      <c r="EL301" s="27" t="s">
        <v>166</v>
      </c>
      <c r="EM301" s="27" t="s">
        <v>166</v>
      </c>
      <c r="EN301" s="27" t="s">
        <v>166</v>
      </c>
      <c r="EO301" s="27" t="s">
        <v>166</v>
      </c>
      <c r="EP301" s="27" t="s">
        <v>166</v>
      </c>
      <c r="EQ301" s="27" t="s">
        <v>166</v>
      </c>
      <c r="ER301" s="27" t="s">
        <v>166</v>
      </c>
      <c r="ES301" s="27" t="s">
        <v>166</v>
      </c>
      <c r="ET301" s="25" t="s">
        <v>166</v>
      </c>
      <c r="EU301" s="27" t="s">
        <v>166</v>
      </c>
      <c r="EV301" s="27" t="s">
        <v>166</v>
      </c>
      <c r="EW301" s="27" t="s">
        <v>166</v>
      </c>
      <c r="EX301" s="25" t="s">
        <v>190</v>
      </c>
      <c r="EY301" s="25" t="s">
        <v>166</v>
      </c>
      <c r="EZ301" s="27" t="s">
        <v>166</v>
      </c>
      <c r="FA301" s="26">
        <v>4</v>
      </c>
      <c r="FB301" s="26">
        <v>3</v>
      </c>
      <c r="FC301" s="26">
        <v>2</v>
      </c>
      <c r="FD301" s="26">
        <v>1</v>
      </c>
      <c r="FE301" s="26" t="s">
        <v>166</v>
      </c>
      <c r="FF301" s="26">
        <v>1</v>
      </c>
      <c r="FG301" s="25" t="s">
        <v>364</v>
      </c>
      <c r="FH301" s="4">
        <f>HYPERLINK("https://my.pitchbook.com?c=175110-76T","View Company Online")</f>
      </c>
    </row>
    <row r="302">
      <c r="A302" s="14" t="s">
        <v>6052</v>
      </c>
      <c r="B302" s="14" t="s">
        <v>6053</v>
      </c>
      <c r="C302" s="14" t="s">
        <v>6054</v>
      </c>
      <c r="D302" s="14" t="s">
        <v>166</v>
      </c>
      <c r="E302" s="23" t="s">
        <v>6055</v>
      </c>
      <c r="F302" s="21">
        <v>13</v>
      </c>
      <c r="G302" s="14" t="s">
        <v>6056</v>
      </c>
      <c r="H302" s="14" t="s">
        <v>166</v>
      </c>
      <c r="I302" s="14" t="s">
        <v>6057</v>
      </c>
      <c r="J302" s="14" t="s">
        <v>6058</v>
      </c>
      <c r="K302" s="14" t="s">
        <v>207</v>
      </c>
      <c r="L302" s="14" t="s">
        <v>208</v>
      </c>
      <c r="M302" s="14" t="s">
        <v>882</v>
      </c>
      <c r="N302" s="14" t="s">
        <v>6059</v>
      </c>
      <c r="O302" s="14" t="s">
        <v>4158</v>
      </c>
      <c r="P302" s="14" t="s">
        <v>6060</v>
      </c>
      <c r="Q302" s="14" t="s">
        <v>166</v>
      </c>
      <c r="R302" s="14" t="s">
        <v>177</v>
      </c>
      <c r="S302" s="14" t="s">
        <v>178</v>
      </c>
      <c r="T302" s="14" t="s">
        <v>179</v>
      </c>
      <c r="U302" s="14" t="s">
        <v>6061</v>
      </c>
      <c r="V302" s="14" t="s">
        <v>6062</v>
      </c>
      <c r="W302" s="21" t="s">
        <v>166</v>
      </c>
      <c r="X302" s="14" t="s">
        <v>6063</v>
      </c>
      <c r="Y302" s="14" t="s">
        <v>6064</v>
      </c>
      <c r="Z302" s="14" t="s">
        <v>166</v>
      </c>
      <c r="AA302" s="14" t="s">
        <v>166</v>
      </c>
      <c r="AB302" s="14" t="s">
        <v>166</v>
      </c>
      <c r="AC302" s="14" t="s">
        <v>166</v>
      </c>
      <c r="AD302" s="14" t="s">
        <v>166</v>
      </c>
      <c r="AE302" s="14" t="s">
        <v>166</v>
      </c>
      <c r="AF302" s="14" t="s">
        <v>166</v>
      </c>
      <c r="AG302" s="14" t="s">
        <v>166</v>
      </c>
      <c r="AH302" s="21">
        <v>2</v>
      </c>
      <c r="AI302" s="3">
        <f>HYPERLINK("https://my.pitchbook.com/?d=177874-66T","177874-66T")</f>
      </c>
      <c r="AJ302" s="19" t="s">
        <v>166</v>
      </c>
      <c r="AK302" s="19">
        <v>44307</v>
      </c>
      <c r="AL302" s="18">
        <v>3.7</v>
      </c>
      <c r="AM302" s="14" t="s">
        <v>185</v>
      </c>
      <c r="AN302" s="18" t="s">
        <v>166</v>
      </c>
      <c r="AO302" s="18" t="s">
        <v>166</v>
      </c>
      <c r="AP302" s="14" t="s">
        <v>166</v>
      </c>
      <c r="AQ302" s="21" t="s">
        <v>166</v>
      </c>
      <c r="AR302" s="21" t="s">
        <v>166</v>
      </c>
      <c r="AS302" s="17" t="s">
        <v>166</v>
      </c>
      <c r="AT302" s="18">
        <v>3.7</v>
      </c>
      <c r="AU302" s="21" t="s">
        <v>186</v>
      </c>
      <c r="AV302" s="21" t="s">
        <v>166</v>
      </c>
      <c r="AW302" s="18" t="s">
        <v>166</v>
      </c>
      <c r="AX302" s="21" t="s">
        <v>166</v>
      </c>
      <c r="AY302" s="14" t="s">
        <v>217</v>
      </c>
      <c r="AZ302" s="14" t="s">
        <v>217</v>
      </c>
      <c r="BA302" s="14" t="s">
        <v>166</v>
      </c>
      <c r="BB302" s="21" t="s">
        <v>166</v>
      </c>
      <c r="BC302" s="14" t="s">
        <v>179</v>
      </c>
      <c r="BD302" s="14" t="s">
        <v>6065</v>
      </c>
      <c r="BE302" s="14" t="s">
        <v>189</v>
      </c>
      <c r="BF302" s="18">
        <v>3.7</v>
      </c>
      <c r="BG302" s="14" t="s">
        <v>190</v>
      </c>
      <c r="BH302" s="14" t="s">
        <v>166</v>
      </c>
      <c r="BI302" s="14" t="s">
        <v>166</v>
      </c>
      <c r="BJ302" s="18" t="s">
        <v>166</v>
      </c>
      <c r="BK302" s="18" t="s">
        <v>166</v>
      </c>
      <c r="BL302" s="14" t="s">
        <v>191</v>
      </c>
      <c r="BM302" s="14" t="s">
        <v>178</v>
      </c>
      <c r="BN302" s="14" t="s">
        <v>177</v>
      </c>
      <c r="BO302" s="22" t="s">
        <v>166</v>
      </c>
      <c r="BP302" s="14" t="s">
        <v>6066</v>
      </c>
      <c r="BQ302" s="21">
        <v>13</v>
      </c>
      <c r="BR302" s="14" t="s">
        <v>166</v>
      </c>
      <c r="BS302" s="21" t="s">
        <v>166</v>
      </c>
      <c r="BT302" s="14" t="s">
        <v>6067</v>
      </c>
      <c r="BU302" s="14" t="s">
        <v>166</v>
      </c>
      <c r="BV302" s="14" t="s">
        <v>6068</v>
      </c>
      <c r="BW302" s="14" t="s">
        <v>166</v>
      </c>
      <c r="BX302" s="14" t="s">
        <v>166</v>
      </c>
      <c r="BY302" s="14" t="s">
        <v>166</v>
      </c>
      <c r="BZ302" s="14" t="s">
        <v>872</v>
      </c>
      <c r="CA302" s="14" t="s">
        <v>872</v>
      </c>
      <c r="CB302" s="14" t="s">
        <v>166</v>
      </c>
      <c r="CC302" s="14" t="s">
        <v>166</v>
      </c>
      <c r="CD302" s="14" t="s">
        <v>166</v>
      </c>
      <c r="CE302" s="18" t="s">
        <v>166</v>
      </c>
      <c r="CF302" s="16" t="s">
        <v>166</v>
      </c>
      <c r="CG302" s="17" t="s">
        <v>166</v>
      </c>
      <c r="CH302" s="16" t="s">
        <v>166</v>
      </c>
      <c r="CI302" s="16" t="s">
        <v>166</v>
      </c>
      <c r="CJ302" s="16" t="s">
        <v>166</v>
      </c>
      <c r="CK302" s="16" t="s">
        <v>166</v>
      </c>
      <c r="CL302" s="16">
        <v>0</v>
      </c>
      <c r="CM302" s="20">
        <v>2020</v>
      </c>
      <c r="CN302" s="16" t="s">
        <v>166</v>
      </c>
      <c r="CO302" s="16" t="s">
        <v>166</v>
      </c>
      <c r="CP302" s="16" t="s">
        <v>166</v>
      </c>
      <c r="CQ302" s="16" t="s">
        <v>166</v>
      </c>
      <c r="CR302" s="16" t="s">
        <v>166</v>
      </c>
      <c r="CS302" s="16" t="s">
        <v>166</v>
      </c>
      <c r="CT302" s="16" t="s">
        <v>166</v>
      </c>
      <c r="CU302" s="16" t="s">
        <v>166</v>
      </c>
      <c r="CV302" s="16" t="s">
        <v>166</v>
      </c>
      <c r="CW302" s="16" t="s">
        <v>166</v>
      </c>
      <c r="CX302" s="16" t="s">
        <v>166</v>
      </c>
      <c r="CY302" s="16" t="s">
        <v>166</v>
      </c>
      <c r="CZ302" s="16" t="s">
        <v>166</v>
      </c>
      <c r="DA302" s="16" t="s">
        <v>166</v>
      </c>
      <c r="DB302" s="16" t="s">
        <v>166</v>
      </c>
      <c r="DC302" s="16" t="s">
        <v>166</v>
      </c>
      <c r="DD302" s="16" t="s">
        <v>166</v>
      </c>
      <c r="DE302" s="17" t="s">
        <v>166</v>
      </c>
      <c r="DF302" s="22">
        <v>45</v>
      </c>
      <c r="DG302" s="14" t="s">
        <v>384</v>
      </c>
      <c r="DH302" s="14" t="s">
        <v>193</v>
      </c>
      <c r="DI302" s="14" t="s">
        <v>194</v>
      </c>
      <c r="DJ302" s="14" t="s">
        <v>385</v>
      </c>
      <c r="DK302" s="14" t="s">
        <v>386</v>
      </c>
      <c r="DL302" s="21" t="s">
        <v>6069</v>
      </c>
      <c r="DM302" s="14" t="s">
        <v>198</v>
      </c>
      <c r="DN302" s="13" t="s">
        <v>6070</v>
      </c>
      <c r="DO302" s="20">
        <v>2020</v>
      </c>
      <c r="DP302" s="14" t="s">
        <v>166</v>
      </c>
      <c r="DQ302" s="14" t="s">
        <v>166</v>
      </c>
      <c r="DR302" s="18" t="s">
        <v>166</v>
      </c>
      <c r="DS302" s="16" t="s">
        <v>166</v>
      </c>
      <c r="DT302" s="19" t="s">
        <v>166</v>
      </c>
      <c r="DU302" s="14" t="s">
        <v>166</v>
      </c>
      <c r="DV302" s="18" t="s">
        <v>166</v>
      </c>
      <c r="DW302" s="18" t="s">
        <v>166</v>
      </c>
      <c r="DX302" s="16" t="s">
        <v>166</v>
      </c>
      <c r="DY302" s="16" t="s">
        <v>166</v>
      </c>
      <c r="DZ302" s="17" t="s">
        <v>166</v>
      </c>
      <c r="EA302" s="16" t="s">
        <v>166</v>
      </c>
      <c r="EB302" s="16" t="s">
        <v>166</v>
      </c>
      <c r="EC302" s="16" t="s">
        <v>166</v>
      </c>
      <c r="ED302" s="17" t="s">
        <v>166</v>
      </c>
      <c r="EE302" s="17" t="s">
        <v>166</v>
      </c>
      <c r="EF302" s="17" t="s">
        <v>166</v>
      </c>
      <c r="EG302" s="17" t="s">
        <v>166</v>
      </c>
      <c r="EH302" s="16" t="s">
        <v>166</v>
      </c>
      <c r="EI302" s="16" t="s">
        <v>166</v>
      </c>
      <c r="EJ302" s="16" t="s">
        <v>166</v>
      </c>
      <c r="EK302" s="16" t="s">
        <v>166</v>
      </c>
      <c r="EL302" s="16" t="s">
        <v>166</v>
      </c>
      <c r="EM302" s="16" t="s">
        <v>166</v>
      </c>
      <c r="EN302" s="16" t="s">
        <v>166</v>
      </c>
      <c r="EO302" s="16" t="s">
        <v>166</v>
      </c>
      <c r="EP302" s="16" t="s">
        <v>166</v>
      </c>
      <c r="EQ302" s="16" t="s">
        <v>166</v>
      </c>
      <c r="ER302" s="16" t="s">
        <v>166</v>
      </c>
      <c r="ES302" s="16" t="s">
        <v>166</v>
      </c>
      <c r="ET302" s="14" t="s">
        <v>166</v>
      </c>
      <c r="EU302" s="16" t="s">
        <v>166</v>
      </c>
      <c r="EV302" s="16" t="s">
        <v>166</v>
      </c>
      <c r="EW302" s="16" t="s">
        <v>166</v>
      </c>
      <c r="EX302" s="14" t="s">
        <v>190</v>
      </c>
      <c r="EY302" s="14" t="s">
        <v>166</v>
      </c>
      <c r="EZ302" s="16" t="s">
        <v>166</v>
      </c>
      <c r="FA302" s="15">
        <v>1</v>
      </c>
      <c r="FB302" s="15">
        <v>1</v>
      </c>
      <c r="FC302" s="15" t="s">
        <v>166</v>
      </c>
      <c r="FD302" s="15">
        <v>1</v>
      </c>
      <c r="FE302" s="15" t="s">
        <v>166</v>
      </c>
      <c r="FF302" s="15" t="s">
        <v>166</v>
      </c>
      <c r="FG302" s="14" t="s">
        <v>457</v>
      </c>
      <c r="FH302" s="3">
        <f>HYPERLINK("https://my.pitchbook.com?c=177874-66T","View Company Online")</f>
      </c>
    </row>
    <row r="303">
      <c r="A303" s="25" t="s">
        <v>6071</v>
      </c>
      <c r="B303" s="25" t="s">
        <v>6072</v>
      </c>
      <c r="C303" s="25" t="s">
        <v>6073</v>
      </c>
      <c r="D303" s="25" t="s">
        <v>166</v>
      </c>
      <c r="E303" s="34" t="s">
        <v>6074</v>
      </c>
      <c r="F303" s="32">
        <v>1</v>
      </c>
      <c r="G303" s="25" t="s">
        <v>6075</v>
      </c>
      <c r="H303" s="25" t="s">
        <v>166</v>
      </c>
      <c r="I303" s="25" t="s">
        <v>6076</v>
      </c>
      <c r="J303" s="25" t="s">
        <v>6077</v>
      </c>
      <c r="K303" s="25" t="s">
        <v>1455</v>
      </c>
      <c r="L303" s="25" t="s">
        <v>1456</v>
      </c>
      <c r="M303" s="25" t="s">
        <v>1457</v>
      </c>
      <c r="N303" s="25" t="s">
        <v>1841</v>
      </c>
      <c r="O303" s="25" t="s">
        <v>2662</v>
      </c>
      <c r="P303" s="25" t="s">
        <v>6078</v>
      </c>
      <c r="Q303" s="25" t="s">
        <v>166</v>
      </c>
      <c r="R303" s="25" t="s">
        <v>177</v>
      </c>
      <c r="S303" s="25" t="s">
        <v>358</v>
      </c>
      <c r="T303" s="25" t="s">
        <v>179</v>
      </c>
      <c r="U303" s="25" t="s">
        <v>6079</v>
      </c>
      <c r="V303" s="25" t="s">
        <v>6080</v>
      </c>
      <c r="W303" s="32" t="s">
        <v>6081</v>
      </c>
      <c r="X303" s="25" t="s">
        <v>166</v>
      </c>
      <c r="Y303" s="25" t="s">
        <v>6082</v>
      </c>
      <c r="Z303" s="25" t="s">
        <v>166</v>
      </c>
      <c r="AA303" s="25" t="s">
        <v>166</v>
      </c>
      <c r="AB303" s="25" t="s">
        <v>166</v>
      </c>
      <c r="AC303" s="25" t="s">
        <v>166</v>
      </c>
      <c r="AD303" s="25" t="s">
        <v>166</v>
      </c>
      <c r="AE303" s="25" t="s">
        <v>166</v>
      </c>
      <c r="AF303" s="25" t="s">
        <v>166</v>
      </c>
      <c r="AG303" s="25" t="s">
        <v>166</v>
      </c>
      <c r="AH303" s="32">
        <v>2</v>
      </c>
      <c r="AI303" s="4">
        <f>HYPERLINK("https://my.pitchbook.com/?d=172381-15T","172381-15T")</f>
      </c>
      <c r="AJ303" s="30" t="s">
        <v>166</v>
      </c>
      <c r="AK303" s="30">
        <v>44315</v>
      </c>
      <c r="AL303" s="29">
        <v>0.6</v>
      </c>
      <c r="AM303" s="25" t="s">
        <v>185</v>
      </c>
      <c r="AN303" s="29">
        <v>3.1</v>
      </c>
      <c r="AO303" s="29">
        <v>3.7</v>
      </c>
      <c r="AP303" s="25" t="s">
        <v>185</v>
      </c>
      <c r="AQ303" s="32" t="s">
        <v>166</v>
      </c>
      <c r="AR303" s="32" t="s">
        <v>166</v>
      </c>
      <c r="AS303" s="28">
        <v>16.21</v>
      </c>
      <c r="AT303" s="29">
        <v>0.66</v>
      </c>
      <c r="AU303" s="32" t="s">
        <v>186</v>
      </c>
      <c r="AV303" s="32" t="s">
        <v>166</v>
      </c>
      <c r="AW303" s="29" t="s">
        <v>166</v>
      </c>
      <c r="AX303" s="32" t="s">
        <v>166</v>
      </c>
      <c r="AY303" s="25" t="s">
        <v>217</v>
      </c>
      <c r="AZ303" s="25" t="s">
        <v>217</v>
      </c>
      <c r="BA303" s="25" t="s">
        <v>166</v>
      </c>
      <c r="BB303" s="32" t="s">
        <v>166</v>
      </c>
      <c r="BC303" s="25" t="s">
        <v>179</v>
      </c>
      <c r="BD303" s="25" t="s">
        <v>6083</v>
      </c>
      <c r="BE303" s="25" t="s">
        <v>189</v>
      </c>
      <c r="BF303" s="29">
        <v>0.6</v>
      </c>
      <c r="BG303" s="25" t="s">
        <v>190</v>
      </c>
      <c r="BH303" s="25" t="s">
        <v>166</v>
      </c>
      <c r="BI303" s="25" t="s">
        <v>166</v>
      </c>
      <c r="BJ303" s="29" t="s">
        <v>166</v>
      </c>
      <c r="BK303" s="29" t="s">
        <v>166</v>
      </c>
      <c r="BL303" s="25" t="s">
        <v>191</v>
      </c>
      <c r="BM303" s="25" t="s">
        <v>358</v>
      </c>
      <c r="BN303" s="25" t="s">
        <v>177</v>
      </c>
      <c r="BO303" s="33" t="s">
        <v>166</v>
      </c>
      <c r="BP303" s="25" t="s">
        <v>6074</v>
      </c>
      <c r="BQ303" s="32">
        <v>1</v>
      </c>
      <c r="BR303" s="25" t="s">
        <v>166</v>
      </c>
      <c r="BS303" s="32" t="s">
        <v>166</v>
      </c>
      <c r="BT303" s="25" t="s">
        <v>166</v>
      </c>
      <c r="BU303" s="25" t="s">
        <v>166</v>
      </c>
      <c r="BV303" s="25" t="s">
        <v>166</v>
      </c>
      <c r="BW303" s="25" t="s">
        <v>166</v>
      </c>
      <c r="BX303" s="25" t="s">
        <v>166</v>
      </c>
      <c r="BY303" s="25" t="s">
        <v>166</v>
      </c>
      <c r="BZ303" s="25" t="s">
        <v>166</v>
      </c>
      <c r="CA303" s="25" t="s">
        <v>166</v>
      </c>
      <c r="CB303" s="25" t="s">
        <v>166</v>
      </c>
      <c r="CC303" s="25" t="s">
        <v>166</v>
      </c>
      <c r="CD303" s="25" t="s">
        <v>166</v>
      </c>
      <c r="CE303" s="29" t="s">
        <v>166</v>
      </c>
      <c r="CF303" s="27" t="s">
        <v>166</v>
      </c>
      <c r="CG303" s="28" t="s">
        <v>166</v>
      </c>
      <c r="CH303" s="27" t="s">
        <v>166</v>
      </c>
      <c r="CI303" s="27" t="s">
        <v>166</v>
      </c>
      <c r="CJ303" s="27" t="s">
        <v>166</v>
      </c>
      <c r="CK303" s="27" t="s">
        <v>166</v>
      </c>
      <c r="CL303" s="27" t="s">
        <v>166</v>
      </c>
      <c r="CM303" s="31" t="s">
        <v>166</v>
      </c>
      <c r="CN303" s="27" t="s">
        <v>166</v>
      </c>
      <c r="CO303" s="27" t="s">
        <v>166</v>
      </c>
      <c r="CP303" s="27" t="s">
        <v>166</v>
      </c>
      <c r="CQ303" s="27" t="s">
        <v>166</v>
      </c>
      <c r="CR303" s="27" t="s">
        <v>166</v>
      </c>
      <c r="CS303" s="27" t="s">
        <v>166</v>
      </c>
      <c r="CT303" s="27" t="s">
        <v>166</v>
      </c>
      <c r="CU303" s="27" t="s">
        <v>166</v>
      </c>
      <c r="CV303" s="27" t="s">
        <v>166</v>
      </c>
      <c r="CW303" s="27" t="s">
        <v>166</v>
      </c>
      <c r="CX303" s="27" t="s">
        <v>166</v>
      </c>
      <c r="CY303" s="27" t="s">
        <v>166</v>
      </c>
      <c r="CZ303" s="27" t="s">
        <v>166</v>
      </c>
      <c r="DA303" s="27" t="s">
        <v>166</v>
      </c>
      <c r="DB303" s="27" t="s">
        <v>166</v>
      </c>
      <c r="DC303" s="27" t="s">
        <v>166</v>
      </c>
      <c r="DD303" s="27" t="s">
        <v>166</v>
      </c>
      <c r="DE303" s="28" t="s">
        <v>166</v>
      </c>
      <c r="DF303" s="33">
        <v>31</v>
      </c>
      <c r="DG303" s="25" t="s">
        <v>6084</v>
      </c>
      <c r="DH303" s="25" t="s">
        <v>193</v>
      </c>
      <c r="DI303" s="25" t="s">
        <v>194</v>
      </c>
      <c r="DJ303" s="25" t="s">
        <v>6085</v>
      </c>
      <c r="DK303" s="25" t="s">
        <v>545</v>
      </c>
      <c r="DL303" s="32" t="s">
        <v>6086</v>
      </c>
      <c r="DM303" s="25" t="s">
        <v>198</v>
      </c>
      <c r="DN303" s="24" t="s">
        <v>6087</v>
      </c>
      <c r="DO303" s="31">
        <v>2016</v>
      </c>
      <c r="DP303" s="25" t="s">
        <v>166</v>
      </c>
      <c r="DQ303" s="25" t="s">
        <v>166</v>
      </c>
      <c r="DR303" s="29" t="s">
        <v>166</v>
      </c>
      <c r="DS303" s="27" t="s">
        <v>166</v>
      </c>
      <c r="DT303" s="30" t="s">
        <v>166</v>
      </c>
      <c r="DU303" s="25" t="s">
        <v>166</v>
      </c>
      <c r="DV303" s="29" t="s">
        <v>166</v>
      </c>
      <c r="DW303" s="29" t="s">
        <v>166</v>
      </c>
      <c r="DX303" s="27" t="s">
        <v>166</v>
      </c>
      <c r="DY303" s="27" t="s">
        <v>166</v>
      </c>
      <c r="DZ303" s="28" t="s">
        <v>166</v>
      </c>
      <c r="EA303" s="27" t="s">
        <v>166</v>
      </c>
      <c r="EB303" s="27" t="s">
        <v>166</v>
      </c>
      <c r="EC303" s="27" t="s">
        <v>166</v>
      </c>
      <c r="ED303" s="28" t="s">
        <v>166</v>
      </c>
      <c r="EE303" s="28" t="s">
        <v>166</v>
      </c>
      <c r="EF303" s="28" t="s">
        <v>166</v>
      </c>
      <c r="EG303" s="28" t="s">
        <v>166</v>
      </c>
      <c r="EH303" s="27" t="s">
        <v>166</v>
      </c>
      <c r="EI303" s="27" t="s">
        <v>166</v>
      </c>
      <c r="EJ303" s="27" t="s">
        <v>166</v>
      </c>
      <c r="EK303" s="27" t="s">
        <v>166</v>
      </c>
      <c r="EL303" s="27" t="s">
        <v>166</v>
      </c>
      <c r="EM303" s="27" t="s">
        <v>166</v>
      </c>
      <c r="EN303" s="27" t="s">
        <v>166</v>
      </c>
      <c r="EO303" s="27" t="s">
        <v>166</v>
      </c>
      <c r="EP303" s="27" t="s">
        <v>166</v>
      </c>
      <c r="EQ303" s="27" t="s">
        <v>166</v>
      </c>
      <c r="ER303" s="27" t="s">
        <v>166</v>
      </c>
      <c r="ES303" s="27" t="s">
        <v>166</v>
      </c>
      <c r="ET303" s="25" t="s">
        <v>166</v>
      </c>
      <c r="EU303" s="27" t="s">
        <v>166</v>
      </c>
      <c r="EV303" s="27" t="s">
        <v>166</v>
      </c>
      <c r="EW303" s="27" t="s">
        <v>166</v>
      </c>
      <c r="EX303" s="25" t="s">
        <v>190</v>
      </c>
      <c r="EY303" s="25" t="s">
        <v>166</v>
      </c>
      <c r="EZ303" s="27" t="s">
        <v>166</v>
      </c>
      <c r="FA303" s="26" t="s">
        <v>166</v>
      </c>
      <c r="FB303" s="26" t="s">
        <v>166</v>
      </c>
      <c r="FC303" s="26" t="s">
        <v>166</v>
      </c>
      <c r="FD303" s="26" t="s">
        <v>166</v>
      </c>
      <c r="FE303" s="26" t="s">
        <v>166</v>
      </c>
      <c r="FF303" s="26" t="s">
        <v>166</v>
      </c>
      <c r="FG303" s="25" t="s">
        <v>166</v>
      </c>
      <c r="FH303" s="4">
        <f>HYPERLINK("https://my.pitchbook.com?c=172381-15T","View Company Online")</f>
      </c>
    </row>
    <row r="304">
      <c r="A304" s="14" t="s">
        <v>6088</v>
      </c>
      <c r="B304" s="14" t="s">
        <v>6089</v>
      </c>
      <c r="C304" s="14" t="s">
        <v>6090</v>
      </c>
      <c r="D304" s="14" t="s">
        <v>166</v>
      </c>
      <c r="E304" s="23" t="s">
        <v>6091</v>
      </c>
      <c r="F304" s="21">
        <v>5</v>
      </c>
      <c r="G304" s="14" t="s">
        <v>6092</v>
      </c>
      <c r="H304" s="14" t="s">
        <v>166</v>
      </c>
      <c r="I304" s="14" t="s">
        <v>6093</v>
      </c>
      <c r="J304" s="14" t="s">
        <v>6094</v>
      </c>
      <c r="K304" s="14" t="s">
        <v>207</v>
      </c>
      <c r="L304" s="14" t="s">
        <v>208</v>
      </c>
      <c r="M304" s="14" t="s">
        <v>209</v>
      </c>
      <c r="N304" s="14" t="s">
        <v>684</v>
      </c>
      <c r="O304" s="14" t="s">
        <v>6095</v>
      </c>
      <c r="P304" s="14" t="s">
        <v>6096</v>
      </c>
      <c r="Q304" s="14" t="s">
        <v>6097</v>
      </c>
      <c r="R304" s="14" t="s">
        <v>177</v>
      </c>
      <c r="S304" s="14" t="s">
        <v>178</v>
      </c>
      <c r="T304" s="14" t="s">
        <v>179</v>
      </c>
      <c r="U304" s="14" t="s">
        <v>6098</v>
      </c>
      <c r="V304" s="14" t="s">
        <v>6099</v>
      </c>
      <c r="W304" s="21" t="s">
        <v>6100</v>
      </c>
      <c r="X304" s="14" t="s">
        <v>6101</v>
      </c>
      <c r="Y304" s="14" t="s">
        <v>6102</v>
      </c>
      <c r="Z304" s="14" t="s">
        <v>6103</v>
      </c>
      <c r="AA304" s="14" t="s">
        <v>242</v>
      </c>
      <c r="AB304" s="14" t="s">
        <v>243</v>
      </c>
      <c r="AC304" s="14" t="s">
        <v>244</v>
      </c>
      <c r="AD304" s="14" t="s">
        <v>243</v>
      </c>
      <c r="AE304" s="14" t="s">
        <v>243</v>
      </c>
      <c r="AF304" s="14" t="s">
        <v>166</v>
      </c>
      <c r="AG304" s="14" t="s">
        <v>246</v>
      </c>
      <c r="AH304" s="21">
        <v>1</v>
      </c>
      <c r="AI304" s="3">
        <f>HYPERLINK("https://my.pitchbook.com/?d=168859-00T","168859-00T")</f>
      </c>
      <c r="AJ304" s="19" t="s">
        <v>166</v>
      </c>
      <c r="AK304" s="19">
        <v>44273</v>
      </c>
      <c r="AL304" s="18">
        <v>1</v>
      </c>
      <c r="AM304" s="14" t="s">
        <v>185</v>
      </c>
      <c r="AN304" s="18">
        <v>2</v>
      </c>
      <c r="AO304" s="18">
        <v>3</v>
      </c>
      <c r="AP304" s="14" t="s">
        <v>185</v>
      </c>
      <c r="AQ304" s="21" t="s">
        <v>166</v>
      </c>
      <c r="AR304" s="21" t="s">
        <v>166</v>
      </c>
      <c r="AS304" s="17">
        <v>47.49</v>
      </c>
      <c r="AT304" s="18">
        <v>1</v>
      </c>
      <c r="AU304" s="21" t="s">
        <v>186</v>
      </c>
      <c r="AV304" s="21" t="s">
        <v>166</v>
      </c>
      <c r="AW304" s="18">
        <v>0.3</v>
      </c>
      <c r="AX304" s="21" t="s">
        <v>248</v>
      </c>
      <c r="AY304" s="14" t="s">
        <v>187</v>
      </c>
      <c r="AZ304" s="14" t="s">
        <v>248</v>
      </c>
      <c r="BA304" s="14" t="s">
        <v>166</v>
      </c>
      <c r="BB304" s="21" t="s">
        <v>166</v>
      </c>
      <c r="BC304" s="14" t="s">
        <v>179</v>
      </c>
      <c r="BD304" s="14" t="s">
        <v>6104</v>
      </c>
      <c r="BE304" s="14" t="s">
        <v>189</v>
      </c>
      <c r="BF304" s="18">
        <v>1</v>
      </c>
      <c r="BG304" s="14" t="s">
        <v>190</v>
      </c>
      <c r="BH304" s="14" t="s">
        <v>166</v>
      </c>
      <c r="BI304" s="14" t="s">
        <v>166</v>
      </c>
      <c r="BJ304" s="18" t="s">
        <v>166</v>
      </c>
      <c r="BK304" s="18" t="s">
        <v>166</v>
      </c>
      <c r="BL304" s="14" t="s">
        <v>191</v>
      </c>
      <c r="BM304" s="14" t="s">
        <v>178</v>
      </c>
      <c r="BN304" s="14" t="s">
        <v>177</v>
      </c>
      <c r="BO304" s="22" t="s">
        <v>166</v>
      </c>
      <c r="BP304" s="14" t="s">
        <v>6105</v>
      </c>
      <c r="BQ304" s="21">
        <v>5</v>
      </c>
      <c r="BR304" s="14" t="s">
        <v>166</v>
      </c>
      <c r="BS304" s="21" t="s">
        <v>166</v>
      </c>
      <c r="BT304" s="14" t="s">
        <v>6106</v>
      </c>
      <c r="BU304" s="14" t="s">
        <v>166</v>
      </c>
      <c r="BV304" s="14" t="s">
        <v>6107</v>
      </c>
      <c r="BW304" s="14" t="s">
        <v>166</v>
      </c>
      <c r="BX304" s="14" t="s">
        <v>166</v>
      </c>
      <c r="BY304" s="14" t="s">
        <v>166</v>
      </c>
      <c r="BZ304" s="14" t="s">
        <v>6108</v>
      </c>
      <c r="CA304" s="14" t="s">
        <v>166</v>
      </c>
      <c r="CB304" s="14" t="s">
        <v>166</v>
      </c>
      <c r="CC304" s="14" t="s">
        <v>6108</v>
      </c>
      <c r="CD304" s="14" t="s">
        <v>166</v>
      </c>
      <c r="CE304" s="18" t="s">
        <v>166</v>
      </c>
      <c r="CF304" s="16" t="s">
        <v>166</v>
      </c>
      <c r="CG304" s="17" t="s">
        <v>166</v>
      </c>
      <c r="CH304" s="16" t="s">
        <v>166</v>
      </c>
      <c r="CI304" s="16" t="s">
        <v>166</v>
      </c>
      <c r="CJ304" s="16" t="s">
        <v>166</v>
      </c>
      <c r="CK304" s="16" t="s">
        <v>166</v>
      </c>
      <c r="CL304" s="16" t="s">
        <v>166</v>
      </c>
      <c r="CM304" s="20" t="s">
        <v>166</v>
      </c>
      <c r="CN304" s="16" t="s">
        <v>166</v>
      </c>
      <c r="CO304" s="16" t="s">
        <v>166</v>
      </c>
      <c r="CP304" s="16" t="s">
        <v>166</v>
      </c>
      <c r="CQ304" s="16" t="s">
        <v>166</v>
      </c>
      <c r="CR304" s="16" t="s">
        <v>166</v>
      </c>
      <c r="CS304" s="16" t="s">
        <v>166</v>
      </c>
      <c r="CT304" s="16" t="s">
        <v>166</v>
      </c>
      <c r="CU304" s="16" t="s">
        <v>166</v>
      </c>
      <c r="CV304" s="16" t="s">
        <v>166</v>
      </c>
      <c r="CW304" s="16" t="s">
        <v>166</v>
      </c>
      <c r="CX304" s="16" t="s">
        <v>166</v>
      </c>
      <c r="CY304" s="16" t="s">
        <v>166</v>
      </c>
      <c r="CZ304" s="16" t="s">
        <v>166</v>
      </c>
      <c r="DA304" s="16" t="s">
        <v>166</v>
      </c>
      <c r="DB304" s="16" t="s">
        <v>166</v>
      </c>
      <c r="DC304" s="16" t="s">
        <v>166</v>
      </c>
      <c r="DD304" s="16" t="s">
        <v>166</v>
      </c>
      <c r="DE304" s="17" t="s">
        <v>166</v>
      </c>
      <c r="DF304" s="22">
        <v>32</v>
      </c>
      <c r="DG304" s="14" t="s">
        <v>518</v>
      </c>
      <c r="DH304" s="14" t="s">
        <v>193</v>
      </c>
      <c r="DI304" s="14" t="s">
        <v>194</v>
      </c>
      <c r="DJ304" s="14" t="s">
        <v>519</v>
      </c>
      <c r="DK304" s="14" t="s">
        <v>257</v>
      </c>
      <c r="DL304" s="21" t="s">
        <v>6109</v>
      </c>
      <c r="DM304" s="14" t="s">
        <v>198</v>
      </c>
      <c r="DN304" s="13" t="s">
        <v>6110</v>
      </c>
      <c r="DO304" s="20">
        <v>2021</v>
      </c>
      <c r="DP304" s="14" t="s">
        <v>166</v>
      </c>
      <c r="DQ304" s="14" t="s">
        <v>166</v>
      </c>
      <c r="DR304" s="18" t="s">
        <v>166</v>
      </c>
      <c r="DS304" s="16" t="s">
        <v>166</v>
      </c>
      <c r="DT304" s="19" t="s">
        <v>166</v>
      </c>
      <c r="DU304" s="14" t="s">
        <v>166</v>
      </c>
      <c r="DV304" s="18" t="s">
        <v>166</v>
      </c>
      <c r="DW304" s="18" t="s">
        <v>166</v>
      </c>
      <c r="DX304" s="16" t="s">
        <v>166</v>
      </c>
      <c r="DY304" s="16" t="s">
        <v>166</v>
      </c>
      <c r="DZ304" s="17" t="s">
        <v>166</v>
      </c>
      <c r="EA304" s="16" t="s">
        <v>166</v>
      </c>
      <c r="EB304" s="16" t="s">
        <v>166</v>
      </c>
      <c r="EC304" s="16" t="s">
        <v>166</v>
      </c>
      <c r="ED304" s="17" t="s">
        <v>166</v>
      </c>
      <c r="EE304" s="17" t="s">
        <v>166</v>
      </c>
      <c r="EF304" s="17" t="s">
        <v>166</v>
      </c>
      <c r="EG304" s="17" t="s">
        <v>166</v>
      </c>
      <c r="EH304" s="16" t="s">
        <v>166</v>
      </c>
      <c r="EI304" s="16" t="s">
        <v>166</v>
      </c>
      <c r="EJ304" s="16" t="s">
        <v>166</v>
      </c>
      <c r="EK304" s="16" t="s">
        <v>166</v>
      </c>
      <c r="EL304" s="16" t="s">
        <v>166</v>
      </c>
      <c r="EM304" s="16" t="s">
        <v>166</v>
      </c>
      <c r="EN304" s="16" t="s">
        <v>166</v>
      </c>
      <c r="EO304" s="16" t="s">
        <v>166</v>
      </c>
      <c r="EP304" s="16" t="s">
        <v>166</v>
      </c>
      <c r="EQ304" s="16" t="s">
        <v>166</v>
      </c>
      <c r="ER304" s="16" t="s">
        <v>166</v>
      </c>
      <c r="ES304" s="16" t="s">
        <v>166</v>
      </c>
      <c r="ET304" s="14" t="s">
        <v>166</v>
      </c>
      <c r="EU304" s="16" t="s">
        <v>166</v>
      </c>
      <c r="EV304" s="16" t="s">
        <v>166</v>
      </c>
      <c r="EW304" s="16" t="s">
        <v>166</v>
      </c>
      <c r="EX304" s="14" t="s">
        <v>190</v>
      </c>
      <c r="EY304" s="14" t="s">
        <v>166</v>
      </c>
      <c r="EZ304" s="16" t="s">
        <v>166</v>
      </c>
      <c r="FA304" s="15" t="s">
        <v>166</v>
      </c>
      <c r="FB304" s="15" t="s">
        <v>166</v>
      </c>
      <c r="FC304" s="15" t="s">
        <v>166</v>
      </c>
      <c r="FD304" s="15" t="s">
        <v>166</v>
      </c>
      <c r="FE304" s="15" t="s">
        <v>166</v>
      </c>
      <c r="FF304" s="15" t="s">
        <v>166</v>
      </c>
      <c r="FG304" s="14" t="s">
        <v>166</v>
      </c>
      <c r="FH304" s="3">
        <f>HYPERLINK("https://my.pitchbook.com?c=168859-00T","View Company Online")</f>
      </c>
    </row>
    <row r="305">
      <c r="A305" s="25" t="s">
        <v>6111</v>
      </c>
      <c r="B305" s="25" t="s">
        <v>6112</v>
      </c>
      <c r="C305" s="25" t="s">
        <v>6113</v>
      </c>
      <c r="D305" s="25" t="s">
        <v>166</v>
      </c>
      <c r="E305" s="34" t="s">
        <v>6114</v>
      </c>
      <c r="F305" s="32">
        <v>2</v>
      </c>
      <c r="G305" s="25" t="s">
        <v>6115</v>
      </c>
      <c r="H305" s="25" t="s">
        <v>166</v>
      </c>
      <c r="I305" s="25" t="s">
        <v>6116</v>
      </c>
      <c r="J305" s="25" t="s">
        <v>6117</v>
      </c>
      <c r="K305" s="25" t="s">
        <v>171</v>
      </c>
      <c r="L305" s="25" t="s">
        <v>172</v>
      </c>
      <c r="M305" s="25" t="s">
        <v>818</v>
      </c>
      <c r="N305" s="25" t="s">
        <v>819</v>
      </c>
      <c r="O305" s="25" t="s">
        <v>6118</v>
      </c>
      <c r="P305" s="25" t="s">
        <v>6119</v>
      </c>
      <c r="Q305" s="25" t="s">
        <v>166</v>
      </c>
      <c r="R305" s="25" t="s">
        <v>177</v>
      </c>
      <c r="S305" s="25" t="s">
        <v>785</v>
      </c>
      <c r="T305" s="25" t="s">
        <v>179</v>
      </c>
      <c r="U305" s="25" t="s">
        <v>6120</v>
      </c>
      <c r="V305" s="25" t="s">
        <v>6121</v>
      </c>
      <c r="W305" s="32" t="s">
        <v>166</v>
      </c>
      <c r="X305" s="25" t="s">
        <v>6122</v>
      </c>
      <c r="Y305" s="25" t="s">
        <v>6123</v>
      </c>
      <c r="Z305" s="25" t="s">
        <v>166</v>
      </c>
      <c r="AA305" s="25" t="s">
        <v>166</v>
      </c>
      <c r="AB305" s="25" t="s">
        <v>166</v>
      </c>
      <c r="AC305" s="25" t="s">
        <v>166</v>
      </c>
      <c r="AD305" s="25" t="s">
        <v>166</v>
      </c>
      <c r="AE305" s="25" t="s">
        <v>166</v>
      </c>
      <c r="AF305" s="25" t="s">
        <v>166</v>
      </c>
      <c r="AG305" s="25" t="s">
        <v>166</v>
      </c>
      <c r="AH305" s="32">
        <v>1</v>
      </c>
      <c r="AI305" s="4">
        <f>HYPERLINK("https://my.pitchbook.com/?d=243131-77T","243131-77T")</f>
      </c>
      <c r="AJ305" s="30" t="s">
        <v>166</v>
      </c>
      <c r="AK305" s="30">
        <v>45211</v>
      </c>
      <c r="AL305" s="29">
        <v>1.5</v>
      </c>
      <c r="AM305" s="25" t="s">
        <v>185</v>
      </c>
      <c r="AN305" s="29" t="s">
        <v>166</v>
      </c>
      <c r="AO305" s="29" t="s">
        <v>166</v>
      </c>
      <c r="AP305" s="25" t="s">
        <v>166</v>
      </c>
      <c r="AQ305" s="32" t="s">
        <v>166</v>
      </c>
      <c r="AR305" s="32" t="s">
        <v>166</v>
      </c>
      <c r="AS305" s="28" t="s">
        <v>166</v>
      </c>
      <c r="AT305" s="29">
        <v>1.5</v>
      </c>
      <c r="AU305" s="32" t="s">
        <v>186</v>
      </c>
      <c r="AV305" s="32" t="s">
        <v>166</v>
      </c>
      <c r="AW305" s="29" t="s">
        <v>166</v>
      </c>
      <c r="AX305" s="32" t="s">
        <v>166</v>
      </c>
      <c r="AY305" s="25" t="s">
        <v>217</v>
      </c>
      <c r="AZ305" s="25" t="s">
        <v>217</v>
      </c>
      <c r="BA305" s="25" t="s">
        <v>166</v>
      </c>
      <c r="BB305" s="32" t="s">
        <v>166</v>
      </c>
      <c r="BC305" s="25" t="s">
        <v>179</v>
      </c>
      <c r="BD305" s="25" t="s">
        <v>6124</v>
      </c>
      <c r="BE305" s="25" t="s">
        <v>189</v>
      </c>
      <c r="BF305" s="29">
        <v>1.5</v>
      </c>
      <c r="BG305" s="25" t="s">
        <v>190</v>
      </c>
      <c r="BH305" s="25" t="s">
        <v>166</v>
      </c>
      <c r="BI305" s="25" t="s">
        <v>166</v>
      </c>
      <c r="BJ305" s="29" t="s">
        <v>166</v>
      </c>
      <c r="BK305" s="29" t="s">
        <v>166</v>
      </c>
      <c r="BL305" s="25" t="s">
        <v>191</v>
      </c>
      <c r="BM305" s="25" t="s">
        <v>785</v>
      </c>
      <c r="BN305" s="25" t="s">
        <v>177</v>
      </c>
      <c r="BO305" s="33" t="s">
        <v>166</v>
      </c>
      <c r="BP305" s="25" t="s">
        <v>6125</v>
      </c>
      <c r="BQ305" s="32">
        <v>2</v>
      </c>
      <c r="BR305" s="25" t="s">
        <v>166</v>
      </c>
      <c r="BS305" s="32" t="s">
        <v>166</v>
      </c>
      <c r="BT305" s="25" t="s">
        <v>6114</v>
      </c>
      <c r="BU305" s="25" t="s">
        <v>166</v>
      </c>
      <c r="BV305" s="25" t="s">
        <v>166</v>
      </c>
      <c r="BW305" s="25" t="s">
        <v>166</v>
      </c>
      <c r="BX305" s="25" t="s">
        <v>166</v>
      </c>
      <c r="BY305" s="25" t="s">
        <v>166</v>
      </c>
      <c r="BZ305" s="25" t="s">
        <v>166</v>
      </c>
      <c r="CA305" s="25" t="s">
        <v>166</v>
      </c>
      <c r="CB305" s="25" t="s">
        <v>166</v>
      </c>
      <c r="CC305" s="25" t="s">
        <v>166</v>
      </c>
      <c r="CD305" s="25" t="s">
        <v>166</v>
      </c>
      <c r="CE305" s="29" t="s">
        <v>166</v>
      </c>
      <c r="CF305" s="27" t="s">
        <v>166</v>
      </c>
      <c r="CG305" s="28" t="s">
        <v>166</v>
      </c>
      <c r="CH305" s="27" t="s">
        <v>166</v>
      </c>
      <c r="CI305" s="27" t="s">
        <v>166</v>
      </c>
      <c r="CJ305" s="27" t="s">
        <v>166</v>
      </c>
      <c r="CK305" s="27" t="s">
        <v>166</v>
      </c>
      <c r="CL305" s="27" t="s">
        <v>166</v>
      </c>
      <c r="CM305" s="31" t="s">
        <v>166</v>
      </c>
      <c r="CN305" s="27" t="s">
        <v>166</v>
      </c>
      <c r="CO305" s="27" t="s">
        <v>166</v>
      </c>
      <c r="CP305" s="27" t="s">
        <v>166</v>
      </c>
      <c r="CQ305" s="27" t="s">
        <v>166</v>
      </c>
      <c r="CR305" s="27" t="s">
        <v>166</v>
      </c>
      <c r="CS305" s="27" t="s">
        <v>166</v>
      </c>
      <c r="CT305" s="27" t="s">
        <v>166</v>
      </c>
      <c r="CU305" s="27" t="s">
        <v>166</v>
      </c>
      <c r="CV305" s="27" t="s">
        <v>166</v>
      </c>
      <c r="CW305" s="27" t="s">
        <v>166</v>
      </c>
      <c r="CX305" s="27" t="s">
        <v>166</v>
      </c>
      <c r="CY305" s="27" t="s">
        <v>166</v>
      </c>
      <c r="CZ305" s="27" t="s">
        <v>166</v>
      </c>
      <c r="DA305" s="27" t="s">
        <v>166</v>
      </c>
      <c r="DB305" s="27" t="s">
        <v>166</v>
      </c>
      <c r="DC305" s="27" t="s">
        <v>166</v>
      </c>
      <c r="DD305" s="27" t="s">
        <v>166</v>
      </c>
      <c r="DE305" s="28" t="s">
        <v>166</v>
      </c>
      <c r="DF305" s="33">
        <v>6</v>
      </c>
      <c r="DG305" s="25" t="s">
        <v>309</v>
      </c>
      <c r="DH305" s="25" t="s">
        <v>193</v>
      </c>
      <c r="DI305" s="25" t="s">
        <v>194</v>
      </c>
      <c r="DJ305" s="25" t="s">
        <v>310</v>
      </c>
      <c r="DK305" s="25" t="s">
        <v>310</v>
      </c>
      <c r="DL305" s="32" t="s">
        <v>4265</v>
      </c>
      <c r="DM305" s="25" t="s">
        <v>198</v>
      </c>
      <c r="DN305" s="24" t="s">
        <v>6126</v>
      </c>
      <c r="DO305" s="31">
        <v>2023</v>
      </c>
      <c r="DP305" s="25" t="s">
        <v>166</v>
      </c>
      <c r="DQ305" s="25" t="s">
        <v>166</v>
      </c>
      <c r="DR305" s="29" t="s">
        <v>166</v>
      </c>
      <c r="DS305" s="27" t="s">
        <v>166</v>
      </c>
      <c r="DT305" s="30" t="s">
        <v>166</v>
      </c>
      <c r="DU305" s="25" t="s">
        <v>166</v>
      </c>
      <c r="DV305" s="29" t="s">
        <v>166</v>
      </c>
      <c r="DW305" s="29" t="s">
        <v>166</v>
      </c>
      <c r="DX305" s="27" t="s">
        <v>166</v>
      </c>
      <c r="DY305" s="27" t="s">
        <v>166</v>
      </c>
      <c r="DZ305" s="28" t="s">
        <v>166</v>
      </c>
      <c r="EA305" s="27" t="s">
        <v>166</v>
      </c>
      <c r="EB305" s="27" t="s">
        <v>166</v>
      </c>
      <c r="EC305" s="27" t="s">
        <v>166</v>
      </c>
      <c r="ED305" s="28" t="s">
        <v>166</v>
      </c>
      <c r="EE305" s="28" t="s">
        <v>166</v>
      </c>
      <c r="EF305" s="28" t="s">
        <v>166</v>
      </c>
      <c r="EG305" s="28" t="s">
        <v>166</v>
      </c>
      <c r="EH305" s="27" t="s">
        <v>166</v>
      </c>
      <c r="EI305" s="27" t="s">
        <v>166</v>
      </c>
      <c r="EJ305" s="27" t="s">
        <v>166</v>
      </c>
      <c r="EK305" s="27" t="s">
        <v>166</v>
      </c>
      <c r="EL305" s="27" t="s">
        <v>166</v>
      </c>
      <c r="EM305" s="27" t="s">
        <v>166</v>
      </c>
      <c r="EN305" s="27" t="s">
        <v>166</v>
      </c>
      <c r="EO305" s="27" t="s">
        <v>166</v>
      </c>
      <c r="EP305" s="27" t="s">
        <v>166</v>
      </c>
      <c r="EQ305" s="27" t="s">
        <v>166</v>
      </c>
      <c r="ER305" s="27" t="s">
        <v>166</v>
      </c>
      <c r="ES305" s="27" t="s">
        <v>166</v>
      </c>
      <c r="ET305" s="25" t="s">
        <v>166</v>
      </c>
      <c r="EU305" s="27" t="s">
        <v>166</v>
      </c>
      <c r="EV305" s="27" t="s">
        <v>166</v>
      </c>
      <c r="EW305" s="27" t="s">
        <v>166</v>
      </c>
      <c r="EX305" s="25" t="s">
        <v>190</v>
      </c>
      <c r="EY305" s="25" t="s">
        <v>166</v>
      </c>
      <c r="EZ305" s="27" t="s">
        <v>166</v>
      </c>
      <c r="FA305" s="26" t="s">
        <v>166</v>
      </c>
      <c r="FB305" s="26" t="s">
        <v>166</v>
      </c>
      <c r="FC305" s="26" t="s">
        <v>166</v>
      </c>
      <c r="FD305" s="26" t="s">
        <v>166</v>
      </c>
      <c r="FE305" s="26" t="s">
        <v>166</v>
      </c>
      <c r="FF305" s="26" t="s">
        <v>166</v>
      </c>
      <c r="FG305" s="25" t="s">
        <v>166</v>
      </c>
      <c r="FH305" s="4">
        <f>HYPERLINK("https://my.pitchbook.com?c=243131-77T","View Company Online")</f>
      </c>
    </row>
    <row r="306">
      <c r="A306" s="14" t="s">
        <v>6127</v>
      </c>
      <c r="B306" s="14" t="s">
        <v>6128</v>
      </c>
      <c r="C306" s="14" t="s">
        <v>6129</v>
      </c>
      <c r="D306" s="14" t="s">
        <v>166</v>
      </c>
      <c r="E306" s="23" t="s">
        <v>6130</v>
      </c>
      <c r="F306" s="21">
        <v>1</v>
      </c>
      <c r="G306" s="14" t="s">
        <v>6131</v>
      </c>
      <c r="H306" s="14" t="s">
        <v>166</v>
      </c>
      <c r="I306" s="14" t="s">
        <v>6132</v>
      </c>
      <c r="J306" s="14" t="s">
        <v>6133</v>
      </c>
      <c r="K306" s="14" t="s">
        <v>171</v>
      </c>
      <c r="L306" s="14" t="s">
        <v>172</v>
      </c>
      <c r="M306" s="14" t="s">
        <v>173</v>
      </c>
      <c r="N306" s="14" t="s">
        <v>2890</v>
      </c>
      <c r="O306" s="14" t="s">
        <v>580</v>
      </c>
      <c r="P306" s="14" t="s">
        <v>6134</v>
      </c>
      <c r="Q306" s="14" t="s">
        <v>166</v>
      </c>
      <c r="R306" s="14" t="s">
        <v>177</v>
      </c>
      <c r="S306" s="14" t="s">
        <v>178</v>
      </c>
      <c r="T306" s="14" t="s">
        <v>179</v>
      </c>
      <c r="U306" s="14" t="s">
        <v>6135</v>
      </c>
      <c r="V306" s="14" t="s">
        <v>6136</v>
      </c>
      <c r="W306" s="21" t="s">
        <v>6137</v>
      </c>
      <c r="X306" s="14" t="s">
        <v>166</v>
      </c>
      <c r="Y306" s="14" t="s">
        <v>6138</v>
      </c>
      <c r="Z306" s="14" t="s">
        <v>166</v>
      </c>
      <c r="AA306" s="14" t="s">
        <v>242</v>
      </c>
      <c r="AB306" s="14" t="s">
        <v>243</v>
      </c>
      <c r="AC306" s="14" t="s">
        <v>244</v>
      </c>
      <c r="AD306" s="14" t="s">
        <v>166</v>
      </c>
      <c r="AE306" s="14" t="s">
        <v>243</v>
      </c>
      <c r="AF306" s="14" t="s">
        <v>166</v>
      </c>
      <c r="AG306" s="14" t="s">
        <v>246</v>
      </c>
      <c r="AH306" s="21">
        <v>1</v>
      </c>
      <c r="AI306" s="3">
        <f>HYPERLINK("https://my.pitchbook.com/?d=251711-92T","251711-92T")</f>
      </c>
      <c r="AJ306" s="19" t="s">
        <v>166</v>
      </c>
      <c r="AK306" s="19">
        <v>44677</v>
      </c>
      <c r="AL306" s="18">
        <v>4</v>
      </c>
      <c r="AM306" s="14" t="s">
        <v>247</v>
      </c>
      <c r="AN306" s="18">
        <v>9.71</v>
      </c>
      <c r="AO306" s="18">
        <v>13.71</v>
      </c>
      <c r="AP306" s="14" t="s">
        <v>247</v>
      </c>
      <c r="AQ306" s="21" t="s">
        <v>166</v>
      </c>
      <c r="AR306" s="21" t="s">
        <v>166</v>
      </c>
      <c r="AS306" s="17">
        <v>38.22</v>
      </c>
      <c r="AT306" s="18">
        <v>4</v>
      </c>
      <c r="AU306" s="21" t="s">
        <v>186</v>
      </c>
      <c r="AV306" s="21" t="s">
        <v>166</v>
      </c>
      <c r="AW306" s="18">
        <v>1.41</v>
      </c>
      <c r="AX306" s="21" t="s">
        <v>166</v>
      </c>
      <c r="AY306" s="14" t="s">
        <v>217</v>
      </c>
      <c r="AZ306" s="14" t="s">
        <v>217</v>
      </c>
      <c r="BA306" s="14" t="s">
        <v>166</v>
      </c>
      <c r="BB306" s="21" t="s">
        <v>166</v>
      </c>
      <c r="BC306" s="14" t="s">
        <v>179</v>
      </c>
      <c r="BD306" s="14" t="s">
        <v>6133</v>
      </c>
      <c r="BE306" s="14" t="s">
        <v>189</v>
      </c>
      <c r="BF306" s="18">
        <v>4</v>
      </c>
      <c r="BG306" s="14" t="s">
        <v>190</v>
      </c>
      <c r="BH306" s="14" t="s">
        <v>166</v>
      </c>
      <c r="BI306" s="14" t="s">
        <v>166</v>
      </c>
      <c r="BJ306" s="18" t="s">
        <v>166</v>
      </c>
      <c r="BK306" s="18" t="s">
        <v>166</v>
      </c>
      <c r="BL306" s="14" t="s">
        <v>191</v>
      </c>
      <c r="BM306" s="14" t="s">
        <v>178</v>
      </c>
      <c r="BN306" s="14" t="s">
        <v>177</v>
      </c>
      <c r="BO306" s="22" t="s">
        <v>166</v>
      </c>
      <c r="BP306" s="14" t="s">
        <v>6139</v>
      </c>
      <c r="BQ306" s="21">
        <v>1</v>
      </c>
      <c r="BR306" s="14" t="s">
        <v>166</v>
      </c>
      <c r="BS306" s="21" t="s">
        <v>166</v>
      </c>
      <c r="BT306" s="14" t="s">
        <v>166</v>
      </c>
      <c r="BU306" s="14" t="s">
        <v>166</v>
      </c>
      <c r="BV306" s="14" t="s">
        <v>166</v>
      </c>
      <c r="BW306" s="14" t="s">
        <v>166</v>
      </c>
      <c r="BX306" s="14" t="s">
        <v>166</v>
      </c>
      <c r="BY306" s="14" t="s">
        <v>166</v>
      </c>
      <c r="BZ306" s="14" t="s">
        <v>166</v>
      </c>
      <c r="CA306" s="14" t="s">
        <v>166</v>
      </c>
      <c r="CB306" s="14" t="s">
        <v>166</v>
      </c>
      <c r="CC306" s="14" t="s">
        <v>166</v>
      </c>
      <c r="CD306" s="14" t="s">
        <v>166</v>
      </c>
      <c r="CE306" s="18" t="s">
        <v>166</v>
      </c>
      <c r="CF306" s="16" t="s">
        <v>166</v>
      </c>
      <c r="CG306" s="17" t="s">
        <v>166</v>
      </c>
      <c r="CH306" s="16" t="s">
        <v>166</v>
      </c>
      <c r="CI306" s="16" t="s">
        <v>166</v>
      </c>
      <c r="CJ306" s="16" t="s">
        <v>166</v>
      </c>
      <c r="CK306" s="16" t="s">
        <v>166</v>
      </c>
      <c r="CL306" s="16" t="s">
        <v>166</v>
      </c>
      <c r="CM306" s="20" t="s">
        <v>166</v>
      </c>
      <c r="CN306" s="16" t="s">
        <v>166</v>
      </c>
      <c r="CO306" s="16" t="s">
        <v>166</v>
      </c>
      <c r="CP306" s="16" t="s">
        <v>166</v>
      </c>
      <c r="CQ306" s="16" t="s">
        <v>166</v>
      </c>
      <c r="CR306" s="16" t="s">
        <v>166</v>
      </c>
      <c r="CS306" s="16" t="s">
        <v>166</v>
      </c>
      <c r="CT306" s="16" t="s">
        <v>166</v>
      </c>
      <c r="CU306" s="16" t="s">
        <v>166</v>
      </c>
      <c r="CV306" s="16" t="s">
        <v>166</v>
      </c>
      <c r="CW306" s="16" t="s">
        <v>166</v>
      </c>
      <c r="CX306" s="16" t="s">
        <v>166</v>
      </c>
      <c r="CY306" s="16" t="s">
        <v>166</v>
      </c>
      <c r="CZ306" s="16" t="s">
        <v>166</v>
      </c>
      <c r="DA306" s="16" t="s">
        <v>166</v>
      </c>
      <c r="DB306" s="16" t="s">
        <v>166</v>
      </c>
      <c r="DC306" s="16" t="s">
        <v>166</v>
      </c>
      <c r="DD306" s="16" t="s">
        <v>166</v>
      </c>
      <c r="DE306" s="17" t="s">
        <v>166</v>
      </c>
      <c r="DF306" s="22">
        <v>4</v>
      </c>
      <c r="DG306" s="14" t="s">
        <v>384</v>
      </c>
      <c r="DH306" s="14" t="s">
        <v>193</v>
      </c>
      <c r="DI306" s="14" t="s">
        <v>194</v>
      </c>
      <c r="DJ306" s="14" t="s">
        <v>385</v>
      </c>
      <c r="DK306" s="14" t="s">
        <v>386</v>
      </c>
      <c r="DL306" s="21" t="s">
        <v>5121</v>
      </c>
      <c r="DM306" s="14" t="s">
        <v>198</v>
      </c>
      <c r="DN306" s="13" t="s">
        <v>6140</v>
      </c>
      <c r="DO306" s="20" t="s">
        <v>166</v>
      </c>
      <c r="DP306" s="14" t="s">
        <v>166</v>
      </c>
      <c r="DQ306" s="14" t="s">
        <v>166</v>
      </c>
      <c r="DR306" s="18" t="s">
        <v>166</v>
      </c>
      <c r="DS306" s="16" t="s">
        <v>166</v>
      </c>
      <c r="DT306" s="19" t="s">
        <v>166</v>
      </c>
      <c r="DU306" s="14" t="s">
        <v>166</v>
      </c>
      <c r="DV306" s="18" t="s">
        <v>166</v>
      </c>
      <c r="DW306" s="18" t="s">
        <v>166</v>
      </c>
      <c r="DX306" s="16" t="s">
        <v>166</v>
      </c>
      <c r="DY306" s="16" t="s">
        <v>166</v>
      </c>
      <c r="DZ306" s="17" t="s">
        <v>166</v>
      </c>
      <c r="EA306" s="16" t="s">
        <v>166</v>
      </c>
      <c r="EB306" s="16" t="s">
        <v>166</v>
      </c>
      <c r="EC306" s="16" t="s">
        <v>166</v>
      </c>
      <c r="ED306" s="17" t="s">
        <v>166</v>
      </c>
      <c r="EE306" s="17" t="s">
        <v>166</v>
      </c>
      <c r="EF306" s="17" t="s">
        <v>166</v>
      </c>
      <c r="EG306" s="17" t="s">
        <v>166</v>
      </c>
      <c r="EH306" s="16" t="s">
        <v>166</v>
      </c>
      <c r="EI306" s="16" t="s">
        <v>166</v>
      </c>
      <c r="EJ306" s="16" t="s">
        <v>166</v>
      </c>
      <c r="EK306" s="16" t="s">
        <v>166</v>
      </c>
      <c r="EL306" s="16" t="s">
        <v>166</v>
      </c>
      <c r="EM306" s="16" t="s">
        <v>166</v>
      </c>
      <c r="EN306" s="16" t="s">
        <v>166</v>
      </c>
      <c r="EO306" s="16" t="s">
        <v>166</v>
      </c>
      <c r="EP306" s="16" t="s">
        <v>166</v>
      </c>
      <c r="EQ306" s="16" t="s">
        <v>166</v>
      </c>
      <c r="ER306" s="16" t="s">
        <v>166</v>
      </c>
      <c r="ES306" s="16" t="s">
        <v>166</v>
      </c>
      <c r="ET306" s="14" t="s">
        <v>166</v>
      </c>
      <c r="EU306" s="16" t="s">
        <v>166</v>
      </c>
      <c r="EV306" s="16" t="s">
        <v>166</v>
      </c>
      <c r="EW306" s="16" t="s">
        <v>166</v>
      </c>
      <c r="EX306" s="14" t="s">
        <v>190</v>
      </c>
      <c r="EY306" s="14" t="s">
        <v>166</v>
      </c>
      <c r="EZ306" s="16" t="s">
        <v>166</v>
      </c>
      <c r="FA306" s="15" t="s">
        <v>166</v>
      </c>
      <c r="FB306" s="15" t="s">
        <v>166</v>
      </c>
      <c r="FC306" s="15" t="s">
        <v>166</v>
      </c>
      <c r="FD306" s="15" t="s">
        <v>166</v>
      </c>
      <c r="FE306" s="15" t="s">
        <v>166</v>
      </c>
      <c r="FF306" s="15" t="s">
        <v>166</v>
      </c>
      <c r="FG306" s="14" t="s">
        <v>166</v>
      </c>
      <c r="FH306" s="3">
        <f>HYPERLINK("https://my.pitchbook.com?c=251711-92T","View Company Online")</f>
      </c>
    </row>
    <row r="307">
      <c r="A307" s="25" t="s">
        <v>6141</v>
      </c>
      <c r="B307" s="25" t="s">
        <v>6142</v>
      </c>
      <c r="C307" s="25" t="s">
        <v>6143</v>
      </c>
      <c r="D307" s="25" t="s">
        <v>166</v>
      </c>
      <c r="E307" s="34" t="s">
        <v>6144</v>
      </c>
      <c r="F307" s="32">
        <v>8</v>
      </c>
      <c r="G307" s="25" t="s">
        <v>6145</v>
      </c>
      <c r="H307" s="25" t="s">
        <v>166</v>
      </c>
      <c r="I307" s="25" t="s">
        <v>6146</v>
      </c>
      <c r="J307" s="25" t="s">
        <v>6147</v>
      </c>
      <c r="K307" s="25" t="s">
        <v>171</v>
      </c>
      <c r="L307" s="25" t="s">
        <v>172</v>
      </c>
      <c r="M307" s="25" t="s">
        <v>1033</v>
      </c>
      <c r="N307" s="25" t="s">
        <v>3677</v>
      </c>
      <c r="O307" s="25" t="s">
        <v>6148</v>
      </c>
      <c r="P307" s="25" t="s">
        <v>6149</v>
      </c>
      <c r="Q307" s="25" t="s">
        <v>166</v>
      </c>
      <c r="R307" s="25" t="s">
        <v>177</v>
      </c>
      <c r="S307" s="25" t="s">
        <v>178</v>
      </c>
      <c r="T307" s="25" t="s">
        <v>179</v>
      </c>
      <c r="U307" s="25" t="s">
        <v>6150</v>
      </c>
      <c r="V307" s="25" t="s">
        <v>6151</v>
      </c>
      <c r="W307" s="32" t="s">
        <v>6152</v>
      </c>
      <c r="X307" s="25" t="s">
        <v>6153</v>
      </c>
      <c r="Y307" s="25" t="s">
        <v>6154</v>
      </c>
      <c r="Z307" s="25" t="s">
        <v>6155</v>
      </c>
      <c r="AA307" s="25" t="s">
        <v>242</v>
      </c>
      <c r="AB307" s="25" t="s">
        <v>243</v>
      </c>
      <c r="AC307" s="25" t="s">
        <v>244</v>
      </c>
      <c r="AD307" s="25" t="s">
        <v>243</v>
      </c>
      <c r="AE307" s="25" t="s">
        <v>243</v>
      </c>
      <c r="AF307" s="25" t="s">
        <v>245</v>
      </c>
      <c r="AG307" s="25" t="s">
        <v>246</v>
      </c>
      <c r="AH307" s="32">
        <v>1</v>
      </c>
      <c r="AI307" s="4">
        <f>HYPERLINK("https://my.pitchbook.com/?d=163919-08T","163919-08T")</f>
      </c>
      <c r="AJ307" s="30">
        <v>44000</v>
      </c>
      <c r="AK307" s="30">
        <v>44183</v>
      </c>
      <c r="AL307" s="29">
        <v>5.07</v>
      </c>
      <c r="AM307" s="25" t="s">
        <v>185</v>
      </c>
      <c r="AN307" s="29">
        <v>12</v>
      </c>
      <c r="AO307" s="29">
        <v>17.07</v>
      </c>
      <c r="AP307" s="25" t="s">
        <v>185</v>
      </c>
      <c r="AQ307" s="32" t="s">
        <v>166</v>
      </c>
      <c r="AR307" s="32" t="s">
        <v>166</v>
      </c>
      <c r="AS307" s="28">
        <v>50.55</v>
      </c>
      <c r="AT307" s="29">
        <v>5.07</v>
      </c>
      <c r="AU307" s="32" t="s">
        <v>186</v>
      </c>
      <c r="AV307" s="32" t="s">
        <v>166</v>
      </c>
      <c r="AW307" s="29">
        <v>1.36</v>
      </c>
      <c r="AX307" s="32" t="s">
        <v>166</v>
      </c>
      <c r="AY307" s="25" t="s">
        <v>217</v>
      </c>
      <c r="AZ307" s="25" t="s">
        <v>217</v>
      </c>
      <c r="BA307" s="25" t="s">
        <v>166</v>
      </c>
      <c r="BB307" s="32" t="s">
        <v>166</v>
      </c>
      <c r="BC307" s="25" t="s">
        <v>179</v>
      </c>
      <c r="BD307" s="25" t="s">
        <v>6156</v>
      </c>
      <c r="BE307" s="25" t="s">
        <v>189</v>
      </c>
      <c r="BF307" s="29">
        <v>5.07</v>
      </c>
      <c r="BG307" s="25" t="s">
        <v>190</v>
      </c>
      <c r="BH307" s="25" t="s">
        <v>166</v>
      </c>
      <c r="BI307" s="25" t="s">
        <v>166</v>
      </c>
      <c r="BJ307" s="29" t="s">
        <v>166</v>
      </c>
      <c r="BK307" s="29" t="s">
        <v>166</v>
      </c>
      <c r="BL307" s="25" t="s">
        <v>191</v>
      </c>
      <c r="BM307" s="25" t="s">
        <v>178</v>
      </c>
      <c r="BN307" s="25" t="s">
        <v>177</v>
      </c>
      <c r="BO307" s="33" t="s">
        <v>166</v>
      </c>
      <c r="BP307" s="25" t="s">
        <v>6157</v>
      </c>
      <c r="BQ307" s="32">
        <v>8</v>
      </c>
      <c r="BR307" s="25" t="s">
        <v>166</v>
      </c>
      <c r="BS307" s="32" t="s">
        <v>166</v>
      </c>
      <c r="BT307" s="25" t="s">
        <v>6158</v>
      </c>
      <c r="BU307" s="25" t="s">
        <v>166</v>
      </c>
      <c r="BV307" s="25" t="s">
        <v>6159</v>
      </c>
      <c r="BW307" s="25" t="s">
        <v>166</v>
      </c>
      <c r="BX307" s="25" t="s">
        <v>166</v>
      </c>
      <c r="BY307" s="25" t="s">
        <v>166</v>
      </c>
      <c r="BZ307" s="25" t="s">
        <v>166</v>
      </c>
      <c r="CA307" s="25" t="s">
        <v>166</v>
      </c>
      <c r="CB307" s="25" t="s">
        <v>166</v>
      </c>
      <c r="CC307" s="25" t="s">
        <v>166</v>
      </c>
      <c r="CD307" s="25" t="s">
        <v>166</v>
      </c>
      <c r="CE307" s="29" t="s">
        <v>166</v>
      </c>
      <c r="CF307" s="27" t="s">
        <v>166</v>
      </c>
      <c r="CG307" s="28" t="s">
        <v>166</v>
      </c>
      <c r="CH307" s="27" t="s">
        <v>166</v>
      </c>
      <c r="CI307" s="27" t="s">
        <v>166</v>
      </c>
      <c r="CJ307" s="27" t="s">
        <v>166</v>
      </c>
      <c r="CK307" s="27" t="s">
        <v>166</v>
      </c>
      <c r="CL307" s="27" t="s">
        <v>166</v>
      </c>
      <c r="CM307" s="31" t="s">
        <v>166</v>
      </c>
      <c r="CN307" s="27" t="s">
        <v>166</v>
      </c>
      <c r="CO307" s="27" t="s">
        <v>166</v>
      </c>
      <c r="CP307" s="27" t="s">
        <v>166</v>
      </c>
      <c r="CQ307" s="27" t="s">
        <v>166</v>
      </c>
      <c r="CR307" s="27" t="s">
        <v>166</v>
      </c>
      <c r="CS307" s="27" t="s">
        <v>166</v>
      </c>
      <c r="CT307" s="27" t="s">
        <v>166</v>
      </c>
      <c r="CU307" s="27" t="s">
        <v>166</v>
      </c>
      <c r="CV307" s="27" t="s">
        <v>166</v>
      </c>
      <c r="CW307" s="27" t="s">
        <v>166</v>
      </c>
      <c r="CX307" s="27" t="s">
        <v>166</v>
      </c>
      <c r="CY307" s="27" t="s">
        <v>166</v>
      </c>
      <c r="CZ307" s="27" t="s">
        <v>166</v>
      </c>
      <c r="DA307" s="27" t="s">
        <v>166</v>
      </c>
      <c r="DB307" s="27" t="s">
        <v>166</v>
      </c>
      <c r="DC307" s="27" t="s">
        <v>166</v>
      </c>
      <c r="DD307" s="27" t="s">
        <v>166</v>
      </c>
      <c r="DE307" s="28" t="s">
        <v>166</v>
      </c>
      <c r="DF307" s="33">
        <v>74</v>
      </c>
      <c r="DG307" s="25" t="s">
        <v>309</v>
      </c>
      <c r="DH307" s="25" t="s">
        <v>193</v>
      </c>
      <c r="DI307" s="25" t="s">
        <v>194</v>
      </c>
      <c r="DJ307" s="25" t="s">
        <v>310</v>
      </c>
      <c r="DK307" s="25" t="s">
        <v>310</v>
      </c>
      <c r="DL307" s="32" t="s">
        <v>1680</v>
      </c>
      <c r="DM307" s="25" t="s">
        <v>198</v>
      </c>
      <c r="DN307" s="24" t="s">
        <v>6160</v>
      </c>
      <c r="DO307" s="31">
        <v>2019</v>
      </c>
      <c r="DP307" s="25" t="s">
        <v>166</v>
      </c>
      <c r="DQ307" s="25" t="s">
        <v>166</v>
      </c>
      <c r="DR307" s="29" t="s">
        <v>166</v>
      </c>
      <c r="DS307" s="27" t="s">
        <v>166</v>
      </c>
      <c r="DT307" s="30" t="s">
        <v>166</v>
      </c>
      <c r="DU307" s="25" t="s">
        <v>166</v>
      </c>
      <c r="DV307" s="29" t="s">
        <v>166</v>
      </c>
      <c r="DW307" s="29" t="s">
        <v>166</v>
      </c>
      <c r="DX307" s="27" t="s">
        <v>166</v>
      </c>
      <c r="DY307" s="27" t="s">
        <v>166</v>
      </c>
      <c r="DZ307" s="28" t="s">
        <v>166</v>
      </c>
      <c r="EA307" s="27" t="s">
        <v>166</v>
      </c>
      <c r="EB307" s="27" t="s">
        <v>166</v>
      </c>
      <c r="EC307" s="27" t="s">
        <v>166</v>
      </c>
      <c r="ED307" s="28" t="s">
        <v>166</v>
      </c>
      <c r="EE307" s="28" t="s">
        <v>166</v>
      </c>
      <c r="EF307" s="28" t="s">
        <v>166</v>
      </c>
      <c r="EG307" s="28" t="s">
        <v>166</v>
      </c>
      <c r="EH307" s="27" t="s">
        <v>166</v>
      </c>
      <c r="EI307" s="27" t="s">
        <v>166</v>
      </c>
      <c r="EJ307" s="27" t="s">
        <v>166</v>
      </c>
      <c r="EK307" s="27" t="s">
        <v>166</v>
      </c>
      <c r="EL307" s="27" t="s">
        <v>166</v>
      </c>
      <c r="EM307" s="27" t="s">
        <v>166</v>
      </c>
      <c r="EN307" s="27" t="s">
        <v>166</v>
      </c>
      <c r="EO307" s="27" t="s">
        <v>166</v>
      </c>
      <c r="EP307" s="27" t="s">
        <v>166</v>
      </c>
      <c r="EQ307" s="27" t="s">
        <v>166</v>
      </c>
      <c r="ER307" s="27" t="s">
        <v>166</v>
      </c>
      <c r="ES307" s="27" t="s">
        <v>166</v>
      </c>
      <c r="ET307" s="25" t="s">
        <v>166</v>
      </c>
      <c r="EU307" s="27" t="s">
        <v>166</v>
      </c>
      <c r="EV307" s="27" t="s">
        <v>166</v>
      </c>
      <c r="EW307" s="27" t="s">
        <v>166</v>
      </c>
      <c r="EX307" s="25" t="s">
        <v>190</v>
      </c>
      <c r="EY307" s="25" t="s">
        <v>166</v>
      </c>
      <c r="EZ307" s="27" t="s">
        <v>166</v>
      </c>
      <c r="FA307" s="26">
        <v>1</v>
      </c>
      <c r="FB307" s="26">
        <v>1</v>
      </c>
      <c r="FC307" s="26" t="s">
        <v>166</v>
      </c>
      <c r="FD307" s="26" t="s">
        <v>166</v>
      </c>
      <c r="FE307" s="26" t="s">
        <v>166</v>
      </c>
      <c r="FF307" s="26">
        <v>1</v>
      </c>
      <c r="FG307" s="25" t="s">
        <v>166</v>
      </c>
      <c r="FH307" s="4">
        <f>HYPERLINK("https://my.pitchbook.com?c=163919-08T","View Company Online")</f>
      </c>
    </row>
    <row r="308">
      <c r="A308" s="14" t="s">
        <v>6161</v>
      </c>
      <c r="B308" s="14" t="s">
        <v>6162</v>
      </c>
      <c r="C308" s="14" t="s">
        <v>6163</v>
      </c>
      <c r="D308" s="14" t="s">
        <v>166</v>
      </c>
      <c r="E308" s="23" t="s">
        <v>6164</v>
      </c>
      <c r="F308" s="21">
        <v>5</v>
      </c>
      <c r="G308" s="14" t="s">
        <v>6165</v>
      </c>
      <c r="H308" s="14" t="s">
        <v>166</v>
      </c>
      <c r="I308" s="14" t="s">
        <v>6166</v>
      </c>
      <c r="J308" s="14" t="s">
        <v>6167</v>
      </c>
      <c r="K308" s="14" t="s">
        <v>207</v>
      </c>
      <c r="L308" s="14" t="s">
        <v>208</v>
      </c>
      <c r="M308" s="14" t="s">
        <v>209</v>
      </c>
      <c r="N308" s="14" t="s">
        <v>684</v>
      </c>
      <c r="O308" s="14" t="s">
        <v>211</v>
      </c>
      <c r="P308" s="14" t="s">
        <v>6168</v>
      </c>
      <c r="Q308" s="14" t="s">
        <v>166</v>
      </c>
      <c r="R308" s="14" t="s">
        <v>177</v>
      </c>
      <c r="S308" s="14" t="s">
        <v>178</v>
      </c>
      <c r="T308" s="14" t="s">
        <v>179</v>
      </c>
      <c r="U308" s="14" t="s">
        <v>6169</v>
      </c>
      <c r="V308" s="14" t="s">
        <v>6170</v>
      </c>
      <c r="W308" s="21" t="s">
        <v>166</v>
      </c>
      <c r="X308" s="14" t="s">
        <v>6171</v>
      </c>
      <c r="Y308" s="14" t="s">
        <v>6172</v>
      </c>
      <c r="Z308" s="14" t="s">
        <v>166</v>
      </c>
      <c r="AA308" s="14" t="s">
        <v>166</v>
      </c>
      <c r="AB308" s="14" t="s">
        <v>166</v>
      </c>
      <c r="AC308" s="14" t="s">
        <v>166</v>
      </c>
      <c r="AD308" s="14" t="s">
        <v>166</v>
      </c>
      <c r="AE308" s="14" t="s">
        <v>166</v>
      </c>
      <c r="AF308" s="14" t="s">
        <v>166</v>
      </c>
      <c r="AG308" s="14" t="s">
        <v>166</v>
      </c>
      <c r="AH308" s="21">
        <v>1</v>
      </c>
      <c r="AI308" s="3">
        <f>HYPERLINK("https://my.pitchbook.com/?d=254789-74T","254789-74T")</f>
      </c>
      <c r="AJ308" s="19" t="s">
        <v>166</v>
      </c>
      <c r="AK308" s="19">
        <v>45370</v>
      </c>
      <c r="AL308" s="18">
        <v>6.25</v>
      </c>
      <c r="AM308" s="14" t="s">
        <v>185</v>
      </c>
      <c r="AN308" s="18" t="s">
        <v>166</v>
      </c>
      <c r="AO308" s="18" t="s">
        <v>166</v>
      </c>
      <c r="AP308" s="14" t="s">
        <v>166</v>
      </c>
      <c r="AQ308" s="21" t="s">
        <v>166</v>
      </c>
      <c r="AR308" s="21" t="s">
        <v>166</v>
      </c>
      <c r="AS308" s="17" t="s">
        <v>166</v>
      </c>
      <c r="AT308" s="18">
        <v>6.25</v>
      </c>
      <c r="AU308" s="21" t="s">
        <v>186</v>
      </c>
      <c r="AV308" s="21" t="s">
        <v>166</v>
      </c>
      <c r="AW308" s="18" t="s">
        <v>166</v>
      </c>
      <c r="AX308" s="21" t="s">
        <v>166</v>
      </c>
      <c r="AY308" s="14" t="s">
        <v>217</v>
      </c>
      <c r="AZ308" s="14" t="s">
        <v>217</v>
      </c>
      <c r="BA308" s="14" t="s">
        <v>166</v>
      </c>
      <c r="BB308" s="21" t="s">
        <v>166</v>
      </c>
      <c r="BC308" s="14" t="s">
        <v>179</v>
      </c>
      <c r="BD308" s="14" t="s">
        <v>6167</v>
      </c>
      <c r="BE308" s="14" t="s">
        <v>189</v>
      </c>
      <c r="BF308" s="18">
        <v>6.25</v>
      </c>
      <c r="BG308" s="14" t="s">
        <v>190</v>
      </c>
      <c r="BH308" s="14" t="s">
        <v>166</v>
      </c>
      <c r="BI308" s="14" t="s">
        <v>166</v>
      </c>
      <c r="BJ308" s="18" t="s">
        <v>166</v>
      </c>
      <c r="BK308" s="18" t="s">
        <v>166</v>
      </c>
      <c r="BL308" s="14" t="s">
        <v>191</v>
      </c>
      <c r="BM308" s="14" t="s">
        <v>178</v>
      </c>
      <c r="BN308" s="14" t="s">
        <v>177</v>
      </c>
      <c r="BO308" s="22" t="s">
        <v>166</v>
      </c>
      <c r="BP308" s="14" t="s">
        <v>6173</v>
      </c>
      <c r="BQ308" s="21">
        <v>5</v>
      </c>
      <c r="BR308" s="14" t="s">
        <v>166</v>
      </c>
      <c r="BS308" s="21" t="s">
        <v>166</v>
      </c>
      <c r="BT308" s="14" t="s">
        <v>6174</v>
      </c>
      <c r="BU308" s="14" t="s">
        <v>166</v>
      </c>
      <c r="BV308" s="14" t="s">
        <v>6175</v>
      </c>
      <c r="BW308" s="14" t="s">
        <v>166</v>
      </c>
      <c r="BX308" s="14" t="s">
        <v>166</v>
      </c>
      <c r="BY308" s="14" t="s">
        <v>166</v>
      </c>
      <c r="BZ308" s="14" t="s">
        <v>166</v>
      </c>
      <c r="CA308" s="14" t="s">
        <v>166</v>
      </c>
      <c r="CB308" s="14" t="s">
        <v>166</v>
      </c>
      <c r="CC308" s="14" t="s">
        <v>166</v>
      </c>
      <c r="CD308" s="14" t="s">
        <v>166</v>
      </c>
      <c r="CE308" s="18" t="s">
        <v>166</v>
      </c>
      <c r="CF308" s="16" t="s">
        <v>166</v>
      </c>
      <c r="CG308" s="17" t="s">
        <v>166</v>
      </c>
      <c r="CH308" s="16" t="s">
        <v>166</v>
      </c>
      <c r="CI308" s="16" t="s">
        <v>166</v>
      </c>
      <c r="CJ308" s="16" t="s">
        <v>166</v>
      </c>
      <c r="CK308" s="16" t="s">
        <v>166</v>
      </c>
      <c r="CL308" s="16" t="s">
        <v>166</v>
      </c>
      <c r="CM308" s="20" t="s">
        <v>166</v>
      </c>
      <c r="CN308" s="16" t="s">
        <v>166</v>
      </c>
      <c r="CO308" s="16" t="s">
        <v>166</v>
      </c>
      <c r="CP308" s="16" t="s">
        <v>166</v>
      </c>
      <c r="CQ308" s="16" t="s">
        <v>166</v>
      </c>
      <c r="CR308" s="16" t="s">
        <v>166</v>
      </c>
      <c r="CS308" s="16" t="s">
        <v>166</v>
      </c>
      <c r="CT308" s="16" t="s">
        <v>166</v>
      </c>
      <c r="CU308" s="16" t="s">
        <v>166</v>
      </c>
      <c r="CV308" s="16" t="s">
        <v>166</v>
      </c>
      <c r="CW308" s="16" t="s">
        <v>166</v>
      </c>
      <c r="CX308" s="16" t="s">
        <v>166</v>
      </c>
      <c r="CY308" s="16" t="s">
        <v>166</v>
      </c>
      <c r="CZ308" s="16" t="s">
        <v>166</v>
      </c>
      <c r="DA308" s="16" t="s">
        <v>166</v>
      </c>
      <c r="DB308" s="16" t="s">
        <v>166</v>
      </c>
      <c r="DC308" s="16" t="s">
        <v>166</v>
      </c>
      <c r="DD308" s="16" t="s">
        <v>166</v>
      </c>
      <c r="DE308" s="17" t="s">
        <v>166</v>
      </c>
      <c r="DF308" s="22">
        <v>17</v>
      </c>
      <c r="DG308" s="14" t="s">
        <v>6176</v>
      </c>
      <c r="DH308" s="14" t="s">
        <v>193</v>
      </c>
      <c r="DI308" s="14" t="s">
        <v>194</v>
      </c>
      <c r="DJ308" s="14" t="s">
        <v>6177</v>
      </c>
      <c r="DK308" s="14" t="s">
        <v>257</v>
      </c>
      <c r="DL308" s="21" t="s">
        <v>166</v>
      </c>
      <c r="DM308" s="14" t="s">
        <v>198</v>
      </c>
      <c r="DN308" s="13" t="s">
        <v>6178</v>
      </c>
      <c r="DO308" s="20">
        <v>2023</v>
      </c>
      <c r="DP308" s="14" t="s">
        <v>166</v>
      </c>
      <c r="DQ308" s="14" t="s">
        <v>166</v>
      </c>
      <c r="DR308" s="18" t="s">
        <v>166</v>
      </c>
      <c r="DS308" s="16" t="s">
        <v>166</v>
      </c>
      <c r="DT308" s="19" t="s">
        <v>166</v>
      </c>
      <c r="DU308" s="14" t="s">
        <v>166</v>
      </c>
      <c r="DV308" s="18" t="s">
        <v>166</v>
      </c>
      <c r="DW308" s="18" t="s">
        <v>166</v>
      </c>
      <c r="DX308" s="16" t="s">
        <v>166</v>
      </c>
      <c r="DY308" s="16" t="s">
        <v>166</v>
      </c>
      <c r="DZ308" s="17" t="s">
        <v>166</v>
      </c>
      <c r="EA308" s="16" t="s">
        <v>166</v>
      </c>
      <c r="EB308" s="16" t="s">
        <v>166</v>
      </c>
      <c r="EC308" s="16" t="s">
        <v>166</v>
      </c>
      <c r="ED308" s="17" t="s">
        <v>166</v>
      </c>
      <c r="EE308" s="17" t="s">
        <v>166</v>
      </c>
      <c r="EF308" s="17" t="s">
        <v>166</v>
      </c>
      <c r="EG308" s="17" t="s">
        <v>166</v>
      </c>
      <c r="EH308" s="16" t="s">
        <v>166</v>
      </c>
      <c r="EI308" s="16" t="s">
        <v>166</v>
      </c>
      <c r="EJ308" s="16" t="s">
        <v>166</v>
      </c>
      <c r="EK308" s="16" t="s">
        <v>166</v>
      </c>
      <c r="EL308" s="16" t="s">
        <v>166</v>
      </c>
      <c r="EM308" s="16" t="s">
        <v>166</v>
      </c>
      <c r="EN308" s="16" t="s">
        <v>166</v>
      </c>
      <c r="EO308" s="16" t="s">
        <v>166</v>
      </c>
      <c r="EP308" s="16" t="s">
        <v>166</v>
      </c>
      <c r="EQ308" s="16" t="s">
        <v>166</v>
      </c>
      <c r="ER308" s="16" t="s">
        <v>166</v>
      </c>
      <c r="ES308" s="16" t="s">
        <v>166</v>
      </c>
      <c r="ET308" s="14" t="s">
        <v>166</v>
      </c>
      <c r="EU308" s="16" t="s">
        <v>166</v>
      </c>
      <c r="EV308" s="16" t="s">
        <v>166</v>
      </c>
      <c r="EW308" s="16" t="s">
        <v>166</v>
      </c>
      <c r="EX308" s="14" t="s">
        <v>190</v>
      </c>
      <c r="EY308" s="14" t="s">
        <v>166</v>
      </c>
      <c r="EZ308" s="16" t="s">
        <v>166</v>
      </c>
      <c r="FA308" s="15" t="s">
        <v>166</v>
      </c>
      <c r="FB308" s="15" t="s">
        <v>166</v>
      </c>
      <c r="FC308" s="15" t="s">
        <v>166</v>
      </c>
      <c r="FD308" s="15" t="s">
        <v>166</v>
      </c>
      <c r="FE308" s="15" t="s">
        <v>166</v>
      </c>
      <c r="FF308" s="15" t="s">
        <v>166</v>
      </c>
      <c r="FG308" s="14" t="s">
        <v>166</v>
      </c>
      <c r="FH308" s="3">
        <f>HYPERLINK("https://my.pitchbook.com?c=254789-74T","View Company Online")</f>
      </c>
    </row>
    <row r="309">
      <c r="A309" s="25" t="s">
        <v>6179</v>
      </c>
      <c r="B309" s="25" t="s">
        <v>6180</v>
      </c>
      <c r="C309" s="25" t="s">
        <v>6181</v>
      </c>
      <c r="D309" s="25" t="s">
        <v>166</v>
      </c>
      <c r="E309" s="34" t="s">
        <v>6182</v>
      </c>
      <c r="F309" s="32">
        <v>8</v>
      </c>
      <c r="G309" s="25" t="s">
        <v>6183</v>
      </c>
      <c r="H309" s="25" t="s">
        <v>166</v>
      </c>
      <c r="I309" s="25" t="s">
        <v>6184</v>
      </c>
      <c r="J309" s="25" t="s">
        <v>6185</v>
      </c>
      <c r="K309" s="25" t="s">
        <v>207</v>
      </c>
      <c r="L309" s="25" t="s">
        <v>208</v>
      </c>
      <c r="M309" s="25" t="s">
        <v>296</v>
      </c>
      <c r="N309" s="25" t="s">
        <v>6186</v>
      </c>
      <c r="O309" s="25" t="s">
        <v>4042</v>
      </c>
      <c r="P309" s="25" t="s">
        <v>6187</v>
      </c>
      <c r="Q309" s="25" t="s">
        <v>166</v>
      </c>
      <c r="R309" s="25" t="s">
        <v>177</v>
      </c>
      <c r="S309" s="25" t="s">
        <v>178</v>
      </c>
      <c r="T309" s="25" t="s">
        <v>179</v>
      </c>
      <c r="U309" s="25" t="s">
        <v>6188</v>
      </c>
      <c r="V309" s="25" t="s">
        <v>6189</v>
      </c>
      <c r="W309" s="32" t="s">
        <v>6190</v>
      </c>
      <c r="X309" s="25" t="s">
        <v>6191</v>
      </c>
      <c r="Y309" s="25" t="s">
        <v>6192</v>
      </c>
      <c r="Z309" s="25" t="s">
        <v>6193</v>
      </c>
      <c r="AA309" s="25" t="s">
        <v>166</v>
      </c>
      <c r="AB309" s="25" t="s">
        <v>166</v>
      </c>
      <c r="AC309" s="25" t="s">
        <v>166</v>
      </c>
      <c r="AD309" s="25" t="s">
        <v>166</v>
      </c>
      <c r="AE309" s="25" t="s">
        <v>166</v>
      </c>
      <c r="AF309" s="25" t="s">
        <v>166</v>
      </c>
      <c r="AG309" s="25" t="s">
        <v>166</v>
      </c>
      <c r="AH309" s="32">
        <v>2</v>
      </c>
      <c r="AI309" s="4">
        <f>HYPERLINK("https://my.pitchbook.com/?d=169323-85T","169323-85T")</f>
      </c>
      <c r="AJ309" s="30" t="s">
        <v>166</v>
      </c>
      <c r="AK309" s="30">
        <v>44244</v>
      </c>
      <c r="AL309" s="29">
        <v>0.5</v>
      </c>
      <c r="AM309" s="25" t="s">
        <v>185</v>
      </c>
      <c r="AN309" s="29">
        <v>3</v>
      </c>
      <c r="AO309" s="29">
        <v>3.5</v>
      </c>
      <c r="AP309" s="25" t="s">
        <v>247</v>
      </c>
      <c r="AQ309" s="32" t="s">
        <v>166</v>
      </c>
      <c r="AR309" s="32" t="s">
        <v>166</v>
      </c>
      <c r="AS309" s="28">
        <v>14.29</v>
      </c>
      <c r="AT309" s="29">
        <v>0.5</v>
      </c>
      <c r="AU309" s="32" t="s">
        <v>186</v>
      </c>
      <c r="AV309" s="32" t="s">
        <v>166</v>
      </c>
      <c r="AW309" s="29" t="s">
        <v>166</v>
      </c>
      <c r="AX309" s="32" t="s">
        <v>166</v>
      </c>
      <c r="AY309" s="25" t="s">
        <v>217</v>
      </c>
      <c r="AZ309" s="25" t="s">
        <v>217</v>
      </c>
      <c r="BA309" s="25" t="s">
        <v>166</v>
      </c>
      <c r="BB309" s="32" t="s">
        <v>166</v>
      </c>
      <c r="BC309" s="25" t="s">
        <v>179</v>
      </c>
      <c r="BD309" s="25" t="s">
        <v>6194</v>
      </c>
      <c r="BE309" s="25" t="s">
        <v>189</v>
      </c>
      <c r="BF309" s="29">
        <v>0.5</v>
      </c>
      <c r="BG309" s="25" t="s">
        <v>190</v>
      </c>
      <c r="BH309" s="25" t="s">
        <v>166</v>
      </c>
      <c r="BI309" s="25" t="s">
        <v>166</v>
      </c>
      <c r="BJ309" s="29" t="s">
        <v>166</v>
      </c>
      <c r="BK309" s="29" t="s">
        <v>166</v>
      </c>
      <c r="BL309" s="25" t="s">
        <v>191</v>
      </c>
      <c r="BM309" s="25" t="s">
        <v>178</v>
      </c>
      <c r="BN309" s="25" t="s">
        <v>177</v>
      </c>
      <c r="BO309" s="33">
        <v>2</v>
      </c>
      <c r="BP309" s="25" t="s">
        <v>6182</v>
      </c>
      <c r="BQ309" s="32">
        <v>8</v>
      </c>
      <c r="BR309" s="25" t="s">
        <v>166</v>
      </c>
      <c r="BS309" s="32" t="s">
        <v>166</v>
      </c>
      <c r="BT309" s="25" t="s">
        <v>166</v>
      </c>
      <c r="BU309" s="25" t="s">
        <v>166</v>
      </c>
      <c r="BV309" s="25" t="s">
        <v>166</v>
      </c>
      <c r="BW309" s="25" t="s">
        <v>166</v>
      </c>
      <c r="BX309" s="25" t="s">
        <v>166</v>
      </c>
      <c r="BY309" s="25" t="s">
        <v>166</v>
      </c>
      <c r="BZ309" s="25" t="s">
        <v>166</v>
      </c>
      <c r="CA309" s="25" t="s">
        <v>166</v>
      </c>
      <c r="CB309" s="25" t="s">
        <v>166</v>
      </c>
      <c r="CC309" s="25" t="s">
        <v>166</v>
      </c>
      <c r="CD309" s="25" t="s">
        <v>166</v>
      </c>
      <c r="CE309" s="29" t="s">
        <v>166</v>
      </c>
      <c r="CF309" s="27" t="s">
        <v>166</v>
      </c>
      <c r="CG309" s="28" t="s">
        <v>166</v>
      </c>
      <c r="CH309" s="27" t="s">
        <v>166</v>
      </c>
      <c r="CI309" s="27" t="s">
        <v>166</v>
      </c>
      <c r="CJ309" s="27" t="s">
        <v>166</v>
      </c>
      <c r="CK309" s="27" t="s">
        <v>166</v>
      </c>
      <c r="CL309" s="27" t="s">
        <v>166</v>
      </c>
      <c r="CM309" s="31" t="s">
        <v>166</v>
      </c>
      <c r="CN309" s="27" t="s">
        <v>166</v>
      </c>
      <c r="CO309" s="27" t="s">
        <v>166</v>
      </c>
      <c r="CP309" s="27" t="s">
        <v>166</v>
      </c>
      <c r="CQ309" s="27" t="s">
        <v>166</v>
      </c>
      <c r="CR309" s="27" t="s">
        <v>166</v>
      </c>
      <c r="CS309" s="27" t="s">
        <v>166</v>
      </c>
      <c r="CT309" s="27" t="s">
        <v>166</v>
      </c>
      <c r="CU309" s="27" t="s">
        <v>166</v>
      </c>
      <c r="CV309" s="27" t="s">
        <v>166</v>
      </c>
      <c r="CW309" s="27" t="s">
        <v>166</v>
      </c>
      <c r="CX309" s="27" t="s">
        <v>166</v>
      </c>
      <c r="CY309" s="27" t="s">
        <v>166</v>
      </c>
      <c r="CZ309" s="27" t="s">
        <v>166</v>
      </c>
      <c r="DA309" s="27" t="s">
        <v>166</v>
      </c>
      <c r="DB309" s="27" t="s">
        <v>166</v>
      </c>
      <c r="DC309" s="27" t="s">
        <v>166</v>
      </c>
      <c r="DD309" s="27" t="s">
        <v>166</v>
      </c>
      <c r="DE309" s="28" t="s">
        <v>166</v>
      </c>
      <c r="DF309" s="33">
        <v>8</v>
      </c>
      <c r="DG309" s="25" t="s">
        <v>2439</v>
      </c>
      <c r="DH309" s="25" t="s">
        <v>193</v>
      </c>
      <c r="DI309" s="25" t="s">
        <v>194</v>
      </c>
      <c r="DJ309" s="25" t="s">
        <v>2440</v>
      </c>
      <c r="DK309" s="25" t="s">
        <v>454</v>
      </c>
      <c r="DL309" s="32" t="s">
        <v>6195</v>
      </c>
      <c r="DM309" s="25" t="s">
        <v>198</v>
      </c>
      <c r="DN309" s="24" t="s">
        <v>6196</v>
      </c>
      <c r="DO309" s="31">
        <v>2019</v>
      </c>
      <c r="DP309" s="25" t="s">
        <v>166</v>
      </c>
      <c r="DQ309" s="25" t="s">
        <v>166</v>
      </c>
      <c r="DR309" s="29" t="s">
        <v>166</v>
      </c>
      <c r="DS309" s="27" t="s">
        <v>166</v>
      </c>
      <c r="DT309" s="30" t="s">
        <v>166</v>
      </c>
      <c r="DU309" s="25" t="s">
        <v>166</v>
      </c>
      <c r="DV309" s="29" t="s">
        <v>166</v>
      </c>
      <c r="DW309" s="29" t="s">
        <v>166</v>
      </c>
      <c r="DX309" s="27" t="s">
        <v>166</v>
      </c>
      <c r="DY309" s="27" t="s">
        <v>166</v>
      </c>
      <c r="DZ309" s="28" t="s">
        <v>166</v>
      </c>
      <c r="EA309" s="27" t="s">
        <v>166</v>
      </c>
      <c r="EB309" s="27" t="s">
        <v>166</v>
      </c>
      <c r="EC309" s="27" t="s">
        <v>166</v>
      </c>
      <c r="ED309" s="28" t="s">
        <v>166</v>
      </c>
      <c r="EE309" s="28" t="s">
        <v>166</v>
      </c>
      <c r="EF309" s="28" t="s">
        <v>166</v>
      </c>
      <c r="EG309" s="28" t="s">
        <v>166</v>
      </c>
      <c r="EH309" s="27" t="s">
        <v>166</v>
      </c>
      <c r="EI309" s="27" t="s">
        <v>166</v>
      </c>
      <c r="EJ309" s="27" t="s">
        <v>166</v>
      </c>
      <c r="EK309" s="27" t="s">
        <v>166</v>
      </c>
      <c r="EL309" s="27" t="s">
        <v>166</v>
      </c>
      <c r="EM309" s="27" t="s">
        <v>166</v>
      </c>
      <c r="EN309" s="27" t="s">
        <v>166</v>
      </c>
      <c r="EO309" s="27" t="s">
        <v>166</v>
      </c>
      <c r="EP309" s="27" t="s">
        <v>166</v>
      </c>
      <c r="EQ309" s="27" t="s">
        <v>166</v>
      </c>
      <c r="ER309" s="27" t="s">
        <v>166</v>
      </c>
      <c r="ES309" s="27" t="s">
        <v>166</v>
      </c>
      <c r="ET309" s="25" t="s">
        <v>166</v>
      </c>
      <c r="EU309" s="27" t="s">
        <v>166</v>
      </c>
      <c r="EV309" s="27" t="s">
        <v>166</v>
      </c>
      <c r="EW309" s="27" t="s">
        <v>166</v>
      </c>
      <c r="EX309" s="25" t="s">
        <v>190</v>
      </c>
      <c r="EY309" s="25" t="s">
        <v>166</v>
      </c>
      <c r="EZ309" s="27" t="s">
        <v>166</v>
      </c>
      <c r="FA309" s="26" t="s">
        <v>166</v>
      </c>
      <c r="FB309" s="26" t="s">
        <v>166</v>
      </c>
      <c r="FC309" s="26" t="s">
        <v>166</v>
      </c>
      <c r="FD309" s="26" t="s">
        <v>166</v>
      </c>
      <c r="FE309" s="26" t="s">
        <v>166</v>
      </c>
      <c r="FF309" s="26" t="s">
        <v>166</v>
      </c>
      <c r="FG309" s="25" t="s">
        <v>166</v>
      </c>
      <c r="FH309" s="4">
        <f>HYPERLINK("https://my.pitchbook.com?c=169323-85T","View Company Online")</f>
      </c>
    </row>
    <row r="310">
      <c r="A310" s="14" t="s">
        <v>6197</v>
      </c>
      <c r="B310" s="14" t="s">
        <v>6198</v>
      </c>
      <c r="C310" s="14" t="s">
        <v>6199</v>
      </c>
      <c r="D310" s="14" t="s">
        <v>166</v>
      </c>
      <c r="E310" s="23" t="s">
        <v>6200</v>
      </c>
      <c r="F310" s="21">
        <v>12</v>
      </c>
      <c r="G310" s="14" t="s">
        <v>6201</v>
      </c>
      <c r="H310" s="14" t="s">
        <v>166</v>
      </c>
      <c r="I310" s="14" t="s">
        <v>6202</v>
      </c>
      <c r="J310" s="14" t="s">
        <v>6203</v>
      </c>
      <c r="K310" s="14" t="s">
        <v>1455</v>
      </c>
      <c r="L310" s="14" t="s">
        <v>1984</v>
      </c>
      <c r="M310" s="14" t="s">
        <v>1985</v>
      </c>
      <c r="N310" s="14" t="s">
        <v>6204</v>
      </c>
      <c r="O310" s="14" t="s">
        <v>6205</v>
      </c>
      <c r="P310" s="14" t="s">
        <v>6206</v>
      </c>
      <c r="Q310" s="14" t="s">
        <v>166</v>
      </c>
      <c r="R310" s="14" t="s">
        <v>177</v>
      </c>
      <c r="S310" s="14" t="s">
        <v>178</v>
      </c>
      <c r="T310" s="14" t="s">
        <v>179</v>
      </c>
      <c r="U310" s="14" t="s">
        <v>6207</v>
      </c>
      <c r="V310" s="14" t="s">
        <v>6208</v>
      </c>
      <c r="W310" s="21" t="s">
        <v>6209</v>
      </c>
      <c r="X310" s="14" t="s">
        <v>6210</v>
      </c>
      <c r="Y310" s="14" t="s">
        <v>6211</v>
      </c>
      <c r="Z310" s="14" t="s">
        <v>6212</v>
      </c>
      <c r="AA310" s="14" t="s">
        <v>242</v>
      </c>
      <c r="AB310" s="14" t="s">
        <v>243</v>
      </c>
      <c r="AC310" s="14" t="s">
        <v>244</v>
      </c>
      <c r="AD310" s="14" t="s">
        <v>243</v>
      </c>
      <c r="AE310" s="14" t="s">
        <v>243</v>
      </c>
      <c r="AF310" s="14" t="s">
        <v>245</v>
      </c>
      <c r="AG310" s="14" t="s">
        <v>166</v>
      </c>
      <c r="AH310" s="21">
        <v>2</v>
      </c>
      <c r="AI310" s="3">
        <f>HYPERLINK("https://my.pitchbook.com/?d=136080-55T","136080-55T")</f>
      </c>
      <c r="AJ310" s="19">
        <v>43173</v>
      </c>
      <c r="AK310" s="19">
        <v>43851</v>
      </c>
      <c r="AL310" s="18">
        <v>1.85</v>
      </c>
      <c r="AM310" s="14" t="s">
        <v>185</v>
      </c>
      <c r="AN310" s="18">
        <v>5</v>
      </c>
      <c r="AO310" s="18">
        <v>6.85</v>
      </c>
      <c r="AP310" s="14" t="s">
        <v>185</v>
      </c>
      <c r="AQ310" s="21" t="s">
        <v>166</v>
      </c>
      <c r="AR310" s="21" t="s">
        <v>166</v>
      </c>
      <c r="AS310" s="17">
        <v>30.37</v>
      </c>
      <c r="AT310" s="18">
        <v>1.87</v>
      </c>
      <c r="AU310" s="21" t="s">
        <v>186</v>
      </c>
      <c r="AV310" s="21" t="s">
        <v>166</v>
      </c>
      <c r="AW310" s="18">
        <v>55.52</v>
      </c>
      <c r="AX310" s="21" t="s">
        <v>166</v>
      </c>
      <c r="AY310" s="14" t="s">
        <v>217</v>
      </c>
      <c r="AZ310" s="14" t="s">
        <v>217</v>
      </c>
      <c r="BA310" s="14" t="s">
        <v>166</v>
      </c>
      <c r="BB310" s="21" t="s">
        <v>166</v>
      </c>
      <c r="BC310" s="14" t="s">
        <v>179</v>
      </c>
      <c r="BD310" s="14" t="s">
        <v>6213</v>
      </c>
      <c r="BE310" s="14" t="s">
        <v>189</v>
      </c>
      <c r="BF310" s="18">
        <v>1.85</v>
      </c>
      <c r="BG310" s="14" t="s">
        <v>190</v>
      </c>
      <c r="BH310" s="14" t="s">
        <v>166</v>
      </c>
      <c r="BI310" s="14" t="s">
        <v>166</v>
      </c>
      <c r="BJ310" s="18" t="s">
        <v>166</v>
      </c>
      <c r="BK310" s="18" t="s">
        <v>166</v>
      </c>
      <c r="BL310" s="14" t="s">
        <v>191</v>
      </c>
      <c r="BM310" s="14" t="s">
        <v>178</v>
      </c>
      <c r="BN310" s="14" t="s">
        <v>177</v>
      </c>
      <c r="BO310" s="22" t="s">
        <v>166</v>
      </c>
      <c r="BP310" s="14" t="s">
        <v>6214</v>
      </c>
      <c r="BQ310" s="21">
        <v>11</v>
      </c>
      <c r="BR310" s="14" t="s">
        <v>252</v>
      </c>
      <c r="BS310" s="21">
        <v>1</v>
      </c>
      <c r="BT310" s="14" t="s">
        <v>6215</v>
      </c>
      <c r="BU310" s="14" t="s">
        <v>166</v>
      </c>
      <c r="BV310" s="14" t="s">
        <v>6216</v>
      </c>
      <c r="BW310" s="14" t="s">
        <v>166</v>
      </c>
      <c r="BX310" s="14" t="s">
        <v>166</v>
      </c>
      <c r="BY310" s="14" t="s">
        <v>166</v>
      </c>
      <c r="BZ310" s="14" t="s">
        <v>166</v>
      </c>
      <c r="CA310" s="14" t="s">
        <v>166</v>
      </c>
      <c r="CB310" s="14" t="s">
        <v>166</v>
      </c>
      <c r="CC310" s="14" t="s">
        <v>166</v>
      </c>
      <c r="CD310" s="14" t="s">
        <v>166</v>
      </c>
      <c r="CE310" s="18" t="s">
        <v>166</v>
      </c>
      <c r="CF310" s="16" t="s">
        <v>166</v>
      </c>
      <c r="CG310" s="17" t="s">
        <v>166</v>
      </c>
      <c r="CH310" s="16" t="s">
        <v>166</v>
      </c>
      <c r="CI310" s="16" t="s">
        <v>166</v>
      </c>
      <c r="CJ310" s="16" t="s">
        <v>166</v>
      </c>
      <c r="CK310" s="16" t="s">
        <v>166</v>
      </c>
      <c r="CL310" s="16" t="s">
        <v>166</v>
      </c>
      <c r="CM310" s="20" t="s">
        <v>166</v>
      </c>
      <c r="CN310" s="16" t="s">
        <v>166</v>
      </c>
      <c r="CO310" s="16" t="s">
        <v>166</v>
      </c>
      <c r="CP310" s="16" t="s">
        <v>166</v>
      </c>
      <c r="CQ310" s="16" t="s">
        <v>166</v>
      </c>
      <c r="CR310" s="16" t="s">
        <v>166</v>
      </c>
      <c r="CS310" s="16" t="s">
        <v>166</v>
      </c>
      <c r="CT310" s="16" t="s">
        <v>166</v>
      </c>
      <c r="CU310" s="16" t="s">
        <v>166</v>
      </c>
      <c r="CV310" s="16" t="s">
        <v>166</v>
      </c>
      <c r="CW310" s="16" t="s">
        <v>166</v>
      </c>
      <c r="CX310" s="16" t="s">
        <v>166</v>
      </c>
      <c r="CY310" s="16" t="s">
        <v>166</v>
      </c>
      <c r="CZ310" s="16" t="s">
        <v>166</v>
      </c>
      <c r="DA310" s="16" t="s">
        <v>166</v>
      </c>
      <c r="DB310" s="16" t="s">
        <v>166</v>
      </c>
      <c r="DC310" s="16" t="s">
        <v>166</v>
      </c>
      <c r="DD310" s="16" t="s">
        <v>166</v>
      </c>
      <c r="DE310" s="17" t="s">
        <v>166</v>
      </c>
      <c r="DF310" s="22">
        <v>17</v>
      </c>
      <c r="DG310" s="14" t="s">
        <v>309</v>
      </c>
      <c r="DH310" s="14" t="s">
        <v>193</v>
      </c>
      <c r="DI310" s="14" t="s">
        <v>194</v>
      </c>
      <c r="DJ310" s="14" t="s">
        <v>310</v>
      </c>
      <c r="DK310" s="14" t="s">
        <v>310</v>
      </c>
      <c r="DL310" s="21" t="s">
        <v>311</v>
      </c>
      <c r="DM310" s="14" t="s">
        <v>198</v>
      </c>
      <c r="DN310" s="13" t="s">
        <v>6217</v>
      </c>
      <c r="DO310" s="20">
        <v>2018</v>
      </c>
      <c r="DP310" s="14" t="s">
        <v>166</v>
      </c>
      <c r="DQ310" s="14" t="s">
        <v>166</v>
      </c>
      <c r="DR310" s="18" t="s">
        <v>166</v>
      </c>
      <c r="DS310" s="16" t="s">
        <v>166</v>
      </c>
      <c r="DT310" s="19" t="s">
        <v>166</v>
      </c>
      <c r="DU310" s="14" t="s">
        <v>166</v>
      </c>
      <c r="DV310" s="18" t="s">
        <v>166</v>
      </c>
      <c r="DW310" s="18" t="s">
        <v>166</v>
      </c>
      <c r="DX310" s="16" t="s">
        <v>166</v>
      </c>
      <c r="DY310" s="16" t="s">
        <v>166</v>
      </c>
      <c r="DZ310" s="17" t="s">
        <v>166</v>
      </c>
      <c r="EA310" s="16" t="s">
        <v>166</v>
      </c>
      <c r="EB310" s="16" t="s">
        <v>166</v>
      </c>
      <c r="EC310" s="16" t="s">
        <v>166</v>
      </c>
      <c r="ED310" s="17" t="s">
        <v>166</v>
      </c>
      <c r="EE310" s="17" t="s">
        <v>166</v>
      </c>
      <c r="EF310" s="17" t="s">
        <v>166</v>
      </c>
      <c r="EG310" s="17" t="s">
        <v>166</v>
      </c>
      <c r="EH310" s="16" t="s">
        <v>166</v>
      </c>
      <c r="EI310" s="16" t="s">
        <v>166</v>
      </c>
      <c r="EJ310" s="16" t="s">
        <v>166</v>
      </c>
      <c r="EK310" s="16" t="s">
        <v>166</v>
      </c>
      <c r="EL310" s="16" t="s">
        <v>166</v>
      </c>
      <c r="EM310" s="16" t="s">
        <v>166</v>
      </c>
      <c r="EN310" s="16" t="s">
        <v>166</v>
      </c>
      <c r="EO310" s="16" t="s">
        <v>166</v>
      </c>
      <c r="EP310" s="16" t="s">
        <v>166</v>
      </c>
      <c r="EQ310" s="16" t="s">
        <v>166</v>
      </c>
      <c r="ER310" s="16" t="s">
        <v>166</v>
      </c>
      <c r="ES310" s="16" t="s">
        <v>166</v>
      </c>
      <c r="ET310" s="14" t="s">
        <v>166</v>
      </c>
      <c r="EU310" s="16" t="s">
        <v>166</v>
      </c>
      <c r="EV310" s="16" t="s">
        <v>166</v>
      </c>
      <c r="EW310" s="16" t="s">
        <v>166</v>
      </c>
      <c r="EX310" s="14" t="s">
        <v>190</v>
      </c>
      <c r="EY310" s="14" t="s">
        <v>166</v>
      </c>
      <c r="EZ310" s="16" t="s">
        <v>166</v>
      </c>
      <c r="FA310" s="15" t="s">
        <v>166</v>
      </c>
      <c r="FB310" s="15" t="s">
        <v>166</v>
      </c>
      <c r="FC310" s="15" t="s">
        <v>166</v>
      </c>
      <c r="FD310" s="15" t="s">
        <v>166</v>
      </c>
      <c r="FE310" s="15" t="s">
        <v>166</v>
      </c>
      <c r="FF310" s="15" t="s">
        <v>166</v>
      </c>
      <c r="FG310" s="14" t="s">
        <v>166</v>
      </c>
      <c r="FH310" s="3">
        <f>HYPERLINK("https://my.pitchbook.com?c=136080-55T","View Company Online")</f>
      </c>
    </row>
    <row r="311">
      <c r="A311" s="25" t="s">
        <v>6218</v>
      </c>
      <c r="B311" s="25" t="s">
        <v>6219</v>
      </c>
      <c r="C311" s="25" t="s">
        <v>6220</v>
      </c>
      <c r="D311" s="25" t="s">
        <v>166</v>
      </c>
      <c r="E311" s="34" t="s">
        <v>6221</v>
      </c>
      <c r="F311" s="32">
        <v>1</v>
      </c>
      <c r="G311" s="25" t="s">
        <v>6222</v>
      </c>
      <c r="H311" s="25" t="s">
        <v>166</v>
      </c>
      <c r="I311" s="25" t="s">
        <v>6223</v>
      </c>
      <c r="J311" s="25" t="s">
        <v>6224</v>
      </c>
      <c r="K311" s="25" t="s">
        <v>207</v>
      </c>
      <c r="L311" s="25" t="s">
        <v>208</v>
      </c>
      <c r="M311" s="25" t="s">
        <v>296</v>
      </c>
      <c r="N311" s="25" t="s">
        <v>6225</v>
      </c>
      <c r="O311" s="25" t="s">
        <v>6226</v>
      </c>
      <c r="P311" s="25" t="s">
        <v>6227</v>
      </c>
      <c r="Q311" s="25" t="s">
        <v>166</v>
      </c>
      <c r="R311" s="25" t="s">
        <v>177</v>
      </c>
      <c r="S311" s="25" t="s">
        <v>178</v>
      </c>
      <c r="T311" s="25" t="s">
        <v>1401</v>
      </c>
      <c r="U311" s="25" t="s">
        <v>6228</v>
      </c>
      <c r="V311" s="25" t="s">
        <v>6229</v>
      </c>
      <c r="W311" s="32" t="s">
        <v>6230</v>
      </c>
      <c r="X311" s="25" t="s">
        <v>6231</v>
      </c>
      <c r="Y311" s="25" t="s">
        <v>6232</v>
      </c>
      <c r="Z311" s="25" t="s">
        <v>6233</v>
      </c>
      <c r="AA311" s="25" t="s">
        <v>166</v>
      </c>
      <c r="AB311" s="25" t="s">
        <v>166</v>
      </c>
      <c r="AC311" s="25" t="s">
        <v>166</v>
      </c>
      <c r="AD311" s="25" t="s">
        <v>166</v>
      </c>
      <c r="AE311" s="25" t="s">
        <v>166</v>
      </c>
      <c r="AF311" s="25" t="s">
        <v>166</v>
      </c>
      <c r="AG311" s="25" t="s">
        <v>166</v>
      </c>
      <c r="AH311" s="32">
        <v>1</v>
      </c>
      <c r="AI311" s="4">
        <f>HYPERLINK("https://my.pitchbook.com/?d=190999-00T","190999-00T")</f>
      </c>
      <c r="AJ311" s="30" t="s">
        <v>166</v>
      </c>
      <c r="AK311" s="30">
        <v>44470</v>
      </c>
      <c r="AL311" s="29">
        <v>6.3</v>
      </c>
      <c r="AM311" s="25" t="s">
        <v>185</v>
      </c>
      <c r="AN311" s="29" t="s">
        <v>166</v>
      </c>
      <c r="AO311" s="29" t="s">
        <v>166</v>
      </c>
      <c r="AP311" s="25" t="s">
        <v>166</v>
      </c>
      <c r="AQ311" s="32" t="s">
        <v>166</v>
      </c>
      <c r="AR311" s="32" t="s">
        <v>166</v>
      </c>
      <c r="AS311" s="28" t="s">
        <v>166</v>
      </c>
      <c r="AT311" s="29">
        <v>6.3</v>
      </c>
      <c r="AU311" s="32" t="s">
        <v>186</v>
      </c>
      <c r="AV311" s="32" t="s">
        <v>166</v>
      </c>
      <c r="AW311" s="29" t="s">
        <v>166</v>
      </c>
      <c r="AX311" s="32" t="s">
        <v>166</v>
      </c>
      <c r="AY311" s="25" t="s">
        <v>217</v>
      </c>
      <c r="AZ311" s="25" t="s">
        <v>217</v>
      </c>
      <c r="BA311" s="25" t="s">
        <v>166</v>
      </c>
      <c r="BB311" s="32" t="s">
        <v>166</v>
      </c>
      <c r="BC311" s="25" t="s">
        <v>179</v>
      </c>
      <c r="BD311" s="25" t="s">
        <v>6234</v>
      </c>
      <c r="BE311" s="25" t="s">
        <v>189</v>
      </c>
      <c r="BF311" s="29">
        <v>6.3</v>
      </c>
      <c r="BG311" s="25" t="s">
        <v>190</v>
      </c>
      <c r="BH311" s="25" t="s">
        <v>166</v>
      </c>
      <c r="BI311" s="25" t="s">
        <v>166</v>
      </c>
      <c r="BJ311" s="29" t="s">
        <v>166</v>
      </c>
      <c r="BK311" s="29" t="s">
        <v>166</v>
      </c>
      <c r="BL311" s="25" t="s">
        <v>191</v>
      </c>
      <c r="BM311" s="25" t="s">
        <v>358</v>
      </c>
      <c r="BN311" s="25" t="s">
        <v>177</v>
      </c>
      <c r="BO311" s="33" t="s">
        <v>166</v>
      </c>
      <c r="BP311" s="25" t="s">
        <v>6221</v>
      </c>
      <c r="BQ311" s="32">
        <v>1</v>
      </c>
      <c r="BR311" s="25" t="s">
        <v>166</v>
      </c>
      <c r="BS311" s="32" t="s">
        <v>166</v>
      </c>
      <c r="BT311" s="25" t="s">
        <v>166</v>
      </c>
      <c r="BU311" s="25" t="s">
        <v>166</v>
      </c>
      <c r="BV311" s="25" t="s">
        <v>166</v>
      </c>
      <c r="BW311" s="25" t="s">
        <v>166</v>
      </c>
      <c r="BX311" s="25" t="s">
        <v>166</v>
      </c>
      <c r="BY311" s="25" t="s">
        <v>166</v>
      </c>
      <c r="BZ311" s="25" t="s">
        <v>166</v>
      </c>
      <c r="CA311" s="25" t="s">
        <v>166</v>
      </c>
      <c r="CB311" s="25" t="s">
        <v>166</v>
      </c>
      <c r="CC311" s="25" t="s">
        <v>166</v>
      </c>
      <c r="CD311" s="25" t="s">
        <v>166</v>
      </c>
      <c r="CE311" s="29" t="s">
        <v>166</v>
      </c>
      <c r="CF311" s="27" t="s">
        <v>166</v>
      </c>
      <c r="CG311" s="28" t="s">
        <v>166</v>
      </c>
      <c r="CH311" s="27" t="s">
        <v>166</v>
      </c>
      <c r="CI311" s="27" t="s">
        <v>166</v>
      </c>
      <c r="CJ311" s="27" t="s">
        <v>166</v>
      </c>
      <c r="CK311" s="27" t="s">
        <v>166</v>
      </c>
      <c r="CL311" s="27" t="s">
        <v>166</v>
      </c>
      <c r="CM311" s="31" t="s">
        <v>166</v>
      </c>
      <c r="CN311" s="27" t="s">
        <v>166</v>
      </c>
      <c r="CO311" s="27" t="s">
        <v>166</v>
      </c>
      <c r="CP311" s="27" t="s">
        <v>166</v>
      </c>
      <c r="CQ311" s="27" t="s">
        <v>166</v>
      </c>
      <c r="CR311" s="27" t="s">
        <v>166</v>
      </c>
      <c r="CS311" s="27" t="s">
        <v>166</v>
      </c>
      <c r="CT311" s="27" t="s">
        <v>166</v>
      </c>
      <c r="CU311" s="27" t="s">
        <v>166</v>
      </c>
      <c r="CV311" s="27" t="s">
        <v>166</v>
      </c>
      <c r="CW311" s="27" t="s">
        <v>166</v>
      </c>
      <c r="CX311" s="27" t="s">
        <v>166</v>
      </c>
      <c r="CY311" s="27" t="s">
        <v>166</v>
      </c>
      <c r="CZ311" s="27" t="s">
        <v>166</v>
      </c>
      <c r="DA311" s="27" t="s">
        <v>166</v>
      </c>
      <c r="DB311" s="27" t="s">
        <v>166</v>
      </c>
      <c r="DC311" s="27" t="s">
        <v>166</v>
      </c>
      <c r="DD311" s="27" t="s">
        <v>166</v>
      </c>
      <c r="DE311" s="28" t="s">
        <v>166</v>
      </c>
      <c r="DF311" s="33">
        <v>61</v>
      </c>
      <c r="DG311" s="25" t="s">
        <v>309</v>
      </c>
      <c r="DH311" s="25" t="s">
        <v>193</v>
      </c>
      <c r="DI311" s="25" t="s">
        <v>194</v>
      </c>
      <c r="DJ311" s="25" t="s">
        <v>310</v>
      </c>
      <c r="DK311" s="25" t="s">
        <v>310</v>
      </c>
      <c r="DL311" s="32" t="s">
        <v>3037</v>
      </c>
      <c r="DM311" s="25" t="s">
        <v>198</v>
      </c>
      <c r="DN311" s="24" t="s">
        <v>6235</v>
      </c>
      <c r="DO311" s="31">
        <v>2021</v>
      </c>
      <c r="DP311" s="25" t="s">
        <v>166</v>
      </c>
      <c r="DQ311" s="25" t="s">
        <v>166</v>
      </c>
      <c r="DR311" s="29" t="s">
        <v>166</v>
      </c>
      <c r="DS311" s="27" t="s">
        <v>166</v>
      </c>
      <c r="DT311" s="30" t="s">
        <v>166</v>
      </c>
      <c r="DU311" s="25" t="s">
        <v>166</v>
      </c>
      <c r="DV311" s="29" t="s">
        <v>166</v>
      </c>
      <c r="DW311" s="29" t="s">
        <v>166</v>
      </c>
      <c r="DX311" s="27" t="s">
        <v>166</v>
      </c>
      <c r="DY311" s="27" t="s">
        <v>166</v>
      </c>
      <c r="DZ311" s="28" t="s">
        <v>166</v>
      </c>
      <c r="EA311" s="27" t="s">
        <v>166</v>
      </c>
      <c r="EB311" s="27" t="s">
        <v>166</v>
      </c>
      <c r="EC311" s="27" t="s">
        <v>166</v>
      </c>
      <c r="ED311" s="28" t="s">
        <v>166</v>
      </c>
      <c r="EE311" s="28" t="s">
        <v>166</v>
      </c>
      <c r="EF311" s="28" t="s">
        <v>166</v>
      </c>
      <c r="EG311" s="28" t="s">
        <v>166</v>
      </c>
      <c r="EH311" s="27" t="s">
        <v>166</v>
      </c>
      <c r="EI311" s="27" t="s">
        <v>166</v>
      </c>
      <c r="EJ311" s="27" t="s">
        <v>166</v>
      </c>
      <c r="EK311" s="27" t="s">
        <v>166</v>
      </c>
      <c r="EL311" s="27" t="s">
        <v>166</v>
      </c>
      <c r="EM311" s="27" t="s">
        <v>166</v>
      </c>
      <c r="EN311" s="27" t="s">
        <v>166</v>
      </c>
      <c r="EO311" s="27" t="s">
        <v>166</v>
      </c>
      <c r="EP311" s="27" t="s">
        <v>166</v>
      </c>
      <c r="EQ311" s="27" t="s">
        <v>166</v>
      </c>
      <c r="ER311" s="27" t="s">
        <v>166</v>
      </c>
      <c r="ES311" s="27" t="s">
        <v>166</v>
      </c>
      <c r="ET311" s="25" t="s">
        <v>166</v>
      </c>
      <c r="EU311" s="27" t="s">
        <v>166</v>
      </c>
      <c r="EV311" s="27" t="s">
        <v>166</v>
      </c>
      <c r="EW311" s="27" t="s">
        <v>166</v>
      </c>
      <c r="EX311" s="25" t="s">
        <v>190</v>
      </c>
      <c r="EY311" s="25" t="s">
        <v>166</v>
      </c>
      <c r="EZ311" s="27" t="s">
        <v>166</v>
      </c>
      <c r="FA311" s="26" t="s">
        <v>166</v>
      </c>
      <c r="FB311" s="26" t="s">
        <v>166</v>
      </c>
      <c r="FC311" s="26" t="s">
        <v>166</v>
      </c>
      <c r="FD311" s="26" t="s">
        <v>166</v>
      </c>
      <c r="FE311" s="26" t="s">
        <v>166</v>
      </c>
      <c r="FF311" s="26" t="s">
        <v>166</v>
      </c>
      <c r="FG311" s="25" t="s">
        <v>166</v>
      </c>
      <c r="FH311" s="4">
        <f>HYPERLINK("https://my.pitchbook.com?c=190999-00T","View Company Online")</f>
      </c>
    </row>
    <row r="312">
      <c r="A312" s="14" t="s">
        <v>6236</v>
      </c>
      <c r="B312" s="14" t="s">
        <v>6237</v>
      </c>
      <c r="C312" s="14" t="s">
        <v>6238</v>
      </c>
      <c r="D312" s="14" t="s">
        <v>166</v>
      </c>
      <c r="E312" s="23" t="s">
        <v>6239</v>
      </c>
      <c r="F312" s="21">
        <v>4</v>
      </c>
      <c r="G312" s="14" t="s">
        <v>6240</v>
      </c>
      <c r="H312" s="14" t="s">
        <v>166</v>
      </c>
      <c r="I312" s="14" t="s">
        <v>6241</v>
      </c>
      <c r="J312" s="14" t="s">
        <v>6242</v>
      </c>
      <c r="K312" s="14" t="s">
        <v>207</v>
      </c>
      <c r="L312" s="14" t="s">
        <v>208</v>
      </c>
      <c r="M312" s="14" t="s">
        <v>209</v>
      </c>
      <c r="N312" s="14" t="s">
        <v>1359</v>
      </c>
      <c r="O312" s="14" t="s">
        <v>1691</v>
      </c>
      <c r="P312" s="14" t="s">
        <v>6243</v>
      </c>
      <c r="Q312" s="14" t="s">
        <v>166</v>
      </c>
      <c r="R312" s="14" t="s">
        <v>177</v>
      </c>
      <c r="S312" s="14" t="s">
        <v>178</v>
      </c>
      <c r="T312" s="14" t="s">
        <v>179</v>
      </c>
      <c r="U312" s="14" t="s">
        <v>6244</v>
      </c>
      <c r="V312" s="14" t="s">
        <v>6245</v>
      </c>
      <c r="W312" s="21" t="s">
        <v>6246</v>
      </c>
      <c r="X312" s="14" t="s">
        <v>6247</v>
      </c>
      <c r="Y312" s="14" t="s">
        <v>6248</v>
      </c>
      <c r="Z312" s="14" t="s">
        <v>6249</v>
      </c>
      <c r="AA312" s="14" t="s">
        <v>242</v>
      </c>
      <c r="AB312" s="14" t="s">
        <v>243</v>
      </c>
      <c r="AC312" s="14" t="s">
        <v>244</v>
      </c>
      <c r="AD312" s="14" t="s">
        <v>243</v>
      </c>
      <c r="AE312" s="14" t="s">
        <v>243</v>
      </c>
      <c r="AF312" s="14" t="s">
        <v>245</v>
      </c>
      <c r="AG312" s="14" t="s">
        <v>246</v>
      </c>
      <c r="AH312" s="21">
        <v>1</v>
      </c>
      <c r="AI312" s="3">
        <f>HYPERLINK("https://my.pitchbook.com/?d=159904-09T","159904-09T")</f>
      </c>
      <c r="AJ312" s="19">
        <v>43831</v>
      </c>
      <c r="AK312" s="19">
        <v>44317</v>
      </c>
      <c r="AL312" s="18">
        <v>2</v>
      </c>
      <c r="AM312" s="14" t="s">
        <v>185</v>
      </c>
      <c r="AN312" s="18">
        <v>4</v>
      </c>
      <c r="AO312" s="18">
        <v>6</v>
      </c>
      <c r="AP312" s="14" t="s">
        <v>185</v>
      </c>
      <c r="AQ312" s="21" t="s">
        <v>166</v>
      </c>
      <c r="AR312" s="21" t="s">
        <v>166</v>
      </c>
      <c r="AS312" s="17">
        <v>21.13</v>
      </c>
      <c r="AT312" s="18">
        <v>2</v>
      </c>
      <c r="AU312" s="21" t="s">
        <v>186</v>
      </c>
      <c r="AV312" s="21" t="s">
        <v>166</v>
      </c>
      <c r="AW312" s="18">
        <v>0.73</v>
      </c>
      <c r="AX312" s="21" t="s">
        <v>166</v>
      </c>
      <c r="AY312" s="14" t="s">
        <v>217</v>
      </c>
      <c r="AZ312" s="14" t="s">
        <v>217</v>
      </c>
      <c r="BA312" s="14" t="s">
        <v>166</v>
      </c>
      <c r="BB312" s="21" t="s">
        <v>166</v>
      </c>
      <c r="BC312" s="14" t="s">
        <v>179</v>
      </c>
      <c r="BD312" s="14" t="s">
        <v>6250</v>
      </c>
      <c r="BE312" s="14" t="s">
        <v>189</v>
      </c>
      <c r="BF312" s="18">
        <v>2</v>
      </c>
      <c r="BG312" s="14" t="s">
        <v>190</v>
      </c>
      <c r="BH312" s="14" t="s">
        <v>166</v>
      </c>
      <c r="BI312" s="14" t="s">
        <v>166</v>
      </c>
      <c r="BJ312" s="18" t="s">
        <v>166</v>
      </c>
      <c r="BK312" s="18" t="s">
        <v>166</v>
      </c>
      <c r="BL312" s="14" t="s">
        <v>191</v>
      </c>
      <c r="BM312" s="14" t="s">
        <v>178</v>
      </c>
      <c r="BN312" s="14" t="s">
        <v>177</v>
      </c>
      <c r="BO312" s="22" t="s">
        <v>166</v>
      </c>
      <c r="BP312" s="14" t="s">
        <v>6239</v>
      </c>
      <c r="BQ312" s="21">
        <v>4</v>
      </c>
      <c r="BR312" s="14" t="s">
        <v>166</v>
      </c>
      <c r="BS312" s="21" t="s">
        <v>166</v>
      </c>
      <c r="BT312" s="14" t="s">
        <v>166</v>
      </c>
      <c r="BU312" s="14" t="s">
        <v>166</v>
      </c>
      <c r="BV312" s="14" t="s">
        <v>6251</v>
      </c>
      <c r="BW312" s="14" t="s">
        <v>166</v>
      </c>
      <c r="BX312" s="14" t="s">
        <v>166</v>
      </c>
      <c r="BY312" s="14" t="s">
        <v>166</v>
      </c>
      <c r="BZ312" s="14" t="s">
        <v>166</v>
      </c>
      <c r="CA312" s="14" t="s">
        <v>166</v>
      </c>
      <c r="CB312" s="14" t="s">
        <v>166</v>
      </c>
      <c r="CC312" s="14" t="s">
        <v>166</v>
      </c>
      <c r="CD312" s="14" t="s">
        <v>166</v>
      </c>
      <c r="CE312" s="18" t="s">
        <v>166</v>
      </c>
      <c r="CF312" s="16" t="s">
        <v>166</v>
      </c>
      <c r="CG312" s="17" t="s">
        <v>166</v>
      </c>
      <c r="CH312" s="16" t="s">
        <v>166</v>
      </c>
      <c r="CI312" s="16" t="s">
        <v>166</v>
      </c>
      <c r="CJ312" s="16" t="s">
        <v>166</v>
      </c>
      <c r="CK312" s="16" t="s">
        <v>166</v>
      </c>
      <c r="CL312" s="16" t="s">
        <v>166</v>
      </c>
      <c r="CM312" s="20" t="s">
        <v>166</v>
      </c>
      <c r="CN312" s="16" t="s">
        <v>166</v>
      </c>
      <c r="CO312" s="16" t="s">
        <v>166</v>
      </c>
      <c r="CP312" s="16" t="s">
        <v>166</v>
      </c>
      <c r="CQ312" s="16" t="s">
        <v>166</v>
      </c>
      <c r="CR312" s="16" t="s">
        <v>166</v>
      </c>
      <c r="CS312" s="16" t="s">
        <v>166</v>
      </c>
      <c r="CT312" s="16" t="s">
        <v>166</v>
      </c>
      <c r="CU312" s="16" t="s">
        <v>166</v>
      </c>
      <c r="CV312" s="16" t="s">
        <v>166</v>
      </c>
      <c r="CW312" s="16" t="s">
        <v>166</v>
      </c>
      <c r="CX312" s="16" t="s">
        <v>166</v>
      </c>
      <c r="CY312" s="16" t="s">
        <v>166</v>
      </c>
      <c r="CZ312" s="16" t="s">
        <v>166</v>
      </c>
      <c r="DA312" s="16" t="s">
        <v>166</v>
      </c>
      <c r="DB312" s="16" t="s">
        <v>166</v>
      </c>
      <c r="DC312" s="16" t="s">
        <v>166</v>
      </c>
      <c r="DD312" s="16" t="s">
        <v>166</v>
      </c>
      <c r="DE312" s="17" t="s">
        <v>166</v>
      </c>
      <c r="DF312" s="22">
        <v>42</v>
      </c>
      <c r="DG312" s="14" t="s">
        <v>6252</v>
      </c>
      <c r="DH312" s="14" t="s">
        <v>193</v>
      </c>
      <c r="DI312" s="14" t="s">
        <v>194</v>
      </c>
      <c r="DJ312" s="14" t="s">
        <v>6253</v>
      </c>
      <c r="DK312" s="14" t="s">
        <v>257</v>
      </c>
      <c r="DL312" s="21" t="s">
        <v>6254</v>
      </c>
      <c r="DM312" s="14" t="s">
        <v>198</v>
      </c>
      <c r="DN312" s="13" t="s">
        <v>6255</v>
      </c>
      <c r="DO312" s="20">
        <v>2015</v>
      </c>
      <c r="DP312" s="14" t="s">
        <v>166</v>
      </c>
      <c r="DQ312" s="14" t="s">
        <v>166</v>
      </c>
      <c r="DR312" s="18" t="s">
        <v>166</v>
      </c>
      <c r="DS312" s="16" t="s">
        <v>166</v>
      </c>
      <c r="DT312" s="19" t="s">
        <v>166</v>
      </c>
      <c r="DU312" s="14" t="s">
        <v>166</v>
      </c>
      <c r="DV312" s="18" t="s">
        <v>166</v>
      </c>
      <c r="DW312" s="18" t="s">
        <v>166</v>
      </c>
      <c r="DX312" s="16" t="s">
        <v>166</v>
      </c>
      <c r="DY312" s="16" t="s">
        <v>166</v>
      </c>
      <c r="DZ312" s="17" t="s">
        <v>166</v>
      </c>
      <c r="EA312" s="16" t="s">
        <v>166</v>
      </c>
      <c r="EB312" s="16" t="s">
        <v>166</v>
      </c>
      <c r="EC312" s="16" t="s">
        <v>166</v>
      </c>
      <c r="ED312" s="17" t="s">
        <v>166</v>
      </c>
      <c r="EE312" s="17" t="s">
        <v>166</v>
      </c>
      <c r="EF312" s="17" t="s">
        <v>166</v>
      </c>
      <c r="EG312" s="17" t="s">
        <v>166</v>
      </c>
      <c r="EH312" s="16" t="s">
        <v>166</v>
      </c>
      <c r="EI312" s="16" t="s">
        <v>166</v>
      </c>
      <c r="EJ312" s="16" t="s">
        <v>166</v>
      </c>
      <c r="EK312" s="16" t="s">
        <v>166</v>
      </c>
      <c r="EL312" s="16" t="s">
        <v>166</v>
      </c>
      <c r="EM312" s="16" t="s">
        <v>166</v>
      </c>
      <c r="EN312" s="16" t="s">
        <v>166</v>
      </c>
      <c r="EO312" s="16" t="s">
        <v>166</v>
      </c>
      <c r="EP312" s="16" t="s">
        <v>166</v>
      </c>
      <c r="EQ312" s="16" t="s">
        <v>166</v>
      </c>
      <c r="ER312" s="16" t="s">
        <v>166</v>
      </c>
      <c r="ES312" s="16" t="s">
        <v>166</v>
      </c>
      <c r="ET312" s="14" t="s">
        <v>166</v>
      </c>
      <c r="EU312" s="16" t="s">
        <v>166</v>
      </c>
      <c r="EV312" s="16" t="s">
        <v>166</v>
      </c>
      <c r="EW312" s="16" t="s">
        <v>166</v>
      </c>
      <c r="EX312" s="14" t="s">
        <v>190</v>
      </c>
      <c r="EY312" s="14" t="s">
        <v>166</v>
      </c>
      <c r="EZ312" s="16" t="s">
        <v>166</v>
      </c>
      <c r="FA312" s="15" t="s">
        <v>166</v>
      </c>
      <c r="FB312" s="15" t="s">
        <v>166</v>
      </c>
      <c r="FC312" s="15" t="s">
        <v>166</v>
      </c>
      <c r="FD312" s="15" t="s">
        <v>166</v>
      </c>
      <c r="FE312" s="15" t="s">
        <v>166</v>
      </c>
      <c r="FF312" s="15" t="s">
        <v>166</v>
      </c>
      <c r="FG312" s="14" t="s">
        <v>166</v>
      </c>
      <c r="FH312" s="3">
        <f>HYPERLINK("https://my.pitchbook.com?c=159904-09T","View Company Online")</f>
      </c>
    </row>
    <row r="313">
      <c r="A313" s="25" t="s">
        <v>6256</v>
      </c>
      <c r="B313" s="25" t="s">
        <v>6257</v>
      </c>
      <c r="C313" s="25" t="s">
        <v>6258</v>
      </c>
      <c r="D313" s="25" t="s">
        <v>166</v>
      </c>
      <c r="E313" s="34" t="s">
        <v>6259</v>
      </c>
      <c r="F313" s="32">
        <v>6</v>
      </c>
      <c r="G313" s="25" t="s">
        <v>6260</v>
      </c>
      <c r="H313" s="25" t="s">
        <v>166</v>
      </c>
      <c r="I313" s="25" t="s">
        <v>6261</v>
      </c>
      <c r="J313" s="25" t="s">
        <v>6262</v>
      </c>
      <c r="K313" s="25" t="s">
        <v>207</v>
      </c>
      <c r="L313" s="25" t="s">
        <v>208</v>
      </c>
      <c r="M313" s="25" t="s">
        <v>209</v>
      </c>
      <c r="N313" s="25" t="s">
        <v>269</v>
      </c>
      <c r="O313" s="25" t="s">
        <v>800</v>
      </c>
      <c r="P313" s="25" t="s">
        <v>6263</v>
      </c>
      <c r="Q313" s="25" t="s">
        <v>166</v>
      </c>
      <c r="R313" s="25" t="s">
        <v>177</v>
      </c>
      <c r="S313" s="25" t="s">
        <v>178</v>
      </c>
      <c r="T313" s="25" t="s">
        <v>179</v>
      </c>
      <c r="U313" s="25" t="s">
        <v>6264</v>
      </c>
      <c r="V313" s="25" t="s">
        <v>6265</v>
      </c>
      <c r="W313" s="32" t="s">
        <v>6266</v>
      </c>
      <c r="X313" s="25" t="s">
        <v>6267</v>
      </c>
      <c r="Y313" s="25" t="s">
        <v>6268</v>
      </c>
      <c r="Z313" s="25" t="s">
        <v>166</v>
      </c>
      <c r="AA313" s="25" t="s">
        <v>166</v>
      </c>
      <c r="AB313" s="25" t="s">
        <v>166</v>
      </c>
      <c r="AC313" s="25" t="s">
        <v>166</v>
      </c>
      <c r="AD313" s="25" t="s">
        <v>166</v>
      </c>
      <c r="AE313" s="25" t="s">
        <v>166</v>
      </c>
      <c r="AF313" s="25" t="s">
        <v>166</v>
      </c>
      <c r="AG313" s="25" t="s">
        <v>166</v>
      </c>
      <c r="AH313" s="32">
        <v>2</v>
      </c>
      <c r="AI313" s="4">
        <f>HYPERLINK("https://my.pitchbook.com/?d=180247-06T","180247-06T")</f>
      </c>
      <c r="AJ313" s="30">
        <v>44440</v>
      </c>
      <c r="AK313" s="30">
        <v>44743</v>
      </c>
      <c r="AL313" s="29">
        <v>1.02</v>
      </c>
      <c r="AM313" s="25" t="s">
        <v>185</v>
      </c>
      <c r="AN313" s="29" t="s">
        <v>166</v>
      </c>
      <c r="AO313" s="29" t="s">
        <v>166</v>
      </c>
      <c r="AP313" s="25" t="s">
        <v>166</v>
      </c>
      <c r="AQ313" s="32" t="s">
        <v>166</v>
      </c>
      <c r="AR313" s="32" t="s">
        <v>166</v>
      </c>
      <c r="AS313" s="28" t="s">
        <v>166</v>
      </c>
      <c r="AT313" s="29">
        <v>1.15</v>
      </c>
      <c r="AU313" s="32" t="s">
        <v>186</v>
      </c>
      <c r="AV313" s="32" t="s">
        <v>166</v>
      </c>
      <c r="AW313" s="29" t="s">
        <v>166</v>
      </c>
      <c r="AX313" s="32" t="s">
        <v>166</v>
      </c>
      <c r="AY313" s="25" t="s">
        <v>217</v>
      </c>
      <c r="AZ313" s="25" t="s">
        <v>217</v>
      </c>
      <c r="BA313" s="25" t="s">
        <v>166</v>
      </c>
      <c r="BB313" s="32" t="s">
        <v>166</v>
      </c>
      <c r="BC313" s="25" t="s">
        <v>179</v>
      </c>
      <c r="BD313" s="25" t="s">
        <v>6269</v>
      </c>
      <c r="BE313" s="25" t="s">
        <v>189</v>
      </c>
      <c r="BF313" s="29" t="s">
        <v>166</v>
      </c>
      <c r="BG313" s="25" t="s">
        <v>190</v>
      </c>
      <c r="BH313" s="25" t="s">
        <v>166</v>
      </c>
      <c r="BI313" s="25" t="s">
        <v>166</v>
      </c>
      <c r="BJ313" s="29" t="s">
        <v>166</v>
      </c>
      <c r="BK313" s="29" t="s">
        <v>166</v>
      </c>
      <c r="BL313" s="25" t="s">
        <v>191</v>
      </c>
      <c r="BM313" s="25" t="s">
        <v>178</v>
      </c>
      <c r="BN313" s="25" t="s">
        <v>177</v>
      </c>
      <c r="BO313" s="33" t="s">
        <v>166</v>
      </c>
      <c r="BP313" s="25" t="s">
        <v>6270</v>
      </c>
      <c r="BQ313" s="32">
        <v>6</v>
      </c>
      <c r="BR313" s="25" t="s">
        <v>166</v>
      </c>
      <c r="BS313" s="32" t="s">
        <v>166</v>
      </c>
      <c r="BT313" s="25" t="s">
        <v>166</v>
      </c>
      <c r="BU313" s="25" t="s">
        <v>166</v>
      </c>
      <c r="BV313" s="25" t="s">
        <v>6271</v>
      </c>
      <c r="BW313" s="25" t="s">
        <v>166</v>
      </c>
      <c r="BX313" s="25" t="s">
        <v>166</v>
      </c>
      <c r="BY313" s="25" t="s">
        <v>166</v>
      </c>
      <c r="BZ313" s="25" t="s">
        <v>166</v>
      </c>
      <c r="CA313" s="25" t="s">
        <v>166</v>
      </c>
      <c r="CB313" s="25" t="s">
        <v>166</v>
      </c>
      <c r="CC313" s="25" t="s">
        <v>166</v>
      </c>
      <c r="CD313" s="25" t="s">
        <v>166</v>
      </c>
      <c r="CE313" s="29" t="s">
        <v>166</v>
      </c>
      <c r="CF313" s="27" t="s">
        <v>166</v>
      </c>
      <c r="CG313" s="28" t="s">
        <v>166</v>
      </c>
      <c r="CH313" s="27" t="s">
        <v>166</v>
      </c>
      <c r="CI313" s="27" t="s">
        <v>166</v>
      </c>
      <c r="CJ313" s="27" t="s">
        <v>166</v>
      </c>
      <c r="CK313" s="27" t="s">
        <v>166</v>
      </c>
      <c r="CL313" s="27" t="s">
        <v>166</v>
      </c>
      <c r="CM313" s="31" t="s">
        <v>166</v>
      </c>
      <c r="CN313" s="27" t="s">
        <v>166</v>
      </c>
      <c r="CO313" s="27" t="s">
        <v>166</v>
      </c>
      <c r="CP313" s="27" t="s">
        <v>166</v>
      </c>
      <c r="CQ313" s="27" t="s">
        <v>166</v>
      </c>
      <c r="CR313" s="27" t="s">
        <v>166</v>
      </c>
      <c r="CS313" s="27" t="s">
        <v>166</v>
      </c>
      <c r="CT313" s="27" t="s">
        <v>166</v>
      </c>
      <c r="CU313" s="27" t="s">
        <v>166</v>
      </c>
      <c r="CV313" s="27" t="s">
        <v>166</v>
      </c>
      <c r="CW313" s="27" t="s">
        <v>166</v>
      </c>
      <c r="CX313" s="27" t="s">
        <v>166</v>
      </c>
      <c r="CY313" s="27" t="s">
        <v>166</v>
      </c>
      <c r="CZ313" s="27" t="s">
        <v>166</v>
      </c>
      <c r="DA313" s="27" t="s">
        <v>166</v>
      </c>
      <c r="DB313" s="27" t="s">
        <v>166</v>
      </c>
      <c r="DC313" s="27" t="s">
        <v>166</v>
      </c>
      <c r="DD313" s="27" t="s">
        <v>166</v>
      </c>
      <c r="DE313" s="28" t="s">
        <v>166</v>
      </c>
      <c r="DF313" s="33">
        <v>5</v>
      </c>
      <c r="DG313" s="25" t="s">
        <v>673</v>
      </c>
      <c r="DH313" s="25" t="s">
        <v>193</v>
      </c>
      <c r="DI313" s="25" t="s">
        <v>194</v>
      </c>
      <c r="DJ313" s="25" t="s">
        <v>674</v>
      </c>
      <c r="DK313" s="25" t="s">
        <v>257</v>
      </c>
      <c r="DL313" s="32" t="s">
        <v>675</v>
      </c>
      <c r="DM313" s="25" t="s">
        <v>198</v>
      </c>
      <c r="DN313" s="24" t="s">
        <v>6272</v>
      </c>
      <c r="DO313" s="31">
        <v>2020</v>
      </c>
      <c r="DP313" s="25" t="s">
        <v>166</v>
      </c>
      <c r="DQ313" s="25" t="s">
        <v>166</v>
      </c>
      <c r="DR313" s="29" t="s">
        <v>166</v>
      </c>
      <c r="DS313" s="27" t="s">
        <v>166</v>
      </c>
      <c r="DT313" s="30" t="s">
        <v>166</v>
      </c>
      <c r="DU313" s="25" t="s">
        <v>166</v>
      </c>
      <c r="DV313" s="29" t="s">
        <v>166</v>
      </c>
      <c r="DW313" s="29" t="s">
        <v>166</v>
      </c>
      <c r="DX313" s="27" t="s">
        <v>166</v>
      </c>
      <c r="DY313" s="27" t="s">
        <v>166</v>
      </c>
      <c r="DZ313" s="28" t="s">
        <v>166</v>
      </c>
      <c r="EA313" s="27" t="s">
        <v>166</v>
      </c>
      <c r="EB313" s="27" t="s">
        <v>166</v>
      </c>
      <c r="EC313" s="27" t="s">
        <v>166</v>
      </c>
      <c r="ED313" s="28" t="s">
        <v>166</v>
      </c>
      <c r="EE313" s="28" t="s">
        <v>166</v>
      </c>
      <c r="EF313" s="28" t="s">
        <v>166</v>
      </c>
      <c r="EG313" s="28" t="s">
        <v>166</v>
      </c>
      <c r="EH313" s="27" t="s">
        <v>166</v>
      </c>
      <c r="EI313" s="27" t="s">
        <v>166</v>
      </c>
      <c r="EJ313" s="27" t="s">
        <v>166</v>
      </c>
      <c r="EK313" s="27" t="s">
        <v>166</v>
      </c>
      <c r="EL313" s="27" t="s">
        <v>166</v>
      </c>
      <c r="EM313" s="27" t="s">
        <v>166</v>
      </c>
      <c r="EN313" s="27" t="s">
        <v>166</v>
      </c>
      <c r="EO313" s="27" t="s">
        <v>166</v>
      </c>
      <c r="EP313" s="27" t="s">
        <v>166</v>
      </c>
      <c r="EQ313" s="27" t="s">
        <v>166</v>
      </c>
      <c r="ER313" s="27" t="s">
        <v>166</v>
      </c>
      <c r="ES313" s="27" t="s">
        <v>166</v>
      </c>
      <c r="ET313" s="25" t="s">
        <v>166</v>
      </c>
      <c r="EU313" s="27" t="s">
        <v>166</v>
      </c>
      <c r="EV313" s="27" t="s">
        <v>166</v>
      </c>
      <c r="EW313" s="27" t="s">
        <v>166</v>
      </c>
      <c r="EX313" s="25" t="s">
        <v>190</v>
      </c>
      <c r="EY313" s="25" t="s">
        <v>166</v>
      </c>
      <c r="EZ313" s="27" t="s">
        <v>166</v>
      </c>
      <c r="FA313" s="26" t="s">
        <v>166</v>
      </c>
      <c r="FB313" s="26" t="s">
        <v>166</v>
      </c>
      <c r="FC313" s="26" t="s">
        <v>166</v>
      </c>
      <c r="FD313" s="26" t="s">
        <v>166</v>
      </c>
      <c r="FE313" s="26" t="s">
        <v>166</v>
      </c>
      <c r="FF313" s="26" t="s">
        <v>166</v>
      </c>
      <c r="FG313" s="25" t="s">
        <v>166</v>
      </c>
      <c r="FH313" s="4">
        <f>HYPERLINK("https://my.pitchbook.com?c=180247-06T","View Company Online")</f>
      </c>
    </row>
    <row r="314">
      <c r="A314" s="14" t="s">
        <v>6273</v>
      </c>
      <c r="B314" s="14" t="s">
        <v>6274</v>
      </c>
      <c r="C314" s="14" t="s">
        <v>6275</v>
      </c>
      <c r="D314" s="14" t="s">
        <v>166</v>
      </c>
      <c r="E314" s="23" t="s">
        <v>6276</v>
      </c>
      <c r="F314" s="21">
        <v>1</v>
      </c>
      <c r="G314" s="14" t="s">
        <v>6277</v>
      </c>
      <c r="H314" s="14" t="s">
        <v>166</v>
      </c>
      <c r="I314" s="14" t="s">
        <v>6278</v>
      </c>
      <c r="J314" s="14" t="s">
        <v>6279</v>
      </c>
      <c r="K314" s="14" t="s">
        <v>171</v>
      </c>
      <c r="L314" s="14" t="s">
        <v>172</v>
      </c>
      <c r="M314" s="14" t="s">
        <v>173</v>
      </c>
      <c r="N314" s="14" t="s">
        <v>1088</v>
      </c>
      <c r="O314" s="14" t="s">
        <v>6280</v>
      </c>
      <c r="P314" s="14" t="s">
        <v>6281</v>
      </c>
      <c r="Q314" s="14" t="s">
        <v>166</v>
      </c>
      <c r="R314" s="14" t="s">
        <v>177</v>
      </c>
      <c r="S314" s="14" t="s">
        <v>178</v>
      </c>
      <c r="T314" s="14" t="s">
        <v>179</v>
      </c>
      <c r="U314" s="14" t="s">
        <v>6282</v>
      </c>
      <c r="V314" s="14" t="s">
        <v>6283</v>
      </c>
      <c r="W314" s="21" t="s">
        <v>6284</v>
      </c>
      <c r="X314" s="14" t="s">
        <v>6285</v>
      </c>
      <c r="Y314" s="14" t="s">
        <v>6286</v>
      </c>
      <c r="Z314" s="14" t="s">
        <v>6287</v>
      </c>
      <c r="AA314" s="14" t="s">
        <v>166</v>
      </c>
      <c r="AB314" s="14" t="s">
        <v>166</v>
      </c>
      <c r="AC314" s="14" t="s">
        <v>166</v>
      </c>
      <c r="AD314" s="14" t="s">
        <v>166</v>
      </c>
      <c r="AE314" s="14" t="s">
        <v>166</v>
      </c>
      <c r="AF314" s="14" t="s">
        <v>166</v>
      </c>
      <c r="AG314" s="14" t="s">
        <v>166</v>
      </c>
      <c r="AH314" s="21">
        <v>3</v>
      </c>
      <c r="AI314" s="3">
        <f>HYPERLINK("https://my.pitchbook.com/?d=194025-07T","194025-07T")</f>
      </c>
      <c r="AJ314" s="19" t="s">
        <v>166</v>
      </c>
      <c r="AK314" s="19">
        <v>44287</v>
      </c>
      <c r="AL314" s="18">
        <v>0.04</v>
      </c>
      <c r="AM314" s="14" t="s">
        <v>185</v>
      </c>
      <c r="AN314" s="18" t="s">
        <v>166</v>
      </c>
      <c r="AO314" s="18" t="s">
        <v>166</v>
      </c>
      <c r="AP314" s="14" t="s">
        <v>166</v>
      </c>
      <c r="AQ314" s="21" t="s">
        <v>166</v>
      </c>
      <c r="AR314" s="21" t="s">
        <v>166</v>
      </c>
      <c r="AS314" s="17" t="s">
        <v>166</v>
      </c>
      <c r="AT314" s="18">
        <v>0.04</v>
      </c>
      <c r="AU314" s="21" t="s">
        <v>186</v>
      </c>
      <c r="AV314" s="21" t="s">
        <v>166</v>
      </c>
      <c r="AW314" s="18" t="s">
        <v>166</v>
      </c>
      <c r="AX314" s="21" t="s">
        <v>166</v>
      </c>
      <c r="AY314" s="14" t="s">
        <v>217</v>
      </c>
      <c r="AZ314" s="14" t="s">
        <v>217</v>
      </c>
      <c r="BA314" s="14" t="s">
        <v>166</v>
      </c>
      <c r="BB314" s="21" t="s">
        <v>166</v>
      </c>
      <c r="BC314" s="14" t="s">
        <v>179</v>
      </c>
      <c r="BD314" s="14" t="s">
        <v>6288</v>
      </c>
      <c r="BE314" s="14" t="s">
        <v>189</v>
      </c>
      <c r="BF314" s="18">
        <v>0.04</v>
      </c>
      <c r="BG314" s="14" t="s">
        <v>190</v>
      </c>
      <c r="BH314" s="14" t="s">
        <v>166</v>
      </c>
      <c r="BI314" s="14" t="s">
        <v>166</v>
      </c>
      <c r="BJ314" s="18" t="s">
        <v>166</v>
      </c>
      <c r="BK314" s="18" t="s">
        <v>166</v>
      </c>
      <c r="BL314" s="14" t="s">
        <v>191</v>
      </c>
      <c r="BM314" s="14" t="s">
        <v>358</v>
      </c>
      <c r="BN314" s="14" t="s">
        <v>177</v>
      </c>
      <c r="BO314" s="22" t="s">
        <v>166</v>
      </c>
      <c r="BP314" s="14" t="s">
        <v>6276</v>
      </c>
      <c r="BQ314" s="21">
        <v>1</v>
      </c>
      <c r="BR314" s="14" t="s">
        <v>166</v>
      </c>
      <c r="BS314" s="21" t="s">
        <v>166</v>
      </c>
      <c r="BT314" s="14" t="s">
        <v>166</v>
      </c>
      <c r="BU314" s="14" t="s">
        <v>166</v>
      </c>
      <c r="BV314" s="14" t="s">
        <v>166</v>
      </c>
      <c r="BW314" s="14" t="s">
        <v>166</v>
      </c>
      <c r="BX314" s="14" t="s">
        <v>166</v>
      </c>
      <c r="BY314" s="14" t="s">
        <v>166</v>
      </c>
      <c r="BZ314" s="14" t="s">
        <v>166</v>
      </c>
      <c r="CA314" s="14" t="s">
        <v>166</v>
      </c>
      <c r="CB314" s="14" t="s">
        <v>166</v>
      </c>
      <c r="CC314" s="14" t="s">
        <v>166</v>
      </c>
      <c r="CD314" s="14" t="s">
        <v>166</v>
      </c>
      <c r="CE314" s="18" t="s">
        <v>166</v>
      </c>
      <c r="CF314" s="16" t="s">
        <v>166</v>
      </c>
      <c r="CG314" s="17" t="s">
        <v>166</v>
      </c>
      <c r="CH314" s="16" t="s">
        <v>166</v>
      </c>
      <c r="CI314" s="16" t="s">
        <v>166</v>
      </c>
      <c r="CJ314" s="16" t="s">
        <v>166</v>
      </c>
      <c r="CK314" s="16" t="s">
        <v>166</v>
      </c>
      <c r="CL314" s="16" t="s">
        <v>166</v>
      </c>
      <c r="CM314" s="20" t="s">
        <v>166</v>
      </c>
      <c r="CN314" s="16" t="s">
        <v>166</v>
      </c>
      <c r="CO314" s="16" t="s">
        <v>166</v>
      </c>
      <c r="CP314" s="16" t="s">
        <v>166</v>
      </c>
      <c r="CQ314" s="16" t="s">
        <v>166</v>
      </c>
      <c r="CR314" s="16" t="s">
        <v>166</v>
      </c>
      <c r="CS314" s="16" t="s">
        <v>166</v>
      </c>
      <c r="CT314" s="16" t="s">
        <v>166</v>
      </c>
      <c r="CU314" s="16" t="s">
        <v>166</v>
      </c>
      <c r="CV314" s="16" t="s">
        <v>166</v>
      </c>
      <c r="CW314" s="16" t="s">
        <v>166</v>
      </c>
      <c r="CX314" s="16" t="s">
        <v>166</v>
      </c>
      <c r="CY314" s="16" t="s">
        <v>166</v>
      </c>
      <c r="CZ314" s="16" t="s">
        <v>166</v>
      </c>
      <c r="DA314" s="16" t="s">
        <v>166</v>
      </c>
      <c r="DB314" s="16" t="s">
        <v>166</v>
      </c>
      <c r="DC314" s="16" t="s">
        <v>166</v>
      </c>
      <c r="DD314" s="16" t="s">
        <v>166</v>
      </c>
      <c r="DE314" s="17" t="s">
        <v>166</v>
      </c>
      <c r="DF314" s="22">
        <v>3</v>
      </c>
      <c r="DG314" s="14" t="s">
        <v>2367</v>
      </c>
      <c r="DH314" s="14" t="s">
        <v>193</v>
      </c>
      <c r="DI314" s="14" t="s">
        <v>194</v>
      </c>
      <c r="DJ314" s="14" t="s">
        <v>2368</v>
      </c>
      <c r="DK314" s="14" t="s">
        <v>2369</v>
      </c>
      <c r="DL314" s="21" t="s">
        <v>6289</v>
      </c>
      <c r="DM314" s="14" t="s">
        <v>198</v>
      </c>
      <c r="DN314" s="13" t="s">
        <v>6290</v>
      </c>
      <c r="DO314" s="20">
        <v>2020</v>
      </c>
      <c r="DP314" s="14" t="s">
        <v>166</v>
      </c>
      <c r="DQ314" s="14" t="s">
        <v>166</v>
      </c>
      <c r="DR314" s="18" t="s">
        <v>166</v>
      </c>
      <c r="DS314" s="16" t="s">
        <v>166</v>
      </c>
      <c r="DT314" s="19" t="s">
        <v>166</v>
      </c>
      <c r="DU314" s="14" t="s">
        <v>166</v>
      </c>
      <c r="DV314" s="18" t="s">
        <v>166</v>
      </c>
      <c r="DW314" s="18" t="s">
        <v>166</v>
      </c>
      <c r="DX314" s="16" t="s">
        <v>166</v>
      </c>
      <c r="DY314" s="16" t="s">
        <v>166</v>
      </c>
      <c r="DZ314" s="17" t="s">
        <v>166</v>
      </c>
      <c r="EA314" s="16" t="s">
        <v>166</v>
      </c>
      <c r="EB314" s="16" t="s">
        <v>166</v>
      </c>
      <c r="EC314" s="16" t="s">
        <v>166</v>
      </c>
      <c r="ED314" s="17" t="s">
        <v>166</v>
      </c>
      <c r="EE314" s="17" t="s">
        <v>166</v>
      </c>
      <c r="EF314" s="17" t="s">
        <v>166</v>
      </c>
      <c r="EG314" s="17" t="s">
        <v>166</v>
      </c>
      <c r="EH314" s="16" t="s">
        <v>166</v>
      </c>
      <c r="EI314" s="16" t="s">
        <v>166</v>
      </c>
      <c r="EJ314" s="16" t="s">
        <v>166</v>
      </c>
      <c r="EK314" s="16" t="s">
        <v>166</v>
      </c>
      <c r="EL314" s="16" t="s">
        <v>166</v>
      </c>
      <c r="EM314" s="16" t="s">
        <v>166</v>
      </c>
      <c r="EN314" s="16" t="s">
        <v>166</v>
      </c>
      <c r="EO314" s="16" t="s">
        <v>166</v>
      </c>
      <c r="EP314" s="16" t="s">
        <v>166</v>
      </c>
      <c r="EQ314" s="16" t="s">
        <v>166</v>
      </c>
      <c r="ER314" s="16" t="s">
        <v>166</v>
      </c>
      <c r="ES314" s="16" t="s">
        <v>166</v>
      </c>
      <c r="ET314" s="14" t="s">
        <v>166</v>
      </c>
      <c r="EU314" s="16" t="s">
        <v>166</v>
      </c>
      <c r="EV314" s="16" t="s">
        <v>166</v>
      </c>
      <c r="EW314" s="16" t="s">
        <v>166</v>
      </c>
      <c r="EX314" s="14" t="s">
        <v>190</v>
      </c>
      <c r="EY314" s="14" t="s">
        <v>166</v>
      </c>
      <c r="EZ314" s="16" t="s">
        <v>166</v>
      </c>
      <c r="FA314" s="15" t="s">
        <v>166</v>
      </c>
      <c r="FB314" s="15" t="s">
        <v>166</v>
      </c>
      <c r="FC314" s="15" t="s">
        <v>166</v>
      </c>
      <c r="FD314" s="15" t="s">
        <v>166</v>
      </c>
      <c r="FE314" s="15" t="s">
        <v>166</v>
      </c>
      <c r="FF314" s="15" t="s">
        <v>166</v>
      </c>
      <c r="FG314" s="14" t="s">
        <v>166</v>
      </c>
      <c r="FH314" s="3">
        <f>HYPERLINK("https://my.pitchbook.com?c=194025-07T","View Company Online")</f>
      </c>
    </row>
    <row r="315">
      <c r="A315" s="25" t="s">
        <v>6291</v>
      </c>
      <c r="B315" s="25" t="s">
        <v>6292</v>
      </c>
      <c r="C315" s="25" t="s">
        <v>6293</v>
      </c>
      <c r="D315" s="25" t="s">
        <v>166</v>
      </c>
      <c r="E315" s="34" t="s">
        <v>6294</v>
      </c>
      <c r="F315" s="32">
        <v>5</v>
      </c>
      <c r="G315" s="25" t="s">
        <v>6295</v>
      </c>
      <c r="H315" s="25" t="s">
        <v>166</v>
      </c>
      <c r="I315" s="25" t="s">
        <v>6296</v>
      </c>
      <c r="J315" s="25" t="s">
        <v>6297</v>
      </c>
      <c r="K315" s="25" t="s">
        <v>1455</v>
      </c>
      <c r="L315" s="25" t="s">
        <v>1456</v>
      </c>
      <c r="M315" s="25" t="s">
        <v>1457</v>
      </c>
      <c r="N315" s="25" t="s">
        <v>6298</v>
      </c>
      <c r="O315" s="25" t="s">
        <v>1530</v>
      </c>
      <c r="P315" s="25" t="s">
        <v>6299</v>
      </c>
      <c r="Q315" s="25" t="s">
        <v>166</v>
      </c>
      <c r="R315" s="25" t="s">
        <v>177</v>
      </c>
      <c r="S315" s="25" t="s">
        <v>178</v>
      </c>
      <c r="T315" s="25" t="s">
        <v>179</v>
      </c>
      <c r="U315" s="25" t="s">
        <v>6300</v>
      </c>
      <c r="V315" s="25" t="s">
        <v>6301</v>
      </c>
      <c r="W315" s="32" t="s">
        <v>166</v>
      </c>
      <c r="X315" s="25" t="s">
        <v>166</v>
      </c>
      <c r="Y315" s="25" t="s">
        <v>6302</v>
      </c>
      <c r="Z315" s="25" t="s">
        <v>6303</v>
      </c>
      <c r="AA315" s="25" t="s">
        <v>242</v>
      </c>
      <c r="AB315" s="25" t="s">
        <v>243</v>
      </c>
      <c r="AC315" s="25" t="s">
        <v>244</v>
      </c>
      <c r="AD315" s="25" t="s">
        <v>243</v>
      </c>
      <c r="AE315" s="25" t="s">
        <v>243</v>
      </c>
      <c r="AF315" s="25" t="s">
        <v>166</v>
      </c>
      <c r="AG315" s="25" t="s">
        <v>246</v>
      </c>
      <c r="AH315" s="32">
        <v>1</v>
      </c>
      <c r="AI315" s="4">
        <f>HYPERLINK("https://my.pitchbook.com/?d=140784-13T","140784-13T")</f>
      </c>
      <c r="AJ315" s="30">
        <v>44046</v>
      </c>
      <c r="AK315" s="30">
        <v>44210</v>
      </c>
      <c r="AL315" s="29">
        <v>8.8</v>
      </c>
      <c r="AM315" s="25" t="s">
        <v>185</v>
      </c>
      <c r="AN315" s="29">
        <v>10</v>
      </c>
      <c r="AO315" s="29">
        <v>18.8</v>
      </c>
      <c r="AP315" s="25" t="s">
        <v>185</v>
      </c>
      <c r="AQ315" s="32" t="s">
        <v>166</v>
      </c>
      <c r="AR315" s="32" t="s">
        <v>166</v>
      </c>
      <c r="AS315" s="28">
        <v>46.8</v>
      </c>
      <c r="AT315" s="29">
        <v>8.8</v>
      </c>
      <c r="AU315" s="32" t="s">
        <v>186</v>
      </c>
      <c r="AV315" s="32" t="s">
        <v>166</v>
      </c>
      <c r="AW315" s="29">
        <v>1.16</v>
      </c>
      <c r="AX315" s="32" t="s">
        <v>166</v>
      </c>
      <c r="AY315" s="25" t="s">
        <v>217</v>
      </c>
      <c r="AZ315" s="25" t="s">
        <v>217</v>
      </c>
      <c r="BA315" s="25" t="s">
        <v>166</v>
      </c>
      <c r="BB315" s="32" t="s">
        <v>166</v>
      </c>
      <c r="BC315" s="25" t="s">
        <v>179</v>
      </c>
      <c r="BD315" s="25" t="s">
        <v>6304</v>
      </c>
      <c r="BE315" s="25" t="s">
        <v>189</v>
      </c>
      <c r="BF315" s="29">
        <v>8.8</v>
      </c>
      <c r="BG315" s="25" t="s">
        <v>190</v>
      </c>
      <c r="BH315" s="25" t="s">
        <v>166</v>
      </c>
      <c r="BI315" s="25" t="s">
        <v>166</v>
      </c>
      <c r="BJ315" s="29" t="s">
        <v>166</v>
      </c>
      <c r="BK315" s="29" t="s">
        <v>166</v>
      </c>
      <c r="BL315" s="25" t="s">
        <v>191</v>
      </c>
      <c r="BM315" s="25" t="s">
        <v>358</v>
      </c>
      <c r="BN315" s="25" t="s">
        <v>177</v>
      </c>
      <c r="BO315" s="33" t="s">
        <v>166</v>
      </c>
      <c r="BP315" s="25" t="s">
        <v>6305</v>
      </c>
      <c r="BQ315" s="32">
        <v>5</v>
      </c>
      <c r="BR315" s="25" t="s">
        <v>166</v>
      </c>
      <c r="BS315" s="32" t="s">
        <v>166</v>
      </c>
      <c r="BT315" s="25" t="s">
        <v>6306</v>
      </c>
      <c r="BU315" s="25" t="s">
        <v>166</v>
      </c>
      <c r="BV315" s="25" t="s">
        <v>6307</v>
      </c>
      <c r="BW315" s="25" t="s">
        <v>166</v>
      </c>
      <c r="BX315" s="25" t="s">
        <v>166</v>
      </c>
      <c r="BY315" s="25" t="s">
        <v>166</v>
      </c>
      <c r="BZ315" s="25" t="s">
        <v>6308</v>
      </c>
      <c r="CA315" s="25" t="s">
        <v>872</v>
      </c>
      <c r="CB315" s="25" t="s">
        <v>166</v>
      </c>
      <c r="CC315" s="25" t="s">
        <v>6309</v>
      </c>
      <c r="CD315" s="25" t="s">
        <v>166</v>
      </c>
      <c r="CE315" s="29" t="s">
        <v>166</v>
      </c>
      <c r="CF315" s="27" t="s">
        <v>166</v>
      </c>
      <c r="CG315" s="28" t="s">
        <v>166</v>
      </c>
      <c r="CH315" s="27" t="s">
        <v>166</v>
      </c>
      <c r="CI315" s="27" t="s">
        <v>166</v>
      </c>
      <c r="CJ315" s="27" t="s">
        <v>166</v>
      </c>
      <c r="CK315" s="27" t="s">
        <v>166</v>
      </c>
      <c r="CL315" s="27" t="s">
        <v>166</v>
      </c>
      <c r="CM315" s="31" t="s">
        <v>166</v>
      </c>
      <c r="CN315" s="27" t="s">
        <v>166</v>
      </c>
      <c r="CO315" s="27" t="s">
        <v>166</v>
      </c>
      <c r="CP315" s="27" t="s">
        <v>166</v>
      </c>
      <c r="CQ315" s="27" t="s">
        <v>166</v>
      </c>
      <c r="CR315" s="27" t="s">
        <v>166</v>
      </c>
      <c r="CS315" s="27" t="s">
        <v>166</v>
      </c>
      <c r="CT315" s="27" t="s">
        <v>166</v>
      </c>
      <c r="CU315" s="27" t="s">
        <v>166</v>
      </c>
      <c r="CV315" s="27" t="s">
        <v>166</v>
      </c>
      <c r="CW315" s="27" t="s">
        <v>166</v>
      </c>
      <c r="CX315" s="27" t="s">
        <v>166</v>
      </c>
      <c r="CY315" s="27" t="s">
        <v>166</v>
      </c>
      <c r="CZ315" s="27" t="s">
        <v>166</v>
      </c>
      <c r="DA315" s="27" t="s">
        <v>166</v>
      </c>
      <c r="DB315" s="27" t="s">
        <v>166</v>
      </c>
      <c r="DC315" s="27" t="s">
        <v>166</v>
      </c>
      <c r="DD315" s="27" t="s">
        <v>166</v>
      </c>
      <c r="DE315" s="28" t="s">
        <v>166</v>
      </c>
      <c r="DF315" s="33">
        <v>44</v>
      </c>
      <c r="DG315" s="25" t="s">
        <v>1077</v>
      </c>
      <c r="DH315" s="25" t="s">
        <v>193</v>
      </c>
      <c r="DI315" s="25" t="s">
        <v>194</v>
      </c>
      <c r="DJ315" s="25" t="s">
        <v>1078</v>
      </c>
      <c r="DK315" s="25" t="s">
        <v>257</v>
      </c>
      <c r="DL315" s="32" t="s">
        <v>3848</v>
      </c>
      <c r="DM315" s="25" t="s">
        <v>198</v>
      </c>
      <c r="DN315" s="24" t="s">
        <v>6310</v>
      </c>
      <c r="DO315" s="31">
        <v>2019</v>
      </c>
      <c r="DP315" s="25" t="s">
        <v>166</v>
      </c>
      <c r="DQ315" s="25" t="s">
        <v>166</v>
      </c>
      <c r="DR315" s="29" t="s">
        <v>166</v>
      </c>
      <c r="DS315" s="27" t="s">
        <v>166</v>
      </c>
      <c r="DT315" s="30" t="s">
        <v>166</v>
      </c>
      <c r="DU315" s="25" t="s">
        <v>166</v>
      </c>
      <c r="DV315" s="29" t="s">
        <v>166</v>
      </c>
      <c r="DW315" s="29" t="s">
        <v>166</v>
      </c>
      <c r="DX315" s="27" t="s">
        <v>166</v>
      </c>
      <c r="DY315" s="27" t="s">
        <v>166</v>
      </c>
      <c r="DZ315" s="28" t="s">
        <v>166</v>
      </c>
      <c r="EA315" s="27" t="s">
        <v>166</v>
      </c>
      <c r="EB315" s="27" t="s">
        <v>166</v>
      </c>
      <c r="EC315" s="27" t="s">
        <v>166</v>
      </c>
      <c r="ED315" s="28" t="s">
        <v>166</v>
      </c>
      <c r="EE315" s="28" t="s">
        <v>166</v>
      </c>
      <c r="EF315" s="28" t="s">
        <v>166</v>
      </c>
      <c r="EG315" s="28" t="s">
        <v>166</v>
      </c>
      <c r="EH315" s="27" t="s">
        <v>166</v>
      </c>
      <c r="EI315" s="27" t="s">
        <v>166</v>
      </c>
      <c r="EJ315" s="27" t="s">
        <v>166</v>
      </c>
      <c r="EK315" s="27" t="s">
        <v>166</v>
      </c>
      <c r="EL315" s="27" t="s">
        <v>166</v>
      </c>
      <c r="EM315" s="27" t="s">
        <v>166</v>
      </c>
      <c r="EN315" s="27" t="s">
        <v>166</v>
      </c>
      <c r="EO315" s="27" t="s">
        <v>166</v>
      </c>
      <c r="EP315" s="27" t="s">
        <v>166</v>
      </c>
      <c r="EQ315" s="27" t="s">
        <v>166</v>
      </c>
      <c r="ER315" s="27" t="s">
        <v>166</v>
      </c>
      <c r="ES315" s="27" t="s">
        <v>166</v>
      </c>
      <c r="ET315" s="25" t="s">
        <v>166</v>
      </c>
      <c r="EU315" s="27" t="s">
        <v>166</v>
      </c>
      <c r="EV315" s="27" t="s">
        <v>166</v>
      </c>
      <c r="EW315" s="27" t="s">
        <v>166</v>
      </c>
      <c r="EX315" s="25" t="s">
        <v>190</v>
      </c>
      <c r="EY315" s="25" t="s">
        <v>166</v>
      </c>
      <c r="EZ315" s="27" t="s">
        <v>166</v>
      </c>
      <c r="FA315" s="26" t="s">
        <v>166</v>
      </c>
      <c r="FB315" s="26" t="s">
        <v>166</v>
      </c>
      <c r="FC315" s="26" t="s">
        <v>166</v>
      </c>
      <c r="FD315" s="26" t="s">
        <v>166</v>
      </c>
      <c r="FE315" s="26" t="s">
        <v>166</v>
      </c>
      <c r="FF315" s="26" t="s">
        <v>166</v>
      </c>
      <c r="FG315" s="25" t="s">
        <v>166</v>
      </c>
      <c r="FH315" s="4">
        <f>HYPERLINK("https://my.pitchbook.com?c=140784-13T","View Company Online")</f>
      </c>
    </row>
    <row r="316">
      <c r="A316" s="14" t="s">
        <v>6311</v>
      </c>
      <c r="B316" s="14" t="s">
        <v>6312</v>
      </c>
      <c r="C316" s="14" t="s">
        <v>6313</v>
      </c>
      <c r="D316" s="14" t="s">
        <v>166</v>
      </c>
      <c r="E316" s="23" t="s">
        <v>6314</v>
      </c>
      <c r="F316" s="21">
        <v>1</v>
      </c>
      <c r="G316" s="14" t="s">
        <v>6315</v>
      </c>
      <c r="H316" s="14" t="s">
        <v>166</v>
      </c>
      <c r="I316" s="14" t="s">
        <v>6316</v>
      </c>
      <c r="J316" s="14" t="s">
        <v>6317</v>
      </c>
      <c r="K316" s="14" t="s">
        <v>207</v>
      </c>
      <c r="L316" s="14" t="s">
        <v>208</v>
      </c>
      <c r="M316" s="14" t="s">
        <v>209</v>
      </c>
      <c r="N316" s="14" t="s">
        <v>6318</v>
      </c>
      <c r="O316" s="14" t="s">
        <v>1842</v>
      </c>
      <c r="P316" s="14" t="s">
        <v>6319</v>
      </c>
      <c r="Q316" s="14" t="s">
        <v>166</v>
      </c>
      <c r="R316" s="14" t="s">
        <v>177</v>
      </c>
      <c r="S316" s="14" t="s">
        <v>178</v>
      </c>
      <c r="T316" s="14" t="s">
        <v>179</v>
      </c>
      <c r="U316" s="14" t="s">
        <v>6320</v>
      </c>
      <c r="V316" s="14" t="s">
        <v>6321</v>
      </c>
      <c r="W316" s="21" t="s">
        <v>6322</v>
      </c>
      <c r="X316" s="14" t="s">
        <v>6323</v>
      </c>
      <c r="Y316" s="14" t="s">
        <v>6324</v>
      </c>
      <c r="Z316" s="14" t="s">
        <v>166</v>
      </c>
      <c r="AA316" s="14" t="s">
        <v>166</v>
      </c>
      <c r="AB316" s="14" t="s">
        <v>166</v>
      </c>
      <c r="AC316" s="14" t="s">
        <v>166</v>
      </c>
      <c r="AD316" s="14" t="s">
        <v>166</v>
      </c>
      <c r="AE316" s="14" t="s">
        <v>166</v>
      </c>
      <c r="AF316" s="14" t="s">
        <v>166</v>
      </c>
      <c r="AG316" s="14" t="s">
        <v>166</v>
      </c>
      <c r="AH316" s="21">
        <v>1</v>
      </c>
      <c r="AI316" s="3">
        <f>HYPERLINK("https://my.pitchbook.com/?d=201332-71T","201332-71T")</f>
      </c>
      <c r="AJ316" s="19" t="s">
        <v>166</v>
      </c>
      <c r="AK316" s="19">
        <v>44958</v>
      </c>
      <c r="AL316" s="18">
        <v>0.55</v>
      </c>
      <c r="AM316" s="14" t="s">
        <v>185</v>
      </c>
      <c r="AN316" s="18" t="s">
        <v>166</v>
      </c>
      <c r="AO316" s="18" t="s">
        <v>166</v>
      </c>
      <c r="AP316" s="14" t="s">
        <v>166</v>
      </c>
      <c r="AQ316" s="21" t="s">
        <v>166</v>
      </c>
      <c r="AR316" s="21" t="s">
        <v>166</v>
      </c>
      <c r="AS316" s="17" t="s">
        <v>166</v>
      </c>
      <c r="AT316" s="18">
        <v>0.55</v>
      </c>
      <c r="AU316" s="21" t="s">
        <v>186</v>
      </c>
      <c r="AV316" s="21" t="s">
        <v>166</v>
      </c>
      <c r="AW316" s="18" t="s">
        <v>166</v>
      </c>
      <c r="AX316" s="21" t="s">
        <v>166</v>
      </c>
      <c r="AY316" s="14" t="s">
        <v>187</v>
      </c>
      <c r="AZ316" s="14" t="s">
        <v>166</v>
      </c>
      <c r="BA316" s="14" t="s">
        <v>166</v>
      </c>
      <c r="BB316" s="21" t="s">
        <v>166</v>
      </c>
      <c r="BC316" s="14" t="s">
        <v>179</v>
      </c>
      <c r="BD316" s="14" t="s">
        <v>6325</v>
      </c>
      <c r="BE316" s="14" t="s">
        <v>189</v>
      </c>
      <c r="BF316" s="18" t="s">
        <v>166</v>
      </c>
      <c r="BG316" s="14" t="s">
        <v>190</v>
      </c>
      <c r="BH316" s="14" t="s">
        <v>166</v>
      </c>
      <c r="BI316" s="14" t="s">
        <v>166</v>
      </c>
      <c r="BJ316" s="18" t="s">
        <v>166</v>
      </c>
      <c r="BK316" s="18" t="s">
        <v>166</v>
      </c>
      <c r="BL316" s="14" t="s">
        <v>191</v>
      </c>
      <c r="BM316" s="14" t="s">
        <v>1488</v>
      </c>
      <c r="BN316" s="14" t="s">
        <v>177</v>
      </c>
      <c r="BO316" s="22" t="s">
        <v>166</v>
      </c>
      <c r="BP316" s="14" t="s">
        <v>6314</v>
      </c>
      <c r="BQ316" s="21">
        <v>1</v>
      </c>
      <c r="BR316" s="14" t="s">
        <v>166</v>
      </c>
      <c r="BS316" s="21" t="s">
        <v>166</v>
      </c>
      <c r="BT316" s="14" t="s">
        <v>166</v>
      </c>
      <c r="BU316" s="14" t="s">
        <v>166</v>
      </c>
      <c r="BV316" s="14" t="s">
        <v>166</v>
      </c>
      <c r="BW316" s="14" t="s">
        <v>166</v>
      </c>
      <c r="BX316" s="14" t="s">
        <v>166</v>
      </c>
      <c r="BY316" s="14" t="s">
        <v>166</v>
      </c>
      <c r="BZ316" s="14" t="s">
        <v>166</v>
      </c>
      <c r="CA316" s="14" t="s">
        <v>166</v>
      </c>
      <c r="CB316" s="14" t="s">
        <v>166</v>
      </c>
      <c r="CC316" s="14" t="s">
        <v>166</v>
      </c>
      <c r="CD316" s="14" t="s">
        <v>166</v>
      </c>
      <c r="CE316" s="18" t="s">
        <v>166</v>
      </c>
      <c r="CF316" s="16">
        <v>0.01</v>
      </c>
      <c r="CG316" s="17" t="s">
        <v>166</v>
      </c>
      <c r="CH316" s="16" t="s">
        <v>166</v>
      </c>
      <c r="CI316" s="16">
        <v>-0.24</v>
      </c>
      <c r="CJ316" s="16" t="s">
        <v>166</v>
      </c>
      <c r="CK316" s="16" t="s">
        <v>166</v>
      </c>
      <c r="CL316" s="16" t="s">
        <v>166</v>
      </c>
      <c r="CM316" s="20">
        <v>2022</v>
      </c>
      <c r="CN316" s="16" t="s">
        <v>166</v>
      </c>
      <c r="CO316" s="16" t="s">
        <v>166</v>
      </c>
      <c r="CP316" s="16" t="s">
        <v>166</v>
      </c>
      <c r="CQ316" s="16" t="s">
        <v>166</v>
      </c>
      <c r="CR316" s="16" t="s">
        <v>166</v>
      </c>
      <c r="CS316" s="16" t="s">
        <v>166</v>
      </c>
      <c r="CT316" s="16" t="s">
        <v>166</v>
      </c>
      <c r="CU316" s="16">
        <v>-2.33</v>
      </c>
      <c r="CV316" s="16">
        <v>365.45</v>
      </c>
      <c r="CW316" s="16" t="s">
        <v>166</v>
      </c>
      <c r="CX316" s="16" t="s">
        <v>166</v>
      </c>
      <c r="CY316" s="16" t="s">
        <v>166</v>
      </c>
      <c r="CZ316" s="16" t="s">
        <v>166</v>
      </c>
      <c r="DA316" s="16" t="s">
        <v>166</v>
      </c>
      <c r="DB316" s="16" t="s">
        <v>166</v>
      </c>
      <c r="DC316" s="16" t="s">
        <v>166</v>
      </c>
      <c r="DD316" s="16" t="s">
        <v>166</v>
      </c>
      <c r="DE316" s="17" t="s">
        <v>166</v>
      </c>
      <c r="DF316" s="22">
        <v>3</v>
      </c>
      <c r="DG316" s="14" t="s">
        <v>429</v>
      </c>
      <c r="DH316" s="14" t="s">
        <v>193</v>
      </c>
      <c r="DI316" s="14" t="s">
        <v>194</v>
      </c>
      <c r="DJ316" s="14" t="s">
        <v>430</v>
      </c>
      <c r="DK316" s="14" t="s">
        <v>431</v>
      </c>
      <c r="DL316" s="21" t="s">
        <v>1369</v>
      </c>
      <c r="DM316" s="14" t="s">
        <v>198</v>
      </c>
      <c r="DN316" s="13" t="s">
        <v>6326</v>
      </c>
      <c r="DO316" s="20">
        <v>2021</v>
      </c>
      <c r="DP316" s="14" t="s">
        <v>166</v>
      </c>
      <c r="DQ316" s="14" t="s">
        <v>166</v>
      </c>
      <c r="DR316" s="18" t="s">
        <v>166</v>
      </c>
      <c r="DS316" s="16" t="s">
        <v>166</v>
      </c>
      <c r="DT316" s="19" t="s">
        <v>166</v>
      </c>
      <c r="DU316" s="14" t="s">
        <v>166</v>
      </c>
      <c r="DV316" s="18" t="s">
        <v>166</v>
      </c>
      <c r="DW316" s="18" t="s">
        <v>166</v>
      </c>
      <c r="DX316" s="16" t="s">
        <v>166</v>
      </c>
      <c r="DY316" s="16" t="s">
        <v>166</v>
      </c>
      <c r="DZ316" s="17" t="s">
        <v>166</v>
      </c>
      <c r="EA316" s="16" t="s">
        <v>166</v>
      </c>
      <c r="EB316" s="16" t="s">
        <v>166</v>
      </c>
      <c r="EC316" s="16" t="s">
        <v>166</v>
      </c>
      <c r="ED316" s="17" t="s">
        <v>166</v>
      </c>
      <c r="EE316" s="17" t="s">
        <v>166</v>
      </c>
      <c r="EF316" s="17" t="s">
        <v>166</v>
      </c>
      <c r="EG316" s="17" t="s">
        <v>166</v>
      </c>
      <c r="EH316" s="16" t="s">
        <v>166</v>
      </c>
      <c r="EI316" s="16" t="s">
        <v>166</v>
      </c>
      <c r="EJ316" s="16" t="s">
        <v>166</v>
      </c>
      <c r="EK316" s="16" t="s">
        <v>166</v>
      </c>
      <c r="EL316" s="16" t="s">
        <v>166</v>
      </c>
      <c r="EM316" s="16" t="s">
        <v>166</v>
      </c>
      <c r="EN316" s="16" t="s">
        <v>166</v>
      </c>
      <c r="EO316" s="16" t="s">
        <v>166</v>
      </c>
      <c r="EP316" s="16" t="s">
        <v>166</v>
      </c>
      <c r="EQ316" s="16" t="s">
        <v>166</v>
      </c>
      <c r="ER316" s="16" t="s">
        <v>166</v>
      </c>
      <c r="ES316" s="16" t="s">
        <v>166</v>
      </c>
      <c r="ET316" s="14" t="s">
        <v>166</v>
      </c>
      <c r="EU316" s="16" t="s">
        <v>166</v>
      </c>
      <c r="EV316" s="16" t="s">
        <v>166</v>
      </c>
      <c r="EW316" s="16" t="s">
        <v>166</v>
      </c>
      <c r="EX316" s="14" t="s">
        <v>190</v>
      </c>
      <c r="EY316" s="14" t="s">
        <v>166</v>
      </c>
      <c r="EZ316" s="16" t="s">
        <v>166</v>
      </c>
      <c r="FA316" s="15" t="s">
        <v>166</v>
      </c>
      <c r="FB316" s="15" t="s">
        <v>166</v>
      </c>
      <c r="FC316" s="15" t="s">
        <v>166</v>
      </c>
      <c r="FD316" s="15" t="s">
        <v>166</v>
      </c>
      <c r="FE316" s="15" t="s">
        <v>166</v>
      </c>
      <c r="FF316" s="15" t="s">
        <v>166</v>
      </c>
      <c r="FG316" s="14" t="s">
        <v>166</v>
      </c>
      <c r="FH316" s="3">
        <f>HYPERLINK("https://my.pitchbook.com?c=201332-71T","View Company Online")</f>
      </c>
    </row>
    <row r="317">
      <c r="A317" s="25" t="s">
        <v>6327</v>
      </c>
      <c r="B317" s="25" t="s">
        <v>6328</v>
      </c>
      <c r="C317" s="25" t="s">
        <v>6329</v>
      </c>
      <c r="D317" s="25" t="s">
        <v>166</v>
      </c>
      <c r="E317" s="34" t="s">
        <v>6330</v>
      </c>
      <c r="F317" s="32">
        <v>9</v>
      </c>
      <c r="G317" s="25" t="s">
        <v>6331</v>
      </c>
      <c r="H317" s="25" t="s">
        <v>166</v>
      </c>
      <c r="I317" s="25" t="s">
        <v>6332</v>
      </c>
      <c r="J317" s="25" t="s">
        <v>6333</v>
      </c>
      <c r="K317" s="25" t="s">
        <v>207</v>
      </c>
      <c r="L317" s="25" t="s">
        <v>208</v>
      </c>
      <c r="M317" s="25" t="s">
        <v>209</v>
      </c>
      <c r="N317" s="25" t="s">
        <v>6334</v>
      </c>
      <c r="O317" s="25" t="s">
        <v>6335</v>
      </c>
      <c r="P317" s="25" t="s">
        <v>6336</v>
      </c>
      <c r="Q317" s="25" t="s">
        <v>166</v>
      </c>
      <c r="R317" s="25" t="s">
        <v>177</v>
      </c>
      <c r="S317" s="25" t="s">
        <v>178</v>
      </c>
      <c r="T317" s="25" t="s">
        <v>179</v>
      </c>
      <c r="U317" s="25" t="s">
        <v>6337</v>
      </c>
      <c r="V317" s="25" t="s">
        <v>6338</v>
      </c>
      <c r="W317" s="32" t="s">
        <v>6339</v>
      </c>
      <c r="X317" s="25" t="s">
        <v>6340</v>
      </c>
      <c r="Y317" s="25" t="s">
        <v>6341</v>
      </c>
      <c r="Z317" s="25" t="s">
        <v>6342</v>
      </c>
      <c r="AA317" s="25" t="s">
        <v>242</v>
      </c>
      <c r="AB317" s="25" t="s">
        <v>243</v>
      </c>
      <c r="AC317" s="25" t="s">
        <v>244</v>
      </c>
      <c r="AD317" s="25" t="s">
        <v>243</v>
      </c>
      <c r="AE317" s="25" t="s">
        <v>243</v>
      </c>
      <c r="AF317" s="25" t="s">
        <v>245</v>
      </c>
      <c r="AG317" s="25" t="s">
        <v>246</v>
      </c>
      <c r="AH317" s="32">
        <v>2</v>
      </c>
      <c r="AI317" s="4">
        <f>HYPERLINK("https://my.pitchbook.com/?d=173594-44T","173594-44T")</f>
      </c>
      <c r="AJ317" s="30">
        <v>44543</v>
      </c>
      <c r="AK317" s="30">
        <v>44557</v>
      </c>
      <c r="AL317" s="29">
        <v>7.2</v>
      </c>
      <c r="AM317" s="25" t="s">
        <v>185</v>
      </c>
      <c r="AN317" s="29">
        <v>17</v>
      </c>
      <c r="AO317" s="29">
        <v>24.2</v>
      </c>
      <c r="AP317" s="25" t="s">
        <v>185</v>
      </c>
      <c r="AQ317" s="32" t="s">
        <v>166</v>
      </c>
      <c r="AR317" s="32" t="s">
        <v>166</v>
      </c>
      <c r="AS317" s="28">
        <v>40.75</v>
      </c>
      <c r="AT317" s="29">
        <v>7.2</v>
      </c>
      <c r="AU317" s="32" t="s">
        <v>186</v>
      </c>
      <c r="AV317" s="32" t="s">
        <v>166</v>
      </c>
      <c r="AW317" s="29">
        <v>1.15</v>
      </c>
      <c r="AX317" s="32" t="s">
        <v>166</v>
      </c>
      <c r="AY317" s="25" t="s">
        <v>217</v>
      </c>
      <c r="AZ317" s="25" t="s">
        <v>217</v>
      </c>
      <c r="BA317" s="25" t="s">
        <v>166</v>
      </c>
      <c r="BB317" s="32" t="s">
        <v>166</v>
      </c>
      <c r="BC317" s="25" t="s">
        <v>179</v>
      </c>
      <c r="BD317" s="25" t="s">
        <v>6343</v>
      </c>
      <c r="BE317" s="25" t="s">
        <v>189</v>
      </c>
      <c r="BF317" s="29">
        <v>7.2</v>
      </c>
      <c r="BG317" s="25" t="s">
        <v>190</v>
      </c>
      <c r="BH317" s="25" t="s">
        <v>166</v>
      </c>
      <c r="BI317" s="25" t="s">
        <v>166</v>
      </c>
      <c r="BJ317" s="29" t="s">
        <v>166</v>
      </c>
      <c r="BK317" s="29" t="s">
        <v>166</v>
      </c>
      <c r="BL317" s="25" t="s">
        <v>191</v>
      </c>
      <c r="BM317" s="25" t="s">
        <v>178</v>
      </c>
      <c r="BN317" s="25" t="s">
        <v>177</v>
      </c>
      <c r="BO317" s="33" t="s">
        <v>166</v>
      </c>
      <c r="BP317" s="25" t="s">
        <v>6344</v>
      </c>
      <c r="BQ317" s="32">
        <v>9</v>
      </c>
      <c r="BR317" s="25" t="s">
        <v>166</v>
      </c>
      <c r="BS317" s="32" t="s">
        <v>166</v>
      </c>
      <c r="BT317" s="25" t="s">
        <v>6345</v>
      </c>
      <c r="BU317" s="25" t="s">
        <v>166</v>
      </c>
      <c r="BV317" s="25" t="s">
        <v>6346</v>
      </c>
      <c r="BW317" s="25" t="s">
        <v>166</v>
      </c>
      <c r="BX317" s="25" t="s">
        <v>166</v>
      </c>
      <c r="BY317" s="25" t="s">
        <v>166</v>
      </c>
      <c r="BZ317" s="25" t="s">
        <v>166</v>
      </c>
      <c r="CA317" s="25" t="s">
        <v>166</v>
      </c>
      <c r="CB317" s="25" t="s">
        <v>166</v>
      </c>
      <c r="CC317" s="25" t="s">
        <v>166</v>
      </c>
      <c r="CD317" s="25" t="s">
        <v>166</v>
      </c>
      <c r="CE317" s="29" t="s">
        <v>166</v>
      </c>
      <c r="CF317" s="27" t="s">
        <v>166</v>
      </c>
      <c r="CG317" s="28" t="s">
        <v>166</v>
      </c>
      <c r="CH317" s="27" t="s">
        <v>166</v>
      </c>
      <c r="CI317" s="27" t="s">
        <v>166</v>
      </c>
      <c r="CJ317" s="27" t="s">
        <v>166</v>
      </c>
      <c r="CK317" s="27" t="s">
        <v>166</v>
      </c>
      <c r="CL317" s="27" t="s">
        <v>166</v>
      </c>
      <c r="CM317" s="31" t="s">
        <v>166</v>
      </c>
      <c r="CN317" s="27" t="s">
        <v>166</v>
      </c>
      <c r="CO317" s="27" t="s">
        <v>166</v>
      </c>
      <c r="CP317" s="27" t="s">
        <v>166</v>
      </c>
      <c r="CQ317" s="27" t="s">
        <v>166</v>
      </c>
      <c r="CR317" s="27" t="s">
        <v>166</v>
      </c>
      <c r="CS317" s="27" t="s">
        <v>166</v>
      </c>
      <c r="CT317" s="27" t="s">
        <v>166</v>
      </c>
      <c r="CU317" s="27" t="s">
        <v>166</v>
      </c>
      <c r="CV317" s="27" t="s">
        <v>166</v>
      </c>
      <c r="CW317" s="27" t="s">
        <v>166</v>
      </c>
      <c r="CX317" s="27" t="s">
        <v>166</v>
      </c>
      <c r="CY317" s="27" t="s">
        <v>166</v>
      </c>
      <c r="CZ317" s="27" t="s">
        <v>166</v>
      </c>
      <c r="DA317" s="27" t="s">
        <v>166</v>
      </c>
      <c r="DB317" s="27" t="s">
        <v>166</v>
      </c>
      <c r="DC317" s="27" t="s">
        <v>166</v>
      </c>
      <c r="DD317" s="27" t="s">
        <v>166</v>
      </c>
      <c r="DE317" s="28" t="s">
        <v>166</v>
      </c>
      <c r="DF317" s="33">
        <v>15</v>
      </c>
      <c r="DG317" s="25" t="s">
        <v>6347</v>
      </c>
      <c r="DH317" s="25" t="s">
        <v>193</v>
      </c>
      <c r="DI317" s="25" t="s">
        <v>194</v>
      </c>
      <c r="DJ317" s="25" t="s">
        <v>6348</v>
      </c>
      <c r="DK317" s="25" t="s">
        <v>257</v>
      </c>
      <c r="DL317" s="32" t="s">
        <v>6349</v>
      </c>
      <c r="DM317" s="25" t="s">
        <v>198</v>
      </c>
      <c r="DN317" s="24" t="s">
        <v>6350</v>
      </c>
      <c r="DO317" s="31">
        <v>2020</v>
      </c>
      <c r="DP317" s="25" t="s">
        <v>166</v>
      </c>
      <c r="DQ317" s="25" t="s">
        <v>166</v>
      </c>
      <c r="DR317" s="29" t="s">
        <v>166</v>
      </c>
      <c r="DS317" s="27" t="s">
        <v>166</v>
      </c>
      <c r="DT317" s="30" t="s">
        <v>166</v>
      </c>
      <c r="DU317" s="25" t="s">
        <v>166</v>
      </c>
      <c r="DV317" s="29" t="s">
        <v>166</v>
      </c>
      <c r="DW317" s="29" t="s">
        <v>166</v>
      </c>
      <c r="DX317" s="27" t="s">
        <v>166</v>
      </c>
      <c r="DY317" s="27" t="s">
        <v>166</v>
      </c>
      <c r="DZ317" s="28" t="s">
        <v>166</v>
      </c>
      <c r="EA317" s="27" t="s">
        <v>166</v>
      </c>
      <c r="EB317" s="27" t="s">
        <v>166</v>
      </c>
      <c r="EC317" s="27" t="s">
        <v>166</v>
      </c>
      <c r="ED317" s="28" t="s">
        <v>166</v>
      </c>
      <c r="EE317" s="28" t="s">
        <v>166</v>
      </c>
      <c r="EF317" s="28" t="s">
        <v>166</v>
      </c>
      <c r="EG317" s="28" t="s">
        <v>166</v>
      </c>
      <c r="EH317" s="27" t="s">
        <v>166</v>
      </c>
      <c r="EI317" s="27" t="s">
        <v>166</v>
      </c>
      <c r="EJ317" s="27" t="s">
        <v>166</v>
      </c>
      <c r="EK317" s="27" t="s">
        <v>166</v>
      </c>
      <c r="EL317" s="27" t="s">
        <v>166</v>
      </c>
      <c r="EM317" s="27" t="s">
        <v>166</v>
      </c>
      <c r="EN317" s="27" t="s">
        <v>166</v>
      </c>
      <c r="EO317" s="27" t="s">
        <v>166</v>
      </c>
      <c r="EP317" s="27" t="s">
        <v>166</v>
      </c>
      <c r="EQ317" s="27" t="s">
        <v>166</v>
      </c>
      <c r="ER317" s="27" t="s">
        <v>166</v>
      </c>
      <c r="ES317" s="27" t="s">
        <v>166</v>
      </c>
      <c r="ET317" s="25" t="s">
        <v>166</v>
      </c>
      <c r="EU317" s="27" t="s">
        <v>166</v>
      </c>
      <c r="EV317" s="27" t="s">
        <v>166</v>
      </c>
      <c r="EW317" s="27" t="s">
        <v>166</v>
      </c>
      <c r="EX317" s="25" t="s">
        <v>190</v>
      </c>
      <c r="EY317" s="25" t="s">
        <v>166</v>
      </c>
      <c r="EZ317" s="27" t="s">
        <v>166</v>
      </c>
      <c r="FA317" s="26" t="s">
        <v>166</v>
      </c>
      <c r="FB317" s="26" t="s">
        <v>166</v>
      </c>
      <c r="FC317" s="26" t="s">
        <v>166</v>
      </c>
      <c r="FD317" s="26" t="s">
        <v>166</v>
      </c>
      <c r="FE317" s="26" t="s">
        <v>166</v>
      </c>
      <c r="FF317" s="26" t="s">
        <v>166</v>
      </c>
      <c r="FG317" s="25" t="s">
        <v>166</v>
      </c>
      <c r="FH317" s="4">
        <f>HYPERLINK("https://my.pitchbook.com?c=173594-44T","View Company Online")</f>
      </c>
    </row>
    <row r="318">
      <c r="A318" s="14" t="s">
        <v>6351</v>
      </c>
      <c r="B318" s="14" t="s">
        <v>6352</v>
      </c>
      <c r="C318" s="14" t="s">
        <v>6353</v>
      </c>
      <c r="D318" s="14" t="s">
        <v>166</v>
      </c>
      <c r="E318" s="23" t="s">
        <v>6354</v>
      </c>
      <c r="F318" s="21">
        <v>4</v>
      </c>
      <c r="G318" s="14" t="s">
        <v>6355</v>
      </c>
      <c r="H318" s="14" t="s">
        <v>166</v>
      </c>
      <c r="I318" s="14" t="s">
        <v>6356</v>
      </c>
      <c r="J318" s="14" t="s">
        <v>6357</v>
      </c>
      <c r="K318" s="14" t="s">
        <v>1455</v>
      </c>
      <c r="L318" s="14" t="s">
        <v>1456</v>
      </c>
      <c r="M318" s="14" t="s">
        <v>1457</v>
      </c>
      <c r="N318" s="14" t="s">
        <v>6358</v>
      </c>
      <c r="O318" s="14" t="s">
        <v>211</v>
      </c>
      <c r="P318" s="14" t="s">
        <v>6359</v>
      </c>
      <c r="Q318" s="14" t="s">
        <v>5679</v>
      </c>
      <c r="R318" s="14" t="s">
        <v>177</v>
      </c>
      <c r="S318" s="14" t="s">
        <v>178</v>
      </c>
      <c r="T318" s="14" t="s">
        <v>179</v>
      </c>
      <c r="U318" s="14" t="s">
        <v>6360</v>
      </c>
      <c r="V318" s="14" t="s">
        <v>6361</v>
      </c>
      <c r="W318" s="21" t="s">
        <v>6362</v>
      </c>
      <c r="X318" s="14" t="s">
        <v>6363</v>
      </c>
      <c r="Y318" s="14" t="s">
        <v>6364</v>
      </c>
      <c r="Z318" s="14" t="s">
        <v>166</v>
      </c>
      <c r="AA318" s="14" t="s">
        <v>166</v>
      </c>
      <c r="AB318" s="14" t="s">
        <v>166</v>
      </c>
      <c r="AC318" s="14" t="s">
        <v>166</v>
      </c>
      <c r="AD318" s="14" t="s">
        <v>166</v>
      </c>
      <c r="AE318" s="14" t="s">
        <v>166</v>
      </c>
      <c r="AF318" s="14" t="s">
        <v>166</v>
      </c>
      <c r="AG318" s="14" t="s">
        <v>166</v>
      </c>
      <c r="AH318" s="21">
        <v>3</v>
      </c>
      <c r="AI318" s="3">
        <f>HYPERLINK("https://my.pitchbook.com/?d=274181-95T","274181-95T")</f>
      </c>
      <c r="AJ318" s="19" t="s">
        <v>166</v>
      </c>
      <c r="AK318" s="19">
        <v>45384</v>
      </c>
      <c r="AL318" s="18">
        <v>0.5</v>
      </c>
      <c r="AM318" s="14" t="s">
        <v>185</v>
      </c>
      <c r="AN318" s="18" t="s">
        <v>166</v>
      </c>
      <c r="AO318" s="18" t="s">
        <v>166</v>
      </c>
      <c r="AP318" s="14" t="s">
        <v>166</v>
      </c>
      <c r="AQ318" s="21" t="s">
        <v>166</v>
      </c>
      <c r="AR318" s="21" t="s">
        <v>166</v>
      </c>
      <c r="AS318" s="17" t="s">
        <v>166</v>
      </c>
      <c r="AT318" s="18">
        <v>0.5</v>
      </c>
      <c r="AU318" s="21" t="s">
        <v>186</v>
      </c>
      <c r="AV318" s="21" t="s">
        <v>166</v>
      </c>
      <c r="AW318" s="18" t="s">
        <v>166</v>
      </c>
      <c r="AX318" s="21" t="s">
        <v>166</v>
      </c>
      <c r="AY318" s="14" t="s">
        <v>217</v>
      </c>
      <c r="AZ318" s="14" t="s">
        <v>217</v>
      </c>
      <c r="BA318" s="14" t="s">
        <v>166</v>
      </c>
      <c r="BB318" s="21" t="s">
        <v>166</v>
      </c>
      <c r="BC318" s="14" t="s">
        <v>179</v>
      </c>
      <c r="BD318" s="14" t="s">
        <v>6365</v>
      </c>
      <c r="BE318" s="14" t="s">
        <v>189</v>
      </c>
      <c r="BF318" s="18">
        <v>0.5</v>
      </c>
      <c r="BG318" s="14" t="s">
        <v>190</v>
      </c>
      <c r="BH318" s="14" t="s">
        <v>166</v>
      </c>
      <c r="BI318" s="14" t="s">
        <v>166</v>
      </c>
      <c r="BJ318" s="18" t="s">
        <v>166</v>
      </c>
      <c r="BK318" s="18" t="s">
        <v>166</v>
      </c>
      <c r="BL318" s="14" t="s">
        <v>191</v>
      </c>
      <c r="BM318" s="14" t="s">
        <v>178</v>
      </c>
      <c r="BN318" s="14" t="s">
        <v>177</v>
      </c>
      <c r="BO318" s="22" t="s">
        <v>166</v>
      </c>
      <c r="BP318" s="14" t="s">
        <v>6366</v>
      </c>
      <c r="BQ318" s="21">
        <v>3</v>
      </c>
      <c r="BR318" s="14" t="s">
        <v>6367</v>
      </c>
      <c r="BS318" s="21">
        <v>1</v>
      </c>
      <c r="BT318" s="14" t="s">
        <v>6368</v>
      </c>
      <c r="BU318" s="14" t="s">
        <v>166</v>
      </c>
      <c r="BV318" s="14" t="s">
        <v>166</v>
      </c>
      <c r="BW318" s="14" t="s">
        <v>166</v>
      </c>
      <c r="BX318" s="14" t="s">
        <v>166</v>
      </c>
      <c r="BY318" s="14" t="s">
        <v>166</v>
      </c>
      <c r="BZ318" s="14" t="s">
        <v>166</v>
      </c>
      <c r="CA318" s="14" t="s">
        <v>166</v>
      </c>
      <c r="CB318" s="14" t="s">
        <v>166</v>
      </c>
      <c r="CC318" s="14" t="s">
        <v>166</v>
      </c>
      <c r="CD318" s="14" t="s">
        <v>166</v>
      </c>
      <c r="CE318" s="18" t="s">
        <v>166</v>
      </c>
      <c r="CF318" s="16" t="s">
        <v>166</v>
      </c>
      <c r="CG318" s="17" t="s">
        <v>166</v>
      </c>
      <c r="CH318" s="16" t="s">
        <v>166</v>
      </c>
      <c r="CI318" s="16" t="s">
        <v>166</v>
      </c>
      <c r="CJ318" s="16" t="s">
        <v>166</v>
      </c>
      <c r="CK318" s="16" t="s">
        <v>166</v>
      </c>
      <c r="CL318" s="16" t="s">
        <v>166</v>
      </c>
      <c r="CM318" s="20" t="s">
        <v>166</v>
      </c>
      <c r="CN318" s="16" t="s">
        <v>166</v>
      </c>
      <c r="CO318" s="16" t="s">
        <v>166</v>
      </c>
      <c r="CP318" s="16" t="s">
        <v>166</v>
      </c>
      <c r="CQ318" s="16" t="s">
        <v>166</v>
      </c>
      <c r="CR318" s="16" t="s">
        <v>166</v>
      </c>
      <c r="CS318" s="16" t="s">
        <v>166</v>
      </c>
      <c r="CT318" s="16" t="s">
        <v>166</v>
      </c>
      <c r="CU318" s="16" t="s">
        <v>166</v>
      </c>
      <c r="CV318" s="16" t="s">
        <v>166</v>
      </c>
      <c r="CW318" s="16" t="s">
        <v>166</v>
      </c>
      <c r="CX318" s="16" t="s">
        <v>166</v>
      </c>
      <c r="CY318" s="16" t="s">
        <v>166</v>
      </c>
      <c r="CZ318" s="16" t="s">
        <v>166</v>
      </c>
      <c r="DA318" s="16" t="s">
        <v>166</v>
      </c>
      <c r="DB318" s="16" t="s">
        <v>166</v>
      </c>
      <c r="DC318" s="16" t="s">
        <v>166</v>
      </c>
      <c r="DD318" s="16" t="s">
        <v>166</v>
      </c>
      <c r="DE318" s="17" t="s">
        <v>166</v>
      </c>
      <c r="DF318" s="22">
        <v>6</v>
      </c>
      <c r="DG318" s="14" t="s">
        <v>6369</v>
      </c>
      <c r="DH318" s="14" t="s">
        <v>193</v>
      </c>
      <c r="DI318" s="14" t="s">
        <v>194</v>
      </c>
      <c r="DJ318" s="14" t="s">
        <v>6370</v>
      </c>
      <c r="DK318" s="14" t="s">
        <v>257</v>
      </c>
      <c r="DL318" s="21" t="s">
        <v>166</v>
      </c>
      <c r="DM318" s="14" t="s">
        <v>198</v>
      </c>
      <c r="DN318" s="13" t="s">
        <v>6371</v>
      </c>
      <c r="DO318" s="20">
        <v>2023</v>
      </c>
      <c r="DP318" s="14" t="s">
        <v>166</v>
      </c>
      <c r="DQ318" s="14" t="s">
        <v>166</v>
      </c>
      <c r="DR318" s="18" t="s">
        <v>166</v>
      </c>
      <c r="DS318" s="16" t="s">
        <v>166</v>
      </c>
      <c r="DT318" s="19" t="s">
        <v>166</v>
      </c>
      <c r="DU318" s="14" t="s">
        <v>166</v>
      </c>
      <c r="DV318" s="18" t="s">
        <v>166</v>
      </c>
      <c r="DW318" s="18" t="s">
        <v>166</v>
      </c>
      <c r="DX318" s="16" t="s">
        <v>166</v>
      </c>
      <c r="DY318" s="16" t="s">
        <v>166</v>
      </c>
      <c r="DZ318" s="17" t="s">
        <v>166</v>
      </c>
      <c r="EA318" s="16" t="s">
        <v>166</v>
      </c>
      <c r="EB318" s="16" t="s">
        <v>166</v>
      </c>
      <c r="EC318" s="16" t="s">
        <v>166</v>
      </c>
      <c r="ED318" s="17" t="s">
        <v>166</v>
      </c>
      <c r="EE318" s="17" t="s">
        <v>166</v>
      </c>
      <c r="EF318" s="17" t="s">
        <v>166</v>
      </c>
      <c r="EG318" s="17" t="s">
        <v>166</v>
      </c>
      <c r="EH318" s="16" t="s">
        <v>166</v>
      </c>
      <c r="EI318" s="16" t="s">
        <v>166</v>
      </c>
      <c r="EJ318" s="16" t="s">
        <v>166</v>
      </c>
      <c r="EK318" s="16" t="s">
        <v>166</v>
      </c>
      <c r="EL318" s="16" t="s">
        <v>166</v>
      </c>
      <c r="EM318" s="16" t="s">
        <v>166</v>
      </c>
      <c r="EN318" s="16" t="s">
        <v>166</v>
      </c>
      <c r="EO318" s="16" t="s">
        <v>166</v>
      </c>
      <c r="EP318" s="16" t="s">
        <v>166</v>
      </c>
      <c r="EQ318" s="16" t="s">
        <v>166</v>
      </c>
      <c r="ER318" s="16" t="s">
        <v>166</v>
      </c>
      <c r="ES318" s="16" t="s">
        <v>166</v>
      </c>
      <c r="ET318" s="14" t="s">
        <v>166</v>
      </c>
      <c r="EU318" s="16" t="s">
        <v>166</v>
      </c>
      <c r="EV318" s="16" t="s">
        <v>166</v>
      </c>
      <c r="EW318" s="16" t="s">
        <v>166</v>
      </c>
      <c r="EX318" s="14" t="s">
        <v>190</v>
      </c>
      <c r="EY318" s="14" t="s">
        <v>166</v>
      </c>
      <c r="EZ318" s="16" t="s">
        <v>166</v>
      </c>
      <c r="FA318" s="15" t="s">
        <v>166</v>
      </c>
      <c r="FB318" s="15" t="s">
        <v>166</v>
      </c>
      <c r="FC318" s="15" t="s">
        <v>166</v>
      </c>
      <c r="FD318" s="15" t="s">
        <v>166</v>
      </c>
      <c r="FE318" s="15" t="s">
        <v>166</v>
      </c>
      <c r="FF318" s="15" t="s">
        <v>166</v>
      </c>
      <c r="FG318" s="14" t="s">
        <v>166</v>
      </c>
      <c r="FH318" s="3">
        <f>HYPERLINK("https://my.pitchbook.com?c=274181-95T","View Company Online")</f>
      </c>
    </row>
    <row r="319">
      <c r="A319" s="25" t="s">
        <v>6372</v>
      </c>
      <c r="B319" s="25" t="s">
        <v>6373</v>
      </c>
      <c r="C319" s="25" t="s">
        <v>6374</v>
      </c>
      <c r="D319" s="25" t="s">
        <v>166</v>
      </c>
      <c r="E319" s="34" t="s">
        <v>6375</v>
      </c>
      <c r="F319" s="32">
        <v>9</v>
      </c>
      <c r="G319" s="25" t="s">
        <v>6376</v>
      </c>
      <c r="H319" s="25" t="s">
        <v>166</v>
      </c>
      <c r="I319" s="25" t="s">
        <v>6377</v>
      </c>
      <c r="J319" s="25" t="s">
        <v>6378</v>
      </c>
      <c r="K319" s="25" t="s">
        <v>207</v>
      </c>
      <c r="L319" s="25" t="s">
        <v>208</v>
      </c>
      <c r="M319" s="25" t="s">
        <v>639</v>
      </c>
      <c r="N319" s="25" t="s">
        <v>2719</v>
      </c>
      <c r="O319" s="25" t="s">
        <v>641</v>
      </c>
      <c r="P319" s="25" t="s">
        <v>6379</v>
      </c>
      <c r="Q319" s="25" t="s">
        <v>166</v>
      </c>
      <c r="R319" s="25" t="s">
        <v>177</v>
      </c>
      <c r="S319" s="25" t="s">
        <v>178</v>
      </c>
      <c r="T319" s="25" t="s">
        <v>179</v>
      </c>
      <c r="U319" s="25" t="s">
        <v>6380</v>
      </c>
      <c r="V319" s="25" t="s">
        <v>6381</v>
      </c>
      <c r="W319" s="32" t="s">
        <v>166</v>
      </c>
      <c r="X319" s="25" t="s">
        <v>6382</v>
      </c>
      <c r="Y319" s="25" t="s">
        <v>6383</v>
      </c>
      <c r="Z319" s="25" t="s">
        <v>6384</v>
      </c>
      <c r="AA319" s="25" t="s">
        <v>242</v>
      </c>
      <c r="AB319" s="25" t="s">
        <v>243</v>
      </c>
      <c r="AC319" s="25" t="s">
        <v>244</v>
      </c>
      <c r="AD319" s="25" t="s">
        <v>243</v>
      </c>
      <c r="AE319" s="25" t="s">
        <v>243</v>
      </c>
      <c r="AF319" s="25" t="s">
        <v>166</v>
      </c>
      <c r="AG319" s="25" t="s">
        <v>807</v>
      </c>
      <c r="AH319" s="32">
        <v>1</v>
      </c>
      <c r="AI319" s="4">
        <f>HYPERLINK("https://my.pitchbook.com/?d=172288-27T","172288-27T")</f>
      </c>
      <c r="AJ319" s="30" t="s">
        <v>166</v>
      </c>
      <c r="AK319" s="30">
        <v>44321</v>
      </c>
      <c r="AL319" s="29">
        <v>2</v>
      </c>
      <c r="AM319" s="25" t="s">
        <v>185</v>
      </c>
      <c r="AN319" s="29">
        <v>6.2</v>
      </c>
      <c r="AO319" s="29">
        <v>8.2</v>
      </c>
      <c r="AP319" s="25" t="s">
        <v>185</v>
      </c>
      <c r="AQ319" s="32" t="s">
        <v>166</v>
      </c>
      <c r="AR319" s="32" t="s">
        <v>166</v>
      </c>
      <c r="AS319" s="28">
        <v>24.39</v>
      </c>
      <c r="AT319" s="29">
        <v>2</v>
      </c>
      <c r="AU319" s="32" t="s">
        <v>186</v>
      </c>
      <c r="AV319" s="32" t="s">
        <v>166</v>
      </c>
      <c r="AW319" s="29">
        <v>0.6</v>
      </c>
      <c r="AX319" s="32" t="s">
        <v>166</v>
      </c>
      <c r="AY319" s="25" t="s">
        <v>217</v>
      </c>
      <c r="AZ319" s="25" t="s">
        <v>217</v>
      </c>
      <c r="BA319" s="25" t="s">
        <v>166</v>
      </c>
      <c r="BB319" s="32" t="s">
        <v>166</v>
      </c>
      <c r="BC319" s="25" t="s">
        <v>179</v>
      </c>
      <c r="BD319" s="25" t="s">
        <v>6385</v>
      </c>
      <c r="BE319" s="25" t="s">
        <v>189</v>
      </c>
      <c r="BF319" s="29">
        <v>2</v>
      </c>
      <c r="BG319" s="25" t="s">
        <v>190</v>
      </c>
      <c r="BH319" s="25" t="s">
        <v>166</v>
      </c>
      <c r="BI319" s="25" t="s">
        <v>166</v>
      </c>
      <c r="BJ319" s="29" t="s">
        <v>166</v>
      </c>
      <c r="BK319" s="29" t="s">
        <v>166</v>
      </c>
      <c r="BL319" s="25" t="s">
        <v>191</v>
      </c>
      <c r="BM319" s="25" t="s">
        <v>178</v>
      </c>
      <c r="BN319" s="25" t="s">
        <v>177</v>
      </c>
      <c r="BO319" s="33" t="s">
        <v>166</v>
      </c>
      <c r="BP319" s="25" t="s">
        <v>6386</v>
      </c>
      <c r="BQ319" s="32">
        <v>9</v>
      </c>
      <c r="BR319" s="25" t="s">
        <v>166</v>
      </c>
      <c r="BS319" s="32" t="s">
        <v>166</v>
      </c>
      <c r="BT319" s="25" t="s">
        <v>6387</v>
      </c>
      <c r="BU319" s="25" t="s">
        <v>166</v>
      </c>
      <c r="BV319" s="25" t="s">
        <v>6388</v>
      </c>
      <c r="BW319" s="25" t="s">
        <v>166</v>
      </c>
      <c r="BX319" s="25" t="s">
        <v>166</v>
      </c>
      <c r="BY319" s="25" t="s">
        <v>166</v>
      </c>
      <c r="BZ319" s="25" t="s">
        <v>6389</v>
      </c>
      <c r="CA319" s="25" t="s">
        <v>1232</v>
      </c>
      <c r="CB319" s="25" t="s">
        <v>166</v>
      </c>
      <c r="CC319" s="25" t="s">
        <v>6390</v>
      </c>
      <c r="CD319" s="25" t="s">
        <v>166</v>
      </c>
      <c r="CE319" s="29" t="s">
        <v>166</v>
      </c>
      <c r="CF319" s="27" t="s">
        <v>166</v>
      </c>
      <c r="CG319" s="28" t="s">
        <v>166</v>
      </c>
      <c r="CH319" s="27" t="s">
        <v>166</v>
      </c>
      <c r="CI319" s="27" t="s">
        <v>166</v>
      </c>
      <c r="CJ319" s="27" t="s">
        <v>166</v>
      </c>
      <c r="CK319" s="27" t="s">
        <v>166</v>
      </c>
      <c r="CL319" s="27" t="s">
        <v>166</v>
      </c>
      <c r="CM319" s="31" t="s">
        <v>166</v>
      </c>
      <c r="CN319" s="27" t="s">
        <v>166</v>
      </c>
      <c r="CO319" s="27" t="s">
        <v>166</v>
      </c>
      <c r="CP319" s="27" t="s">
        <v>166</v>
      </c>
      <c r="CQ319" s="27" t="s">
        <v>166</v>
      </c>
      <c r="CR319" s="27" t="s">
        <v>166</v>
      </c>
      <c r="CS319" s="27" t="s">
        <v>166</v>
      </c>
      <c r="CT319" s="27" t="s">
        <v>166</v>
      </c>
      <c r="CU319" s="27" t="s">
        <v>166</v>
      </c>
      <c r="CV319" s="27" t="s">
        <v>166</v>
      </c>
      <c r="CW319" s="27" t="s">
        <v>166</v>
      </c>
      <c r="CX319" s="27" t="s">
        <v>166</v>
      </c>
      <c r="CY319" s="27" t="s">
        <v>166</v>
      </c>
      <c r="CZ319" s="27" t="s">
        <v>166</v>
      </c>
      <c r="DA319" s="27" t="s">
        <v>166</v>
      </c>
      <c r="DB319" s="27" t="s">
        <v>166</v>
      </c>
      <c r="DC319" s="27" t="s">
        <v>166</v>
      </c>
      <c r="DD319" s="27" t="s">
        <v>166</v>
      </c>
      <c r="DE319" s="28" t="s">
        <v>166</v>
      </c>
      <c r="DF319" s="33">
        <v>9</v>
      </c>
      <c r="DG319" s="25" t="s">
        <v>3174</v>
      </c>
      <c r="DH319" s="25" t="s">
        <v>193</v>
      </c>
      <c r="DI319" s="25" t="s">
        <v>194</v>
      </c>
      <c r="DJ319" s="25" t="s">
        <v>3175</v>
      </c>
      <c r="DK319" s="25" t="s">
        <v>1063</v>
      </c>
      <c r="DL319" s="32" t="s">
        <v>6391</v>
      </c>
      <c r="DM319" s="25" t="s">
        <v>198</v>
      </c>
      <c r="DN319" s="24" t="s">
        <v>6392</v>
      </c>
      <c r="DO319" s="31">
        <v>2021</v>
      </c>
      <c r="DP319" s="25" t="s">
        <v>166</v>
      </c>
      <c r="DQ319" s="25" t="s">
        <v>166</v>
      </c>
      <c r="DR319" s="29" t="s">
        <v>166</v>
      </c>
      <c r="DS319" s="27" t="s">
        <v>166</v>
      </c>
      <c r="DT319" s="30" t="s">
        <v>166</v>
      </c>
      <c r="DU319" s="25" t="s">
        <v>166</v>
      </c>
      <c r="DV319" s="29" t="s">
        <v>166</v>
      </c>
      <c r="DW319" s="29" t="s">
        <v>166</v>
      </c>
      <c r="DX319" s="27" t="s">
        <v>166</v>
      </c>
      <c r="DY319" s="27" t="s">
        <v>166</v>
      </c>
      <c r="DZ319" s="28" t="s">
        <v>166</v>
      </c>
      <c r="EA319" s="27" t="s">
        <v>166</v>
      </c>
      <c r="EB319" s="27" t="s">
        <v>166</v>
      </c>
      <c r="EC319" s="27" t="s">
        <v>166</v>
      </c>
      <c r="ED319" s="28" t="s">
        <v>166</v>
      </c>
      <c r="EE319" s="28" t="s">
        <v>166</v>
      </c>
      <c r="EF319" s="28" t="s">
        <v>166</v>
      </c>
      <c r="EG319" s="28" t="s">
        <v>166</v>
      </c>
      <c r="EH319" s="27" t="s">
        <v>166</v>
      </c>
      <c r="EI319" s="27" t="s">
        <v>166</v>
      </c>
      <c r="EJ319" s="27" t="s">
        <v>166</v>
      </c>
      <c r="EK319" s="27" t="s">
        <v>166</v>
      </c>
      <c r="EL319" s="27" t="s">
        <v>166</v>
      </c>
      <c r="EM319" s="27" t="s">
        <v>166</v>
      </c>
      <c r="EN319" s="27" t="s">
        <v>166</v>
      </c>
      <c r="EO319" s="27" t="s">
        <v>166</v>
      </c>
      <c r="EP319" s="27" t="s">
        <v>166</v>
      </c>
      <c r="EQ319" s="27" t="s">
        <v>166</v>
      </c>
      <c r="ER319" s="27" t="s">
        <v>166</v>
      </c>
      <c r="ES319" s="27" t="s">
        <v>166</v>
      </c>
      <c r="ET319" s="25" t="s">
        <v>166</v>
      </c>
      <c r="EU319" s="27" t="s">
        <v>166</v>
      </c>
      <c r="EV319" s="27" t="s">
        <v>166</v>
      </c>
      <c r="EW319" s="27" t="s">
        <v>166</v>
      </c>
      <c r="EX319" s="25" t="s">
        <v>190</v>
      </c>
      <c r="EY319" s="25" t="s">
        <v>166</v>
      </c>
      <c r="EZ319" s="27" t="s">
        <v>166</v>
      </c>
      <c r="FA319" s="26" t="s">
        <v>166</v>
      </c>
      <c r="FB319" s="26" t="s">
        <v>166</v>
      </c>
      <c r="FC319" s="26" t="s">
        <v>166</v>
      </c>
      <c r="FD319" s="26" t="s">
        <v>166</v>
      </c>
      <c r="FE319" s="26" t="s">
        <v>166</v>
      </c>
      <c r="FF319" s="26" t="s">
        <v>166</v>
      </c>
      <c r="FG319" s="25" t="s">
        <v>166</v>
      </c>
      <c r="FH319" s="4">
        <f>HYPERLINK("https://my.pitchbook.com?c=172288-27T","View Company Online")</f>
      </c>
    </row>
    <row r="320">
      <c r="A320" s="14" t="s">
        <v>6393</v>
      </c>
      <c r="B320" s="14" t="s">
        <v>6394</v>
      </c>
      <c r="C320" s="14" t="s">
        <v>6395</v>
      </c>
      <c r="D320" s="14" t="s">
        <v>166</v>
      </c>
      <c r="E320" s="23" t="s">
        <v>6396</v>
      </c>
      <c r="F320" s="21">
        <v>8</v>
      </c>
      <c r="G320" s="14" t="s">
        <v>6397</v>
      </c>
      <c r="H320" s="14" t="s">
        <v>166</v>
      </c>
      <c r="I320" s="14" t="s">
        <v>6398</v>
      </c>
      <c r="J320" s="14" t="s">
        <v>6399</v>
      </c>
      <c r="K320" s="14" t="s">
        <v>1455</v>
      </c>
      <c r="L320" s="14" t="s">
        <v>1984</v>
      </c>
      <c r="M320" s="14" t="s">
        <v>1985</v>
      </c>
      <c r="N320" s="14" t="s">
        <v>6400</v>
      </c>
      <c r="O320" s="14" t="s">
        <v>1035</v>
      </c>
      <c r="P320" s="14" t="s">
        <v>6401</v>
      </c>
      <c r="Q320" s="14" t="s">
        <v>166</v>
      </c>
      <c r="R320" s="14" t="s">
        <v>177</v>
      </c>
      <c r="S320" s="14" t="s">
        <v>178</v>
      </c>
      <c r="T320" s="14" t="s">
        <v>179</v>
      </c>
      <c r="U320" s="14" t="s">
        <v>6402</v>
      </c>
      <c r="V320" s="14" t="s">
        <v>6403</v>
      </c>
      <c r="W320" s="21" t="s">
        <v>6404</v>
      </c>
      <c r="X320" s="14" t="s">
        <v>6405</v>
      </c>
      <c r="Y320" s="14" t="s">
        <v>6406</v>
      </c>
      <c r="Z320" s="14" t="s">
        <v>6407</v>
      </c>
      <c r="AA320" s="14" t="s">
        <v>166</v>
      </c>
      <c r="AB320" s="14" t="s">
        <v>166</v>
      </c>
      <c r="AC320" s="14" t="s">
        <v>166</v>
      </c>
      <c r="AD320" s="14" t="s">
        <v>166</v>
      </c>
      <c r="AE320" s="14" t="s">
        <v>166</v>
      </c>
      <c r="AF320" s="14" t="s">
        <v>166</v>
      </c>
      <c r="AG320" s="14" t="s">
        <v>166</v>
      </c>
      <c r="AH320" s="21">
        <v>1</v>
      </c>
      <c r="AI320" s="3">
        <f>HYPERLINK("https://my.pitchbook.com/?d=208542-52T","208542-52T")</f>
      </c>
      <c r="AJ320" s="19" t="s">
        <v>166</v>
      </c>
      <c r="AK320" s="19">
        <v>44881</v>
      </c>
      <c r="AL320" s="18">
        <v>1</v>
      </c>
      <c r="AM320" s="14" t="s">
        <v>185</v>
      </c>
      <c r="AN320" s="18" t="s">
        <v>166</v>
      </c>
      <c r="AO320" s="18" t="s">
        <v>166</v>
      </c>
      <c r="AP320" s="14" t="s">
        <v>166</v>
      </c>
      <c r="AQ320" s="21" t="s">
        <v>166</v>
      </c>
      <c r="AR320" s="21" t="s">
        <v>166</v>
      </c>
      <c r="AS320" s="17" t="s">
        <v>166</v>
      </c>
      <c r="AT320" s="18">
        <v>1</v>
      </c>
      <c r="AU320" s="21" t="s">
        <v>186</v>
      </c>
      <c r="AV320" s="21" t="s">
        <v>166</v>
      </c>
      <c r="AW320" s="18" t="s">
        <v>166</v>
      </c>
      <c r="AX320" s="21" t="s">
        <v>166</v>
      </c>
      <c r="AY320" s="14" t="s">
        <v>217</v>
      </c>
      <c r="AZ320" s="14" t="s">
        <v>217</v>
      </c>
      <c r="BA320" s="14" t="s">
        <v>166</v>
      </c>
      <c r="BB320" s="21" t="s">
        <v>166</v>
      </c>
      <c r="BC320" s="14" t="s">
        <v>179</v>
      </c>
      <c r="BD320" s="14" t="s">
        <v>6408</v>
      </c>
      <c r="BE320" s="14" t="s">
        <v>189</v>
      </c>
      <c r="BF320" s="18">
        <v>1</v>
      </c>
      <c r="BG320" s="14" t="s">
        <v>190</v>
      </c>
      <c r="BH320" s="14" t="s">
        <v>166</v>
      </c>
      <c r="BI320" s="14" t="s">
        <v>166</v>
      </c>
      <c r="BJ320" s="18" t="s">
        <v>166</v>
      </c>
      <c r="BK320" s="18" t="s">
        <v>166</v>
      </c>
      <c r="BL320" s="14" t="s">
        <v>191</v>
      </c>
      <c r="BM320" s="14" t="s">
        <v>178</v>
      </c>
      <c r="BN320" s="14" t="s">
        <v>177</v>
      </c>
      <c r="BO320" s="22" t="s">
        <v>166</v>
      </c>
      <c r="BP320" s="14" t="s">
        <v>6409</v>
      </c>
      <c r="BQ320" s="21">
        <v>8</v>
      </c>
      <c r="BR320" s="14" t="s">
        <v>166</v>
      </c>
      <c r="BS320" s="21" t="s">
        <v>166</v>
      </c>
      <c r="BT320" s="14" t="s">
        <v>6410</v>
      </c>
      <c r="BU320" s="14" t="s">
        <v>166</v>
      </c>
      <c r="BV320" s="14" t="s">
        <v>166</v>
      </c>
      <c r="BW320" s="14" t="s">
        <v>166</v>
      </c>
      <c r="BX320" s="14" t="s">
        <v>166</v>
      </c>
      <c r="BY320" s="14" t="s">
        <v>166</v>
      </c>
      <c r="BZ320" s="14" t="s">
        <v>166</v>
      </c>
      <c r="CA320" s="14" t="s">
        <v>166</v>
      </c>
      <c r="CB320" s="14" t="s">
        <v>166</v>
      </c>
      <c r="CC320" s="14" t="s">
        <v>166</v>
      </c>
      <c r="CD320" s="14" t="s">
        <v>166</v>
      </c>
      <c r="CE320" s="18" t="s">
        <v>166</v>
      </c>
      <c r="CF320" s="16" t="s">
        <v>166</v>
      </c>
      <c r="CG320" s="17" t="s">
        <v>166</v>
      </c>
      <c r="CH320" s="16" t="s">
        <v>166</v>
      </c>
      <c r="CI320" s="16" t="s">
        <v>166</v>
      </c>
      <c r="CJ320" s="16" t="s">
        <v>166</v>
      </c>
      <c r="CK320" s="16" t="s">
        <v>166</v>
      </c>
      <c r="CL320" s="16" t="s">
        <v>166</v>
      </c>
      <c r="CM320" s="20" t="s">
        <v>166</v>
      </c>
      <c r="CN320" s="16" t="s">
        <v>166</v>
      </c>
      <c r="CO320" s="16" t="s">
        <v>166</v>
      </c>
      <c r="CP320" s="16" t="s">
        <v>166</v>
      </c>
      <c r="CQ320" s="16" t="s">
        <v>166</v>
      </c>
      <c r="CR320" s="16" t="s">
        <v>166</v>
      </c>
      <c r="CS320" s="16" t="s">
        <v>166</v>
      </c>
      <c r="CT320" s="16" t="s">
        <v>166</v>
      </c>
      <c r="CU320" s="16" t="s">
        <v>166</v>
      </c>
      <c r="CV320" s="16" t="s">
        <v>166</v>
      </c>
      <c r="CW320" s="16" t="s">
        <v>166</v>
      </c>
      <c r="CX320" s="16" t="s">
        <v>166</v>
      </c>
      <c r="CY320" s="16" t="s">
        <v>166</v>
      </c>
      <c r="CZ320" s="16" t="s">
        <v>166</v>
      </c>
      <c r="DA320" s="16" t="s">
        <v>166</v>
      </c>
      <c r="DB320" s="16" t="s">
        <v>166</v>
      </c>
      <c r="DC320" s="16" t="s">
        <v>166</v>
      </c>
      <c r="DD320" s="16" t="s">
        <v>166</v>
      </c>
      <c r="DE320" s="17" t="s">
        <v>166</v>
      </c>
      <c r="DF320" s="22" t="s">
        <v>166</v>
      </c>
      <c r="DG320" s="14" t="s">
        <v>6411</v>
      </c>
      <c r="DH320" s="14" t="s">
        <v>193</v>
      </c>
      <c r="DI320" s="14" t="s">
        <v>194</v>
      </c>
      <c r="DJ320" s="14" t="s">
        <v>6412</v>
      </c>
      <c r="DK320" s="14" t="s">
        <v>196</v>
      </c>
      <c r="DL320" s="21" t="s">
        <v>6413</v>
      </c>
      <c r="DM320" s="14" t="s">
        <v>198</v>
      </c>
      <c r="DN320" s="13" t="s">
        <v>6414</v>
      </c>
      <c r="DO320" s="20">
        <v>2020</v>
      </c>
      <c r="DP320" s="14" t="s">
        <v>166</v>
      </c>
      <c r="DQ320" s="14" t="s">
        <v>166</v>
      </c>
      <c r="DR320" s="18" t="s">
        <v>166</v>
      </c>
      <c r="DS320" s="16" t="s">
        <v>166</v>
      </c>
      <c r="DT320" s="19" t="s">
        <v>166</v>
      </c>
      <c r="DU320" s="14" t="s">
        <v>166</v>
      </c>
      <c r="DV320" s="18" t="s">
        <v>166</v>
      </c>
      <c r="DW320" s="18" t="s">
        <v>166</v>
      </c>
      <c r="DX320" s="16" t="s">
        <v>166</v>
      </c>
      <c r="DY320" s="16" t="s">
        <v>166</v>
      </c>
      <c r="DZ320" s="17" t="s">
        <v>166</v>
      </c>
      <c r="EA320" s="16" t="s">
        <v>166</v>
      </c>
      <c r="EB320" s="16" t="s">
        <v>166</v>
      </c>
      <c r="EC320" s="16" t="s">
        <v>166</v>
      </c>
      <c r="ED320" s="17" t="s">
        <v>166</v>
      </c>
      <c r="EE320" s="17" t="s">
        <v>166</v>
      </c>
      <c r="EF320" s="17" t="s">
        <v>166</v>
      </c>
      <c r="EG320" s="17" t="s">
        <v>166</v>
      </c>
      <c r="EH320" s="16" t="s">
        <v>166</v>
      </c>
      <c r="EI320" s="16" t="s">
        <v>166</v>
      </c>
      <c r="EJ320" s="16" t="s">
        <v>166</v>
      </c>
      <c r="EK320" s="16" t="s">
        <v>166</v>
      </c>
      <c r="EL320" s="16" t="s">
        <v>166</v>
      </c>
      <c r="EM320" s="16" t="s">
        <v>166</v>
      </c>
      <c r="EN320" s="16" t="s">
        <v>166</v>
      </c>
      <c r="EO320" s="16" t="s">
        <v>166</v>
      </c>
      <c r="EP320" s="16" t="s">
        <v>166</v>
      </c>
      <c r="EQ320" s="16" t="s">
        <v>166</v>
      </c>
      <c r="ER320" s="16" t="s">
        <v>166</v>
      </c>
      <c r="ES320" s="16" t="s">
        <v>166</v>
      </c>
      <c r="ET320" s="14" t="s">
        <v>166</v>
      </c>
      <c r="EU320" s="16" t="s">
        <v>166</v>
      </c>
      <c r="EV320" s="16" t="s">
        <v>166</v>
      </c>
      <c r="EW320" s="16" t="s">
        <v>166</v>
      </c>
      <c r="EX320" s="14" t="s">
        <v>190</v>
      </c>
      <c r="EY320" s="14" t="s">
        <v>166</v>
      </c>
      <c r="EZ320" s="16" t="s">
        <v>166</v>
      </c>
      <c r="FA320" s="15" t="s">
        <v>166</v>
      </c>
      <c r="FB320" s="15" t="s">
        <v>166</v>
      </c>
      <c r="FC320" s="15" t="s">
        <v>166</v>
      </c>
      <c r="FD320" s="15" t="s">
        <v>166</v>
      </c>
      <c r="FE320" s="15" t="s">
        <v>166</v>
      </c>
      <c r="FF320" s="15" t="s">
        <v>166</v>
      </c>
      <c r="FG320" s="14" t="s">
        <v>166</v>
      </c>
      <c r="FH320" s="3">
        <f>HYPERLINK("https://my.pitchbook.com?c=208542-52T","View Company Online")</f>
      </c>
    </row>
    <row r="321">
      <c r="A321" s="25" t="s">
        <v>6415</v>
      </c>
      <c r="B321" s="25" t="s">
        <v>6416</v>
      </c>
      <c r="C321" s="25" t="s">
        <v>6417</v>
      </c>
      <c r="D321" s="25" t="s">
        <v>166</v>
      </c>
      <c r="E321" s="34" t="s">
        <v>6418</v>
      </c>
      <c r="F321" s="32">
        <v>5</v>
      </c>
      <c r="G321" s="25" t="s">
        <v>6419</v>
      </c>
      <c r="H321" s="25" t="s">
        <v>166</v>
      </c>
      <c r="I321" s="25" t="s">
        <v>6420</v>
      </c>
      <c r="J321" s="25" t="s">
        <v>6421</v>
      </c>
      <c r="K321" s="25" t="s">
        <v>207</v>
      </c>
      <c r="L321" s="25" t="s">
        <v>208</v>
      </c>
      <c r="M321" s="25" t="s">
        <v>209</v>
      </c>
      <c r="N321" s="25" t="s">
        <v>6422</v>
      </c>
      <c r="O321" s="25" t="s">
        <v>800</v>
      </c>
      <c r="P321" s="25" t="s">
        <v>6423</v>
      </c>
      <c r="Q321" s="25" t="s">
        <v>166</v>
      </c>
      <c r="R321" s="25" t="s">
        <v>177</v>
      </c>
      <c r="S321" s="25" t="s">
        <v>178</v>
      </c>
      <c r="T321" s="25" t="s">
        <v>179</v>
      </c>
      <c r="U321" s="25" t="s">
        <v>6424</v>
      </c>
      <c r="V321" s="25" t="s">
        <v>6425</v>
      </c>
      <c r="W321" s="32" t="s">
        <v>166</v>
      </c>
      <c r="X321" s="25" t="s">
        <v>166</v>
      </c>
      <c r="Y321" s="25" t="s">
        <v>6426</v>
      </c>
      <c r="Z321" s="25" t="s">
        <v>6427</v>
      </c>
      <c r="AA321" s="25" t="s">
        <v>242</v>
      </c>
      <c r="AB321" s="25" t="s">
        <v>243</v>
      </c>
      <c r="AC321" s="25" t="s">
        <v>244</v>
      </c>
      <c r="AD321" s="25" t="s">
        <v>243</v>
      </c>
      <c r="AE321" s="25" t="s">
        <v>243</v>
      </c>
      <c r="AF321" s="25" t="s">
        <v>166</v>
      </c>
      <c r="AG321" s="25" t="s">
        <v>246</v>
      </c>
      <c r="AH321" s="32">
        <v>1</v>
      </c>
      <c r="AI321" s="4">
        <f>HYPERLINK("https://my.pitchbook.com/?d=175517-83T","175517-83T")</f>
      </c>
      <c r="AJ321" s="30" t="s">
        <v>166</v>
      </c>
      <c r="AK321" s="30">
        <v>44348</v>
      </c>
      <c r="AL321" s="29">
        <v>1.87</v>
      </c>
      <c r="AM321" s="25" t="s">
        <v>247</v>
      </c>
      <c r="AN321" s="29">
        <v>4.13</v>
      </c>
      <c r="AO321" s="29">
        <v>6</v>
      </c>
      <c r="AP321" s="25" t="s">
        <v>185</v>
      </c>
      <c r="AQ321" s="32" t="s">
        <v>166</v>
      </c>
      <c r="AR321" s="32" t="s">
        <v>166</v>
      </c>
      <c r="AS321" s="28">
        <v>35.85</v>
      </c>
      <c r="AT321" s="29">
        <v>1.87</v>
      </c>
      <c r="AU321" s="32" t="s">
        <v>186</v>
      </c>
      <c r="AV321" s="32" t="s">
        <v>166</v>
      </c>
      <c r="AW321" s="29">
        <v>1.04</v>
      </c>
      <c r="AX321" s="32" t="s">
        <v>166</v>
      </c>
      <c r="AY321" s="25" t="s">
        <v>217</v>
      </c>
      <c r="AZ321" s="25" t="s">
        <v>217</v>
      </c>
      <c r="BA321" s="25" t="s">
        <v>166</v>
      </c>
      <c r="BB321" s="32" t="s">
        <v>166</v>
      </c>
      <c r="BC321" s="25" t="s">
        <v>179</v>
      </c>
      <c r="BD321" s="25" t="s">
        <v>6428</v>
      </c>
      <c r="BE321" s="25" t="s">
        <v>189</v>
      </c>
      <c r="BF321" s="29">
        <v>1.87</v>
      </c>
      <c r="BG321" s="25" t="s">
        <v>190</v>
      </c>
      <c r="BH321" s="25" t="s">
        <v>166</v>
      </c>
      <c r="BI321" s="25" t="s">
        <v>166</v>
      </c>
      <c r="BJ321" s="29" t="s">
        <v>166</v>
      </c>
      <c r="BK321" s="29" t="s">
        <v>166</v>
      </c>
      <c r="BL321" s="25" t="s">
        <v>191</v>
      </c>
      <c r="BM321" s="25" t="s">
        <v>358</v>
      </c>
      <c r="BN321" s="25" t="s">
        <v>177</v>
      </c>
      <c r="BO321" s="33" t="s">
        <v>166</v>
      </c>
      <c r="BP321" s="25" t="s">
        <v>6429</v>
      </c>
      <c r="BQ321" s="32">
        <v>5</v>
      </c>
      <c r="BR321" s="25" t="s">
        <v>166</v>
      </c>
      <c r="BS321" s="32" t="s">
        <v>166</v>
      </c>
      <c r="BT321" s="25" t="s">
        <v>166</v>
      </c>
      <c r="BU321" s="25" t="s">
        <v>166</v>
      </c>
      <c r="BV321" s="25" t="s">
        <v>6430</v>
      </c>
      <c r="BW321" s="25" t="s">
        <v>166</v>
      </c>
      <c r="BX321" s="25" t="s">
        <v>166</v>
      </c>
      <c r="BY321" s="25" t="s">
        <v>166</v>
      </c>
      <c r="BZ321" s="25" t="s">
        <v>166</v>
      </c>
      <c r="CA321" s="25" t="s">
        <v>166</v>
      </c>
      <c r="CB321" s="25" t="s">
        <v>166</v>
      </c>
      <c r="CC321" s="25" t="s">
        <v>166</v>
      </c>
      <c r="CD321" s="25" t="s">
        <v>166</v>
      </c>
      <c r="CE321" s="29" t="s">
        <v>166</v>
      </c>
      <c r="CF321" s="27" t="s">
        <v>166</v>
      </c>
      <c r="CG321" s="28" t="s">
        <v>166</v>
      </c>
      <c r="CH321" s="27" t="s">
        <v>166</v>
      </c>
      <c r="CI321" s="27" t="s">
        <v>166</v>
      </c>
      <c r="CJ321" s="27" t="s">
        <v>166</v>
      </c>
      <c r="CK321" s="27" t="s">
        <v>166</v>
      </c>
      <c r="CL321" s="27" t="s">
        <v>166</v>
      </c>
      <c r="CM321" s="31" t="s">
        <v>166</v>
      </c>
      <c r="CN321" s="27" t="s">
        <v>166</v>
      </c>
      <c r="CO321" s="27" t="s">
        <v>166</v>
      </c>
      <c r="CP321" s="27" t="s">
        <v>166</v>
      </c>
      <c r="CQ321" s="27" t="s">
        <v>166</v>
      </c>
      <c r="CR321" s="27" t="s">
        <v>166</v>
      </c>
      <c r="CS321" s="27" t="s">
        <v>166</v>
      </c>
      <c r="CT321" s="27" t="s">
        <v>166</v>
      </c>
      <c r="CU321" s="27" t="s">
        <v>166</v>
      </c>
      <c r="CV321" s="27" t="s">
        <v>166</v>
      </c>
      <c r="CW321" s="27" t="s">
        <v>166</v>
      </c>
      <c r="CX321" s="27" t="s">
        <v>166</v>
      </c>
      <c r="CY321" s="27" t="s">
        <v>166</v>
      </c>
      <c r="CZ321" s="27" t="s">
        <v>166</v>
      </c>
      <c r="DA321" s="27" t="s">
        <v>166</v>
      </c>
      <c r="DB321" s="27" t="s">
        <v>166</v>
      </c>
      <c r="DC321" s="27" t="s">
        <v>166</v>
      </c>
      <c r="DD321" s="27" t="s">
        <v>166</v>
      </c>
      <c r="DE321" s="28" t="s">
        <v>166</v>
      </c>
      <c r="DF321" s="33">
        <v>10</v>
      </c>
      <c r="DG321" s="25" t="s">
        <v>309</v>
      </c>
      <c r="DH321" s="25" t="s">
        <v>193</v>
      </c>
      <c r="DI321" s="25" t="s">
        <v>194</v>
      </c>
      <c r="DJ321" s="25" t="s">
        <v>310</v>
      </c>
      <c r="DK321" s="25" t="s">
        <v>310</v>
      </c>
      <c r="DL321" s="32" t="s">
        <v>1910</v>
      </c>
      <c r="DM321" s="25" t="s">
        <v>198</v>
      </c>
      <c r="DN321" s="24" t="s">
        <v>6431</v>
      </c>
      <c r="DO321" s="31">
        <v>2019</v>
      </c>
      <c r="DP321" s="25" t="s">
        <v>166</v>
      </c>
      <c r="DQ321" s="25" t="s">
        <v>166</v>
      </c>
      <c r="DR321" s="29" t="s">
        <v>166</v>
      </c>
      <c r="DS321" s="27" t="s">
        <v>166</v>
      </c>
      <c r="DT321" s="30" t="s">
        <v>166</v>
      </c>
      <c r="DU321" s="25" t="s">
        <v>166</v>
      </c>
      <c r="DV321" s="29" t="s">
        <v>166</v>
      </c>
      <c r="DW321" s="29" t="s">
        <v>166</v>
      </c>
      <c r="DX321" s="27" t="s">
        <v>166</v>
      </c>
      <c r="DY321" s="27" t="s">
        <v>166</v>
      </c>
      <c r="DZ321" s="28" t="s">
        <v>166</v>
      </c>
      <c r="EA321" s="27" t="s">
        <v>166</v>
      </c>
      <c r="EB321" s="27" t="s">
        <v>166</v>
      </c>
      <c r="EC321" s="27" t="s">
        <v>166</v>
      </c>
      <c r="ED321" s="28" t="s">
        <v>166</v>
      </c>
      <c r="EE321" s="28" t="s">
        <v>166</v>
      </c>
      <c r="EF321" s="28" t="s">
        <v>166</v>
      </c>
      <c r="EG321" s="28" t="s">
        <v>166</v>
      </c>
      <c r="EH321" s="27" t="s">
        <v>166</v>
      </c>
      <c r="EI321" s="27" t="s">
        <v>166</v>
      </c>
      <c r="EJ321" s="27" t="s">
        <v>166</v>
      </c>
      <c r="EK321" s="27" t="s">
        <v>166</v>
      </c>
      <c r="EL321" s="27" t="s">
        <v>166</v>
      </c>
      <c r="EM321" s="27" t="s">
        <v>166</v>
      </c>
      <c r="EN321" s="27" t="s">
        <v>166</v>
      </c>
      <c r="EO321" s="27" t="s">
        <v>166</v>
      </c>
      <c r="EP321" s="27" t="s">
        <v>166</v>
      </c>
      <c r="EQ321" s="27" t="s">
        <v>166</v>
      </c>
      <c r="ER321" s="27" t="s">
        <v>166</v>
      </c>
      <c r="ES321" s="27" t="s">
        <v>166</v>
      </c>
      <c r="ET321" s="25" t="s">
        <v>166</v>
      </c>
      <c r="EU321" s="27" t="s">
        <v>166</v>
      </c>
      <c r="EV321" s="27" t="s">
        <v>166</v>
      </c>
      <c r="EW321" s="27" t="s">
        <v>166</v>
      </c>
      <c r="EX321" s="25" t="s">
        <v>190</v>
      </c>
      <c r="EY321" s="25" t="s">
        <v>166</v>
      </c>
      <c r="EZ321" s="27" t="s">
        <v>166</v>
      </c>
      <c r="FA321" s="26" t="s">
        <v>166</v>
      </c>
      <c r="FB321" s="26" t="s">
        <v>166</v>
      </c>
      <c r="FC321" s="26" t="s">
        <v>166</v>
      </c>
      <c r="FD321" s="26" t="s">
        <v>166</v>
      </c>
      <c r="FE321" s="26" t="s">
        <v>166</v>
      </c>
      <c r="FF321" s="26" t="s">
        <v>166</v>
      </c>
      <c r="FG321" s="25" t="s">
        <v>166</v>
      </c>
      <c r="FH321" s="4">
        <f>HYPERLINK("https://my.pitchbook.com?c=175517-83T","View Company Online")</f>
      </c>
    </row>
    <row r="322">
      <c r="A322" s="14" t="s">
        <v>6432</v>
      </c>
      <c r="B322" s="14" t="s">
        <v>6433</v>
      </c>
      <c r="C322" s="14" t="s">
        <v>6434</v>
      </c>
      <c r="D322" s="14" t="s">
        <v>166</v>
      </c>
      <c r="E322" s="23" t="s">
        <v>6435</v>
      </c>
      <c r="F322" s="21">
        <v>4</v>
      </c>
      <c r="G322" s="14" t="s">
        <v>6436</v>
      </c>
      <c r="H322" s="14" t="s">
        <v>166</v>
      </c>
      <c r="I322" s="14" t="s">
        <v>6437</v>
      </c>
      <c r="J322" s="14" t="s">
        <v>6438</v>
      </c>
      <c r="K322" s="14" t="s">
        <v>207</v>
      </c>
      <c r="L322" s="14" t="s">
        <v>5931</v>
      </c>
      <c r="M322" s="14" t="s">
        <v>5932</v>
      </c>
      <c r="N322" s="14" t="s">
        <v>6439</v>
      </c>
      <c r="O322" s="14" t="s">
        <v>166</v>
      </c>
      <c r="P322" s="14" t="s">
        <v>6440</v>
      </c>
      <c r="Q322" s="14" t="s">
        <v>166</v>
      </c>
      <c r="R322" s="14" t="s">
        <v>177</v>
      </c>
      <c r="S322" s="14" t="s">
        <v>178</v>
      </c>
      <c r="T322" s="14" t="s">
        <v>179</v>
      </c>
      <c r="U322" s="14" t="s">
        <v>6441</v>
      </c>
      <c r="V322" s="14" t="s">
        <v>6442</v>
      </c>
      <c r="W322" s="21" t="s">
        <v>166</v>
      </c>
      <c r="X322" s="14" t="s">
        <v>6443</v>
      </c>
      <c r="Y322" s="14" t="s">
        <v>6444</v>
      </c>
      <c r="Z322" s="14" t="s">
        <v>166</v>
      </c>
      <c r="AA322" s="14" t="s">
        <v>242</v>
      </c>
      <c r="AB322" s="14" t="s">
        <v>243</v>
      </c>
      <c r="AC322" s="14" t="s">
        <v>244</v>
      </c>
      <c r="AD322" s="14" t="s">
        <v>166</v>
      </c>
      <c r="AE322" s="14" t="s">
        <v>243</v>
      </c>
      <c r="AF322" s="14" t="s">
        <v>166</v>
      </c>
      <c r="AG322" s="14" t="s">
        <v>246</v>
      </c>
      <c r="AH322" s="21">
        <v>2</v>
      </c>
      <c r="AI322" s="3">
        <f>HYPERLINK("https://my.pitchbook.com/?d=274778-47T","274778-47T")</f>
      </c>
      <c r="AJ322" s="19" t="s">
        <v>166</v>
      </c>
      <c r="AK322" s="19">
        <v>45580</v>
      </c>
      <c r="AL322" s="18">
        <v>12.78</v>
      </c>
      <c r="AM322" s="14" t="s">
        <v>185</v>
      </c>
      <c r="AN322" s="18">
        <v>37.22</v>
      </c>
      <c r="AO322" s="18">
        <v>50</v>
      </c>
      <c r="AP322" s="14" t="s">
        <v>185</v>
      </c>
      <c r="AQ322" s="21" t="s">
        <v>166</v>
      </c>
      <c r="AR322" s="21" t="s">
        <v>166</v>
      </c>
      <c r="AS322" s="17">
        <v>33.7</v>
      </c>
      <c r="AT322" s="18">
        <v>13.28</v>
      </c>
      <c r="AU322" s="21" t="s">
        <v>186</v>
      </c>
      <c r="AV322" s="21" t="s">
        <v>166</v>
      </c>
      <c r="AW322" s="18">
        <v>4.23</v>
      </c>
      <c r="AX322" s="21" t="s">
        <v>248</v>
      </c>
      <c r="AY322" s="14" t="s">
        <v>187</v>
      </c>
      <c r="AZ322" s="14" t="s">
        <v>248</v>
      </c>
      <c r="BA322" s="14" t="s">
        <v>166</v>
      </c>
      <c r="BB322" s="21" t="s">
        <v>166</v>
      </c>
      <c r="BC322" s="14" t="s">
        <v>179</v>
      </c>
      <c r="BD322" s="14" t="s">
        <v>6438</v>
      </c>
      <c r="BE322" s="14" t="s">
        <v>189</v>
      </c>
      <c r="BF322" s="18">
        <v>12.78</v>
      </c>
      <c r="BG322" s="14" t="s">
        <v>190</v>
      </c>
      <c r="BH322" s="14" t="s">
        <v>166</v>
      </c>
      <c r="BI322" s="14" t="s">
        <v>166</v>
      </c>
      <c r="BJ322" s="18" t="s">
        <v>166</v>
      </c>
      <c r="BK322" s="18" t="s">
        <v>166</v>
      </c>
      <c r="BL322" s="14" t="s">
        <v>191</v>
      </c>
      <c r="BM322" s="14" t="s">
        <v>178</v>
      </c>
      <c r="BN322" s="14" t="s">
        <v>177</v>
      </c>
      <c r="BO322" s="22" t="s">
        <v>166</v>
      </c>
      <c r="BP322" s="14" t="s">
        <v>6435</v>
      </c>
      <c r="BQ322" s="21">
        <v>4</v>
      </c>
      <c r="BR322" s="14" t="s">
        <v>166</v>
      </c>
      <c r="BS322" s="21" t="s">
        <v>166</v>
      </c>
      <c r="BT322" s="14" t="s">
        <v>166</v>
      </c>
      <c r="BU322" s="14" t="s">
        <v>166</v>
      </c>
      <c r="BV322" s="14" t="s">
        <v>166</v>
      </c>
      <c r="BW322" s="14" t="s">
        <v>166</v>
      </c>
      <c r="BX322" s="14" t="s">
        <v>166</v>
      </c>
      <c r="BY322" s="14" t="s">
        <v>166</v>
      </c>
      <c r="BZ322" s="14" t="s">
        <v>166</v>
      </c>
      <c r="CA322" s="14" t="s">
        <v>166</v>
      </c>
      <c r="CB322" s="14" t="s">
        <v>166</v>
      </c>
      <c r="CC322" s="14" t="s">
        <v>166</v>
      </c>
      <c r="CD322" s="14" t="s">
        <v>166</v>
      </c>
      <c r="CE322" s="18" t="s">
        <v>166</v>
      </c>
      <c r="CF322" s="16" t="s">
        <v>166</v>
      </c>
      <c r="CG322" s="17" t="s">
        <v>166</v>
      </c>
      <c r="CH322" s="16" t="s">
        <v>166</v>
      </c>
      <c r="CI322" s="16" t="s">
        <v>166</v>
      </c>
      <c r="CJ322" s="16" t="s">
        <v>166</v>
      </c>
      <c r="CK322" s="16" t="s">
        <v>166</v>
      </c>
      <c r="CL322" s="16" t="s">
        <v>166</v>
      </c>
      <c r="CM322" s="20" t="s">
        <v>166</v>
      </c>
      <c r="CN322" s="16" t="s">
        <v>166</v>
      </c>
      <c r="CO322" s="16" t="s">
        <v>166</v>
      </c>
      <c r="CP322" s="16" t="s">
        <v>166</v>
      </c>
      <c r="CQ322" s="16" t="s">
        <v>166</v>
      </c>
      <c r="CR322" s="16" t="s">
        <v>166</v>
      </c>
      <c r="CS322" s="16" t="s">
        <v>166</v>
      </c>
      <c r="CT322" s="16" t="s">
        <v>166</v>
      </c>
      <c r="CU322" s="16" t="s">
        <v>166</v>
      </c>
      <c r="CV322" s="16" t="s">
        <v>166</v>
      </c>
      <c r="CW322" s="16" t="s">
        <v>166</v>
      </c>
      <c r="CX322" s="16" t="s">
        <v>166</v>
      </c>
      <c r="CY322" s="16" t="s">
        <v>166</v>
      </c>
      <c r="CZ322" s="16" t="s">
        <v>166</v>
      </c>
      <c r="DA322" s="16" t="s">
        <v>166</v>
      </c>
      <c r="DB322" s="16" t="s">
        <v>166</v>
      </c>
      <c r="DC322" s="16" t="s">
        <v>166</v>
      </c>
      <c r="DD322" s="16" t="s">
        <v>166</v>
      </c>
      <c r="DE322" s="17" t="s">
        <v>166</v>
      </c>
      <c r="DF322" s="22">
        <v>18</v>
      </c>
      <c r="DG322" s="14" t="s">
        <v>309</v>
      </c>
      <c r="DH322" s="14" t="s">
        <v>193</v>
      </c>
      <c r="DI322" s="14" t="s">
        <v>194</v>
      </c>
      <c r="DJ322" s="14" t="s">
        <v>310</v>
      </c>
      <c r="DK322" s="14" t="s">
        <v>310</v>
      </c>
      <c r="DL322" s="21" t="s">
        <v>873</v>
      </c>
      <c r="DM322" s="14" t="s">
        <v>198</v>
      </c>
      <c r="DN322" s="13" t="s">
        <v>6445</v>
      </c>
      <c r="DO322" s="20">
        <v>2022</v>
      </c>
      <c r="DP322" s="14" t="s">
        <v>166</v>
      </c>
      <c r="DQ322" s="14" t="s">
        <v>166</v>
      </c>
      <c r="DR322" s="18" t="s">
        <v>166</v>
      </c>
      <c r="DS322" s="16" t="s">
        <v>166</v>
      </c>
      <c r="DT322" s="19" t="s">
        <v>166</v>
      </c>
      <c r="DU322" s="14" t="s">
        <v>166</v>
      </c>
      <c r="DV322" s="18" t="s">
        <v>166</v>
      </c>
      <c r="DW322" s="18" t="s">
        <v>166</v>
      </c>
      <c r="DX322" s="16" t="s">
        <v>166</v>
      </c>
      <c r="DY322" s="16" t="s">
        <v>166</v>
      </c>
      <c r="DZ322" s="17" t="s">
        <v>166</v>
      </c>
      <c r="EA322" s="16" t="s">
        <v>166</v>
      </c>
      <c r="EB322" s="16" t="s">
        <v>166</v>
      </c>
      <c r="EC322" s="16" t="s">
        <v>166</v>
      </c>
      <c r="ED322" s="17" t="s">
        <v>166</v>
      </c>
      <c r="EE322" s="17" t="s">
        <v>166</v>
      </c>
      <c r="EF322" s="17" t="s">
        <v>166</v>
      </c>
      <c r="EG322" s="17" t="s">
        <v>166</v>
      </c>
      <c r="EH322" s="16" t="s">
        <v>166</v>
      </c>
      <c r="EI322" s="16" t="s">
        <v>166</v>
      </c>
      <c r="EJ322" s="16" t="s">
        <v>166</v>
      </c>
      <c r="EK322" s="16" t="s">
        <v>166</v>
      </c>
      <c r="EL322" s="16" t="s">
        <v>166</v>
      </c>
      <c r="EM322" s="16" t="s">
        <v>166</v>
      </c>
      <c r="EN322" s="16" t="s">
        <v>166</v>
      </c>
      <c r="EO322" s="16" t="s">
        <v>166</v>
      </c>
      <c r="EP322" s="16" t="s">
        <v>166</v>
      </c>
      <c r="EQ322" s="16" t="s">
        <v>166</v>
      </c>
      <c r="ER322" s="16" t="s">
        <v>166</v>
      </c>
      <c r="ES322" s="16" t="s">
        <v>166</v>
      </c>
      <c r="ET322" s="14" t="s">
        <v>166</v>
      </c>
      <c r="EU322" s="16" t="s">
        <v>166</v>
      </c>
      <c r="EV322" s="16" t="s">
        <v>166</v>
      </c>
      <c r="EW322" s="16" t="s">
        <v>166</v>
      </c>
      <c r="EX322" s="14" t="s">
        <v>190</v>
      </c>
      <c r="EY322" s="14" t="s">
        <v>166</v>
      </c>
      <c r="EZ322" s="16" t="s">
        <v>166</v>
      </c>
      <c r="FA322" s="15" t="s">
        <v>166</v>
      </c>
      <c r="FB322" s="15" t="s">
        <v>166</v>
      </c>
      <c r="FC322" s="15" t="s">
        <v>166</v>
      </c>
      <c r="FD322" s="15" t="s">
        <v>166</v>
      </c>
      <c r="FE322" s="15" t="s">
        <v>166</v>
      </c>
      <c r="FF322" s="15" t="s">
        <v>166</v>
      </c>
      <c r="FG322" s="14" t="s">
        <v>166</v>
      </c>
      <c r="FH322" s="3">
        <f>HYPERLINK("https://my.pitchbook.com?c=274778-47T","View Company Online")</f>
      </c>
    </row>
    <row r="323">
      <c r="A323" s="25" t="s">
        <v>6446</v>
      </c>
      <c r="B323" s="25" t="s">
        <v>6447</v>
      </c>
      <c r="C323" s="25" t="s">
        <v>6448</v>
      </c>
      <c r="D323" s="25" t="s">
        <v>166</v>
      </c>
      <c r="E323" s="34" t="s">
        <v>6449</v>
      </c>
      <c r="F323" s="32">
        <v>8</v>
      </c>
      <c r="G323" s="25" t="s">
        <v>6450</v>
      </c>
      <c r="H323" s="25" t="s">
        <v>166</v>
      </c>
      <c r="I323" s="25" t="s">
        <v>6451</v>
      </c>
      <c r="J323" s="25" t="s">
        <v>6452</v>
      </c>
      <c r="K323" s="25" t="s">
        <v>1455</v>
      </c>
      <c r="L323" s="25" t="s">
        <v>1984</v>
      </c>
      <c r="M323" s="25" t="s">
        <v>2112</v>
      </c>
      <c r="N323" s="25" t="s">
        <v>6453</v>
      </c>
      <c r="O323" s="25" t="s">
        <v>166</v>
      </c>
      <c r="P323" s="25" t="s">
        <v>6454</v>
      </c>
      <c r="Q323" s="25" t="s">
        <v>166</v>
      </c>
      <c r="R323" s="25" t="s">
        <v>177</v>
      </c>
      <c r="S323" s="25" t="s">
        <v>178</v>
      </c>
      <c r="T323" s="25" t="s">
        <v>179</v>
      </c>
      <c r="U323" s="25" t="s">
        <v>6455</v>
      </c>
      <c r="V323" s="25" t="s">
        <v>6456</v>
      </c>
      <c r="W323" s="32" t="s">
        <v>166</v>
      </c>
      <c r="X323" s="25" t="s">
        <v>6457</v>
      </c>
      <c r="Y323" s="25" t="s">
        <v>6458</v>
      </c>
      <c r="Z323" s="25" t="s">
        <v>166</v>
      </c>
      <c r="AA323" s="25" t="s">
        <v>166</v>
      </c>
      <c r="AB323" s="25" t="s">
        <v>166</v>
      </c>
      <c r="AC323" s="25" t="s">
        <v>166</v>
      </c>
      <c r="AD323" s="25" t="s">
        <v>166</v>
      </c>
      <c r="AE323" s="25" t="s">
        <v>166</v>
      </c>
      <c r="AF323" s="25" t="s">
        <v>166</v>
      </c>
      <c r="AG323" s="25" t="s">
        <v>166</v>
      </c>
      <c r="AH323" s="32">
        <v>6</v>
      </c>
      <c r="AI323" s="4">
        <f>HYPERLINK("https://my.pitchbook.com/?d=180591-40T","180591-40T")</f>
      </c>
      <c r="AJ323" s="30" t="s">
        <v>166</v>
      </c>
      <c r="AK323" s="30">
        <v>44440</v>
      </c>
      <c r="AL323" s="29">
        <v>1.3</v>
      </c>
      <c r="AM323" s="25" t="s">
        <v>185</v>
      </c>
      <c r="AN323" s="29" t="s">
        <v>166</v>
      </c>
      <c r="AO323" s="29" t="s">
        <v>166</v>
      </c>
      <c r="AP323" s="25" t="s">
        <v>166</v>
      </c>
      <c r="AQ323" s="32" t="s">
        <v>166</v>
      </c>
      <c r="AR323" s="32" t="s">
        <v>166</v>
      </c>
      <c r="AS323" s="28" t="s">
        <v>166</v>
      </c>
      <c r="AT323" s="29">
        <v>1.47</v>
      </c>
      <c r="AU323" s="32" t="s">
        <v>186</v>
      </c>
      <c r="AV323" s="32" t="s">
        <v>166</v>
      </c>
      <c r="AW323" s="29" t="s">
        <v>166</v>
      </c>
      <c r="AX323" s="32" t="s">
        <v>166</v>
      </c>
      <c r="AY323" s="25" t="s">
        <v>217</v>
      </c>
      <c r="AZ323" s="25" t="s">
        <v>217</v>
      </c>
      <c r="BA323" s="25" t="s">
        <v>166</v>
      </c>
      <c r="BB323" s="32" t="s">
        <v>166</v>
      </c>
      <c r="BC323" s="25" t="s">
        <v>179</v>
      </c>
      <c r="BD323" s="25" t="s">
        <v>6459</v>
      </c>
      <c r="BE323" s="25" t="s">
        <v>189</v>
      </c>
      <c r="BF323" s="29">
        <v>1.3</v>
      </c>
      <c r="BG323" s="25" t="s">
        <v>190</v>
      </c>
      <c r="BH323" s="25" t="s">
        <v>166</v>
      </c>
      <c r="BI323" s="25" t="s">
        <v>166</v>
      </c>
      <c r="BJ323" s="29" t="s">
        <v>166</v>
      </c>
      <c r="BK323" s="29" t="s">
        <v>166</v>
      </c>
      <c r="BL323" s="25" t="s">
        <v>191</v>
      </c>
      <c r="BM323" s="25" t="s">
        <v>178</v>
      </c>
      <c r="BN323" s="25" t="s">
        <v>177</v>
      </c>
      <c r="BO323" s="33" t="s">
        <v>166</v>
      </c>
      <c r="BP323" s="25" t="s">
        <v>6460</v>
      </c>
      <c r="BQ323" s="32">
        <v>6</v>
      </c>
      <c r="BR323" s="25" t="s">
        <v>6461</v>
      </c>
      <c r="BS323" s="32">
        <v>2</v>
      </c>
      <c r="BT323" s="25" t="s">
        <v>6462</v>
      </c>
      <c r="BU323" s="25" t="s">
        <v>166</v>
      </c>
      <c r="BV323" s="25" t="s">
        <v>5860</v>
      </c>
      <c r="BW323" s="25" t="s">
        <v>166</v>
      </c>
      <c r="BX323" s="25" t="s">
        <v>166</v>
      </c>
      <c r="BY323" s="25" t="s">
        <v>166</v>
      </c>
      <c r="BZ323" s="25" t="s">
        <v>1327</v>
      </c>
      <c r="CA323" s="25" t="s">
        <v>1327</v>
      </c>
      <c r="CB323" s="25" t="s">
        <v>166</v>
      </c>
      <c r="CC323" s="25" t="s">
        <v>166</v>
      </c>
      <c r="CD323" s="25" t="s">
        <v>166</v>
      </c>
      <c r="CE323" s="29" t="s">
        <v>166</v>
      </c>
      <c r="CF323" s="27" t="s">
        <v>166</v>
      </c>
      <c r="CG323" s="28" t="s">
        <v>166</v>
      </c>
      <c r="CH323" s="27" t="s">
        <v>166</v>
      </c>
      <c r="CI323" s="27" t="s">
        <v>166</v>
      </c>
      <c r="CJ323" s="27" t="s">
        <v>166</v>
      </c>
      <c r="CK323" s="27" t="s">
        <v>166</v>
      </c>
      <c r="CL323" s="27" t="s">
        <v>166</v>
      </c>
      <c r="CM323" s="31" t="s">
        <v>166</v>
      </c>
      <c r="CN323" s="27" t="s">
        <v>166</v>
      </c>
      <c r="CO323" s="27" t="s">
        <v>166</v>
      </c>
      <c r="CP323" s="27" t="s">
        <v>166</v>
      </c>
      <c r="CQ323" s="27" t="s">
        <v>166</v>
      </c>
      <c r="CR323" s="27" t="s">
        <v>166</v>
      </c>
      <c r="CS323" s="27" t="s">
        <v>166</v>
      </c>
      <c r="CT323" s="27" t="s">
        <v>166</v>
      </c>
      <c r="CU323" s="27" t="s">
        <v>166</v>
      </c>
      <c r="CV323" s="27" t="s">
        <v>166</v>
      </c>
      <c r="CW323" s="27" t="s">
        <v>166</v>
      </c>
      <c r="CX323" s="27" t="s">
        <v>166</v>
      </c>
      <c r="CY323" s="27" t="s">
        <v>166</v>
      </c>
      <c r="CZ323" s="27" t="s">
        <v>166</v>
      </c>
      <c r="DA323" s="27" t="s">
        <v>166</v>
      </c>
      <c r="DB323" s="27" t="s">
        <v>166</v>
      </c>
      <c r="DC323" s="27" t="s">
        <v>166</v>
      </c>
      <c r="DD323" s="27" t="s">
        <v>166</v>
      </c>
      <c r="DE323" s="28" t="s">
        <v>166</v>
      </c>
      <c r="DF323" s="33">
        <v>5</v>
      </c>
      <c r="DG323" s="25" t="s">
        <v>2672</v>
      </c>
      <c r="DH323" s="25" t="s">
        <v>193</v>
      </c>
      <c r="DI323" s="25" t="s">
        <v>194</v>
      </c>
      <c r="DJ323" s="25" t="s">
        <v>2673</v>
      </c>
      <c r="DK323" s="25" t="s">
        <v>257</v>
      </c>
      <c r="DL323" s="32" t="s">
        <v>6463</v>
      </c>
      <c r="DM323" s="25" t="s">
        <v>198</v>
      </c>
      <c r="DN323" s="24" t="s">
        <v>6464</v>
      </c>
      <c r="DO323" s="31">
        <v>2016</v>
      </c>
      <c r="DP323" s="25" t="s">
        <v>166</v>
      </c>
      <c r="DQ323" s="25" t="s">
        <v>166</v>
      </c>
      <c r="DR323" s="29" t="s">
        <v>166</v>
      </c>
      <c r="DS323" s="27" t="s">
        <v>166</v>
      </c>
      <c r="DT323" s="30" t="s">
        <v>166</v>
      </c>
      <c r="DU323" s="25" t="s">
        <v>166</v>
      </c>
      <c r="DV323" s="29" t="s">
        <v>166</v>
      </c>
      <c r="DW323" s="29" t="s">
        <v>166</v>
      </c>
      <c r="DX323" s="27" t="s">
        <v>166</v>
      </c>
      <c r="DY323" s="27" t="s">
        <v>166</v>
      </c>
      <c r="DZ323" s="28" t="s">
        <v>166</v>
      </c>
      <c r="EA323" s="27" t="s">
        <v>166</v>
      </c>
      <c r="EB323" s="27" t="s">
        <v>166</v>
      </c>
      <c r="EC323" s="27" t="s">
        <v>166</v>
      </c>
      <c r="ED323" s="28" t="s">
        <v>166</v>
      </c>
      <c r="EE323" s="28" t="s">
        <v>166</v>
      </c>
      <c r="EF323" s="28" t="s">
        <v>166</v>
      </c>
      <c r="EG323" s="28" t="s">
        <v>166</v>
      </c>
      <c r="EH323" s="27" t="s">
        <v>166</v>
      </c>
      <c r="EI323" s="27" t="s">
        <v>166</v>
      </c>
      <c r="EJ323" s="27" t="s">
        <v>166</v>
      </c>
      <c r="EK323" s="27" t="s">
        <v>166</v>
      </c>
      <c r="EL323" s="27" t="s">
        <v>166</v>
      </c>
      <c r="EM323" s="27" t="s">
        <v>166</v>
      </c>
      <c r="EN323" s="27" t="s">
        <v>166</v>
      </c>
      <c r="EO323" s="27" t="s">
        <v>166</v>
      </c>
      <c r="EP323" s="27" t="s">
        <v>166</v>
      </c>
      <c r="EQ323" s="27" t="s">
        <v>166</v>
      </c>
      <c r="ER323" s="27" t="s">
        <v>166</v>
      </c>
      <c r="ES323" s="27" t="s">
        <v>166</v>
      </c>
      <c r="ET323" s="25" t="s">
        <v>166</v>
      </c>
      <c r="EU323" s="27" t="s">
        <v>166</v>
      </c>
      <c r="EV323" s="27" t="s">
        <v>166</v>
      </c>
      <c r="EW323" s="27" t="s">
        <v>166</v>
      </c>
      <c r="EX323" s="25" t="s">
        <v>190</v>
      </c>
      <c r="EY323" s="25" t="s">
        <v>166</v>
      </c>
      <c r="EZ323" s="27" t="s">
        <v>166</v>
      </c>
      <c r="FA323" s="26" t="s">
        <v>166</v>
      </c>
      <c r="FB323" s="26" t="s">
        <v>166</v>
      </c>
      <c r="FC323" s="26" t="s">
        <v>166</v>
      </c>
      <c r="FD323" s="26" t="s">
        <v>166</v>
      </c>
      <c r="FE323" s="26" t="s">
        <v>166</v>
      </c>
      <c r="FF323" s="26" t="s">
        <v>166</v>
      </c>
      <c r="FG323" s="25" t="s">
        <v>166</v>
      </c>
      <c r="FH323" s="4">
        <f>HYPERLINK("https://my.pitchbook.com?c=180591-40T","View Company Online")</f>
      </c>
    </row>
    <row r="324">
      <c r="A324" s="14" t="s">
        <v>6465</v>
      </c>
      <c r="B324" s="14" t="s">
        <v>6466</v>
      </c>
      <c r="C324" s="14" t="s">
        <v>6467</v>
      </c>
      <c r="D324" s="14" t="s">
        <v>166</v>
      </c>
      <c r="E324" s="23" t="s">
        <v>6468</v>
      </c>
      <c r="F324" s="21">
        <v>5</v>
      </c>
      <c r="G324" s="14" t="s">
        <v>6469</v>
      </c>
      <c r="H324" s="14" t="s">
        <v>166</v>
      </c>
      <c r="I324" s="14" t="s">
        <v>6470</v>
      </c>
      <c r="J324" s="14" t="s">
        <v>6471</v>
      </c>
      <c r="K324" s="14" t="s">
        <v>207</v>
      </c>
      <c r="L324" s="14" t="s">
        <v>208</v>
      </c>
      <c r="M324" s="14" t="s">
        <v>839</v>
      </c>
      <c r="N324" s="14" t="s">
        <v>6472</v>
      </c>
      <c r="O324" s="14" t="s">
        <v>6473</v>
      </c>
      <c r="P324" s="14" t="s">
        <v>6474</v>
      </c>
      <c r="Q324" s="14" t="s">
        <v>166</v>
      </c>
      <c r="R324" s="14" t="s">
        <v>177</v>
      </c>
      <c r="S324" s="14" t="s">
        <v>178</v>
      </c>
      <c r="T324" s="14" t="s">
        <v>179</v>
      </c>
      <c r="U324" s="14" t="s">
        <v>6475</v>
      </c>
      <c r="V324" s="14" t="s">
        <v>6476</v>
      </c>
      <c r="W324" s="21" t="s">
        <v>6477</v>
      </c>
      <c r="X324" s="14" t="s">
        <v>6478</v>
      </c>
      <c r="Y324" s="14" t="s">
        <v>6479</v>
      </c>
      <c r="Z324" s="14" t="s">
        <v>166</v>
      </c>
      <c r="AA324" s="14" t="s">
        <v>166</v>
      </c>
      <c r="AB324" s="14" t="s">
        <v>166</v>
      </c>
      <c r="AC324" s="14" t="s">
        <v>166</v>
      </c>
      <c r="AD324" s="14" t="s">
        <v>166</v>
      </c>
      <c r="AE324" s="14" t="s">
        <v>166</v>
      </c>
      <c r="AF324" s="14" t="s">
        <v>166</v>
      </c>
      <c r="AG324" s="14" t="s">
        <v>166</v>
      </c>
      <c r="AH324" s="21">
        <v>1</v>
      </c>
      <c r="AI324" s="3">
        <f>HYPERLINK("https://my.pitchbook.com/?d=209232-82T","209232-82T")</f>
      </c>
      <c r="AJ324" s="19" t="s">
        <v>166</v>
      </c>
      <c r="AK324" s="19">
        <v>44861</v>
      </c>
      <c r="AL324" s="18">
        <v>2.19</v>
      </c>
      <c r="AM324" s="14" t="s">
        <v>185</v>
      </c>
      <c r="AN324" s="18" t="s">
        <v>166</v>
      </c>
      <c r="AO324" s="18" t="s">
        <v>166</v>
      </c>
      <c r="AP324" s="14" t="s">
        <v>166</v>
      </c>
      <c r="AQ324" s="21" t="s">
        <v>166</v>
      </c>
      <c r="AR324" s="21" t="s">
        <v>166</v>
      </c>
      <c r="AS324" s="17" t="s">
        <v>166</v>
      </c>
      <c r="AT324" s="18">
        <v>2.19</v>
      </c>
      <c r="AU324" s="21" t="s">
        <v>186</v>
      </c>
      <c r="AV324" s="21" t="s">
        <v>166</v>
      </c>
      <c r="AW324" s="18" t="s">
        <v>166</v>
      </c>
      <c r="AX324" s="21" t="s">
        <v>166</v>
      </c>
      <c r="AY324" s="14" t="s">
        <v>217</v>
      </c>
      <c r="AZ324" s="14" t="s">
        <v>217</v>
      </c>
      <c r="BA324" s="14" t="s">
        <v>166</v>
      </c>
      <c r="BB324" s="21" t="s">
        <v>166</v>
      </c>
      <c r="BC324" s="14" t="s">
        <v>179</v>
      </c>
      <c r="BD324" s="14" t="s">
        <v>6471</v>
      </c>
      <c r="BE324" s="14" t="s">
        <v>189</v>
      </c>
      <c r="BF324" s="18">
        <v>2.19</v>
      </c>
      <c r="BG324" s="14" t="s">
        <v>190</v>
      </c>
      <c r="BH324" s="14" t="s">
        <v>166</v>
      </c>
      <c r="BI324" s="14" t="s">
        <v>166</v>
      </c>
      <c r="BJ324" s="18" t="s">
        <v>166</v>
      </c>
      <c r="BK324" s="18" t="s">
        <v>166</v>
      </c>
      <c r="BL324" s="14" t="s">
        <v>191</v>
      </c>
      <c r="BM324" s="14" t="s">
        <v>178</v>
      </c>
      <c r="BN324" s="14" t="s">
        <v>177</v>
      </c>
      <c r="BO324" s="22" t="s">
        <v>166</v>
      </c>
      <c r="BP324" s="14" t="s">
        <v>6480</v>
      </c>
      <c r="BQ324" s="21">
        <v>5</v>
      </c>
      <c r="BR324" s="14" t="s">
        <v>166</v>
      </c>
      <c r="BS324" s="21" t="s">
        <v>166</v>
      </c>
      <c r="BT324" s="14" t="s">
        <v>6481</v>
      </c>
      <c r="BU324" s="14" t="s">
        <v>166</v>
      </c>
      <c r="BV324" s="14" t="s">
        <v>166</v>
      </c>
      <c r="BW324" s="14" t="s">
        <v>166</v>
      </c>
      <c r="BX324" s="14" t="s">
        <v>166</v>
      </c>
      <c r="BY324" s="14" t="s">
        <v>166</v>
      </c>
      <c r="BZ324" s="14" t="s">
        <v>6482</v>
      </c>
      <c r="CA324" s="14" t="s">
        <v>166</v>
      </c>
      <c r="CB324" s="14" t="s">
        <v>166</v>
      </c>
      <c r="CC324" s="14" t="s">
        <v>6482</v>
      </c>
      <c r="CD324" s="14" t="s">
        <v>166</v>
      </c>
      <c r="CE324" s="18" t="s">
        <v>166</v>
      </c>
      <c r="CF324" s="16" t="s">
        <v>166</v>
      </c>
      <c r="CG324" s="17" t="s">
        <v>166</v>
      </c>
      <c r="CH324" s="16" t="s">
        <v>166</v>
      </c>
      <c r="CI324" s="16" t="s">
        <v>166</v>
      </c>
      <c r="CJ324" s="16" t="s">
        <v>166</v>
      </c>
      <c r="CK324" s="16" t="s">
        <v>166</v>
      </c>
      <c r="CL324" s="16" t="s">
        <v>166</v>
      </c>
      <c r="CM324" s="20" t="s">
        <v>166</v>
      </c>
      <c r="CN324" s="16" t="s">
        <v>166</v>
      </c>
      <c r="CO324" s="16" t="s">
        <v>166</v>
      </c>
      <c r="CP324" s="16" t="s">
        <v>166</v>
      </c>
      <c r="CQ324" s="16" t="s">
        <v>166</v>
      </c>
      <c r="CR324" s="16" t="s">
        <v>166</v>
      </c>
      <c r="CS324" s="16" t="s">
        <v>166</v>
      </c>
      <c r="CT324" s="16" t="s">
        <v>166</v>
      </c>
      <c r="CU324" s="16" t="s">
        <v>166</v>
      </c>
      <c r="CV324" s="16" t="s">
        <v>166</v>
      </c>
      <c r="CW324" s="16" t="s">
        <v>166</v>
      </c>
      <c r="CX324" s="16" t="s">
        <v>166</v>
      </c>
      <c r="CY324" s="16" t="s">
        <v>166</v>
      </c>
      <c r="CZ324" s="16" t="s">
        <v>166</v>
      </c>
      <c r="DA324" s="16" t="s">
        <v>166</v>
      </c>
      <c r="DB324" s="16" t="s">
        <v>166</v>
      </c>
      <c r="DC324" s="16" t="s">
        <v>166</v>
      </c>
      <c r="DD324" s="16" t="s">
        <v>166</v>
      </c>
      <c r="DE324" s="17" t="s">
        <v>166</v>
      </c>
      <c r="DF324" s="22">
        <v>3</v>
      </c>
      <c r="DG324" s="14" t="s">
        <v>3157</v>
      </c>
      <c r="DH324" s="14" t="s">
        <v>193</v>
      </c>
      <c r="DI324" s="14" t="s">
        <v>194</v>
      </c>
      <c r="DJ324" s="14" t="s">
        <v>3158</v>
      </c>
      <c r="DK324" s="14" t="s">
        <v>257</v>
      </c>
      <c r="DL324" s="21" t="s">
        <v>6483</v>
      </c>
      <c r="DM324" s="14" t="s">
        <v>198</v>
      </c>
      <c r="DN324" s="13" t="s">
        <v>6484</v>
      </c>
      <c r="DO324" s="20">
        <v>2022</v>
      </c>
      <c r="DP324" s="14" t="s">
        <v>166</v>
      </c>
      <c r="DQ324" s="14" t="s">
        <v>166</v>
      </c>
      <c r="DR324" s="18" t="s">
        <v>166</v>
      </c>
      <c r="DS324" s="16" t="s">
        <v>166</v>
      </c>
      <c r="DT324" s="19" t="s">
        <v>166</v>
      </c>
      <c r="DU324" s="14" t="s">
        <v>166</v>
      </c>
      <c r="DV324" s="18" t="s">
        <v>166</v>
      </c>
      <c r="DW324" s="18" t="s">
        <v>166</v>
      </c>
      <c r="DX324" s="16" t="s">
        <v>166</v>
      </c>
      <c r="DY324" s="16" t="s">
        <v>166</v>
      </c>
      <c r="DZ324" s="17" t="s">
        <v>166</v>
      </c>
      <c r="EA324" s="16" t="s">
        <v>166</v>
      </c>
      <c r="EB324" s="16" t="s">
        <v>166</v>
      </c>
      <c r="EC324" s="16" t="s">
        <v>166</v>
      </c>
      <c r="ED324" s="17" t="s">
        <v>166</v>
      </c>
      <c r="EE324" s="17" t="s">
        <v>166</v>
      </c>
      <c r="EF324" s="17" t="s">
        <v>166</v>
      </c>
      <c r="EG324" s="17" t="s">
        <v>166</v>
      </c>
      <c r="EH324" s="16" t="s">
        <v>166</v>
      </c>
      <c r="EI324" s="16" t="s">
        <v>166</v>
      </c>
      <c r="EJ324" s="16" t="s">
        <v>166</v>
      </c>
      <c r="EK324" s="16" t="s">
        <v>166</v>
      </c>
      <c r="EL324" s="16" t="s">
        <v>166</v>
      </c>
      <c r="EM324" s="16" t="s">
        <v>166</v>
      </c>
      <c r="EN324" s="16" t="s">
        <v>166</v>
      </c>
      <c r="EO324" s="16" t="s">
        <v>166</v>
      </c>
      <c r="EP324" s="16" t="s">
        <v>166</v>
      </c>
      <c r="EQ324" s="16" t="s">
        <v>166</v>
      </c>
      <c r="ER324" s="16" t="s">
        <v>166</v>
      </c>
      <c r="ES324" s="16" t="s">
        <v>166</v>
      </c>
      <c r="ET324" s="14" t="s">
        <v>166</v>
      </c>
      <c r="EU324" s="16" t="s">
        <v>166</v>
      </c>
      <c r="EV324" s="16" t="s">
        <v>166</v>
      </c>
      <c r="EW324" s="16" t="s">
        <v>166</v>
      </c>
      <c r="EX324" s="14" t="s">
        <v>190</v>
      </c>
      <c r="EY324" s="14" t="s">
        <v>166</v>
      </c>
      <c r="EZ324" s="16" t="s">
        <v>166</v>
      </c>
      <c r="FA324" s="15" t="s">
        <v>166</v>
      </c>
      <c r="FB324" s="15" t="s">
        <v>166</v>
      </c>
      <c r="FC324" s="15" t="s">
        <v>166</v>
      </c>
      <c r="FD324" s="15" t="s">
        <v>166</v>
      </c>
      <c r="FE324" s="15" t="s">
        <v>166</v>
      </c>
      <c r="FF324" s="15" t="s">
        <v>166</v>
      </c>
      <c r="FG324" s="14" t="s">
        <v>166</v>
      </c>
      <c r="FH324" s="3">
        <f>HYPERLINK("https://my.pitchbook.com?c=209232-82T","View Company Online")</f>
      </c>
    </row>
    <row r="325">
      <c r="A325" s="25" t="s">
        <v>6485</v>
      </c>
      <c r="B325" s="25" t="s">
        <v>6486</v>
      </c>
      <c r="C325" s="25" t="s">
        <v>6487</v>
      </c>
      <c r="D325" s="25" t="s">
        <v>166</v>
      </c>
      <c r="E325" s="34" t="s">
        <v>6488</v>
      </c>
      <c r="F325" s="32">
        <v>4</v>
      </c>
      <c r="G325" s="25" t="s">
        <v>6489</v>
      </c>
      <c r="H325" s="25" t="s">
        <v>166</v>
      </c>
      <c r="I325" s="25" t="s">
        <v>6490</v>
      </c>
      <c r="J325" s="25" t="s">
        <v>6491</v>
      </c>
      <c r="K325" s="25" t="s">
        <v>171</v>
      </c>
      <c r="L325" s="25" t="s">
        <v>172</v>
      </c>
      <c r="M325" s="25" t="s">
        <v>173</v>
      </c>
      <c r="N325" s="25" t="s">
        <v>1088</v>
      </c>
      <c r="O325" s="25" t="s">
        <v>166</v>
      </c>
      <c r="P325" s="25" t="s">
        <v>6492</v>
      </c>
      <c r="Q325" s="25" t="s">
        <v>166</v>
      </c>
      <c r="R325" s="25" t="s">
        <v>177</v>
      </c>
      <c r="S325" s="25" t="s">
        <v>178</v>
      </c>
      <c r="T325" s="25" t="s">
        <v>179</v>
      </c>
      <c r="U325" s="25" t="s">
        <v>6493</v>
      </c>
      <c r="V325" s="25" t="s">
        <v>6494</v>
      </c>
      <c r="W325" s="32" t="s">
        <v>6495</v>
      </c>
      <c r="X325" s="25" t="s">
        <v>6496</v>
      </c>
      <c r="Y325" s="25" t="s">
        <v>6497</v>
      </c>
      <c r="Z325" s="25" t="s">
        <v>166</v>
      </c>
      <c r="AA325" s="25" t="s">
        <v>242</v>
      </c>
      <c r="AB325" s="25" t="s">
        <v>243</v>
      </c>
      <c r="AC325" s="25" t="s">
        <v>244</v>
      </c>
      <c r="AD325" s="25" t="s">
        <v>243</v>
      </c>
      <c r="AE325" s="25" t="s">
        <v>243</v>
      </c>
      <c r="AF325" s="25" t="s">
        <v>166</v>
      </c>
      <c r="AG325" s="25" t="s">
        <v>246</v>
      </c>
      <c r="AH325" s="32">
        <v>3</v>
      </c>
      <c r="AI325" s="4">
        <f>HYPERLINK("https://my.pitchbook.com/?d=224148-43T","224148-43T")</f>
      </c>
      <c r="AJ325" s="30">
        <v>45050</v>
      </c>
      <c r="AK325" s="30">
        <v>45064</v>
      </c>
      <c r="AL325" s="29">
        <v>3.23</v>
      </c>
      <c r="AM325" s="25" t="s">
        <v>185</v>
      </c>
      <c r="AN325" s="29">
        <v>4</v>
      </c>
      <c r="AO325" s="29">
        <v>7.23</v>
      </c>
      <c r="AP325" s="25" t="s">
        <v>185</v>
      </c>
      <c r="AQ325" s="32" t="s">
        <v>166</v>
      </c>
      <c r="AR325" s="32" t="s">
        <v>166</v>
      </c>
      <c r="AS325" s="28">
        <v>50.33</v>
      </c>
      <c r="AT325" s="29">
        <v>3.23</v>
      </c>
      <c r="AU325" s="32" t="s">
        <v>186</v>
      </c>
      <c r="AV325" s="32" t="s">
        <v>166</v>
      </c>
      <c r="AW325" s="29">
        <v>0.71</v>
      </c>
      <c r="AX325" s="32" t="s">
        <v>166</v>
      </c>
      <c r="AY325" s="25" t="s">
        <v>217</v>
      </c>
      <c r="AZ325" s="25" t="s">
        <v>217</v>
      </c>
      <c r="BA325" s="25" t="s">
        <v>166</v>
      </c>
      <c r="BB325" s="32" t="s">
        <v>166</v>
      </c>
      <c r="BC325" s="25" t="s">
        <v>179</v>
      </c>
      <c r="BD325" s="25" t="s">
        <v>6498</v>
      </c>
      <c r="BE325" s="25" t="s">
        <v>189</v>
      </c>
      <c r="BF325" s="29">
        <v>3.23</v>
      </c>
      <c r="BG325" s="25" t="s">
        <v>190</v>
      </c>
      <c r="BH325" s="25" t="s">
        <v>166</v>
      </c>
      <c r="BI325" s="25" t="s">
        <v>166</v>
      </c>
      <c r="BJ325" s="29" t="s">
        <v>166</v>
      </c>
      <c r="BK325" s="29" t="s">
        <v>166</v>
      </c>
      <c r="BL325" s="25" t="s">
        <v>191</v>
      </c>
      <c r="BM325" s="25" t="s">
        <v>178</v>
      </c>
      <c r="BN325" s="25" t="s">
        <v>177</v>
      </c>
      <c r="BO325" s="33" t="s">
        <v>166</v>
      </c>
      <c r="BP325" s="25" t="s">
        <v>6499</v>
      </c>
      <c r="BQ325" s="32">
        <v>4</v>
      </c>
      <c r="BR325" s="25" t="s">
        <v>166</v>
      </c>
      <c r="BS325" s="32" t="s">
        <v>166</v>
      </c>
      <c r="BT325" s="25" t="s">
        <v>166</v>
      </c>
      <c r="BU325" s="25" t="s">
        <v>166</v>
      </c>
      <c r="BV325" s="25" t="s">
        <v>6500</v>
      </c>
      <c r="BW325" s="25" t="s">
        <v>166</v>
      </c>
      <c r="BX325" s="25" t="s">
        <v>166</v>
      </c>
      <c r="BY325" s="25" t="s">
        <v>166</v>
      </c>
      <c r="BZ325" s="25" t="s">
        <v>166</v>
      </c>
      <c r="CA325" s="25" t="s">
        <v>166</v>
      </c>
      <c r="CB325" s="25" t="s">
        <v>166</v>
      </c>
      <c r="CC325" s="25" t="s">
        <v>166</v>
      </c>
      <c r="CD325" s="25" t="s">
        <v>166</v>
      </c>
      <c r="CE325" s="29" t="s">
        <v>166</v>
      </c>
      <c r="CF325" s="27">
        <v>0.2</v>
      </c>
      <c r="CG325" s="28" t="s">
        <v>166</v>
      </c>
      <c r="CH325" s="27" t="s">
        <v>166</v>
      </c>
      <c r="CI325" s="27" t="s">
        <v>166</v>
      </c>
      <c r="CJ325" s="27" t="s">
        <v>166</v>
      </c>
      <c r="CK325" s="27" t="s">
        <v>166</v>
      </c>
      <c r="CL325" s="27" t="s">
        <v>166</v>
      </c>
      <c r="CM325" s="31">
        <v>2022</v>
      </c>
      <c r="CN325" s="27" t="s">
        <v>166</v>
      </c>
      <c r="CO325" s="27" t="s">
        <v>166</v>
      </c>
      <c r="CP325" s="27" t="s">
        <v>166</v>
      </c>
      <c r="CQ325" s="27">
        <v>36.15</v>
      </c>
      <c r="CR325" s="27" t="s">
        <v>166</v>
      </c>
      <c r="CS325" s="27" t="s">
        <v>166</v>
      </c>
      <c r="CT325" s="27" t="s">
        <v>166</v>
      </c>
      <c r="CU325" s="27" t="s">
        <v>166</v>
      </c>
      <c r="CV325" s="27">
        <v>16.15</v>
      </c>
      <c r="CW325" s="27" t="s">
        <v>166</v>
      </c>
      <c r="CX325" s="27" t="s">
        <v>166</v>
      </c>
      <c r="CY325" s="27" t="s">
        <v>166</v>
      </c>
      <c r="CZ325" s="27" t="s">
        <v>166</v>
      </c>
      <c r="DA325" s="27" t="s">
        <v>166</v>
      </c>
      <c r="DB325" s="27" t="s">
        <v>166</v>
      </c>
      <c r="DC325" s="27" t="s">
        <v>166</v>
      </c>
      <c r="DD325" s="27" t="s">
        <v>166</v>
      </c>
      <c r="DE325" s="28" t="s">
        <v>166</v>
      </c>
      <c r="DF325" s="33">
        <v>5</v>
      </c>
      <c r="DG325" s="25" t="s">
        <v>309</v>
      </c>
      <c r="DH325" s="25" t="s">
        <v>193</v>
      </c>
      <c r="DI325" s="25" t="s">
        <v>194</v>
      </c>
      <c r="DJ325" s="25" t="s">
        <v>310</v>
      </c>
      <c r="DK325" s="25" t="s">
        <v>310</v>
      </c>
      <c r="DL325" s="32" t="s">
        <v>1910</v>
      </c>
      <c r="DM325" s="25" t="s">
        <v>198</v>
      </c>
      <c r="DN325" s="24" t="s">
        <v>6501</v>
      </c>
      <c r="DO325" s="31">
        <v>2020</v>
      </c>
      <c r="DP325" s="25" t="s">
        <v>166</v>
      </c>
      <c r="DQ325" s="25" t="s">
        <v>166</v>
      </c>
      <c r="DR325" s="29" t="s">
        <v>166</v>
      </c>
      <c r="DS325" s="27" t="s">
        <v>166</v>
      </c>
      <c r="DT325" s="30" t="s">
        <v>166</v>
      </c>
      <c r="DU325" s="25" t="s">
        <v>166</v>
      </c>
      <c r="DV325" s="29" t="s">
        <v>166</v>
      </c>
      <c r="DW325" s="29" t="s">
        <v>166</v>
      </c>
      <c r="DX325" s="27" t="s">
        <v>166</v>
      </c>
      <c r="DY325" s="27" t="s">
        <v>166</v>
      </c>
      <c r="DZ325" s="28" t="s">
        <v>166</v>
      </c>
      <c r="EA325" s="27" t="s">
        <v>166</v>
      </c>
      <c r="EB325" s="27" t="s">
        <v>166</v>
      </c>
      <c r="EC325" s="27" t="s">
        <v>166</v>
      </c>
      <c r="ED325" s="28" t="s">
        <v>166</v>
      </c>
      <c r="EE325" s="28" t="s">
        <v>166</v>
      </c>
      <c r="EF325" s="28" t="s">
        <v>166</v>
      </c>
      <c r="EG325" s="28" t="s">
        <v>166</v>
      </c>
      <c r="EH325" s="27" t="s">
        <v>166</v>
      </c>
      <c r="EI325" s="27" t="s">
        <v>166</v>
      </c>
      <c r="EJ325" s="27" t="s">
        <v>166</v>
      </c>
      <c r="EK325" s="27" t="s">
        <v>166</v>
      </c>
      <c r="EL325" s="27" t="s">
        <v>166</v>
      </c>
      <c r="EM325" s="27" t="s">
        <v>166</v>
      </c>
      <c r="EN325" s="27" t="s">
        <v>166</v>
      </c>
      <c r="EO325" s="27" t="s">
        <v>166</v>
      </c>
      <c r="EP325" s="27" t="s">
        <v>166</v>
      </c>
      <c r="EQ325" s="27" t="s">
        <v>166</v>
      </c>
      <c r="ER325" s="27" t="s">
        <v>166</v>
      </c>
      <c r="ES325" s="27" t="s">
        <v>166</v>
      </c>
      <c r="ET325" s="25" t="s">
        <v>166</v>
      </c>
      <c r="EU325" s="27" t="s">
        <v>166</v>
      </c>
      <c r="EV325" s="27" t="s">
        <v>166</v>
      </c>
      <c r="EW325" s="27" t="s">
        <v>166</v>
      </c>
      <c r="EX325" s="25" t="s">
        <v>190</v>
      </c>
      <c r="EY325" s="25" t="s">
        <v>166</v>
      </c>
      <c r="EZ325" s="27" t="s">
        <v>166</v>
      </c>
      <c r="FA325" s="26" t="s">
        <v>166</v>
      </c>
      <c r="FB325" s="26" t="s">
        <v>166</v>
      </c>
      <c r="FC325" s="26" t="s">
        <v>166</v>
      </c>
      <c r="FD325" s="26" t="s">
        <v>166</v>
      </c>
      <c r="FE325" s="26" t="s">
        <v>166</v>
      </c>
      <c r="FF325" s="26" t="s">
        <v>166</v>
      </c>
      <c r="FG325" s="25" t="s">
        <v>166</v>
      </c>
      <c r="FH325" s="4">
        <f>HYPERLINK("https://my.pitchbook.com?c=224148-43T","View Company Online")</f>
      </c>
    </row>
    <row r="326">
      <c r="A326" s="14" t="s">
        <v>6502</v>
      </c>
      <c r="B326" s="14" t="s">
        <v>6503</v>
      </c>
      <c r="C326" s="14" t="s">
        <v>6504</v>
      </c>
      <c r="D326" s="14" t="s">
        <v>166</v>
      </c>
      <c r="E326" s="23" t="s">
        <v>6505</v>
      </c>
      <c r="F326" s="21">
        <v>5</v>
      </c>
      <c r="G326" s="14" t="s">
        <v>6506</v>
      </c>
      <c r="H326" s="14" t="s">
        <v>166</v>
      </c>
      <c r="I326" s="14" t="s">
        <v>6507</v>
      </c>
      <c r="J326" s="14" t="s">
        <v>6508</v>
      </c>
      <c r="K326" s="14" t="s">
        <v>207</v>
      </c>
      <c r="L326" s="14" t="s">
        <v>208</v>
      </c>
      <c r="M326" s="14" t="s">
        <v>296</v>
      </c>
      <c r="N326" s="14" t="s">
        <v>2450</v>
      </c>
      <c r="O326" s="14" t="s">
        <v>6509</v>
      </c>
      <c r="P326" s="14" t="s">
        <v>6510</v>
      </c>
      <c r="Q326" s="14" t="s">
        <v>166</v>
      </c>
      <c r="R326" s="14" t="s">
        <v>177</v>
      </c>
      <c r="S326" s="14" t="s">
        <v>178</v>
      </c>
      <c r="T326" s="14" t="s">
        <v>179</v>
      </c>
      <c r="U326" s="14" t="s">
        <v>6511</v>
      </c>
      <c r="V326" s="14" t="s">
        <v>6512</v>
      </c>
      <c r="W326" s="21" t="s">
        <v>166</v>
      </c>
      <c r="X326" s="14" t="s">
        <v>6513</v>
      </c>
      <c r="Y326" s="14" t="s">
        <v>6514</v>
      </c>
      <c r="Z326" s="14" t="s">
        <v>166</v>
      </c>
      <c r="AA326" s="14" t="s">
        <v>242</v>
      </c>
      <c r="AB326" s="14" t="s">
        <v>243</v>
      </c>
      <c r="AC326" s="14" t="s">
        <v>244</v>
      </c>
      <c r="AD326" s="14" t="s">
        <v>243</v>
      </c>
      <c r="AE326" s="14" t="s">
        <v>243</v>
      </c>
      <c r="AF326" s="14" t="s">
        <v>166</v>
      </c>
      <c r="AG326" s="14" t="s">
        <v>246</v>
      </c>
      <c r="AH326" s="21">
        <v>4</v>
      </c>
      <c r="AI326" s="3">
        <f>HYPERLINK("https://my.pitchbook.com/?d=128771-83T","128771-83T")</f>
      </c>
      <c r="AJ326" s="19">
        <v>44117</v>
      </c>
      <c r="AK326" s="19">
        <v>44225</v>
      </c>
      <c r="AL326" s="18">
        <v>3.5</v>
      </c>
      <c r="AM326" s="14" t="s">
        <v>185</v>
      </c>
      <c r="AN326" s="18">
        <v>6</v>
      </c>
      <c r="AO326" s="18">
        <v>9.5</v>
      </c>
      <c r="AP326" s="14" t="s">
        <v>185</v>
      </c>
      <c r="AQ326" s="21" t="s">
        <v>166</v>
      </c>
      <c r="AR326" s="21" t="s">
        <v>166</v>
      </c>
      <c r="AS326" s="17">
        <v>48.62</v>
      </c>
      <c r="AT326" s="18">
        <v>3.63</v>
      </c>
      <c r="AU326" s="21" t="s">
        <v>186</v>
      </c>
      <c r="AV326" s="21" t="s">
        <v>166</v>
      </c>
      <c r="AW326" s="18">
        <v>0.9</v>
      </c>
      <c r="AX326" s="21" t="s">
        <v>166</v>
      </c>
      <c r="AY326" s="14" t="s">
        <v>217</v>
      </c>
      <c r="AZ326" s="14" t="s">
        <v>217</v>
      </c>
      <c r="BA326" s="14" t="s">
        <v>166</v>
      </c>
      <c r="BB326" s="21" t="s">
        <v>166</v>
      </c>
      <c r="BC326" s="14" t="s">
        <v>179</v>
      </c>
      <c r="BD326" s="14" t="s">
        <v>6515</v>
      </c>
      <c r="BE326" s="14" t="s">
        <v>189</v>
      </c>
      <c r="BF326" s="18">
        <v>3.5</v>
      </c>
      <c r="BG326" s="14" t="s">
        <v>190</v>
      </c>
      <c r="BH326" s="14" t="s">
        <v>166</v>
      </c>
      <c r="BI326" s="14" t="s">
        <v>166</v>
      </c>
      <c r="BJ326" s="18" t="s">
        <v>166</v>
      </c>
      <c r="BK326" s="18" t="s">
        <v>166</v>
      </c>
      <c r="BL326" s="14" t="s">
        <v>191</v>
      </c>
      <c r="BM326" s="14" t="s">
        <v>178</v>
      </c>
      <c r="BN326" s="14" t="s">
        <v>177</v>
      </c>
      <c r="BO326" s="22">
        <v>10</v>
      </c>
      <c r="BP326" s="14" t="s">
        <v>6516</v>
      </c>
      <c r="BQ326" s="21">
        <v>5</v>
      </c>
      <c r="BR326" s="14" t="s">
        <v>166</v>
      </c>
      <c r="BS326" s="21" t="s">
        <v>166</v>
      </c>
      <c r="BT326" s="14" t="s">
        <v>6517</v>
      </c>
      <c r="BU326" s="14" t="s">
        <v>166</v>
      </c>
      <c r="BV326" s="14" t="s">
        <v>6518</v>
      </c>
      <c r="BW326" s="14" t="s">
        <v>166</v>
      </c>
      <c r="BX326" s="14" t="s">
        <v>166</v>
      </c>
      <c r="BY326" s="14" t="s">
        <v>166</v>
      </c>
      <c r="BZ326" s="14" t="s">
        <v>166</v>
      </c>
      <c r="CA326" s="14" t="s">
        <v>166</v>
      </c>
      <c r="CB326" s="14" t="s">
        <v>166</v>
      </c>
      <c r="CC326" s="14" t="s">
        <v>166</v>
      </c>
      <c r="CD326" s="14" t="s">
        <v>166</v>
      </c>
      <c r="CE326" s="18" t="s">
        <v>166</v>
      </c>
      <c r="CF326" s="16" t="s">
        <v>166</v>
      </c>
      <c r="CG326" s="17" t="s">
        <v>166</v>
      </c>
      <c r="CH326" s="16" t="s">
        <v>166</v>
      </c>
      <c r="CI326" s="16" t="s">
        <v>166</v>
      </c>
      <c r="CJ326" s="16" t="s">
        <v>166</v>
      </c>
      <c r="CK326" s="16" t="s">
        <v>166</v>
      </c>
      <c r="CL326" s="16" t="s">
        <v>166</v>
      </c>
      <c r="CM326" s="20" t="s">
        <v>166</v>
      </c>
      <c r="CN326" s="16" t="s">
        <v>166</v>
      </c>
      <c r="CO326" s="16" t="s">
        <v>166</v>
      </c>
      <c r="CP326" s="16" t="s">
        <v>166</v>
      </c>
      <c r="CQ326" s="16" t="s">
        <v>166</v>
      </c>
      <c r="CR326" s="16" t="s">
        <v>166</v>
      </c>
      <c r="CS326" s="16" t="s">
        <v>166</v>
      </c>
      <c r="CT326" s="16" t="s">
        <v>166</v>
      </c>
      <c r="CU326" s="16" t="s">
        <v>166</v>
      </c>
      <c r="CV326" s="16" t="s">
        <v>166</v>
      </c>
      <c r="CW326" s="16" t="s">
        <v>166</v>
      </c>
      <c r="CX326" s="16" t="s">
        <v>166</v>
      </c>
      <c r="CY326" s="16" t="s">
        <v>166</v>
      </c>
      <c r="CZ326" s="16" t="s">
        <v>166</v>
      </c>
      <c r="DA326" s="16" t="s">
        <v>166</v>
      </c>
      <c r="DB326" s="16" t="s">
        <v>166</v>
      </c>
      <c r="DC326" s="16" t="s">
        <v>166</v>
      </c>
      <c r="DD326" s="16" t="s">
        <v>166</v>
      </c>
      <c r="DE326" s="17" t="s">
        <v>166</v>
      </c>
      <c r="DF326" s="22">
        <v>14</v>
      </c>
      <c r="DG326" s="14" t="s">
        <v>6519</v>
      </c>
      <c r="DH326" s="14" t="s">
        <v>193</v>
      </c>
      <c r="DI326" s="14" t="s">
        <v>194</v>
      </c>
      <c r="DJ326" s="14" t="s">
        <v>6520</v>
      </c>
      <c r="DK326" s="14" t="s">
        <v>257</v>
      </c>
      <c r="DL326" s="21" t="s">
        <v>6521</v>
      </c>
      <c r="DM326" s="14" t="s">
        <v>198</v>
      </c>
      <c r="DN326" s="13" t="s">
        <v>6522</v>
      </c>
      <c r="DO326" s="20">
        <v>2019</v>
      </c>
      <c r="DP326" s="14" t="s">
        <v>166</v>
      </c>
      <c r="DQ326" s="14" t="s">
        <v>166</v>
      </c>
      <c r="DR326" s="18" t="s">
        <v>166</v>
      </c>
      <c r="DS326" s="16" t="s">
        <v>166</v>
      </c>
      <c r="DT326" s="19" t="s">
        <v>166</v>
      </c>
      <c r="DU326" s="14" t="s">
        <v>166</v>
      </c>
      <c r="DV326" s="18" t="s">
        <v>166</v>
      </c>
      <c r="DW326" s="18" t="s">
        <v>166</v>
      </c>
      <c r="DX326" s="16" t="s">
        <v>166</v>
      </c>
      <c r="DY326" s="16" t="s">
        <v>166</v>
      </c>
      <c r="DZ326" s="17" t="s">
        <v>166</v>
      </c>
      <c r="EA326" s="16" t="s">
        <v>166</v>
      </c>
      <c r="EB326" s="16" t="s">
        <v>166</v>
      </c>
      <c r="EC326" s="16" t="s">
        <v>166</v>
      </c>
      <c r="ED326" s="17" t="s">
        <v>166</v>
      </c>
      <c r="EE326" s="17" t="s">
        <v>166</v>
      </c>
      <c r="EF326" s="17" t="s">
        <v>166</v>
      </c>
      <c r="EG326" s="17" t="s">
        <v>166</v>
      </c>
      <c r="EH326" s="16" t="s">
        <v>166</v>
      </c>
      <c r="EI326" s="16" t="s">
        <v>166</v>
      </c>
      <c r="EJ326" s="16" t="s">
        <v>166</v>
      </c>
      <c r="EK326" s="16" t="s">
        <v>166</v>
      </c>
      <c r="EL326" s="16" t="s">
        <v>166</v>
      </c>
      <c r="EM326" s="16" t="s">
        <v>166</v>
      </c>
      <c r="EN326" s="16" t="s">
        <v>166</v>
      </c>
      <c r="EO326" s="16" t="s">
        <v>166</v>
      </c>
      <c r="EP326" s="16" t="s">
        <v>166</v>
      </c>
      <c r="EQ326" s="16" t="s">
        <v>166</v>
      </c>
      <c r="ER326" s="16" t="s">
        <v>166</v>
      </c>
      <c r="ES326" s="16" t="s">
        <v>166</v>
      </c>
      <c r="ET326" s="14" t="s">
        <v>166</v>
      </c>
      <c r="EU326" s="16" t="s">
        <v>166</v>
      </c>
      <c r="EV326" s="16" t="s">
        <v>166</v>
      </c>
      <c r="EW326" s="16" t="s">
        <v>166</v>
      </c>
      <c r="EX326" s="14" t="s">
        <v>190</v>
      </c>
      <c r="EY326" s="14" t="s">
        <v>166</v>
      </c>
      <c r="EZ326" s="16" t="s">
        <v>166</v>
      </c>
      <c r="FA326" s="15" t="s">
        <v>166</v>
      </c>
      <c r="FB326" s="15" t="s">
        <v>166</v>
      </c>
      <c r="FC326" s="15" t="s">
        <v>166</v>
      </c>
      <c r="FD326" s="15" t="s">
        <v>166</v>
      </c>
      <c r="FE326" s="15" t="s">
        <v>166</v>
      </c>
      <c r="FF326" s="15" t="s">
        <v>166</v>
      </c>
      <c r="FG326" s="14" t="s">
        <v>166</v>
      </c>
      <c r="FH326" s="3">
        <f>HYPERLINK("https://my.pitchbook.com?c=128771-83T","View Company Online")</f>
      </c>
    </row>
    <row r="327">
      <c r="A327" s="25" t="s">
        <v>6523</v>
      </c>
      <c r="B327" s="25" t="s">
        <v>6524</v>
      </c>
      <c r="C327" s="25" t="s">
        <v>6525</v>
      </c>
      <c r="D327" s="25" t="s">
        <v>166</v>
      </c>
      <c r="E327" s="34" t="s">
        <v>6526</v>
      </c>
      <c r="F327" s="32">
        <v>3</v>
      </c>
      <c r="G327" s="25" t="s">
        <v>6527</v>
      </c>
      <c r="H327" s="25" t="s">
        <v>166</v>
      </c>
      <c r="I327" s="25" t="s">
        <v>6528</v>
      </c>
      <c r="J327" s="25" t="s">
        <v>6529</v>
      </c>
      <c r="K327" s="25" t="s">
        <v>207</v>
      </c>
      <c r="L327" s="25" t="s">
        <v>208</v>
      </c>
      <c r="M327" s="25" t="s">
        <v>1766</v>
      </c>
      <c r="N327" s="25" t="s">
        <v>2393</v>
      </c>
      <c r="O327" s="25" t="s">
        <v>2394</v>
      </c>
      <c r="P327" s="25" t="s">
        <v>6530</v>
      </c>
      <c r="Q327" s="25" t="s">
        <v>166</v>
      </c>
      <c r="R327" s="25" t="s">
        <v>177</v>
      </c>
      <c r="S327" s="25" t="s">
        <v>178</v>
      </c>
      <c r="T327" s="25" t="s">
        <v>179</v>
      </c>
      <c r="U327" s="25" t="s">
        <v>6531</v>
      </c>
      <c r="V327" s="25" t="s">
        <v>6532</v>
      </c>
      <c r="W327" s="32" t="s">
        <v>6533</v>
      </c>
      <c r="X327" s="25" t="s">
        <v>166</v>
      </c>
      <c r="Y327" s="25" t="s">
        <v>6534</v>
      </c>
      <c r="Z327" s="25" t="s">
        <v>166</v>
      </c>
      <c r="AA327" s="25" t="s">
        <v>166</v>
      </c>
      <c r="AB327" s="25" t="s">
        <v>166</v>
      </c>
      <c r="AC327" s="25" t="s">
        <v>166</v>
      </c>
      <c r="AD327" s="25" t="s">
        <v>166</v>
      </c>
      <c r="AE327" s="25" t="s">
        <v>166</v>
      </c>
      <c r="AF327" s="25" t="s">
        <v>166</v>
      </c>
      <c r="AG327" s="25" t="s">
        <v>166</v>
      </c>
      <c r="AH327" s="32">
        <v>1</v>
      </c>
      <c r="AI327" s="4">
        <f>HYPERLINK("https://my.pitchbook.com/?d=274496-86T","274496-86T")</f>
      </c>
      <c r="AJ327" s="30" t="s">
        <v>166</v>
      </c>
      <c r="AK327" s="30">
        <v>45225</v>
      </c>
      <c r="AL327" s="29">
        <v>0.04</v>
      </c>
      <c r="AM327" s="25" t="s">
        <v>185</v>
      </c>
      <c r="AN327" s="29" t="s">
        <v>166</v>
      </c>
      <c r="AO327" s="29" t="s">
        <v>166</v>
      </c>
      <c r="AP327" s="25" t="s">
        <v>166</v>
      </c>
      <c r="AQ327" s="32" t="s">
        <v>166</v>
      </c>
      <c r="AR327" s="32" t="s">
        <v>166</v>
      </c>
      <c r="AS327" s="28" t="s">
        <v>166</v>
      </c>
      <c r="AT327" s="29">
        <v>0.04</v>
      </c>
      <c r="AU327" s="32" t="s">
        <v>186</v>
      </c>
      <c r="AV327" s="32" t="s">
        <v>166</v>
      </c>
      <c r="AW327" s="29" t="s">
        <v>166</v>
      </c>
      <c r="AX327" s="32" t="s">
        <v>166</v>
      </c>
      <c r="AY327" s="25" t="s">
        <v>217</v>
      </c>
      <c r="AZ327" s="25" t="s">
        <v>217</v>
      </c>
      <c r="BA327" s="25" t="s">
        <v>166</v>
      </c>
      <c r="BB327" s="32" t="s">
        <v>166</v>
      </c>
      <c r="BC327" s="25" t="s">
        <v>179</v>
      </c>
      <c r="BD327" s="25" t="s">
        <v>6529</v>
      </c>
      <c r="BE327" s="25" t="s">
        <v>189</v>
      </c>
      <c r="BF327" s="29">
        <v>0.04</v>
      </c>
      <c r="BG327" s="25" t="s">
        <v>190</v>
      </c>
      <c r="BH327" s="25" t="s">
        <v>166</v>
      </c>
      <c r="BI327" s="25" t="s">
        <v>166</v>
      </c>
      <c r="BJ327" s="29" t="s">
        <v>166</v>
      </c>
      <c r="BK327" s="29" t="s">
        <v>166</v>
      </c>
      <c r="BL327" s="25" t="s">
        <v>191</v>
      </c>
      <c r="BM327" s="25" t="s">
        <v>178</v>
      </c>
      <c r="BN327" s="25" t="s">
        <v>177</v>
      </c>
      <c r="BO327" s="33" t="s">
        <v>166</v>
      </c>
      <c r="BP327" s="25" t="s">
        <v>6535</v>
      </c>
      <c r="BQ327" s="32">
        <v>3</v>
      </c>
      <c r="BR327" s="25" t="s">
        <v>166</v>
      </c>
      <c r="BS327" s="32" t="s">
        <v>166</v>
      </c>
      <c r="BT327" s="25" t="s">
        <v>166</v>
      </c>
      <c r="BU327" s="25" t="s">
        <v>166</v>
      </c>
      <c r="BV327" s="25" t="s">
        <v>6536</v>
      </c>
      <c r="BW327" s="25" t="s">
        <v>166</v>
      </c>
      <c r="BX327" s="25" t="s">
        <v>166</v>
      </c>
      <c r="BY327" s="25" t="s">
        <v>166</v>
      </c>
      <c r="BZ327" s="25" t="s">
        <v>166</v>
      </c>
      <c r="CA327" s="25" t="s">
        <v>166</v>
      </c>
      <c r="CB327" s="25" t="s">
        <v>166</v>
      </c>
      <c r="CC327" s="25" t="s">
        <v>166</v>
      </c>
      <c r="CD327" s="25" t="s">
        <v>166</v>
      </c>
      <c r="CE327" s="29" t="s">
        <v>166</v>
      </c>
      <c r="CF327" s="27" t="s">
        <v>166</v>
      </c>
      <c r="CG327" s="28" t="s">
        <v>166</v>
      </c>
      <c r="CH327" s="27" t="s">
        <v>166</v>
      </c>
      <c r="CI327" s="27" t="s">
        <v>166</v>
      </c>
      <c r="CJ327" s="27" t="s">
        <v>166</v>
      </c>
      <c r="CK327" s="27" t="s">
        <v>166</v>
      </c>
      <c r="CL327" s="27" t="s">
        <v>166</v>
      </c>
      <c r="CM327" s="31" t="s">
        <v>166</v>
      </c>
      <c r="CN327" s="27" t="s">
        <v>166</v>
      </c>
      <c r="CO327" s="27" t="s">
        <v>166</v>
      </c>
      <c r="CP327" s="27" t="s">
        <v>166</v>
      </c>
      <c r="CQ327" s="27" t="s">
        <v>166</v>
      </c>
      <c r="CR327" s="27" t="s">
        <v>166</v>
      </c>
      <c r="CS327" s="27" t="s">
        <v>166</v>
      </c>
      <c r="CT327" s="27" t="s">
        <v>166</v>
      </c>
      <c r="CU327" s="27" t="s">
        <v>166</v>
      </c>
      <c r="CV327" s="27" t="s">
        <v>166</v>
      </c>
      <c r="CW327" s="27" t="s">
        <v>166</v>
      </c>
      <c r="CX327" s="27" t="s">
        <v>166</v>
      </c>
      <c r="CY327" s="27" t="s">
        <v>166</v>
      </c>
      <c r="CZ327" s="27" t="s">
        <v>166</v>
      </c>
      <c r="DA327" s="27" t="s">
        <v>166</v>
      </c>
      <c r="DB327" s="27" t="s">
        <v>166</v>
      </c>
      <c r="DC327" s="27" t="s">
        <v>166</v>
      </c>
      <c r="DD327" s="27" t="s">
        <v>166</v>
      </c>
      <c r="DE327" s="28" t="s">
        <v>166</v>
      </c>
      <c r="DF327" s="33">
        <v>4</v>
      </c>
      <c r="DG327" s="25" t="s">
        <v>6537</v>
      </c>
      <c r="DH327" s="25" t="s">
        <v>193</v>
      </c>
      <c r="DI327" s="25" t="s">
        <v>194</v>
      </c>
      <c r="DJ327" s="25" t="s">
        <v>6538</v>
      </c>
      <c r="DK327" s="25" t="s">
        <v>6539</v>
      </c>
      <c r="DL327" s="32" t="s">
        <v>166</v>
      </c>
      <c r="DM327" s="25" t="s">
        <v>198</v>
      </c>
      <c r="DN327" s="24" t="s">
        <v>6540</v>
      </c>
      <c r="DO327" s="31">
        <v>2021</v>
      </c>
      <c r="DP327" s="25" t="s">
        <v>166</v>
      </c>
      <c r="DQ327" s="25" t="s">
        <v>166</v>
      </c>
      <c r="DR327" s="29" t="s">
        <v>166</v>
      </c>
      <c r="DS327" s="27" t="s">
        <v>166</v>
      </c>
      <c r="DT327" s="30" t="s">
        <v>166</v>
      </c>
      <c r="DU327" s="25" t="s">
        <v>166</v>
      </c>
      <c r="DV327" s="29" t="s">
        <v>166</v>
      </c>
      <c r="DW327" s="29" t="s">
        <v>166</v>
      </c>
      <c r="DX327" s="27" t="s">
        <v>166</v>
      </c>
      <c r="DY327" s="27" t="s">
        <v>166</v>
      </c>
      <c r="DZ327" s="28" t="s">
        <v>166</v>
      </c>
      <c r="EA327" s="27" t="s">
        <v>166</v>
      </c>
      <c r="EB327" s="27" t="s">
        <v>166</v>
      </c>
      <c r="EC327" s="27" t="s">
        <v>166</v>
      </c>
      <c r="ED327" s="28" t="s">
        <v>166</v>
      </c>
      <c r="EE327" s="28" t="s">
        <v>166</v>
      </c>
      <c r="EF327" s="28" t="s">
        <v>166</v>
      </c>
      <c r="EG327" s="28" t="s">
        <v>166</v>
      </c>
      <c r="EH327" s="27" t="s">
        <v>166</v>
      </c>
      <c r="EI327" s="27" t="s">
        <v>166</v>
      </c>
      <c r="EJ327" s="27" t="s">
        <v>166</v>
      </c>
      <c r="EK327" s="27" t="s">
        <v>166</v>
      </c>
      <c r="EL327" s="27" t="s">
        <v>166</v>
      </c>
      <c r="EM327" s="27" t="s">
        <v>166</v>
      </c>
      <c r="EN327" s="27" t="s">
        <v>166</v>
      </c>
      <c r="EO327" s="27" t="s">
        <v>166</v>
      </c>
      <c r="EP327" s="27" t="s">
        <v>166</v>
      </c>
      <c r="EQ327" s="27" t="s">
        <v>166</v>
      </c>
      <c r="ER327" s="27" t="s">
        <v>166</v>
      </c>
      <c r="ES327" s="27" t="s">
        <v>166</v>
      </c>
      <c r="ET327" s="25" t="s">
        <v>166</v>
      </c>
      <c r="EU327" s="27" t="s">
        <v>166</v>
      </c>
      <c r="EV327" s="27" t="s">
        <v>166</v>
      </c>
      <c r="EW327" s="27" t="s">
        <v>166</v>
      </c>
      <c r="EX327" s="25" t="s">
        <v>190</v>
      </c>
      <c r="EY327" s="25" t="s">
        <v>166</v>
      </c>
      <c r="EZ327" s="27" t="s">
        <v>166</v>
      </c>
      <c r="FA327" s="26" t="s">
        <v>166</v>
      </c>
      <c r="FB327" s="26" t="s">
        <v>166</v>
      </c>
      <c r="FC327" s="26" t="s">
        <v>166</v>
      </c>
      <c r="FD327" s="26" t="s">
        <v>166</v>
      </c>
      <c r="FE327" s="26" t="s">
        <v>166</v>
      </c>
      <c r="FF327" s="26" t="s">
        <v>166</v>
      </c>
      <c r="FG327" s="25" t="s">
        <v>166</v>
      </c>
      <c r="FH327" s="4">
        <f>HYPERLINK("https://my.pitchbook.com?c=274496-86T","View Company Online")</f>
      </c>
    </row>
    <row r="328">
      <c r="A328" s="14" t="s">
        <v>6541</v>
      </c>
      <c r="B328" s="14" t="s">
        <v>6542</v>
      </c>
      <c r="C328" s="14" t="s">
        <v>6543</v>
      </c>
      <c r="D328" s="14" t="s">
        <v>166</v>
      </c>
      <c r="E328" s="23" t="s">
        <v>6544</v>
      </c>
      <c r="F328" s="21">
        <v>9</v>
      </c>
      <c r="G328" s="14" t="s">
        <v>6545</v>
      </c>
      <c r="H328" s="14" t="s">
        <v>166</v>
      </c>
      <c r="I328" s="14" t="s">
        <v>6546</v>
      </c>
      <c r="J328" s="14" t="s">
        <v>6547</v>
      </c>
      <c r="K328" s="14" t="s">
        <v>207</v>
      </c>
      <c r="L328" s="14" t="s">
        <v>208</v>
      </c>
      <c r="M328" s="14" t="s">
        <v>639</v>
      </c>
      <c r="N328" s="14" t="s">
        <v>6548</v>
      </c>
      <c r="O328" s="14" t="s">
        <v>6549</v>
      </c>
      <c r="P328" s="14" t="s">
        <v>6550</v>
      </c>
      <c r="Q328" s="14" t="s">
        <v>166</v>
      </c>
      <c r="R328" s="14" t="s">
        <v>177</v>
      </c>
      <c r="S328" s="14" t="s">
        <v>178</v>
      </c>
      <c r="T328" s="14" t="s">
        <v>179</v>
      </c>
      <c r="U328" s="14" t="s">
        <v>6551</v>
      </c>
      <c r="V328" s="14" t="s">
        <v>6552</v>
      </c>
      <c r="W328" s="21" t="s">
        <v>6553</v>
      </c>
      <c r="X328" s="14" t="s">
        <v>166</v>
      </c>
      <c r="Y328" s="14" t="s">
        <v>6554</v>
      </c>
      <c r="Z328" s="14" t="s">
        <v>6555</v>
      </c>
      <c r="AA328" s="14" t="s">
        <v>242</v>
      </c>
      <c r="AB328" s="14" t="s">
        <v>243</v>
      </c>
      <c r="AC328" s="14" t="s">
        <v>244</v>
      </c>
      <c r="AD328" s="14" t="s">
        <v>243</v>
      </c>
      <c r="AE328" s="14" t="s">
        <v>243</v>
      </c>
      <c r="AF328" s="14" t="s">
        <v>166</v>
      </c>
      <c r="AG328" s="14" t="s">
        <v>246</v>
      </c>
      <c r="AH328" s="21">
        <v>1</v>
      </c>
      <c r="AI328" s="3">
        <f>HYPERLINK("https://my.pitchbook.com/?d=166777-75T","166777-75T")</f>
      </c>
      <c r="AJ328" s="19" t="s">
        <v>166</v>
      </c>
      <c r="AK328" s="19">
        <v>44235</v>
      </c>
      <c r="AL328" s="18">
        <v>4.37</v>
      </c>
      <c r="AM328" s="14" t="s">
        <v>185</v>
      </c>
      <c r="AN328" s="18">
        <v>12</v>
      </c>
      <c r="AO328" s="18">
        <v>16.37</v>
      </c>
      <c r="AP328" s="14" t="s">
        <v>185</v>
      </c>
      <c r="AQ328" s="21" t="s">
        <v>166</v>
      </c>
      <c r="AR328" s="21" t="s">
        <v>166</v>
      </c>
      <c r="AS328" s="17">
        <v>26.72</v>
      </c>
      <c r="AT328" s="18">
        <v>4.37</v>
      </c>
      <c r="AU328" s="21" t="s">
        <v>186</v>
      </c>
      <c r="AV328" s="21" t="s">
        <v>166</v>
      </c>
      <c r="AW328" s="18">
        <v>0.56</v>
      </c>
      <c r="AX328" s="21" t="s">
        <v>746</v>
      </c>
      <c r="AY328" s="14" t="s">
        <v>217</v>
      </c>
      <c r="AZ328" s="14" t="s">
        <v>746</v>
      </c>
      <c r="BA328" s="14" t="s">
        <v>166</v>
      </c>
      <c r="BB328" s="21" t="s">
        <v>166</v>
      </c>
      <c r="BC328" s="14" t="s">
        <v>179</v>
      </c>
      <c r="BD328" s="14" t="s">
        <v>6556</v>
      </c>
      <c r="BE328" s="14" t="s">
        <v>189</v>
      </c>
      <c r="BF328" s="18">
        <v>4.37</v>
      </c>
      <c r="BG328" s="14" t="s">
        <v>190</v>
      </c>
      <c r="BH328" s="14" t="s">
        <v>166</v>
      </c>
      <c r="BI328" s="14" t="s">
        <v>166</v>
      </c>
      <c r="BJ328" s="18" t="s">
        <v>166</v>
      </c>
      <c r="BK328" s="18" t="s">
        <v>166</v>
      </c>
      <c r="BL328" s="14" t="s">
        <v>191</v>
      </c>
      <c r="BM328" s="14" t="s">
        <v>178</v>
      </c>
      <c r="BN328" s="14" t="s">
        <v>177</v>
      </c>
      <c r="BO328" s="22" t="s">
        <v>166</v>
      </c>
      <c r="BP328" s="14" t="s">
        <v>6557</v>
      </c>
      <c r="BQ328" s="21">
        <v>9</v>
      </c>
      <c r="BR328" s="14" t="s">
        <v>166</v>
      </c>
      <c r="BS328" s="21" t="s">
        <v>166</v>
      </c>
      <c r="BT328" s="14" t="s">
        <v>166</v>
      </c>
      <c r="BU328" s="14" t="s">
        <v>166</v>
      </c>
      <c r="BV328" s="14" t="s">
        <v>6558</v>
      </c>
      <c r="BW328" s="14" t="s">
        <v>166</v>
      </c>
      <c r="BX328" s="14" t="s">
        <v>166</v>
      </c>
      <c r="BY328" s="14" t="s">
        <v>166</v>
      </c>
      <c r="BZ328" s="14" t="s">
        <v>166</v>
      </c>
      <c r="CA328" s="14" t="s">
        <v>166</v>
      </c>
      <c r="CB328" s="14" t="s">
        <v>166</v>
      </c>
      <c r="CC328" s="14" t="s">
        <v>166</v>
      </c>
      <c r="CD328" s="14" t="s">
        <v>166</v>
      </c>
      <c r="CE328" s="18" t="s">
        <v>166</v>
      </c>
      <c r="CF328" s="16" t="s">
        <v>166</v>
      </c>
      <c r="CG328" s="17" t="s">
        <v>166</v>
      </c>
      <c r="CH328" s="16" t="s">
        <v>166</v>
      </c>
      <c r="CI328" s="16" t="s">
        <v>166</v>
      </c>
      <c r="CJ328" s="16" t="s">
        <v>166</v>
      </c>
      <c r="CK328" s="16" t="s">
        <v>166</v>
      </c>
      <c r="CL328" s="16" t="s">
        <v>166</v>
      </c>
      <c r="CM328" s="20" t="s">
        <v>166</v>
      </c>
      <c r="CN328" s="16" t="s">
        <v>166</v>
      </c>
      <c r="CO328" s="16" t="s">
        <v>166</v>
      </c>
      <c r="CP328" s="16" t="s">
        <v>166</v>
      </c>
      <c r="CQ328" s="16" t="s">
        <v>166</v>
      </c>
      <c r="CR328" s="16" t="s">
        <v>166</v>
      </c>
      <c r="CS328" s="16" t="s">
        <v>166</v>
      </c>
      <c r="CT328" s="16" t="s">
        <v>166</v>
      </c>
      <c r="CU328" s="16" t="s">
        <v>166</v>
      </c>
      <c r="CV328" s="16" t="s">
        <v>166</v>
      </c>
      <c r="CW328" s="16" t="s">
        <v>166</v>
      </c>
      <c r="CX328" s="16" t="s">
        <v>166</v>
      </c>
      <c r="CY328" s="16" t="s">
        <v>166</v>
      </c>
      <c r="CZ328" s="16" t="s">
        <v>166</v>
      </c>
      <c r="DA328" s="16" t="s">
        <v>166</v>
      </c>
      <c r="DB328" s="16" t="s">
        <v>166</v>
      </c>
      <c r="DC328" s="16" t="s">
        <v>166</v>
      </c>
      <c r="DD328" s="16" t="s">
        <v>166</v>
      </c>
      <c r="DE328" s="17" t="s">
        <v>166</v>
      </c>
      <c r="DF328" s="22">
        <v>44</v>
      </c>
      <c r="DG328" s="14" t="s">
        <v>6559</v>
      </c>
      <c r="DH328" s="14" t="s">
        <v>193</v>
      </c>
      <c r="DI328" s="14" t="s">
        <v>194</v>
      </c>
      <c r="DJ328" s="14" t="s">
        <v>6560</v>
      </c>
      <c r="DK328" s="14" t="s">
        <v>257</v>
      </c>
      <c r="DL328" s="21" t="s">
        <v>6561</v>
      </c>
      <c r="DM328" s="14" t="s">
        <v>198</v>
      </c>
      <c r="DN328" s="13" t="s">
        <v>6562</v>
      </c>
      <c r="DO328" s="20">
        <v>2021</v>
      </c>
      <c r="DP328" s="14" t="s">
        <v>166</v>
      </c>
      <c r="DQ328" s="14" t="s">
        <v>166</v>
      </c>
      <c r="DR328" s="18" t="s">
        <v>166</v>
      </c>
      <c r="DS328" s="16" t="s">
        <v>166</v>
      </c>
      <c r="DT328" s="19" t="s">
        <v>166</v>
      </c>
      <c r="DU328" s="14" t="s">
        <v>166</v>
      </c>
      <c r="DV328" s="18" t="s">
        <v>166</v>
      </c>
      <c r="DW328" s="18" t="s">
        <v>166</v>
      </c>
      <c r="DX328" s="16" t="s">
        <v>166</v>
      </c>
      <c r="DY328" s="16" t="s">
        <v>166</v>
      </c>
      <c r="DZ328" s="17" t="s">
        <v>166</v>
      </c>
      <c r="EA328" s="16" t="s">
        <v>166</v>
      </c>
      <c r="EB328" s="16" t="s">
        <v>166</v>
      </c>
      <c r="EC328" s="16" t="s">
        <v>166</v>
      </c>
      <c r="ED328" s="17" t="s">
        <v>166</v>
      </c>
      <c r="EE328" s="17" t="s">
        <v>166</v>
      </c>
      <c r="EF328" s="17" t="s">
        <v>166</v>
      </c>
      <c r="EG328" s="17" t="s">
        <v>166</v>
      </c>
      <c r="EH328" s="16" t="s">
        <v>166</v>
      </c>
      <c r="EI328" s="16" t="s">
        <v>166</v>
      </c>
      <c r="EJ328" s="16" t="s">
        <v>166</v>
      </c>
      <c r="EK328" s="16" t="s">
        <v>166</v>
      </c>
      <c r="EL328" s="16" t="s">
        <v>166</v>
      </c>
      <c r="EM328" s="16" t="s">
        <v>166</v>
      </c>
      <c r="EN328" s="16" t="s">
        <v>166</v>
      </c>
      <c r="EO328" s="16" t="s">
        <v>166</v>
      </c>
      <c r="EP328" s="16" t="s">
        <v>166</v>
      </c>
      <c r="EQ328" s="16" t="s">
        <v>166</v>
      </c>
      <c r="ER328" s="16" t="s">
        <v>166</v>
      </c>
      <c r="ES328" s="16" t="s">
        <v>166</v>
      </c>
      <c r="ET328" s="14" t="s">
        <v>166</v>
      </c>
      <c r="EU328" s="16" t="s">
        <v>166</v>
      </c>
      <c r="EV328" s="16" t="s">
        <v>166</v>
      </c>
      <c r="EW328" s="16" t="s">
        <v>166</v>
      </c>
      <c r="EX328" s="14" t="s">
        <v>190</v>
      </c>
      <c r="EY328" s="14" t="s">
        <v>166</v>
      </c>
      <c r="EZ328" s="16" t="s">
        <v>166</v>
      </c>
      <c r="FA328" s="15">
        <v>4</v>
      </c>
      <c r="FB328" s="15">
        <v>2</v>
      </c>
      <c r="FC328" s="15">
        <v>2</v>
      </c>
      <c r="FD328" s="15">
        <v>2</v>
      </c>
      <c r="FE328" s="15" t="s">
        <v>166</v>
      </c>
      <c r="FF328" s="15" t="s">
        <v>166</v>
      </c>
      <c r="FG328" s="14" t="s">
        <v>6563</v>
      </c>
      <c r="FH328" s="3">
        <f>HYPERLINK("https://my.pitchbook.com?c=166777-75T","View Company Online")</f>
      </c>
    </row>
    <row r="329">
      <c r="A329" s="25" t="s">
        <v>6564</v>
      </c>
      <c r="B329" s="25" t="s">
        <v>6565</v>
      </c>
      <c r="C329" s="25" t="s">
        <v>6566</v>
      </c>
      <c r="D329" s="25" t="s">
        <v>166</v>
      </c>
      <c r="E329" s="34" t="s">
        <v>6567</v>
      </c>
      <c r="F329" s="32">
        <v>8</v>
      </c>
      <c r="G329" s="25" t="s">
        <v>6568</v>
      </c>
      <c r="H329" s="25" t="s">
        <v>166</v>
      </c>
      <c r="I329" s="25" t="s">
        <v>6569</v>
      </c>
      <c r="J329" s="25" t="s">
        <v>6570</v>
      </c>
      <c r="K329" s="25" t="s">
        <v>207</v>
      </c>
      <c r="L329" s="25" t="s">
        <v>208</v>
      </c>
      <c r="M329" s="25" t="s">
        <v>882</v>
      </c>
      <c r="N329" s="25" t="s">
        <v>6571</v>
      </c>
      <c r="O329" s="25" t="s">
        <v>665</v>
      </c>
      <c r="P329" s="25" t="s">
        <v>6572</v>
      </c>
      <c r="Q329" s="25" t="s">
        <v>6573</v>
      </c>
      <c r="R329" s="25" t="s">
        <v>177</v>
      </c>
      <c r="S329" s="25" t="s">
        <v>178</v>
      </c>
      <c r="T329" s="25" t="s">
        <v>179</v>
      </c>
      <c r="U329" s="25" t="s">
        <v>6574</v>
      </c>
      <c r="V329" s="25" t="s">
        <v>6575</v>
      </c>
      <c r="W329" s="32" t="s">
        <v>6576</v>
      </c>
      <c r="X329" s="25" t="s">
        <v>6577</v>
      </c>
      <c r="Y329" s="25" t="s">
        <v>6578</v>
      </c>
      <c r="Z329" s="25" t="s">
        <v>166</v>
      </c>
      <c r="AA329" s="25" t="s">
        <v>166</v>
      </c>
      <c r="AB329" s="25" t="s">
        <v>166</v>
      </c>
      <c r="AC329" s="25" t="s">
        <v>166</v>
      </c>
      <c r="AD329" s="25" t="s">
        <v>166</v>
      </c>
      <c r="AE329" s="25" t="s">
        <v>166</v>
      </c>
      <c r="AF329" s="25" t="s">
        <v>166</v>
      </c>
      <c r="AG329" s="25" t="s">
        <v>166</v>
      </c>
      <c r="AH329" s="32">
        <v>1</v>
      </c>
      <c r="AI329" s="4">
        <f>HYPERLINK("https://my.pitchbook.com/?d=255461-68T","255461-68T")</f>
      </c>
      <c r="AJ329" s="30" t="s">
        <v>166</v>
      </c>
      <c r="AK329" s="30">
        <v>45378</v>
      </c>
      <c r="AL329" s="29">
        <v>25</v>
      </c>
      <c r="AM329" s="25" t="s">
        <v>185</v>
      </c>
      <c r="AN329" s="29" t="s">
        <v>166</v>
      </c>
      <c r="AO329" s="29" t="s">
        <v>166</v>
      </c>
      <c r="AP329" s="25" t="s">
        <v>166</v>
      </c>
      <c r="AQ329" s="32" t="s">
        <v>166</v>
      </c>
      <c r="AR329" s="32" t="s">
        <v>166</v>
      </c>
      <c r="AS329" s="28" t="s">
        <v>166</v>
      </c>
      <c r="AT329" s="29">
        <v>25</v>
      </c>
      <c r="AU329" s="32" t="s">
        <v>186</v>
      </c>
      <c r="AV329" s="32" t="s">
        <v>166</v>
      </c>
      <c r="AW329" s="29" t="s">
        <v>166</v>
      </c>
      <c r="AX329" s="32" t="s">
        <v>248</v>
      </c>
      <c r="AY329" s="25" t="s">
        <v>187</v>
      </c>
      <c r="AZ329" s="25" t="s">
        <v>248</v>
      </c>
      <c r="BA329" s="25" t="s">
        <v>166</v>
      </c>
      <c r="BB329" s="32" t="s">
        <v>166</v>
      </c>
      <c r="BC329" s="25" t="s">
        <v>179</v>
      </c>
      <c r="BD329" s="25" t="s">
        <v>6579</v>
      </c>
      <c r="BE329" s="25" t="s">
        <v>189</v>
      </c>
      <c r="BF329" s="29">
        <v>25</v>
      </c>
      <c r="BG329" s="25" t="s">
        <v>190</v>
      </c>
      <c r="BH329" s="25" t="s">
        <v>166</v>
      </c>
      <c r="BI329" s="25" t="s">
        <v>166</v>
      </c>
      <c r="BJ329" s="29" t="s">
        <v>166</v>
      </c>
      <c r="BK329" s="29" t="s">
        <v>166</v>
      </c>
      <c r="BL329" s="25" t="s">
        <v>191</v>
      </c>
      <c r="BM329" s="25" t="s">
        <v>178</v>
      </c>
      <c r="BN329" s="25" t="s">
        <v>177</v>
      </c>
      <c r="BO329" s="33" t="s">
        <v>166</v>
      </c>
      <c r="BP329" s="25" t="s">
        <v>6580</v>
      </c>
      <c r="BQ329" s="32">
        <v>8</v>
      </c>
      <c r="BR329" s="25" t="s">
        <v>166</v>
      </c>
      <c r="BS329" s="32" t="s">
        <v>166</v>
      </c>
      <c r="BT329" s="25" t="s">
        <v>6581</v>
      </c>
      <c r="BU329" s="25" t="s">
        <v>166</v>
      </c>
      <c r="BV329" s="25" t="s">
        <v>6582</v>
      </c>
      <c r="BW329" s="25" t="s">
        <v>166</v>
      </c>
      <c r="BX329" s="25" t="s">
        <v>166</v>
      </c>
      <c r="BY329" s="25" t="s">
        <v>166</v>
      </c>
      <c r="BZ329" s="25" t="s">
        <v>1327</v>
      </c>
      <c r="CA329" s="25" t="s">
        <v>1327</v>
      </c>
      <c r="CB329" s="25" t="s">
        <v>166</v>
      </c>
      <c r="CC329" s="25" t="s">
        <v>166</v>
      </c>
      <c r="CD329" s="25" t="s">
        <v>166</v>
      </c>
      <c r="CE329" s="29" t="s">
        <v>166</v>
      </c>
      <c r="CF329" s="27" t="s">
        <v>166</v>
      </c>
      <c r="CG329" s="28" t="s">
        <v>166</v>
      </c>
      <c r="CH329" s="27" t="s">
        <v>166</v>
      </c>
      <c r="CI329" s="27" t="s">
        <v>166</v>
      </c>
      <c r="CJ329" s="27" t="s">
        <v>166</v>
      </c>
      <c r="CK329" s="27" t="s">
        <v>166</v>
      </c>
      <c r="CL329" s="27" t="s">
        <v>166</v>
      </c>
      <c r="CM329" s="31" t="s">
        <v>166</v>
      </c>
      <c r="CN329" s="27" t="s">
        <v>166</v>
      </c>
      <c r="CO329" s="27" t="s">
        <v>166</v>
      </c>
      <c r="CP329" s="27" t="s">
        <v>166</v>
      </c>
      <c r="CQ329" s="27" t="s">
        <v>166</v>
      </c>
      <c r="CR329" s="27" t="s">
        <v>166</v>
      </c>
      <c r="CS329" s="27" t="s">
        <v>166</v>
      </c>
      <c r="CT329" s="27" t="s">
        <v>166</v>
      </c>
      <c r="CU329" s="27" t="s">
        <v>166</v>
      </c>
      <c r="CV329" s="27" t="s">
        <v>166</v>
      </c>
      <c r="CW329" s="27" t="s">
        <v>166</v>
      </c>
      <c r="CX329" s="27" t="s">
        <v>166</v>
      </c>
      <c r="CY329" s="27" t="s">
        <v>166</v>
      </c>
      <c r="CZ329" s="27" t="s">
        <v>166</v>
      </c>
      <c r="DA329" s="27" t="s">
        <v>166</v>
      </c>
      <c r="DB329" s="27" t="s">
        <v>166</v>
      </c>
      <c r="DC329" s="27" t="s">
        <v>166</v>
      </c>
      <c r="DD329" s="27" t="s">
        <v>166</v>
      </c>
      <c r="DE329" s="28" t="s">
        <v>166</v>
      </c>
      <c r="DF329" s="33">
        <v>27</v>
      </c>
      <c r="DG329" s="25" t="s">
        <v>4934</v>
      </c>
      <c r="DH329" s="25" t="s">
        <v>193</v>
      </c>
      <c r="DI329" s="25" t="s">
        <v>194</v>
      </c>
      <c r="DJ329" s="25" t="s">
        <v>4935</v>
      </c>
      <c r="DK329" s="25" t="s">
        <v>257</v>
      </c>
      <c r="DL329" s="32" t="s">
        <v>4936</v>
      </c>
      <c r="DM329" s="25" t="s">
        <v>198</v>
      </c>
      <c r="DN329" s="24" t="s">
        <v>6583</v>
      </c>
      <c r="DO329" s="31">
        <v>2022</v>
      </c>
      <c r="DP329" s="25" t="s">
        <v>166</v>
      </c>
      <c r="DQ329" s="25" t="s">
        <v>166</v>
      </c>
      <c r="DR329" s="29" t="s">
        <v>166</v>
      </c>
      <c r="DS329" s="27" t="s">
        <v>166</v>
      </c>
      <c r="DT329" s="30" t="s">
        <v>166</v>
      </c>
      <c r="DU329" s="25" t="s">
        <v>166</v>
      </c>
      <c r="DV329" s="29" t="s">
        <v>166</v>
      </c>
      <c r="DW329" s="29" t="s">
        <v>166</v>
      </c>
      <c r="DX329" s="27" t="s">
        <v>166</v>
      </c>
      <c r="DY329" s="27" t="s">
        <v>166</v>
      </c>
      <c r="DZ329" s="28" t="s">
        <v>166</v>
      </c>
      <c r="EA329" s="27" t="s">
        <v>166</v>
      </c>
      <c r="EB329" s="27" t="s">
        <v>166</v>
      </c>
      <c r="EC329" s="27" t="s">
        <v>166</v>
      </c>
      <c r="ED329" s="28" t="s">
        <v>166</v>
      </c>
      <c r="EE329" s="28" t="s">
        <v>166</v>
      </c>
      <c r="EF329" s="28" t="s">
        <v>166</v>
      </c>
      <c r="EG329" s="28" t="s">
        <v>166</v>
      </c>
      <c r="EH329" s="27" t="s">
        <v>166</v>
      </c>
      <c r="EI329" s="27" t="s">
        <v>166</v>
      </c>
      <c r="EJ329" s="27" t="s">
        <v>166</v>
      </c>
      <c r="EK329" s="27" t="s">
        <v>166</v>
      </c>
      <c r="EL329" s="27" t="s">
        <v>166</v>
      </c>
      <c r="EM329" s="27" t="s">
        <v>166</v>
      </c>
      <c r="EN329" s="27" t="s">
        <v>166</v>
      </c>
      <c r="EO329" s="27" t="s">
        <v>166</v>
      </c>
      <c r="EP329" s="27" t="s">
        <v>166</v>
      </c>
      <c r="EQ329" s="27" t="s">
        <v>166</v>
      </c>
      <c r="ER329" s="27" t="s">
        <v>166</v>
      </c>
      <c r="ES329" s="27" t="s">
        <v>166</v>
      </c>
      <c r="ET329" s="25" t="s">
        <v>166</v>
      </c>
      <c r="EU329" s="27" t="s">
        <v>166</v>
      </c>
      <c r="EV329" s="27" t="s">
        <v>166</v>
      </c>
      <c r="EW329" s="27" t="s">
        <v>166</v>
      </c>
      <c r="EX329" s="25" t="s">
        <v>190</v>
      </c>
      <c r="EY329" s="25" t="s">
        <v>166</v>
      </c>
      <c r="EZ329" s="27" t="s">
        <v>166</v>
      </c>
      <c r="FA329" s="26" t="s">
        <v>166</v>
      </c>
      <c r="FB329" s="26" t="s">
        <v>166</v>
      </c>
      <c r="FC329" s="26" t="s">
        <v>166</v>
      </c>
      <c r="FD329" s="26" t="s">
        <v>166</v>
      </c>
      <c r="FE329" s="26" t="s">
        <v>166</v>
      </c>
      <c r="FF329" s="26" t="s">
        <v>166</v>
      </c>
      <c r="FG329" s="25" t="s">
        <v>166</v>
      </c>
      <c r="FH329" s="4">
        <f>HYPERLINK("https://my.pitchbook.com?c=255461-68T","View Company Online")</f>
      </c>
    </row>
    <row r="330">
      <c r="A330" s="14" t="s">
        <v>6584</v>
      </c>
      <c r="B330" s="14" t="s">
        <v>6585</v>
      </c>
      <c r="C330" s="14" t="s">
        <v>6586</v>
      </c>
      <c r="D330" s="14" t="s">
        <v>166</v>
      </c>
      <c r="E330" s="23" t="s">
        <v>6587</v>
      </c>
      <c r="F330" s="21">
        <v>10</v>
      </c>
      <c r="G330" s="14" t="s">
        <v>6588</v>
      </c>
      <c r="H330" s="14" t="s">
        <v>166</v>
      </c>
      <c r="I330" s="14" t="s">
        <v>6589</v>
      </c>
      <c r="J330" s="14" t="s">
        <v>6590</v>
      </c>
      <c r="K330" s="14" t="s">
        <v>207</v>
      </c>
      <c r="L330" s="14" t="s">
        <v>208</v>
      </c>
      <c r="M330" s="14" t="s">
        <v>1766</v>
      </c>
      <c r="N330" s="14" t="s">
        <v>2393</v>
      </c>
      <c r="O330" s="14" t="s">
        <v>1035</v>
      </c>
      <c r="P330" s="14" t="s">
        <v>6591</v>
      </c>
      <c r="Q330" s="14" t="s">
        <v>166</v>
      </c>
      <c r="R330" s="14" t="s">
        <v>177</v>
      </c>
      <c r="S330" s="14" t="s">
        <v>178</v>
      </c>
      <c r="T330" s="14" t="s">
        <v>179</v>
      </c>
      <c r="U330" s="14" t="s">
        <v>6592</v>
      </c>
      <c r="V330" s="14" t="s">
        <v>6593</v>
      </c>
      <c r="W330" s="21" t="s">
        <v>6594</v>
      </c>
      <c r="X330" s="14" t="s">
        <v>6595</v>
      </c>
      <c r="Y330" s="14" t="s">
        <v>6596</v>
      </c>
      <c r="Z330" s="14" t="s">
        <v>166</v>
      </c>
      <c r="AA330" s="14" t="s">
        <v>242</v>
      </c>
      <c r="AB330" s="14" t="s">
        <v>243</v>
      </c>
      <c r="AC330" s="14" t="s">
        <v>244</v>
      </c>
      <c r="AD330" s="14" t="s">
        <v>243</v>
      </c>
      <c r="AE330" s="14" t="s">
        <v>243</v>
      </c>
      <c r="AF330" s="14" t="s">
        <v>166</v>
      </c>
      <c r="AG330" s="14" t="s">
        <v>246</v>
      </c>
      <c r="AH330" s="21">
        <v>5</v>
      </c>
      <c r="AI330" s="3">
        <f>HYPERLINK("https://my.pitchbook.com/?d=157643-92T","157643-92T")</f>
      </c>
      <c r="AJ330" s="19" t="s">
        <v>166</v>
      </c>
      <c r="AK330" s="19">
        <v>44117</v>
      </c>
      <c r="AL330" s="18">
        <v>2.33</v>
      </c>
      <c r="AM330" s="14" t="s">
        <v>185</v>
      </c>
      <c r="AN330" s="18">
        <v>3</v>
      </c>
      <c r="AO330" s="18">
        <v>5.33</v>
      </c>
      <c r="AP330" s="14" t="s">
        <v>185</v>
      </c>
      <c r="AQ330" s="21" t="s">
        <v>166</v>
      </c>
      <c r="AR330" s="21" t="s">
        <v>166</v>
      </c>
      <c r="AS330" s="17">
        <v>43.67</v>
      </c>
      <c r="AT330" s="18">
        <v>2.49</v>
      </c>
      <c r="AU330" s="21" t="s">
        <v>186</v>
      </c>
      <c r="AV330" s="21" t="s">
        <v>166</v>
      </c>
      <c r="AW330" s="18">
        <v>0.4</v>
      </c>
      <c r="AX330" s="21" t="s">
        <v>166</v>
      </c>
      <c r="AY330" s="14" t="s">
        <v>217</v>
      </c>
      <c r="AZ330" s="14" t="s">
        <v>217</v>
      </c>
      <c r="BA330" s="14" t="s">
        <v>166</v>
      </c>
      <c r="BB330" s="21" t="s">
        <v>166</v>
      </c>
      <c r="BC330" s="14" t="s">
        <v>179</v>
      </c>
      <c r="BD330" s="14" t="s">
        <v>6597</v>
      </c>
      <c r="BE330" s="14" t="s">
        <v>189</v>
      </c>
      <c r="BF330" s="18">
        <v>2.33</v>
      </c>
      <c r="BG330" s="14" t="s">
        <v>190</v>
      </c>
      <c r="BH330" s="14" t="s">
        <v>166</v>
      </c>
      <c r="BI330" s="14" t="s">
        <v>166</v>
      </c>
      <c r="BJ330" s="18" t="s">
        <v>166</v>
      </c>
      <c r="BK330" s="18" t="s">
        <v>166</v>
      </c>
      <c r="BL330" s="14" t="s">
        <v>191</v>
      </c>
      <c r="BM330" s="14" t="s">
        <v>178</v>
      </c>
      <c r="BN330" s="14" t="s">
        <v>177</v>
      </c>
      <c r="BO330" s="22" t="s">
        <v>166</v>
      </c>
      <c r="BP330" s="14" t="s">
        <v>6598</v>
      </c>
      <c r="BQ330" s="21">
        <v>10</v>
      </c>
      <c r="BR330" s="14" t="s">
        <v>166</v>
      </c>
      <c r="BS330" s="21" t="s">
        <v>166</v>
      </c>
      <c r="BT330" s="14" t="s">
        <v>6599</v>
      </c>
      <c r="BU330" s="14" t="s">
        <v>166</v>
      </c>
      <c r="BV330" s="14" t="s">
        <v>6600</v>
      </c>
      <c r="BW330" s="14" t="s">
        <v>166</v>
      </c>
      <c r="BX330" s="14" t="s">
        <v>166</v>
      </c>
      <c r="BY330" s="14" t="s">
        <v>166</v>
      </c>
      <c r="BZ330" s="14" t="s">
        <v>219</v>
      </c>
      <c r="CA330" s="14" t="s">
        <v>219</v>
      </c>
      <c r="CB330" s="14" t="s">
        <v>166</v>
      </c>
      <c r="CC330" s="14" t="s">
        <v>166</v>
      </c>
      <c r="CD330" s="14" t="s">
        <v>166</v>
      </c>
      <c r="CE330" s="18" t="s">
        <v>166</v>
      </c>
      <c r="CF330" s="16" t="s">
        <v>166</v>
      </c>
      <c r="CG330" s="17" t="s">
        <v>166</v>
      </c>
      <c r="CH330" s="16" t="s">
        <v>166</v>
      </c>
      <c r="CI330" s="16" t="s">
        <v>166</v>
      </c>
      <c r="CJ330" s="16" t="s">
        <v>166</v>
      </c>
      <c r="CK330" s="16" t="s">
        <v>166</v>
      </c>
      <c r="CL330" s="16" t="s">
        <v>166</v>
      </c>
      <c r="CM330" s="20" t="s">
        <v>166</v>
      </c>
      <c r="CN330" s="16" t="s">
        <v>166</v>
      </c>
      <c r="CO330" s="16" t="s">
        <v>166</v>
      </c>
      <c r="CP330" s="16" t="s">
        <v>166</v>
      </c>
      <c r="CQ330" s="16" t="s">
        <v>166</v>
      </c>
      <c r="CR330" s="16" t="s">
        <v>166</v>
      </c>
      <c r="CS330" s="16" t="s">
        <v>166</v>
      </c>
      <c r="CT330" s="16" t="s">
        <v>166</v>
      </c>
      <c r="CU330" s="16" t="s">
        <v>166</v>
      </c>
      <c r="CV330" s="16" t="s">
        <v>166</v>
      </c>
      <c r="CW330" s="16" t="s">
        <v>166</v>
      </c>
      <c r="CX330" s="16" t="s">
        <v>166</v>
      </c>
      <c r="CY330" s="16" t="s">
        <v>166</v>
      </c>
      <c r="CZ330" s="16" t="s">
        <v>166</v>
      </c>
      <c r="DA330" s="16" t="s">
        <v>166</v>
      </c>
      <c r="DB330" s="16" t="s">
        <v>166</v>
      </c>
      <c r="DC330" s="16" t="s">
        <v>166</v>
      </c>
      <c r="DD330" s="16" t="s">
        <v>166</v>
      </c>
      <c r="DE330" s="17" t="s">
        <v>166</v>
      </c>
      <c r="DF330" s="22">
        <v>64</v>
      </c>
      <c r="DG330" s="14" t="s">
        <v>220</v>
      </c>
      <c r="DH330" s="14" t="s">
        <v>193</v>
      </c>
      <c r="DI330" s="14" t="s">
        <v>194</v>
      </c>
      <c r="DJ330" s="14" t="s">
        <v>221</v>
      </c>
      <c r="DK330" s="14" t="s">
        <v>222</v>
      </c>
      <c r="DL330" s="21" t="s">
        <v>6601</v>
      </c>
      <c r="DM330" s="14" t="s">
        <v>198</v>
      </c>
      <c r="DN330" s="13" t="s">
        <v>6602</v>
      </c>
      <c r="DO330" s="20">
        <v>2018</v>
      </c>
      <c r="DP330" s="14" t="s">
        <v>166</v>
      </c>
      <c r="DQ330" s="14" t="s">
        <v>166</v>
      </c>
      <c r="DR330" s="18" t="s">
        <v>166</v>
      </c>
      <c r="DS330" s="16" t="s">
        <v>166</v>
      </c>
      <c r="DT330" s="19" t="s">
        <v>166</v>
      </c>
      <c r="DU330" s="14" t="s">
        <v>166</v>
      </c>
      <c r="DV330" s="18" t="s">
        <v>166</v>
      </c>
      <c r="DW330" s="18" t="s">
        <v>166</v>
      </c>
      <c r="DX330" s="16" t="s">
        <v>166</v>
      </c>
      <c r="DY330" s="16" t="s">
        <v>166</v>
      </c>
      <c r="DZ330" s="17" t="s">
        <v>166</v>
      </c>
      <c r="EA330" s="16" t="s">
        <v>166</v>
      </c>
      <c r="EB330" s="16" t="s">
        <v>166</v>
      </c>
      <c r="EC330" s="16" t="s">
        <v>166</v>
      </c>
      <c r="ED330" s="17" t="s">
        <v>166</v>
      </c>
      <c r="EE330" s="17" t="s">
        <v>166</v>
      </c>
      <c r="EF330" s="17" t="s">
        <v>166</v>
      </c>
      <c r="EG330" s="17" t="s">
        <v>166</v>
      </c>
      <c r="EH330" s="16" t="s">
        <v>166</v>
      </c>
      <c r="EI330" s="16" t="s">
        <v>166</v>
      </c>
      <c r="EJ330" s="16" t="s">
        <v>166</v>
      </c>
      <c r="EK330" s="16" t="s">
        <v>166</v>
      </c>
      <c r="EL330" s="16" t="s">
        <v>166</v>
      </c>
      <c r="EM330" s="16" t="s">
        <v>166</v>
      </c>
      <c r="EN330" s="16" t="s">
        <v>166</v>
      </c>
      <c r="EO330" s="16" t="s">
        <v>166</v>
      </c>
      <c r="EP330" s="16" t="s">
        <v>166</v>
      </c>
      <c r="EQ330" s="16" t="s">
        <v>166</v>
      </c>
      <c r="ER330" s="16" t="s">
        <v>166</v>
      </c>
      <c r="ES330" s="16" t="s">
        <v>166</v>
      </c>
      <c r="ET330" s="14" t="s">
        <v>166</v>
      </c>
      <c r="EU330" s="16" t="s">
        <v>166</v>
      </c>
      <c r="EV330" s="16" t="s">
        <v>166</v>
      </c>
      <c r="EW330" s="16" t="s">
        <v>166</v>
      </c>
      <c r="EX330" s="14" t="s">
        <v>190</v>
      </c>
      <c r="EY330" s="14" t="s">
        <v>166</v>
      </c>
      <c r="EZ330" s="16" t="s">
        <v>166</v>
      </c>
      <c r="FA330" s="15" t="s">
        <v>166</v>
      </c>
      <c r="FB330" s="15" t="s">
        <v>166</v>
      </c>
      <c r="FC330" s="15" t="s">
        <v>166</v>
      </c>
      <c r="FD330" s="15" t="s">
        <v>166</v>
      </c>
      <c r="FE330" s="15" t="s">
        <v>166</v>
      </c>
      <c r="FF330" s="15" t="s">
        <v>166</v>
      </c>
      <c r="FG330" s="14" t="s">
        <v>166</v>
      </c>
      <c r="FH330" s="3">
        <f>HYPERLINK("https://my.pitchbook.com?c=157643-92T","View Company Online")</f>
      </c>
    </row>
    <row r="331">
      <c r="A331" s="25" t="s">
        <v>6603</v>
      </c>
      <c r="B331" s="25" t="s">
        <v>6604</v>
      </c>
      <c r="C331" s="25" t="s">
        <v>6605</v>
      </c>
      <c r="D331" s="25" t="s">
        <v>166</v>
      </c>
      <c r="E331" s="34" t="s">
        <v>6606</v>
      </c>
      <c r="F331" s="32">
        <v>1</v>
      </c>
      <c r="G331" s="25" t="s">
        <v>6607</v>
      </c>
      <c r="H331" s="25" t="s">
        <v>166</v>
      </c>
      <c r="I331" s="25" t="s">
        <v>6608</v>
      </c>
      <c r="J331" s="25" t="s">
        <v>6609</v>
      </c>
      <c r="K331" s="25" t="s">
        <v>207</v>
      </c>
      <c r="L331" s="25" t="s">
        <v>208</v>
      </c>
      <c r="M331" s="25" t="s">
        <v>839</v>
      </c>
      <c r="N331" s="25" t="s">
        <v>6610</v>
      </c>
      <c r="O331" s="25" t="s">
        <v>6611</v>
      </c>
      <c r="P331" s="25" t="s">
        <v>6612</v>
      </c>
      <c r="Q331" s="25" t="s">
        <v>166</v>
      </c>
      <c r="R331" s="25" t="s">
        <v>177</v>
      </c>
      <c r="S331" s="25" t="s">
        <v>178</v>
      </c>
      <c r="T331" s="25" t="s">
        <v>179</v>
      </c>
      <c r="U331" s="25" t="s">
        <v>6613</v>
      </c>
      <c r="V331" s="25" t="s">
        <v>6614</v>
      </c>
      <c r="W331" s="32" t="s">
        <v>6615</v>
      </c>
      <c r="X331" s="25" t="s">
        <v>6616</v>
      </c>
      <c r="Y331" s="25" t="s">
        <v>6617</v>
      </c>
      <c r="Z331" s="25" t="s">
        <v>6618</v>
      </c>
      <c r="AA331" s="25" t="s">
        <v>166</v>
      </c>
      <c r="AB331" s="25" t="s">
        <v>166</v>
      </c>
      <c r="AC331" s="25" t="s">
        <v>166</v>
      </c>
      <c r="AD331" s="25" t="s">
        <v>166</v>
      </c>
      <c r="AE331" s="25" t="s">
        <v>166</v>
      </c>
      <c r="AF331" s="25" t="s">
        <v>166</v>
      </c>
      <c r="AG331" s="25" t="s">
        <v>166</v>
      </c>
      <c r="AH331" s="32">
        <v>2</v>
      </c>
      <c r="AI331" s="4">
        <f>HYPERLINK("https://my.pitchbook.com/?d=168624-01T","168624-01T")</f>
      </c>
      <c r="AJ331" s="30" t="s">
        <v>166</v>
      </c>
      <c r="AK331" s="30">
        <v>44272</v>
      </c>
      <c r="AL331" s="29">
        <v>2</v>
      </c>
      <c r="AM331" s="25" t="s">
        <v>185</v>
      </c>
      <c r="AN331" s="29" t="s">
        <v>166</v>
      </c>
      <c r="AO331" s="29" t="s">
        <v>166</v>
      </c>
      <c r="AP331" s="25" t="s">
        <v>166</v>
      </c>
      <c r="AQ331" s="32" t="s">
        <v>166</v>
      </c>
      <c r="AR331" s="32" t="s">
        <v>166</v>
      </c>
      <c r="AS331" s="28" t="s">
        <v>166</v>
      </c>
      <c r="AT331" s="29">
        <v>2</v>
      </c>
      <c r="AU331" s="32" t="s">
        <v>186</v>
      </c>
      <c r="AV331" s="32" t="s">
        <v>166</v>
      </c>
      <c r="AW331" s="29" t="s">
        <v>166</v>
      </c>
      <c r="AX331" s="32" t="s">
        <v>166</v>
      </c>
      <c r="AY331" s="25" t="s">
        <v>217</v>
      </c>
      <c r="AZ331" s="25" t="s">
        <v>217</v>
      </c>
      <c r="BA331" s="25" t="s">
        <v>166</v>
      </c>
      <c r="BB331" s="32" t="s">
        <v>166</v>
      </c>
      <c r="BC331" s="25" t="s">
        <v>179</v>
      </c>
      <c r="BD331" s="25" t="s">
        <v>6619</v>
      </c>
      <c r="BE331" s="25" t="s">
        <v>189</v>
      </c>
      <c r="BF331" s="29">
        <v>2</v>
      </c>
      <c r="BG331" s="25" t="s">
        <v>190</v>
      </c>
      <c r="BH331" s="25" t="s">
        <v>166</v>
      </c>
      <c r="BI331" s="25" t="s">
        <v>166</v>
      </c>
      <c r="BJ331" s="29" t="s">
        <v>166</v>
      </c>
      <c r="BK331" s="29" t="s">
        <v>166</v>
      </c>
      <c r="BL331" s="25" t="s">
        <v>191</v>
      </c>
      <c r="BM331" s="25" t="s">
        <v>178</v>
      </c>
      <c r="BN331" s="25" t="s">
        <v>177</v>
      </c>
      <c r="BO331" s="33" t="s">
        <v>166</v>
      </c>
      <c r="BP331" s="25" t="s">
        <v>6620</v>
      </c>
      <c r="BQ331" s="32">
        <v>1</v>
      </c>
      <c r="BR331" s="25" t="s">
        <v>166</v>
      </c>
      <c r="BS331" s="32" t="s">
        <v>166</v>
      </c>
      <c r="BT331" s="25" t="s">
        <v>166</v>
      </c>
      <c r="BU331" s="25" t="s">
        <v>166</v>
      </c>
      <c r="BV331" s="25" t="s">
        <v>6621</v>
      </c>
      <c r="BW331" s="25" t="s">
        <v>166</v>
      </c>
      <c r="BX331" s="25" t="s">
        <v>166</v>
      </c>
      <c r="BY331" s="25" t="s">
        <v>166</v>
      </c>
      <c r="BZ331" s="25" t="s">
        <v>166</v>
      </c>
      <c r="CA331" s="25" t="s">
        <v>166</v>
      </c>
      <c r="CB331" s="25" t="s">
        <v>166</v>
      </c>
      <c r="CC331" s="25" t="s">
        <v>166</v>
      </c>
      <c r="CD331" s="25" t="s">
        <v>166</v>
      </c>
      <c r="CE331" s="29" t="s">
        <v>166</v>
      </c>
      <c r="CF331" s="27" t="s">
        <v>166</v>
      </c>
      <c r="CG331" s="28" t="s">
        <v>166</v>
      </c>
      <c r="CH331" s="27" t="s">
        <v>166</v>
      </c>
      <c r="CI331" s="27" t="s">
        <v>166</v>
      </c>
      <c r="CJ331" s="27" t="s">
        <v>166</v>
      </c>
      <c r="CK331" s="27" t="s">
        <v>166</v>
      </c>
      <c r="CL331" s="27" t="s">
        <v>166</v>
      </c>
      <c r="CM331" s="31" t="s">
        <v>166</v>
      </c>
      <c r="CN331" s="27" t="s">
        <v>166</v>
      </c>
      <c r="CO331" s="27" t="s">
        <v>166</v>
      </c>
      <c r="CP331" s="27" t="s">
        <v>166</v>
      </c>
      <c r="CQ331" s="27" t="s">
        <v>166</v>
      </c>
      <c r="CR331" s="27" t="s">
        <v>166</v>
      </c>
      <c r="CS331" s="27" t="s">
        <v>166</v>
      </c>
      <c r="CT331" s="27" t="s">
        <v>166</v>
      </c>
      <c r="CU331" s="27" t="s">
        <v>166</v>
      </c>
      <c r="CV331" s="27" t="s">
        <v>166</v>
      </c>
      <c r="CW331" s="27" t="s">
        <v>166</v>
      </c>
      <c r="CX331" s="27" t="s">
        <v>166</v>
      </c>
      <c r="CY331" s="27" t="s">
        <v>166</v>
      </c>
      <c r="CZ331" s="27" t="s">
        <v>166</v>
      </c>
      <c r="DA331" s="27" t="s">
        <v>166</v>
      </c>
      <c r="DB331" s="27" t="s">
        <v>166</v>
      </c>
      <c r="DC331" s="27" t="s">
        <v>166</v>
      </c>
      <c r="DD331" s="27" t="s">
        <v>166</v>
      </c>
      <c r="DE331" s="28" t="s">
        <v>166</v>
      </c>
      <c r="DF331" s="33">
        <v>31</v>
      </c>
      <c r="DG331" s="25" t="s">
        <v>1191</v>
      </c>
      <c r="DH331" s="25" t="s">
        <v>193</v>
      </c>
      <c r="DI331" s="25" t="s">
        <v>194</v>
      </c>
      <c r="DJ331" s="25" t="s">
        <v>1192</v>
      </c>
      <c r="DK331" s="25" t="s">
        <v>1023</v>
      </c>
      <c r="DL331" s="32" t="s">
        <v>6622</v>
      </c>
      <c r="DM331" s="25" t="s">
        <v>198</v>
      </c>
      <c r="DN331" s="24" t="s">
        <v>6623</v>
      </c>
      <c r="DO331" s="31">
        <v>2017</v>
      </c>
      <c r="DP331" s="25" t="s">
        <v>166</v>
      </c>
      <c r="DQ331" s="25" t="s">
        <v>166</v>
      </c>
      <c r="DR331" s="29" t="s">
        <v>166</v>
      </c>
      <c r="DS331" s="27" t="s">
        <v>166</v>
      </c>
      <c r="DT331" s="30" t="s">
        <v>166</v>
      </c>
      <c r="DU331" s="25" t="s">
        <v>166</v>
      </c>
      <c r="DV331" s="29" t="s">
        <v>166</v>
      </c>
      <c r="DW331" s="29" t="s">
        <v>166</v>
      </c>
      <c r="DX331" s="27" t="s">
        <v>166</v>
      </c>
      <c r="DY331" s="27" t="s">
        <v>166</v>
      </c>
      <c r="DZ331" s="28" t="s">
        <v>166</v>
      </c>
      <c r="EA331" s="27" t="s">
        <v>166</v>
      </c>
      <c r="EB331" s="27" t="s">
        <v>166</v>
      </c>
      <c r="EC331" s="27" t="s">
        <v>166</v>
      </c>
      <c r="ED331" s="28" t="s">
        <v>166</v>
      </c>
      <c r="EE331" s="28" t="s">
        <v>166</v>
      </c>
      <c r="EF331" s="28" t="s">
        <v>166</v>
      </c>
      <c r="EG331" s="28" t="s">
        <v>166</v>
      </c>
      <c r="EH331" s="27" t="s">
        <v>166</v>
      </c>
      <c r="EI331" s="27" t="s">
        <v>166</v>
      </c>
      <c r="EJ331" s="27" t="s">
        <v>166</v>
      </c>
      <c r="EK331" s="27" t="s">
        <v>166</v>
      </c>
      <c r="EL331" s="27" t="s">
        <v>166</v>
      </c>
      <c r="EM331" s="27" t="s">
        <v>166</v>
      </c>
      <c r="EN331" s="27" t="s">
        <v>166</v>
      </c>
      <c r="EO331" s="27" t="s">
        <v>166</v>
      </c>
      <c r="EP331" s="27" t="s">
        <v>166</v>
      </c>
      <c r="EQ331" s="27" t="s">
        <v>166</v>
      </c>
      <c r="ER331" s="27" t="s">
        <v>166</v>
      </c>
      <c r="ES331" s="27" t="s">
        <v>166</v>
      </c>
      <c r="ET331" s="25" t="s">
        <v>166</v>
      </c>
      <c r="EU331" s="27" t="s">
        <v>166</v>
      </c>
      <c r="EV331" s="27" t="s">
        <v>166</v>
      </c>
      <c r="EW331" s="27" t="s">
        <v>166</v>
      </c>
      <c r="EX331" s="25" t="s">
        <v>190</v>
      </c>
      <c r="EY331" s="25" t="s">
        <v>166</v>
      </c>
      <c r="EZ331" s="27" t="s">
        <v>166</v>
      </c>
      <c r="FA331" s="26" t="s">
        <v>166</v>
      </c>
      <c r="FB331" s="26" t="s">
        <v>166</v>
      </c>
      <c r="FC331" s="26" t="s">
        <v>166</v>
      </c>
      <c r="FD331" s="26" t="s">
        <v>166</v>
      </c>
      <c r="FE331" s="26" t="s">
        <v>166</v>
      </c>
      <c r="FF331" s="26" t="s">
        <v>166</v>
      </c>
      <c r="FG331" s="25" t="s">
        <v>166</v>
      </c>
      <c r="FH331" s="4">
        <f>HYPERLINK("https://my.pitchbook.com?c=168624-01T","View Company Online")</f>
      </c>
    </row>
    <row r="332">
      <c r="A332" s="14" t="s">
        <v>6624</v>
      </c>
      <c r="B332" s="14" t="s">
        <v>6625</v>
      </c>
      <c r="C332" s="14" t="s">
        <v>6626</v>
      </c>
      <c r="D332" s="14" t="s">
        <v>166</v>
      </c>
      <c r="E332" s="23" t="s">
        <v>6627</v>
      </c>
      <c r="F332" s="21">
        <v>1</v>
      </c>
      <c r="G332" s="14" t="s">
        <v>166</v>
      </c>
      <c r="H332" s="14" t="s">
        <v>166</v>
      </c>
      <c r="I332" s="14" t="s">
        <v>6628</v>
      </c>
      <c r="J332" s="14" t="s">
        <v>6629</v>
      </c>
      <c r="K332" s="14" t="s">
        <v>207</v>
      </c>
      <c r="L332" s="14" t="s">
        <v>208</v>
      </c>
      <c r="M332" s="14" t="s">
        <v>639</v>
      </c>
      <c r="N332" s="14" t="s">
        <v>4716</v>
      </c>
      <c r="O332" s="14" t="s">
        <v>1842</v>
      </c>
      <c r="P332" s="14" t="s">
        <v>6630</v>
      </c>
      <c r="Q332" s="14" t="s">
        <v>166</v>
      </c>
      <c r="R332" s="14" t="s">
        <v>177</v>
      </c>
      <c r="S332" s="14" t="s">
        <v>178</v>
      </c>
      <c r="T332" s="14" t="s">
        <v>179</v>
      </c>
      <c r="U332" s="14" t="s">
        <v>6631</v>
      </c>
      <c r="V332" s="14" t="s">
        <v>6632</v>
      </c>
      <c r="W332" s="21" t="s">
        <v>6633</v>
      </c>
      <c r="X332" s="14" t="s">
        <v>6634</v>
      </c>
      <c r="Y332" s="14" t="s">
        <v>6635</v>
      </c>
      <c r="Z332" s="14" t="s">
        <v>6636</v>
      </c>
      <c r="AA332" s="14" t="s">
        <v>166</v>
      </c>
      <c r="AB332" s="14" t="s">
        <v>166</v>
      </c>
      <c r="AC332" s="14" t="s">
        <v>166</v>
      </c>
      <c r="AD332" s="14" t="s">
        <v>166</v>
      </c>
      <c r="AE332" s="14" t="s">
        <v>166</v>
      </c>
      <c r="AF332" s="14" t="s">
        <v>166</v>
      </c>
      <c r="AG332" s="14" t="s">
        <v>166</v>
      </c>
      <c r="AH332" s="21">
        <v>1</v>
      </c>
      <c r="AI332" s="3">
        <f>HYPERLINK("https://my.pitchbook.com/?d=181316-26T","181316-26T")</f>
      </c>
      <c r="AJ332" s="19" t="s">
        <v>166</v>
      </c>
      <c r="AK332" s="19">
        <v>44475</v>
      </c>
      <c r="AL332" s="18">
        <v>3</v>
      </c>
      <c r="AM332" s="14" t="s">
        <v>185</v>
      </c>
      <c r="AN332" s="18" t="s">
        <v>166</v>
      </c>
      <c r="AO332" s="18" t="s">
        <v>166</v>
      </c>
      <c r="AP332" s="14" t="s">
        <v>166</v>
      </c>
      <c r="AQ332" s="21" t="s">
        <v>166</v>
      </c>
      <c r="AR332" s="21" t="s">
        <v>166</v>
      </c>
      <c r="AS332" s="17" t="s">
        <v>166</v>
      </c>
      <c r="AT332" s="18">
        <v>3</v>
      </c>
      <c r="AU332" s="21" t="s">
        <v>186</v>
      </c>
      <c r="AV332" s="21" t="s">
        <v>166</v>
      </c>
      <c r="AW332" s="18" t="s">
        <v>166</v>
      </c>
      <c r="AX332" s="21" t="s">
        <v>166</v>
      </c>
      <c r="AY332" s="14" t="s">
        <v>217</v>
      </c>
      <c r="AZ332" s="14" t="s">
        <v>217</v>
      </c>
      <c r="BA332" s="14" t="s">
        <v>166</v>
      </c>
      <c r="BB332" s="21" t="s">
        <v>166</v>
      </c>
      <c r="BC332" s="14" t="s">
        <v>179</v>
      </c>
      <c r="BD332" s="14" t="s">
        <v>6629</v>
      </c>
      <c r="BE332" s="14" t="s">
        <v>189</v>
      </c>
      <c r="BF332" s="18">
        <v>3</v>
      </c>
      <c r="BG332" s="14" t="s">
        <v>190</v>
      </c>
      <c r="BH332" s="14" t="s">
        <v>166</v>
      </c>
      <c r="BI332" s="14" t="s">
        <v>166</v>
      </c>
      <c r="BJ332" s="18" t="s">
        <v>166</v>
      </c>
      <c r="BK332" s="18" t="s">
        <v>166</v>
      </c>
      <c r="BL332" s="14" t="s">
        <v>191</v>
      </c>
      <c r="BM332" s="14" t="s">
        <v>178</v>
      </c>
      <c r="BN332" s="14" t="s">
        <v>177</v>
      </c>
      <c r="BO332" s="22" t="s">
        <v>166</v>
      </c>
      <c r="BP332" s="14" t="s">
        <v>6637</v>
      </c>
      <c r="BQ332" s="21">
        <v>1</v>
      </c>
      <c r="BR332" s="14" t="s">
        <v>166</v>
      </c>
      <c r="BS332" s="21" t="s">
        <v>166</v>
      </c>
      <c r="BT332" s="14" t="s">
        <v>6627</v>
      </c>
      <c r="BU332" s="14" t="s">
        <v>166</v>
      </c>
      <c r="BV332" s="14" t="s">
        <v>166</v>
      </c>
      <c r="BW332" s="14" t="s">
        <v>166</v>
      </c>
      <c r="BX332" s="14" t="s">
        <v>166</v>
      </c>
      <c r="BY332" s="14" t="s">
        <v>166</v>
      </c>
      <c r="BZ332" s="14" t="s">
        <v>166</v>
      </c>
      <c r="CA332" s="14" t="s">
        <v>166</v>
      </c>
      <c r="CB332" s="14" t="s">
        <v>166</v>
      </c>
      <c r="CC332" s="14" t="s">
        <v>166</v>
      </c>
      <c r="CD332" s="14" t="s">
        <v>166</v>
      </c>
      <c r="CE332" s="18" t="s">
        <v>166</v>
      </c>
      <c r="CF332" s="16" t="s">
        <v>166</v>
      </c>
      <c r="CG332" s="17" t="s">
        <v>166</v>
      </c>
      <c r="CH332" s="16" t="s">
        <v>166</v>
      </c>
      <c r="CI332" s="16" t="s">
        <v>166</v>
      </c>
      <c r="CJ332" s="16" t="s">
        <v>166</v>
      </c>
      <c r="CK332" s="16" t="s">
        <v>166</v>
      </c>
      <c r="CL332" s="16" t="s">
        <v>166</v>
      </c>
      <c r="CM332" s="20" t="s">
        <v>166</v>
      </c>
      <c r="CN332" s="16" t="s">
        <v>166</v>
      </c>
      <c r="CO332" s="16" t="s">
        <v>166</v>
      </c>
      <c r="CP332" s="16" t="s">
        <v>166</v>
      </c>
      <c r="CQ332" s="16" t="s">
        <v>166</v>
      </c>
      <c r="CR332" s="16" t="s">
        <v>166</v>
      </c>
      <c r="CS332" s="16" t="s">
        <v>166</v>
      </c>
      <c r="CT332" s="16" t="s">
        <v>166</v>
      </c>
      <c r="CU332" s="16" t="s">
        <v>166</v>
      </c>
      <c r="CV332" s="16" t="s">
        <v>166</v>
      </c>
      <c r="CW332" s="16" t="s">
        <v>166</v>
      </c>
      <c r="CX332" s="16" t="s">
        <v>166</v>
      </c>
      <c r="CY332" s="16" t="s">
        <v>166</v>
      </c>
      <c r="CZ332" s="16" t="s">
        <v>166</v>
      </c>
      <c r="DA332" s="16" t="s">
        <v>166</v>
      </c>
      <c r="DB332" s="16" t="s">
        <v>166</v>
      </c>
      <c r="DC332" s="16" t="s">
        <v>166</v>
      </c>
      <c r="DD332" s="16" t="s">
        <v>166</v>
      </c>
      <c r="DE332" s="17" t="s">
        <v>166</v>
      </c>
      <c r="DF332" s="22" t="s">
        <v>166</v>
      </c>
      <c r="DG332" s="14" t="s">
        <v>6638</v>
      </c>
      <c r="DH332" s="14" t="s">
        <v>193</v>
      </c>
      <c r="DI332" s="14" t="s">
        <v>194</v>
      </c>
      <c r="DJ332" s="14" t="s">
        <v>6639</v>
      </c>
      <c r="DK332" s="14" t="s">
        <v>4226</v>
      </c>
      <c r="DL332" s="21" t="s">
        <v>6640</v>
      </c>
      <c r="DM332" s="14" t="s">
        <v>198</v>
      </c>
      <c r="DN332" s="13" t="s">
        <v>6641</v>
      </c>
      <c r="DO332" s="20">
        <v>2020</v>
      </c>
      <c r="DP332" s="14" t="s">
        <v>166</v>
      </c>
      <c r="DQ332" s="14" t="s">
        <v>166</v>
      </c>
      <c r="DR332" s="18" t="s">
        <v>166</v>
      </c>
      <c r="DS332" s="16" t="s">
        <v>166</v>
      </c>
      <c r="DT332" s="19" t="s">
        <v>166</v>
      </c>
      <c r="DU332" s="14" t="s">
        <v>166</v>
      </c>
      <c r="DV332" s="18" t="s">
        <v>166</v>
      </c>
      <c r="DW332" s="18" t="s">
        <v>166</v>
      </c>
      <c r="DX332" s="16" t="s">
        <v>166</v>
      </c>
      <c r="DY332" s="16" t="s">
        <v>166</v>
      </c>
      <c r="DZ332" s="17" t="s">
        <v>166</v>
      </c>
      <c r="EA332" s="16" t="s">
        <v>166</v>
      </c>
      <c r="EB332" s="16" t="s">
        <v>166</v>
      </c>
      <c r="EC332" s="16" t="s">
        <v>166</v>
      </c>
      <c r="ED332" s="17" t="s">
        <v>166</v>
      </c>
      <c r="EE332" s="17" t="s">
        <v>166</v>
      </c>
      <c r="EF332" s="17" t="s">
        <v>166</v>
      </c>
      <c r="EG332" s="17" t="s">
        <v>166</v>
      </c>
      <c r="EH332" s="16" t="s">
        <v>166</v>
      </c>
      <c r="EI332" s="16" t="s">
        <v>166</v>
      </c>
      <c r="EJ332" s="16" t="s">
        <v>166</v>
      </c>
      <c r="EK332" s="16" t="s">
        <v>166</v>
      </c>
      <c r="EL332" s="16" t="s">
        <v>166</v>
      </c>
      <c r="EM332" s="16" t="s">
        <v>166</v>
      </c>
      <c r="EN332" s="16" t="s">
        <v>166</v>
      </c>
      <c r="EO332" s="16" t="s">
        <v>166</v>
      </c>
      <c r="EP332" s="16" t="s">
        <v>166</v>
      </c>
      <c r="EQ332" s="16" t="s">
        <v>166</v>
      </c>
      <c r="ER332" s="16" t="s">
        <v>166</v>
      </c>
      <c r="ES332" s="16" t="s">
        <v>166</v>
      </c>
      <c r="ET332" s="14" t="s">
        <v>166</v>
      </c>
      <c r="EU332" s="16" t="s">
        <v>166</v>
      </c>
      <c r="EV332" s="16" t="s">
        <v>166</v>
      </c>
      <c r="EW332" s="16" t="s">
        <v>166</v>
      </c>
      <c r="EX332" s="14" t="s">
        <v>190</v>
      </c>
      <c r="EY332" s="14" t="s">
        <v>166</v>
      </c>
      <c r="EZ332" s="16" t="s">
        <v>166</v>
      </c>
      <c r="FA332" s="15" t="s">
        <v>166</v>
      </c>
      <c r="FB332" s="15" t="s">
        <v>166</v>
      </c>
      <c r="FC332" s="15" t="s">
        <v>166</v>
      </c>
      <c r="FD332" s="15" t="s">
        <v>166</v>
      </c>
      <c r="FE332" s="15" t="s">
        <v>166</v>
      </c>
      <c r="FF332" s="15" t="s">
        <v>166</v>
      </c>
      <c r="FG332" s="14" t="s">
        <v>166</v>
      </c>
      <c r="FH332" s="3">
        <f>HYPERLINK("https://my.pitchbook.com?c=181316-26T","View Company Online")</f>
      </c>
    </row>
    <row r="333">
      <c r="A333" s="25" t="s">
        <v>6642</v>
      </c>
      <c r="B333" s="25" t="s">
        <v>6643</v>
      </c>
      <c r="C333" s="25" t="s">
        <v>6644</v>
      </c>
      <c r="D333" s="25" t="s">
        <v>166</v>
      </c>
      <c r="E333" s="34" t="s">
        <v>6645</v>
      </c>
      <c r="F333" s="32">
        <v>20</v>
      </c>
      <c r="G333" s="25" t="s">
        <v>6646</v>
      </c>
      <c r="H333" s="25" t="s">
        <v>166</v>
      </c>
      <c r="I333" s="25" t="s">
        <v>6647</v>
      </c>
      <c r="J333" s="25" t="s">
        <v>6648</v>
      </c>
      <c r="K333" s="25" t="s">
        <v>171</v>
      </c>
      <c r="L333" s="25" t="s">
        <v>172</v>
      </c>
      <c r="M333" s="25" t="s">
        <v>818</v>
      </c>
      <c r="N333" s="25" t="s">
        <v>819</v>
      </c>
      <c r="O333" s="25" t="s">
        <v>6649</v>
      </c>
      <c r="P333" s="25" t="s">
        <v>6650</v>
      </c>
      <c r="Q333" s="25" t="s">
        <v>166</v>
      </c>
      <c r="R333" s="25" t="s">
        <v>177</v>
      </c>
      <c r="S333" s="25" t="s">
        <v>178</v>
      </c>
      <c r="T333" s="25" t="s">
        <v>179</v>
      </c>
      <c r="U333" s="25" t="s">
        <v>6651</v>
      </c>
      <c r="V333" s="25" t="s">
        <v>6652</v>
      </c>
      <c r="W333" s="32" t="s">
        <v>6653</v>
      </c>
      <c r="X333" s="25" t="s">
        <v>6654</v>
      </c>
      <c r="Y333" s="25" t="s">
        <v>6655</v>
      </c>
      <c r="Z333" s="25" t="s">
        <v>6656</v>
      </c>
      <c r="AA333" s="25" t="s">
        <v>242</v>
      </c>
      <c r="AB333" s="25" t="s">
        <v>243</v>
      </c>
      <c r="AC333" s="25" t="s">
        <v>244</v>
      </c>
      <c r="AD333" s="25" t="s">
        <v>243</v>
      </c>
      <c r="AE333" s="25" t="s">
        <v>243</v>
      </c>
      <c r="AF333" s="25" t="s">
        <v>166</v>
      </c>
      <c r="AG333" s="25" t="s">
        <v>246</v>
      </c>
      <c r="AH333" s="32">
        <v>3</v>
      </c>
      <c r="AI333" s="4">
        <f>HYPERLINK("https://my.pitchbook.com/?d=170197-75T","170197-75T")</f>
      </c>
      <c r="AJ333" s="30" t="s">
        <v>166</v>
      </c>
      <c r="AK333" s="30">
        <v>44294</v>
      </c>
      <c r="AL333" s="29">
        <v>8.62</v>
      </c>
      <c r="AM333" s="25" t="s">
        <v>185</v>
      </c>
      <c r="AN333" s="29">
        <v>20</v>
      </c>
      <c r="AO333" s="29">
        <v>28.62</v>
      </c>
      <c r="AP333" s="25" t="s">
        <v>185</v>
      </c>
      <c r="AQ333" s="32" t="s">
        <v>166</v>
      </c>
      <c r="AR333" s="32">
        <v>5.75</v>
      </c>
      <c r="AS333" s="28">
        <v>38.68</v>
      </c>
      <c r="AT333" s="29">
        <v>9.24</v>
      </c>
      <c r="AU333" s="32" t="s">
        <v>186</v>
      </c>
      <c r="AV333" s="32" t="s">
        <v>166</v>
      </c>
      <c r="AW333" s="29">
        <v>1.94</v>
      </c>
      <c r="AX333" s="32" t="s">
        <v>248</v>
      </c>
      <c r="AY333" s="25" t="s">
        <v>249</v>
      </c>
      <c r="AZ333" s="25" t="s">
        <v>248</v>
      </c>
      <c r="BA333" s="25" t="s">
        <v>166</v>
      </c>
      <c r="BB333" s="32" t="s">
        <v>166</v>
      </c>
      <c r="BC333" s="25" t="s">
        <v>179</v>
      </c>
      <c r="BD333" s="25" t="s">
        <v>6657</v>
      </c>
      <c r="BE333" s="25" t="s">
        <v>189</v>
      </c>
      <c r="BF333" s="29">
        <v>8.62</v>
      </c>
      <c r="BG333" s="25" t="s">
        <v>190</v>
      </c>
      <c r="BH333" s="25" t="s">
        <v>166</v>
      </c>
      <c r="BI333" s="25" t="s">
        <v>166</v>
      </c>
      <c r="BJ333" s="29" t="s">
        <v>166</v>
      </c>
      <c r="BK333" s="29" t="s">
        <v>166</v>
      </c>
      <c r="BL333" s="25" t="s">
        <v>191</v>
      </c>
      <c r="BM333" s="25" t="s">
        <v>178</v>
      </c>
      <c r="BN333" s="25" t="s">
        <v>177</v>
      </c>
      <c r="BO333" s="33">
        <v>13</v>
      </c>
      <c r="BP333" s="25" t="s">
        <v>6658</v>
      </c>
      <c r="BQ333" s="32">
        <v>16</v>
      </c>
      <c r="BR333" s="25" t="s">
        <v>6659</v>
      </c>
      <c r="BS333" s="32">
        <v>4</v>
      </c>
      <c r="BT333" s="25" t="s">
        <v>6660</v>
      </c>
      <c r="BU333" s="25" t="s">
        <v>166</v>
      </c>
      <c r="BV333" s="25" t="s">
        <v>6661</v>
      </c>
      <c r="BW333" s="25" t="s">
        <v>166</v>
      </c>
      <c r="BX333" s="25" t="s">
        <v>166</v>
      </c>
      <c r="BY333" s="25" t="s">
        <v>166</v>
      </c>
      <c r="BZ333" s="25" t="s">
        <v>6662</v>
      </c>
      <c r="CA333" s="25" t="s">
        <v>6662</v>
      </c>
      <c r="CB333" s="25" t="s">
        <v>166</v>
      </c>
      <c r="CC333" s="25" t="s">
        <v>166</v>
      </c>
      <c r="CD333" s="25" t="s">
        <v>166</v>
      </c>
      <c r="CE333" s="29" t="s">
        <v>166</v>
      </c>
      <c r="CF333" s="27" t="s">
        <v>166</v>
      </c>
      <c r="CG333" s="28" t="s">
        <v>166</v>
      </c>
      <c r="CH333" s="27" t="s">
        <v>166</v>
      </c>
      <c r="CI333" s="27" t="s">
        <v>166</v>
      </c>
      <c r="CJ333" s="27" t="s">
        <v>166</v>
      </c>
      <c r="CK333" s="27" t="s">
        <v>166</v>
      </c>
      <c r="CL333" s="27" t="s">
        <v>166</v>
      </c>
      <c r="CM333" s="31" t="s">
        <v>166</v>
      </c>
      <c r="CN333" s="27" t="s">
        <v>166</v>
      </c>
      <c r="CO333" s="27" t="s">
        <v>166</v>
      </c>
      <c r="CP333" s="27" t="s">
        <v>166</v>
      </c>
      <c r="CQ333" s="27" t="s">
        <v>166</v>
      </c>
      <c r="CR333" s="27" t="s">
        <v>166</v>
      </c>
      <c r="CS333" s="27" t="s">
        <v>166</v>
      </c>
      <c r="CT333" s="27" t="s">
        <v>166</v>
      </c>
      <c r="CU333" s="27" t="s">
        <v>166</v>
      </c>
      <c r="CV333" s="27" t="s">
        <v>166</v>
      </c>
      <c r="CW333" s="27" t="s">
        <v>166</v>
      </c>
      <c r="CX333" s="27" t="s">
        <v>166</v>
      </c>
      <c r="CY333" s="27" t="s">
        <v>166</v>
      </c>
      <c r="CZ333" s="27" t="s">
        <v>166</v>
      </c>
      <c r="DA333" s="27" t="s">
        <v>166</v>
      </c>
      <c r="DB333" s="27" t="s">
        <v>166</v>
      </c>
      <c r="DC333" s="27" t="s">
        <v>166</v>
      </c>
      <c r="DD333" s="27" t="s">
        <v>166</v>
      </c>
      <c r="DE333" s="28" t="s">
        <v>166</v>
      </c>
      <c r="DF333" s="33">
        <v>44</v>
      </c>
      <c r="DG333" s="25" t="s">
        <v>1634</v>
      </c>
      <c r="DH333" s="25" t="s">
        <v>193</v>
      </c>
      <c r="DI333" s="25" t="s">
        <v>194</v>
      </c>
      <c r="DJ333" s="25" t="s">
        <v>1635</v>
      </c>
      <c r="DK333" s="25" t="s">
        <v>408</v>
      </c>
      <c r="DL333" s="32" t="s">
        <v>6663</v>
      </c>
      <c r="DM333" s="25" t="s">
        <v>198</v>
      </c>
      <c r="DN333" s="24" t="s">
        <v>6664</v>
      </c>
      <c r="DO333" s="31">
        <v>2011</v>
      </c>
      <c r="DP333" s="25" t="s">
        <v>166</v>
      </c>
      <c r="DQ333" s="25" t="s">
        <v>166</v>
      </c>
      <c r="DR333" s="29" t="s">
        <v>166</v>
      </c>
      <c r="DS333" s="27" t="s">
        <v>166</v>
      </c>
      <c r="DT333" s="30" t="s">
        <v>166</v>
      </c>
      <c r="DU333" s="25" t="s">
        <v>166</v>
      </c>
      <c r="DV333" s="29" t="s">
        <v>166</v>
      </c>
      <c r="DW333" s="29" t="s">
        <v>166</v>
      </c>
      <c r="DX333" s="27" t="s">
        <v>166</v>
      </c>
      <c r="DY333" s="27" t="s">
        <v>166</v>
      </c>
      <c r="DZ333" s="28" t="s">
        <v>166</v>
      </c>
      <c r="EA333" s="27" t="s">
        <v>166</v>
      </c>
      <c r="EB333" s="27" t="s">
        <v>166</v>
      </c>
      <c r="EC333" s="27" t="s">
        <v>166</v>
      </c>
      <c r="ED333" s="28" t="s">
        <v>166</v>
      </c>
      <c r="EE333" s="28" t="s">
        <v>166</v>
      </c>
      <c r="EF333" s="28" t="s">
        <v>166</v>
      </c>
      <c r="EG333" s="28" t="s">
        <v>166</v>
      </c>
      <c r="EH333" s="27" t="s">
        <v>166</v>
      </c>
      <c r="EI333" s="27" t="s">
        <v>166</v>
      </c>
      <c r="EJ333" s="27" t="s">
        <v>166</v>
      </c>
      <c r="EK333" s="27" t="s">
        <v>166</v>
      </c>
      <c r="EL333" s="27" t="s">
        <v>166</v>
      </c>
      <c r="EM333" s="27" t="s">
        <v>166</v>
      </c>
      <c r="EN333" s="27" t="s">
        <v>166</v>
      </c>
      <c r="EO333" s="27" t="s">
        <v>166</v>
      </c>
      <c r="EP333" s="27" t="s">
        <v>166</v>
      </c>
      <c r="EQ333" s="27" t="s">
        <v>166</v>
      </c>
      <c r="ER333" s="27" t="s">
        <v>166</v>
      </c>
      <c r="ES333" s="27" t="s">
        <v>166</v>
      </c>
      <c r="ET333" s="25" t="s">
        <v>166</v>
      </c>
      <c r="EU333" s="27" t="s">
        <v>166</v>
      </c>
      <c r="EV333" s="27" t="s">
        <v>166</v>
      </c>
      <c r="EW333" s="27" t="s">
        <v>166</v>
      </c>
      <c r="EX333" s="25" t="s">
        <v>190</v>
      </c>
      <c r="EY333" s="25" t="s">
        <v>166</v>
      </c>
      <c r="EZ333" s="27" t="s">
        <v>166</v>
      </c>
      <c r="FA333" s="26" t="s">
        <v>166</v>
      </c>
      <c r="FB333" s="26" t="s">
        <v>166</v>
      </c>
      <c r="FC333" s="26" t="s">
        <v>166</v>
      </c>
      <c r="FD333" s="26" t="s">
        <v>166</v>
      </c>
      <c r="FE333" s="26" t="s">
        <v>166</v>
      </c>
      <c r="FF333" s="26" t="s">
        <v>166</v>
      </c>
      <c r="FG333" s="25" t="s">
        <v>166</v>
      </c>
      <c r="FH333" s="4">
        <f>HYPERLINK("https://my.pitchbook.com?c=170197-75T","View Company Online")</f>
      </c>
    </row>
    <row r="334">
      <c r="A334" s="14" t="s">
        <v>6665</v>
      </c>
      <c r="B334" s="14" t="s">
        <v>6666</v>
      </c>
      <c r="C334" s="14" t="s">
        <v>6667</v>
      </c>
      <c r="D334" s="14" t="s">
        <v>166</v>
      </c>
      <c r="E334" s="23" t="s">
        <v>6668</v>
      </c>
      <c r="F334" s="21">
        <v>5</v>
      </c>
      <c r="G334" s="14" t="s">
        <v>6669</v>
      </c>
      <c r="H334" s="14" t="s">
        <v>166</v>
      </c>
      <c r="I334" s="14" t="s">
        <v>6670</v>
      </c>
      <c r="J334" s="14" t="s">
        <v>6671</v>
      </c>
      <c r="K334" s="14" t="s">
        <v>207</v>
      </c>
      <c r="L334" s="14" t="s">
        <v>208</v>
      </c>
      <c r="M334" s="14" t="s">
        <v>296</v>
      </c>
      <c r="N334" s="14" t="s">
        <v>6672</v>
      </c>
      <c r="O334" s="14" t="s">
        <v>6673</v>
      </c>
      <c r="P334" s="14" t="s">
        <v>6674</v>
      </c>
      <c r="Q334" s="14" t="s">
        <v>166</v>
      </c>
      <c r="R334" s="14" t="s">
        <v>177</v>
      </c>
      <c r="S334" s="14" t="s">
        <v>178</v>
      </c>
      <c r="T334" s="14" t="s">
        <v>179</v>
      </c>
      <c r="U334" s="14" t="s">
        <v>6675</v>
      </c>
      <c r="V334" s="14" t="s">
        <v>6676</v>
      </c>
      <c r="W334" s="21" t="s">
        <v>6677</v>
      </c>
      <c r="X334" s="14" t="s">
        <v>6678</v>
      </c>
      <c r="Y334" s="14" t="s">
        <v>6679</v>
      </c>
      <c r="Z334" s="14" t="s">
        <v>166</v>
      </c>
      <c r="AA334" s="14" t="s">
        <v>166</v>
      </c>
      <c r="AB334" s="14" t="s">
        <v>166</v>
      </c>
      <c r="AC334" s="14" t="s">
        <v>166</v>
      </c>
      <c r="AD334" s="14" t="s">
        <v>166</v>
      </c>
      <c r="AE334" s="14" t="s">
        <v>166</v>
      </c>
      <c r="AF334" s="14" t="s">
        <v>166</v>
      </c>
      <c r="AG334" s="14" t="s">
        <v>166</v>
      </c>
      <c r="AH334" s="21">
        <v>2</v>
      </c>
      <c r="AI334" s="3">
        <f>HYPERLINK("https://my.pitchbook.com/?d=271256-59T","271256-59T")</f>
      </c>
      <c r="AJ334" s="19" t="s">
        <v>166</v>
      </c>
      <c r="AK334" s="19">
        <v>45539</v>
      </c>
      <c r="AL334" s="18">
        <v>3.2</v>
      </c>
      <c r="AM334" s="14" t="s">
        <v>185</v>
      </c>
      <c r="AN334" s="18" t="s">
        <v>166</v>
      </c>
      <c r="AO334" s="18" t="s">
        <v>166</v>
      </c>
      <c r="AP334" s="14" t="s">
        <v>166</v>
      </c>
      <c r="AQ334" s="21" t="s">
        <v>166</v>
      </c>
      <c r="AR334" s="21" t="s">
        <v>166</v>
      </c>
      <c r="AS334" s="17" t="s">
        <v>166</v>
      </c>
      <c r="AT334" s="18">
        <v>3.7</v>
      </c>
      <c r="AU334" s="21" t="s">
        <v>186</v>
      </c>
      <c r="AV334" s="21" t="s">
        <v>166</v>
      </c>
      <c r="AW334" s="18" t="s">
        <v>166</v>
      </c>
      <c r="AX334" s="21" t="s">
        <v>166</v>
      </c>
      <c r="AY334" s="14" t="s">
        <v>217</v>
      </c>
      <c r="AZ334" s="14" t="s">
        <v>217</v>
      </c>
      <c r="BA334" s="14" t="s">
        <v>166</v>
      </c>
      <c r="BB334" s="21" t="s">
        <v>166</v>
      </c>
      <c r="BC334" s="14" t="s">
        <v>179</v>
      </c>
      <c r="BD334" s="14" t="s">
        <v>6671</v>
      </c>
      <c r="BE334" s="14" t="s">
        <v>189</v>
      </c>
      <c r="BF334" s="18">
        <v>3.2</v>
      </c>
      <c r="BG334" s="14" t="s">
        <v>190</v>
      </c>
      <c r="BH334" s="14" t="s">
        <v>166</v>
      </c>
      <c r="BI334" s="14" t="s">
        <v>166</v>
      </c>
      <c r="BJ334" s="18" t="s">
        <v>166</v>
      </c>
      <c r="BK334" s="18" t="s">
        <v>166</v>
      </c>
      <c r="BL334" s="14" t="s">
        <v>191</v>
      </c>
      <c r="BM334" s="14" t="s">
        <v>178</v>
      </c>
      <c r="BN334" s="14" t="s">
        <v>177</v>
      </c>
      <c r="BO334" s="22" t="s">
        <v>166</v>
      </c>
      <c r="BP334" s="14" t="s">
        <v>6680</v>
      </c>
      <c r="BQ334" s="21">
        <v>4</v>
      </c>
      <c r="BR334" s="14" t="s">
        <v>914</v>
      </c>
      <c r="BS334" s="21">
        <v>1</v>
      </c>
      <c r="BT334" s="14" t="s">
        <v>166</v>
      </c>
      <c r="BU334" s="14" t="s">
        <v>166</v>
      </c>
      <c r="BV334" s="14" t="s">
        <v>166</v>
      </c>
      <c r="BW334" s="14" t="s">
        <v>166</v>
      </c>
      <c r="BX334" s="14" t="s">
        <v>166</v>
      </c>
      <c r="BY334" s="14" t="s">
        <v>166</v>
      </c>
      <c r="BZ334" s="14" t="s">
        <v>166</v>
      </c>
      <c r="CA334" s="14" t="s">
        <v>166</v>
      </c>
      <c r="CB334" s="14" t="s">
        <v>166</v>
      </c>
      <c r="CC334" s="14" t="s">
        <v>166</v>
      </c>
      <c r="CD334" s="14" t="s">
        <v>166</v>
      </c>
      <c r="CE334" s="18" t="s">
        <v>166</v>
      </c>
      <c r="CF334" s="16" t="s">
        <v>166</v>
      </c>
      <c r="CG334" s="17" t="s">
        <v>166</v>
      </c>
      <c r="CH334" s="16" t="s">
        <v>166</v>
      </c>
      <c r="CI334" s="16" t="s">
        <v>166</v>
      </c>
      <c r="CJ334" s="16" t="s">
        <v>166</v>
      </c>
      <c r="CK334" s="16" t="s">
        <v>166</v>
      </c>
      <c r="CL334" s="16" t="s">
        <v>166</v>
      </c>
      <c r="CM334" s="20" t="s">
        <v>166</v>
      </c>
      <c r="CN334" s="16" t="s">
        <v>166</v>
      </c>
      <c r="CO334" s="16" t="s">
        <v>166</v>
      </c>
      <c r="CP334" s="16" t="s">
        <v>166</v>
      </c>
      <c r="CQ334" s="16" t="s">
        <v>166</v>
      </c>
      <c r="CR334" s="16" t="s">
        <v>166</v>
      </c>
      <c r="CS334" s="16" t="s">
        <v>166</v>
      </c>
      <c r="CT334" s="16" t="s">
        <v>166</v>
      </c>
      <c r="CU334" s="16" t="s">
        <v>166</v>
      </c>
      <c r="CV334" s="16" t="s">
        <v>166</v>
      </c>
      <c r="CW334" s="16" t="s">
        <v>166</v>
      </c>
      <c r="CX334" s="16" t="s">
        <v>166</v>
      </c>
      <c r="CY334" s="16" t="s">
        <v>166</v>
      </c>
      <c r="CZ334" s="16" t="s">
        <v>166</v>
      </c>
      <c r="DA334" s="16" t="s">
        <v>166</v>
      </c>
      <c r="DB334" s="16" t="s">
        <v>166</v>
      </c>
      <c r="DC334" s="16" t="s">
        <v>166</v>
      </c>
      <c r="DD334" s="16" t="s">
        <v>166</v>
      </c>
      <c r="DE334" s="17" t="s">
        <v>166</v>
      </c>
      <c r="DF334" s="22">
        <v>10</v>
      </c>
      <c r="DG334" s="14" t="s">
        <v>6681</v>
      </c>
      <c r="DH334" s="14" t="s">
        <v>193</v>
      </c>
      <c r="DI334" s="14" t="s">
        <v>194</v>
      </c>
      <c r="DJ334" s="14" t="s">
        <v>6682</v>
      </c>
      <c r="DK334" s="14" t="s">
        <v>257</v>
      </c>
      <c r="DL334" s="21" t="s">
        <v>6683</v>
      </c>
      <c r="DM334" s="14" t="s">
        <v>198</v>
      </c>
      <c r="DN334" s="13" t="s">
        <v>6684</v>
      </c>
      <c r="DO334" s="20">
        <v>2023</v>
      </c>
      <c r="DP334" s="14" t="s">
        <v>166</v>
      </c>
      <c r="DQ334" s="14" t="s">
        <v>166</v>
      </c>
      <c r="DR334" s="18" t="s">
        <v>166</v>
      </c>
      <c r="DS334" s="16" t="s">
        <v>166</v>
      </c>
      <c r="DT334" s="19" t="s">
        <v>166</v>
      </c>
      <c r="DU334" s="14" t="s">
        <v>166</v>
      </c>
      <c r="DV334" s="18" t="s">
        <v>166</v>
      </c>
      <c r="DW334" s="18" t="s">
        <v>166</v>
      </c>
      <c r="DX334" s="16" t="s">
        <v>166</v>
      </c>
      <c r="DY334" s="16" t="s">
        <v>166</v>
      </c>
      <c r="DZ334" s="17" t="s">
        <v>166</v>
      </c>
      <c r="EA334" s="16" t="s">
        <v>166</v>
      </c>
      <c r="EB334" s="16" t="s">
        <v>166</v>
      </c>
      <c r="EC334" s="16" t="s">
        <v>166</v>
      </c>
      <c r="ED334" s="17" t="s">
        <v>166</v>
      </c>
      <c r="EE334" s="17" t="s">
        <v>166</v>
      </c>
      <c r="EF334" s="17" t="s">
        <v>166</v>
      </c>
      <c r="EG334" s="17" t="s">
        <v>166</v>
      </c>
      <c r="EH334" s="16" t="s">
        <v>166</v>
      </c>
      <c r="EI334" s="16" t="s">
        <v>166</v>
      </c>
      <c r="EJ334" s="16" t="s">
        <v>166</v>
      </c>
      <c r="EK334" s="16" t="s">
        <v>166</v>
      </c>
      <c r="EL334" s="16" t="s">
        <v>166</v>
      </c>
      <c r="EM334" s="16" t="s">
        <v>166</v>
      </c>
      <c r="EN334" s="16" t="s">
        <v>166</v>
      </c>
      <c r="EO334" s="16" t="s">
        <v>166</v>
      </c>
      <c r="EP334" s="16" t="s">
        <v>166</v>
      </c>
      <c r="EQ334" s="16" t="s">
        <v>166</v>
      </c>
      <c r="ER334" s="16" t="s">
        <v>166</v>
      </c>
      <c r="ES334" s="16" t="s">
        <v>166</v>
      </c>
      <c r="ET334" s="14" t="s">
        <v>166</v>
      </c>
      <c r="EU334" s="16" t="s">
        <v>166</v>
      </c>
      <c r="EV334" s="16" t="s">
        <v>166</v>
      </c>
      <c r="EW334" s="16" t="s">
        <v>166</v>
      </c>
      <c r="EX334" s="14" t="s">
        <v>190</v>
      </c>
      <c r="EY334" s="14" t="s">
        <v>166</v>
      </c>
      <c r="EZ334" s="16" t="s">
        <v>166</v>
      </c>
      <c r="FA334" s="15" t="s">
        <v>166</v>
      </c>
      <c r="FB334" s="15" t="s">
        <v>166</v>
      </c>
      <c r="FC334" s="15" t="s">
        <v>166</v>
      </c>
      <c r="FD334" s="15" t="s">
        <v>166</v>
      </c>
      <c r="FE334" s="15" t="s">
        <v>166</v>
      </c>
      <c r="FF334" s="15" t="s">
        <v>166</v>
      </c>
      <c r="FG334" s="14" t="s">
        <v>166</v>
      </c>
      <c r="FH334" s="3">
        <f>HYPERLINK("https://my.pitchbook.com?c=271256-59T","View Company Online")</f>
      </c>
    </row>
    <row r="335">
      <c r="A335" s="25" t="s">
        <v>6685</v>
      </c>
      <c r="B335" s="25" t="s">
        <v>6686</v>
      </c>
      <c r="C335" s="25" t="s">
        <v>6687</v>
      </c>
      <c r="D335" s="25" t="s">
        <v>166</v>
      </c>
      <c r="E335" s="34" t="s">
        <v>6688</v>
      </c>
      <c r="F335" s="32">
        <v>7</v>
      </c>
      <c r="G335" s="25" t="s">
        <v>6689</v>
      </c>
      <c r="H335" s="25" t="s">
        <v>166</v>
      </c>
      <c r="I335" s="25" t="s">
        <v>6690</v>
      </c>
      <c r="J335" s="25" t="s">
        <v>6691</v>
      </c>
      <c r="K335" s="25" t="s">
        <v>207</v>
      </c>
      <c r="L335" s="25" t="s">
        <v>208</v>
      </c>
      <c r="M335" s="25" t="s">
        <v>1940</v>
      </c>
      <c r="N335" s="25" t="s">
        <v>6692</v>
      </c>
      <c r="O335" s="25" t="s">
        <v>6693</v>
      </c>
      <c r="P335" s="25" t="s">
        <v>6694</v>
      </c>
      <c r="Q335" s="25" t="s">
        <v>166</v>
      </c>
      <c r="R335" s="25" t="s">
        <v>177</v>
      </c>
      <c r="S335" s="25" t="s">
        <v>178</v>
      </c>
      <c r="T335" s="25" t="s">
        <v>179</v>
      </c>
      <c r="U335" s="25" t="s">
        <v>6695</v>
      </c>
      <c r="V335" s="25" t="s">
        <v>6696</v>
      </c>
      <c r="W335" s="32" t="s">
        <v>6697</v>
      </c>
      <c r="X335" s="25" t="s">
        <v>6698</v>
      </c>
      <c r="Y335" s="25" t="s">
        <v>6699</v>
      </c>
      <c r="Z335" s="25" t="s">
        <v>166</v>
      </c>
      <c r="AA335" s="25" t="s">
        <v>242</v>
      </c>
      <c r="AB335" s="25" t="s">
        <v>243</v>
      </c>
      <c r="AC335" s="25" t="s">
        <v>244</v>
      </c>
      <c r="AD335" s="25" t="s">
        <v>243</v>
      </c>
      <c r="AE335" s="25" t="s">
        <v>243</v>
      </c>
      <c r="AF335" s="25" t="s">
        <v>166</v>
      </c>
      <c r="AG335" s="25" t="s">
        <v>246</v>
      </c>
      <c r="AH335" s="32">
        <v>1</v>
      </c>
      <c r="AI335" s="4">
        <f>HYPERLINK("https://my.pitchbook.com/?d=134318-62T","134318-62T")</f>
      </c>
      <c r="AJ335" s="30">
        <v>43976</v>
      </c>
      <c r="AK335" s="30">
        <v>44328</v>
      </c>
      <c r="AL335" s="29">
        <v>1.28</v>
      </c>
      <c r="AM335" s="25" t="s">
        <v>185</v>
      </c>
      <c r="AN335" s="29">
        <v>3.72</v>
      </c>
      <c r="AO335" s="29">
        <v>5</v>
      </c>
      <c r="AP335" s="25" t="s">
        <v>185</v>
      </c>
      <c r="AQ335" s="32" t="s">
        <v>166</v>
      </c>
      <c r="AR335" s="32" t="s">
        <v>166</v>
      </c>
      <c r="AS335" s="28">
        <v>31.66</v>
      </c>
      <c r="AT335" s="29">
        <v>1.28</v>
      </c>
      <c r="AU335" s="32" t="s">
        <v>186</v>
      </c>
      <c r="AV335" s="32" t="s">
        <v>166</v>
      </c>
      <c r="AW335" s="29">
        <v>0.34</v>
      </c>
      <c r="AX335" s="32" t="s">
        <v>166</v>
      </c>
      <c r="AY335" s="25" t="s">
        <v>217</v>
      </c>
      <c r="AZ335" s="25" t="s">
        <v>217</v>
      </c>
      <c r="BA335" s="25" t="s">
        <v>166</v>
      </c>
      <c r="BB335" s="32" t="s">
        <v>166</v>
      </c>
      <c r="BC335" s="25" t="s">
        <v>179</v>
      </c>
      <c r="BD335" s="25" t="s">
        <v>6700</v>
      </c>
      <c r="BE335" s="25" t="s">
        <v>189</v>
      </c>
      <c r="BF335" s="29">
        <v>1.28</v>
      </c>
      <c r="BG335" s="25" t="s">
        <v>190</v>
      </c>
      <c r="BH335" s="25" t="s">
        <v>166</v>
      </c>
      <c r="BI335" s="25" t="s">
        <v>166</v>
      </c>
      <c r="BJ335" s="29" t="s">
        <v>166</v>
      </c>
      <c r="BK335" s="29" t="s">
        <v>166</v>
      </c>
      <c r="BL335" s="25" t="s">
        <v>191</v>
      </c>
      <c r="BM335" s="25" t="s">
        <v>178</v>
      </c>
      <c r="BN335" s="25" t="s">
        <v>177</v>
      </c>
      <c r="BO335" s="33" t="s">
        <v>166</v>
      </c>
      <c r="BP335" s="25" t="s">
        <v>6701</v>
      </c>
      <c r="BQ335" s="32">
        <v>7</v>
      </c>
      <c r="BR335" s="25" t="s">
        <v>166</v>
      </c>
      <c r="BS335" s="32" t="s">
        <v>166</v>
      </c>
      <c r="BT335" s="25" t="s">
        <v>166</v>
      </c>
      <c r="BU335" s="25" t="s">
        <v>166</v>
      </c>
      <c r="BV335" s="25" t="s">
        <v>6702</v>
      </c>
      <c r="BW335" s="25" t="s">
        <v>166</v>
      </c>
      <c r="BX335" s="25" t="s">
        <v>166</v>
      </c>
      <c r="BY335" s="25" t="s">
        <v>166</v>
      </c>
      <c r="BZ335" s="25" t="s">
        <v>166</v>
      </c>
      <c r="CA335" s="25" t="s">
        <v>166</v>
      </c>
      <c r="CB335" s="25" t="s">
        <v>166</v>
      </c>
      <c r="CC335" s="25" t="s">
        <v>166</v>
      </c>
      <c r="CD335" s="25" t="s">
        <v>166</v>
      </c>
      <c r="CE335" s="29" t="s">
        <v>166</v>
      </c>
      <c r="CF335" s="27" t="s">
        <v>166</v>
      </c>
      <c r="CG335" s="28" t="s">
        <v>166</v>
      </c>
      <c r="CH335" s="27" t="s">
        <v>166</v>
      </c>
      <c r="CI335" s="27" t="s">
        <v>166</v>
      </c>
      <c r="CJ335" s="27" t="s">
        <v>166</v>
      </c>
      <c r="CK335" s="27" t="s">
        <v>166</v>
      </c>
      <c r="CL335" s="27" t="s">
        <v>166</v>
      </c>
      <c r="CM335" s="31" t="s">
        <v>166</v>
      </c>
      <c r="CN335" s="27" t="s">
        <v>166</v>
      </c>
      <c r="CO335" s="27" t="s">
        <v>166</v>
      </c>
      <c r="CP335" s="27" t="s">
        <v>166</v>
      </c>
      <c r="CQ335" s="27" t="s">
        <v>166</v>
      </c>
      <c r="CR335" s="27" t="s">
        <v>166</v>
      </c>
      <c r="CS335" s="27" t="s">
        <v>166</v>
      </c>
      <c r="CT335" s="27" t="s">
        <v>166</v>
      </c>
      <c r="CU335" s="27" t="s">
        <v>166</v>
      </c>
      <c r="CV335" s="27" t="s">
        <v>166</v>
      </c>
      <c r="CW335" s="27" t="s">
        <v>166</v>
      </c>
      <c r="CX335" s="27" t="s">
        <v>166</v>
      </c>
      <c r="CY335" s="27" t="s">
        <v>166</v>
      </c>
      <c r="CZ335" s="27" t="s">
        <v>166</v>
      </c>
      <c r="DA335" s="27" t="s">
        <v>166</v>
      </c>
      <c r="DB335" s="27" t="s">
        <v>166</v>
      </c>
      <c r="DC335" s="27" t="s">
        <v>166</v>
      </c>
      <c r="DD335" s="27" t="s">
        <v>166</v>
      </c>
      <c r="DE335" s="28" t="s">
        <v>166</v>
      </c>
      <c r="DF335" s="33">
        <v>16</v>
      </c>
      <c r="DG335" s="25" t="s">
        <v>518</v>
      </c>
      <c r="DH335" s="25" t="s">
        <v>193</v>
      </c>
      <c r="DI335" s="25" t="s">
        <v>194</v>
      </c>
      <c r="DJ335" s="25" t="s">
        <v>519</v>
      </c>
      <c r="DK335" s="25" t="s">
        <v>257</v>
      </c>
      <c r="DL335" s="32" t="s">
        <v>1583</v>
      </c>
      <c r="DM335" s="25" t="s">
        <v>198</v>
      </c>
      <c r="DN335" s="24" t="s">
        <v>6703</v>
      </c>
      <c r="DO335" s="31">
        <v>2018</v>
      </c>
      <c r="DP335" s="25" t="s">
        <v>166</v>
      </c>
      <c r="DQ335" s="25" t="s">
        <v>166</v>
      </c>
      <c r="DR335" s="29" t="s">
        <v>166</v>
      </c>
      <c r="DS335" s="27" t="s">
        <v>166</v>
      </c>
      <c r="DT335" s="30" t="s">
        <v>166</v>
      </c>
      <c r="DU335" s="25" t="s">
        <v>166</v>
      </c>
      <c r="DV335" s="29" t="s">
        <v>166</v>
      </c>
      <c r="DW335" s="29" t="s">
        <v>166</v>
      </c>
      <c r="DX335" s="27" t="s">
        <v>166</v>
      </c>
      <c r="DY335" s="27" t="s">
        <v>166</v>
      </c>
      <c r="DZ335" s="28" t="s">
        <v>166</v>
      </c>
      <c r="EA335" s="27" t="s">
        <v>166</v>
      </c>
      <c r="EB335" s="27" t="s">
        <v>166</v>
      </c>
      <c r="EC335" s="27" t="s">
        <v>166</v>
      </c>
      <c r="ED335" s="28" t="s">
        <v>166</v>
      </c>
      <c r="EE335" s="28" t="s">
        <v>166</v>
      </c>
      <c r="EF335" s="28" t="s">
        <v>166</v>
      </c>
      <c r="EG335" s="28" t="s">
        <v>166</v>
      </c>
      <c r="EH335" s="27" t="s">
        <v>166</v>
      </c>
      <c r="EI335" s="27" t="s">
        <v>166</v>
      </c>
      <c r="EJ335" s="27" t="s">
        <v>166</v>
      </c>
      <c r="EK335" s="27" t="s">
        <v>166</v>
      </c>
      <c r="EL335" s="27" t="s">
        <v>166</v>
      </c>
      <c r="EM335" s="27" t="s">
        <v>166</v>
      </c>
      <c r="EN335" s="27" t="s">
        <v>166</v>
      </c>
      <c r="EO335" s="27" t="s">
        <v>166</v>
      </c>
      <c r="EP335" s="27" t="s">
        <v>166</v>
      </c>
      <c r="EQ335" s="27" t="s">
        <v>166</v>
      </c>
      <c r="ER335" s="27" t="s">
        <v>166</v>
      </c>
      <c r="ES335" s="27" t="s">
        <v>166</v>
      </c>
      <c r="ET335" s="25" t="s">
        <v>166</v>
      </c>
      <c r="EU335" s="27" t="s">
        <v>166</v>
      </c>
      <c r="EV335" s="27" t="s">
        <v>166</v>
      </c>
      <c r="EW335" s="27" t="s">
        <v>166</v>
      </c>
      <c r="EX335" s="25" t="s">
        <v>190</v>
      </c>
      <c r="EY335" s="25" t="s">
        <v>166</v>
      </c>
      <c r="EZ335" s="27" t="s">
        <v>166</v>
      </c>
      <c r="FA335" s="26" t="s">
        <v>166</v>
      </c>
      <c r="FB335" s="26" t="s">
        <v>166</v>
      </c>
      <c r="FC335" s="26" t="s">
        <v>166</v>
      </c>
      <c r="FD335" s="26" t="s">
        <v>166</v>
      </c>
      <c r="FE335" s="26" t="s">
        <v>166</v>
      </c>
      <c r="FF335" s="26" t="s">
        <v>166</v>
      </c>
      <c r="FG335" s="25" t="s">
        <v>166</v>
      </c>
      <c r="FH335" s="4">
        <f>HYPERLINK("https://my.pitchbook.com?c=134318-62T","View Company Online")</f>
      </c>
    </row>
    <row r="336">
      <c r="A336" s="14" t="s">
        <v>6704</v>
      </c>
      <c r="B336" s="14" t="s">
        <v>6705</v>
      </c>
      <c r="C336" s="14" t="s">
        <v>6706</v>
      </c>
      <c r="D336" s="14" t="s">
        <v>166</v>
      </c>
      <c r="E336" s="23" t="s">
        <v>6707</v>
      </c>
      <c r="F336" s="21">
        <v>4</v>
      </c>
      <c r="G336" s="14" t="s">
        <v>6708</v>
      </c>
      <c r="H336" s="14" t="s">
        <v>166</v>
      </c>
      <c r="I336" s="14" t="s">
        <v>6709</v>
      </c>
      <c r="J336" s="14" t="s">
        <v>6710</v>
      </c>
      <c r="K336" s="14" t="s">
        <v>171</v>
      </c>
      <c r="L336" s="14" t="s">
        <v>172</v>
      </c>
      <c r="M336" s="14" t="s">
        <v>173</v>
      </c>
      <c r="N336" s="14" t="s">
        <v>6711</v>
      </c>
      <c r="O336" s="14" t="s">
        <v>6712</v>
      </c>
      <c r="P336" s="14" t="s">
        <v>6713</v>
      </c>
      <c r="Q336" s="14" t="s">
        <v>3862</v>
      </c>
      <c r="R336" s="14" t="s">
        <v>177</v>
      </c>
      <c r="S336" s="14" t="s">
        <v>178</v>
      </c>
      <c r="T336" s="14" t="s">
        <v>179</v>
      </c>
      <c r="U336" s="14" t="s">
        <v>6714</v>
      </c>
      <c r="V336" s="14" t="s">
        <v>6715</v>
      </c>
      <c r="W336" s="21" t="s">
        <v>166</v>
      </c>
      <c r="X336" s="14" t="s">
        <v>6716</v>
      </c>
      <c r="Y336" s="14" t="s">
        <v>6717</v>
      </c>
      <c r="Z336" s="14" t="s">
        <v>6718</v>
      </c>
      <c r="AA336" s="14" t="s">
        <v>166</v>
      </c>
      <c r="AB336" s="14" t="s">
        <v>166</v>
      </c>
      <c r="AC336" s="14" t="s">
        <v>166</v>
      </c>
      <c r="AD336" s="14" t="s">
        <v>166</v>
      </c>
      <c r="AE336" s="14" t="s">
        <v>166</v>
      </c>
      <c r="AF336" s="14" t="s">
        <v>166</v>
      </c>
      <c r="AG336" s="14" t="s">
        <v>166</v>
      </c>
      <c r="AH336" s="21">
        <v>1</v>
      </c>
      <c r="AI336" s="3">
        <f>HYPERLINK("https://my.pitchbook.com/?d=232578-91T","232578-91T")</f>
      </c>
      <c r="AJ336" s="19" t="s">
        <v>166</v>
      </c>
      <c r="AK336" s="19">
        <v>45134</v>
      </c>
      <c r="AL336" s="18">
        <v>4.5</v>
      </c>
      <c r="AM336" s="14" t="s">
        <v>185</v>
      </c>
      <c r="AN336" s="18" t="s">
        <v>166</v>
      </c>
      <c r="AO336" s="18" t="s">
        <v>166</v>
      </c>
      <c r="AP336" s="14" t="s">
        <v>166</v>
      </c>
      <c r="AQ336" s="21" t="s">
        <v>166</v>
      </c>
      <c r="AR336" s="21" t="s">
        <v>166</v>
      </c>
      <c r="AS336" s="17" t="s">
        <v>166</v>
      </c>
      <c r="AT336" s="18">
        <v>4.5</v>
      </c>
      <c r="AU336" s="21" t="s">
        <v>186</v>
      </c>
      <c r="AV336" s="21" t="s">
        <v>166</v>
      </c>
      <c r="AW336" s="18" t="s">
        <v>166</v>
      </c>
      <c r="AX336" s="21" t="s">
        <v>166</v>
      </c>
      <c r="AY336" s="14" t="s">
        <v>217</v>
      </c>
      <c r="AZ336" s="14" t="s">
        <v>217</v>
      </c>
      <c r="BA336" s="14" t="s">
        <v>166</v>
      </c>
      <c r="BB336" s="21" t="s">
        <v>166</v>
      </c>
      <c r="BC336" s="14" t="s">
        <v>179</v>
      </c>
      <c r="BD336" s="14" t="s">
        <v>6719</v>
      </c>
      <c r="BE336" s="14" t="s">
        <v>189</v>
      </c>
      <c r="BF336" s="18">
        <v>4.5</v>
      </c>
      <c r="BG336" s="14" t="s">
        <v>190</v>
      </c>
      <c r="BH336" s="14" t="s">
        <v>166</v>
      </c>
      <c r="BI336" s="14" t="s">
        <v>166</v>
      </c>
      <c r="BJ336" s="18" t="s">
        <v>166</v>
      </c>
      <c r="BK336" s="18" t="s">
        <v>166</v>
      </c>
      <c r="BL336" s="14" t="s">
        <v>191</v>
      </c>
      <c r="BM336" s="14" t="s">
        <v>178</v>
      </c>
      <c r="BN336" s="14" t="s">
        <v>177</v>
      </c>
      <c r="BO336" s="22" t="s">
        <v>166</v>
      </c>
      <c r="BP336" s="14" t="s">
        <v>6720</v>
      </c>
      <c r="BQ336" s="21">
        <v>4</v>
      </c>
      <c r="BR336" s="14" t="s">
        <v>166</v>
      </c>
      <c r="BS336" s="21" t="s">
        <v>166</v>
      </c>
      <c r="BT336" s="14" t="s">
        <v>6721</v>
      </c>
      <c r="BU336" s="14" t="s">
        <v>166</v>
      </c>
      <c r="BV336" s="14" t="s">
        <v>166</v>
      </c>
      <c r="BW336" s="14" t="s">
        <v>166</v>
      </c>
      <c r="BX336" s="14" t="s">
        <v>166</v>
      </c>
      <c r="BY336" s="14" t="s">
        <v>166</v>
      </c>
      <c r="BZ336" s="14" t="s">
        <v>1793</v>
      </c>
      <c r="CA336" s="14" t="s">
        <v>1793</v>
      </c>
      <c r="CB336" s="14" t="s">
        <v>166</v>
      </c>
      <c r="CC336" s="14" t="s">
        <v>166</v>
      </c>
      <c r="CD336" s="14" t="s">
        <v>166</v>
      </c>
      <c r="CE336" s="18" t="s">
        <v>166</v>
      </c>
      <c r="CF336" s="16" t="s">
        <v>166</v>
      </c>
      <c r="CG336" s="17" t="s">
        <v>166</v>
      </c>
      <c r="CH336" s="16" t="s">
        <v>166</v>
      </c>
      <c r="CI336" s="16" t="s">
        <v>166</v>
      </c>
      <c r="CJ336" s="16" t="s">
        <v>166</v>
      </c>
      <c r="CK336" s="16" t="s">
        <v>166</v>
      </c>
      <c r="CL336" s="16" t="s">
        <v>166</v>
      </c>
      <c r="CM336" s="20" t="s">
        <v>166</v>
      </c>
      <c r="CN336" s="16" t="s">
        <v>166</v>
      </c>
      <c r="CO336" s="16" t="s">
        <v>166</v>
      </c>
      <c r="CP336" s="16" t="s">
        <v>166</v>
      </c>
      <c r="CQ336" s="16" t="s">
        <v>166</v>
      </c>
      <c r="CR336" s="16" t="s">
        <v>166</v>
      </c>
      <c r="CS336" s="16" t="s">
        <v>166</v>
      </c>
      <c r="CT336" s="16" t="s">
        <v>166</v>
      </c>
      <c r="CU336" s="16" t="s">
        <v>166</v>
      </c>
      <c r="CV336" s="16" t="s">
        <v>166</v>
      </c>
      <c r="CW336" s="16" t="s">
        <v>166</v>
      </c>
      <c r="CX336" s="16" t="s">
        <v>166</v>
      </c>
      <c r="CY336" s="16" t="s">
        <v>166</v>
      </c>
      <c r="CZ336" s="16" t="s">
        <v>166</v>
      </c>
      <c r="DA336" s="16" t="s">
        <v>166</v>
      </c>
      <c r="DB336" s="16" t="s">
        <v>166</v>
      </c>
      <c r="DC336" s="16" t="s">
        <v>166</v>
      </c>
      <c r="DD336" s="16" t="s">
        <v>166</v>
      </c>
      <c r="DE336" s="17" t="s">
        <v>166</v>
      </c>
      <c r="DF336" s="22">
        <v>10</v>
      </c>
      <c r="DG336" s="14" t="s">
        <v>309</v>
      </c>
      <c r="DH336" s="14" t="s">
        <v>193</v>
      </c>
      <c r="DI336" s="14" t="s">
        <v>194</v>
      </c>
      <c r="DJ336" s="14" t="s">
        <v>310</v>
      </c>
      <c r="DK336" s="14" t="s">
        <v>310</v>
      </c>
      <c r="DL336" s="21" t="s">
        <v>6722</v>
      </c>
      <c r="DM336" s="14" t="s">
        <v>198</v>
      </c>
      <c r="DN336" s="13" t="s">
        <v>6723</v>
      </c>
      <c r="DO336" s="20">
        <v>2022</v>
      </c>
      <c r="DP336" s="14" t="s">
        <v>166</v>
      </c>
      <c r="DQ336" s="14" t="s">
        <v>166</v>
      </c>
      <c r="DR336" s="18" t="s">
        <v>166</v>
      </c>
      <c r="DS336" s="16" t="s">
        <v>166</v>
      </c>
      <c r="DT336" s="19" t="s">
        <v>166</v>
      </c>
      <c r="DU336" s="14" t="s">
        <v>166</v>
      </c>
      <c r="DV336" s="18" t="s">
        <v>166</v>
      </c>
      <c r="DW336" s="18" t="s">
        <v>166</v>
      </c>
      <c r="DX336" s="16" t="s">
        <v>166</v>
      </c>
      <c r="DY336" s="16" t="s">
        <v>166</v>
      </c>
      <c r="DZ336" s="17" t="s">
        <v>166</v>
      </c>
      <c r="EA336" s="16" t="s">
        <v>166</v>
      </c>
      <c r="EB336" s="16" t="s">
        <v>166</v>
      </c>
      <c r="EC336" s="16" t="s">
        <v>166</v>
      </c>
      <c r="ED336" s="17" t="s">
        <v>166</v>
      </c>
      <c r="EE336" s="17" t="s">
        <v>166</v>
      </c>
      <c r="EF336" s="17" t="s">
        <v>166</v>
      </c>
      <c r="EG336" s="17" t="s">
        <v>166</v>
      </c>
      <c r="EH336" s="16" t="s">
        <v>166</v>
      </c>
      <c r="EI336" s="16" t="s">
        <v>166</v>
      </c>
      <c r="EJ336" s="16" t="s">
        <v>166</v>
      </c>
      <c r="EK336" s="16" t="s">
        <v>166</v>
      </c>
      <c r="EL336" s="16" t="s">
        <v>166</v>
      </c>
      <c r="EM336" s="16" t="s">
        <v>166</v>
      </c>
      <c r="EN336" s="16" t="s">
        <v>166</v>
      </c>
      <c r="EO336" s="16" t="s">
        <v>166</v>
      </c>
      <c r="EP336" s="16" t="s">
        <v>166</v>
      </c>
      <c r="EQ336" s="16" t="s">
        <v>166</v>
      </c>
      <c r="ER336" s="16" t="s">
        <v>166</v>
      </c>
      <c r="ES336" s="16" t="s">
        <v>166</v>
      </c>
      <c r="ET336" s="14" t="s">
        <v>166</v>
      </c>
      <c r="EU336" s="16" t="s">
        <v>166</v>
      </c>
      <c r="EV336" s="16" t="s">
        <v>166</v>
      </c>
      <c r="EW336" s="16" t="s">
        <v>166</v>
      </c>
      <c r="EX336" s="14" t="s">
        <v>190</v>
      </c>
      <c r="EY336" s="14" t="s">
        <v>166</v>
      </c>
      <c r="EZ336" s="16" t="s">
        <v>166</v>
      </c>
      <c r="FA336" s="15" t="s">
        <v>166</v>
      </c>
      <c r="FB336" s="15" t="s">
        <v>166</v>
      </c>
      <c r="FC336" s="15" t="s">
        <v>166</v>
      </c>
      <c r="FD336" s="15" t="s">
        <v>166</v>
      </c>
      <c r="FE336" s="15" t="s">
        <v>166</v>
      </c>
      <c r="FF336" s="15" t="s">
        <v>166</v>
      </c>
      <c r="FG336" s="14" t="s">
        <v>166</v>
      </c>
      <c r="FH336" s="3">
        <f>HYPERLINK("https://my.pitchbook.com?c=232578-91T","View Company Online")</f>
      </c>
    </row>
    <row r="337">
      <c r="A337" s="25" t="s">
        <v>6724</v>
      </c>
      <c r="B337" s="25" t="s">
        <v>6725</v>
      </c>
      <c r="C337" s="25" t="s">
        <v>6726</v>
      </c>
      <c r="D337" s="25" t="s">
        <v>166</v>
      </c>
      <c r="E337" s="34" t="s">
        <v>6727</v>
      </c>
      <c r="F337" s="32">
        <v>6</v>
      </c>
      <c r="G337" s="25" t="s">
        <v>6728</v>
      </c>
      <c r="H337" s="25" t="s">
        <v>166</v>
      </c>
      <c r="I337" s="25" t="s">
        <v>6729</v>
      </c>
      <c r="J337" s="25" t="s">
        <v>6730</v>
      </c>
      <c r="K337" s="25" t="s">
        <v>207</v>
      </c>
      <c r="L337" s="25" t="s">
        <v>208</v>
      </c>
      <c r="M337" s="25" t="s">
        <v>209</v>
      </c>
      <c r="N337" s="25" t="s">
        <v>1009</v>
      </c>
      <c r="O337" s="25" t="s">
        <v>800</v>
      </c>
      <c r="P337" s="25" t="s">
        <v>6731</v>
      </c>
      <c r="Q337" s="25" t="s">
        <v>926</v>
      </c>
      <c r="R337" s="25" t="s">
        <v>177</v>
      </c>
      <c r="S337" s="25" t="s">
        <v>178</v>
      </c>
      <c r="T337" s="25" t="s">
        <v>179</v>
      </c>
      <c r="U337" s="25" t="s">
        <v>6732</v>
      </c>
      <c r="V337" s="25" t="s">
        <v>6733</v>
      </c>
      <c r="W337" s="32" t="s">
        <v>166</v>
      </c>
      <c r="X337" s="25" t="s">
        <v>166</v>
      </c>
      <c r="Y337" s="25" t="s">
        <v>6734</v>
      </c>
      <c r="Z337" s="25" t="s">
        <v>166</v>
      </c>
      <c r="AA337" s="25" t="s">
        <v>166</v>
      </c>
      <c r="AB337" s="25" t="s">
        <v>166</v>
      </c>
      <c r="AC337" s="25" t="s">
        <v>166</v>
      </c>
      <c r="AD337" s="25" t="s">
        <v>166</v>
      </c>
      <c r="AE337" s="25" t="s">
        <v>166</v>
      </c>
      <c r="AF337" s="25" t="s">
        <v>166</v>
      </c>
      <c r="AG337" s="25" t="s">
        <v>166</v>
      </c>
      <c r="AH337" s="32">
        <v>3</v>
      </c>
      <c r="AI337" s="4">
        <f>HYPERLINK("https://my.pitchbook.com/?d=258470-74T","258470-74T")</f>
      </c>
      <c r="AJ337" s="30" t="s">
        <v>166</v>
      </c>
      <c r="AK337" s="30">
        <v>45399</v>
      </c>
      <c r="AL337" s="29">
        <v>1.5</v>
      </c>
      <c r="AM337" s="25" t="s">
        <v>185</v>
      </c>
      <c r="AN337" s="29" t="s">
        <v>166</v>
      </c>
      <c r="AO337" s="29" t="s">
        <v>166</v>
      </c>
      <c r="AP337" s="25" t="s">
        <v>166</v>
      </c>
      <c r="AQ337" s="32" t="s">
        <v>166</v>
      </c>
      <c r="AR337" s="32" t="s">
        <v>166</v>
      </c>
      <c r="AS337" s="28" t="s">
        <v>166</v>
      </c>
      <c r="AT337" s="29">
        <v>1.5</v>
      </c>
      <c r="AU337" s="32" t="s">
        <v>186</v>
      </c>
      <c r="AV337" s="32" t="s">
        <v>166</v>
      </c>
      <c r="AW337" s="29" t="s">
        <v>166</v>
      </c>
      <c r="AX337" s="32" t="s">
        <v>166</v>
      </c>
      <c r="AY337" s="25" t="s">
        <v>217</v>
      </c>
      <c r="AZ337" s="25" t="s">
        <v>217</v>
      </c>
      <c r="BA337" s="25" t="s">
        <v>166</v>
      </c>
      <c r="BB337" s="32" t="s">
        <v>166</v>
      </c>
      <c r="BC337" s="25" t="s">
        <v>179</v>
      </c>
      <c r="BD337" s="25" t="s">
        <v>6730</v>
      </c>
      <c r="BE337" s="25" t="s">
        <v>189</v>
      </c>
      <c r="BF337" s="29" t="s">
        <v>166</v>
      </c>
      <c r="BG337" s="25" t="s">
        <v>190</v>
      </c>
      <c r="BH337" s="25" t="s">
        <v>166</v>
      </c>
      <c r="BI337" s="25" t="s">
        <v>166</v>
      </c>
      <c r="BJ337" s="29" t="s">
        <v>166</v>
      </c>
      <c r="BK337" s="29" t="s">
        <v>166</v>
      </c>
      <c r="BL337" s="25" t="s">
        <v>191</v>
      </c>
      <c r="BM337" s="25" t="s">
        <v>178</v>
      </c>
      <c r="BN337" s="25" t="s">
        <v>177</v>
      </c>
      <c r="BO337" s="33" t="s">
        <v>166</v>
      </c>
      <c r="BP337" s="25" t="s">
        <v>6727</v>
      </c>
      <c r="BQ337" s="32">
        <v>6</v>
      </c>
      <c r="BR337" s="25" t="s">
        <v>166</v>
      </c>
      <c r="BS337" s="32" t="s">
        <v>166</v>
      </c>
      <c r="BT337" s="25" t="s">
        <v>166</v>
      </c>
      <c r="BU337" s="25" t="s">
        <v>166</v>
      </c>
      <c r="BV337" s="25" t="s">
        <v>6735</v>
      </c>
      <c r="BW337" s="25" t="s">
        <v>166</v>
      </c>
      <c r="BX337" s="25" t="s">
        <v>166</v>
      </c>
      <c r="BY337" s="25" t="s">
        <v>166</v>
      </c>
      <c r="BZ337" s="25" t="s">
        <v>166</v>
      </c>
      <c r="CA337" s="25" t="s">
        <v>166</v>
      </c>
      <c r="CB337" s="25" t="s">
        <v>166</v>
      </c>
      <c r="CC337" s="25" t="s">
        <v>166</v>
      </c>
      <c r="CD337" s="25" t="s">
        <v>166</v>
      </c>
      <c r="CE337" s="29" t="s">
        <v>166</v>
      </c>
      <c r="CF337" s="27" t="s">
        <v>166</v>
      </c>
      <c r="CG337" s="28" t="s">
        <v>166</v>
      </c>
      <c r="CH337" s="27" t="s">
        <v>166</v>
      </c>
      <c r="CI337" s="27" t="s">
        <v>166</v>
      </c>
      <c r="CJ337" s="27" t="s">
        <v>166</v>
      </c>
      <c r="CK337" s="27" t="s">
        <v>166</v>
      </c>
      <c r="CL337" s="27" t="s">
        <v>166</v>
      </c>
      <c r="CM337" s="31" t="s">
        <v>166</v>
      </c>
      <c r="CN337" s="27" t="s">
        <v>166</v>
      </c>
      <c r="CO337" s="27" t="s">
        <v>166</v>
      </c>
      <c r="CP337" s="27" t="s">
        <v>166</v>
      </c>
      <c r="CQ337" s="27" t="s">
        <v>166</v>
      </c>
      <c r="CR337" s="27" t="s">
        <v>166</v>
      </c>
      <c r="CS337" s="27" t="s">
        <v>166</v>
      </c>
      <c r="CT337" s="27" t="s">
        <v>166</v>
      </c>
      <c r="CU337" s="27" t="s">
        <v>166</v>
      </c>
      <c r="CV337" s="27" t="s">
        <v>166</v>
      </c>
      <c r="CW337" s="27" t="s">
        <v>166</v>
      </c>
      <c r="CX337" s="27" t="s">
        <v>166</v>
      </c>
      <c r="CY337" s="27" t="s">
        <v>166</v>
      </c>
      <c r="CZ337" s="27" t="s">
        <v>166</v>
      </c>
      <c r="DA337" s="27" t="s">
        <v>166</v>
      </c>
      <c r="DB337" s="27" t="s">
        <v>166</v>
      </c>
      <c r="DC337" s="27" t="s">
        <v>166</v>
      </c>
      <c r="DD337" s="27" t="s">
        <v>166</v>
      </c>
      <c r="DE337" s="28" t="s">
        <v>166</v>
      </c>
      <c r="DF337" s="33">
        <v>22</v>
      </c>
      <c r="DG337" s="25" t="s">
        <v>309</v>
      </c>
      <c r="DH337" s="25" t="s">
        <v>193</v>
      </c>
      <c r="DI337" s="25" t="s">
        <v>194</v>
      </c>
      <c r="DJ337" s="25" t="s">
        <v>310</v>
      </c>
      <c r="DK337" s="25" t="s">
        <v>310</v>
      </c>
      <c r="DL337" s="32" t="s">
        <v>6736</v>
      </c>
      <c r="DM337" s="25" t="s">
        <v>198</v>
      </c>
      <c r="DN337" s="24" t="s">
        <v>6737</v>
      </c>
      <c r="DO337" s="31">
        <v>2021</v>
      </c>
      <c r="DP337" s="25" t="s">
        <v>166</v>
      </c>
      <c r="DQ337" s="25" t="s">
        <v>166</v>
      </c>
      <c r="DR337" s="29" t="s">
        <v>166</v>
      </c>
      <c r="DS337" s="27" t="s">
        <v>166</v>
      </c>
      <c r="DT337" s="30" t="s">
        <v>166</v>
      </c>
      <c r="DU337" s="25" t="s">
        <v>166</v>
      </c>
      <c r="DV337" s="29" t="s">
        <v>166</v>
      </c>
      <c r="DW337" s="29" t="s">
        <v>166</v>
      </c>
      <c r="DX337" s="27" t="s">
        <v>166</v>
      </c>
      <c r="DY337" s="27" t="s">
        <v>166</v>
      </c>
      <c r="DZ337" s="28" t="s">
        <v>166</v>
      </c>
      <c r="EA337" s="27" t="s">
        <v>166</v>
      </c>
      <c r="EB337" s="27" t="s">
        <v>166</v>
      </c>
      <c r="EC337" s="27" t="s">
        <v>166</v>
      </c>
      <c r="ED337" s="28" t="s">
        <v>166</v>
      </c>
      <c r="EE337" s="28" t="s">
        <v>166</v>
      </c>
      <c r="EF337" s="28" t="s">
        <v>166</v>
      </c>
      <c r="EG337" s="28" t="s">
        <v>166</v>
      </c>
      <c r="EH337" s="27" t="s">
        <v>166</v>
      </c>
      <c r="EI337" s="27" t="s">
        <v>166</v>
      </c>
      <c r="EJ337" s="27" t="s">
        <v>166</v>
      </c>
      <c r="EK337" s="27" t="s">
        <v>166</v>
      </c>
      <c r="EL337" s="27" t="s">
        <v>166</v>
      </c>
      <c r="EM337" s="27" t="s">
        <v>166</v>
      </c>
      <c r="EN337" s="27" t="s">
        <v>166</v>
      </c>
      <c r="EO337" s="27" t="s">
        <v>166</v>
      </c>
      <c r="EP337" s="27" t="s">
        <v>166</v>
      </c>
      <c r="EQ337" s="27" t="s">
        <v>166</v>
      </c>
      <c r="ER337" s="27" t="s">
        <v>166</v>
      </c>
      <c r="ES337" s="27" t="s">
        <v>166</v>
      </c>
      <c r="ET337" s="25" t="s">
        <v>166</v>
      </c>
      <c r="EU337" s="27" t="s">
        <v>166</v>
      </c>
      <c r="EV337" s="27" t="s">
        <v>166</v>
      </c>
      <c r="EW337" s="27" t="s">
        <v>166</v>
      </c>
      <c r="EX337" s="25" t="s">
        <v>190</v>
      </c>
      <c r="EY337" s="25" t="s">
        <v>166</v>
      </c>
      <c r="EZ337" s="27" t="s">
        <v>166</v>
      </c>
      <c r="FA337" s="26" t="s">
        <v>166</v>
      </c>
      <c r="FB337" s="26" t="s">
        <v>166</v>
      </c>
      <c r="FC337" s="26" t="s">
        <v>166</v>
      </c>
      <c r="FD337" s="26" t="s">
        <v>166</v>
      </c>
      <c r="FE337" s="26" t="s">
        <v>166</v>
      </c>
      <c r="FF337" s="26" t="s">
        <v>166</v>
      </c>
      <c r="FG337" s="25" t="s">
        <v>166</v>
      </c>
      <c r="FH337" s="4">
        <f>HYPERLINK("https://my.pitchbook.com?c=258470-74T","View Company Online")</f>
      </c>
    </row>
    <row r="338">
      <c r="A338" s="14" t="s">
        <v>6738</v>
      </c>
      <c r="B338" s="14" t="s">
        <v>6739</v>
      </c>
      <c r="C338" s="14" t="s">
        <v>6740</v>
      </c>
      <c r="D338" s="14" t="s">
        <v>166</v>
      </c>
      <c r="E338" s="23" t="s">
        <v>6741</v>
      </c>
      <c r="F338" s="21">
        <v>1</v>
      </c>
      <c r="G338" s="14" t="s">
        <v>6742</v>
      </c>
      <c r="H338" s="14" t="s">
        <v>166</v>
      </c>
      <c r="I338" s="14" t="s">
        <v>6743</v>
      </c>
      <c r="J338" s="14" t="s">
        <v>6744</v>
      </c>
      <c r="K338" s="14" t="s">
        <v>171</v>
      </c>
      <c r="L338" s="14" t="s">
        <v>172</v>
      </c>
      <c r="M338" s="14" t="s">
        <v>173</v>
      </c>
      <c r="N338" s="14" t="s">
        <v>6745</v>
      </c>
      <c r="O338" s="14" t="s">
        <v>6746</v>
      </c>
      <c r="P338" s="14" t="s">
        <v>6747</v>
      </c>
      <c r="Q338" s="14" t="s">
        <v>166</v>
      </c>
      <c r="R338" s="14" t="s">
        <v>177</v>
      </c>
      <c r="S338" s="14" t="s">
        <v>178</v>
      </c>
      <c r="T338" s="14" t="s">
        <v>179</v>
      </c>
      <c r="U338" s="14" t="s">
        <v>6748</v>
      </c>
      <c r="V338" s="14" t="s">
        <v>6749</v>
      </c>
      <c r="W338" s="21" t="s">
        <v>6750</v>
      </c>
      <c r="X338" s="14" t="s">
        <v>6751</v>
      </c>
      <c r="Y338" s="14" t="s">
        <v>6752</v>
      </c>
      <c r="Z338" s="14" t="s">
        <v>166</v>
      </c>
      <c r="AA338" s="14" t="s">
        <v>242</v>
      </c>
      <c r="AB338" s="14" t="s">
        <v>243</v>
      </c>
      <c r="AC338" s="14" t="s">
        <v>244</v>
      </c>
      <c r="AD338" s="14" t="s">
        <v>243</v>
      </c>
      <c r="AE338" s="14" t="s">
        <v>243</v>
      </c>
      <c r="AF338" s="14" t="s">
        <v>166</v>
      </c>
      <c r="AG338" s="14" t="s">
        <v>246</v>
      </c>
      <c r="AH338" s="21">
        <v>5</v>
      </c>
      <c r="AI338" s="3">
        <f>HYPERLINK("https://my.pitchbook.com/?d=136088-11T","136088-11T")</f>
      </c>
      <c r="AJ338" s="19" t="s">
        <v>166</v>
      </c>
      <c r="AK338" s="19">
        <v>43952</v>
      </c>
      <c r="AL338" s="18">
        <v>0.8</v>
      </c>
      <c r="AM338" s="14" t="s">
        <v>247</v>
      </c>
      <c r="AN338" s="18">
        <v>5</v>
      </c>
      <c r="AO338" s="18">
        <v>5.8</v>
      </c>
      <c r="AP338" s="14" t="s">
        <v>185</v>
      </c>
      <c r="AQ338" s="21" t="s">
        <v>166</v>
      </c>
      <c r="AR338" s="21" t="s">
        <v>166</v>
      </c>
      <c r="AS338" s="17">
        <v>16.63</v>
      </c>
      <c r="AT338" s="18">
        <v>0.8</v>
      </c>
      <c r="AU338" s="21" t="s">
        <v>186</v>
      </c>
      <c r="AV338" s="21" t="s">
        <v>166</v>
      </c>
      <c r="AW338" s="18">
        <v>0.48</v>
      </c>
      <c r="AX338" s="21" t="s">
        <v>6753</v>
      </c>
      <c r="AY338" s="14" t="s">
        <v>217</v>
      </c>
      <c r="AZ338" s="14" t="s">
        <v>6753</v>
      </c>
      <c r="BA338" s="14" t="s">
        <v>166</v>
      </c>
      <c r="BB338" s="21" t="s">
        <v>166</v>
      </c>
      <c r="BC338" s="14" t="s">
        <v>179</v>
      </c>
      <c r="BD338" s="14" t="s">
        <v>6754</v>
      </c>
      <c r="BE338" s="14" t="s">
        <v>189</v>
      </c>
      <c r="BF338" s="18">
        <v>0.8</v>
      </c>
      <c r="BG338" s="14" t="s">
        <v>190</v>
      </c>
      <c r="BH338" s="14" t="s">
        <v>166</v>
      </c>
      <c r="BI338" s="14" t="s">
        <v>166</v>
      </c>
      <c r="BJ338" s="18" t="s">
        <v>166</v>
      </c>
      <c r="BK338" s="18" t="s">
        <v>166</v>
      </c>
      <c r="BL338" s="14" t="s">
        <v>191</v>
      </c>
      <c r="BM338" s="14" t="s">
        <v>178</v>
      </c>
      <c r="BN338" s="14" t="s">
        <v>177</v>
      </c>
      <c r="BO338" s="22" t="s">
        <v>166</v>
      </c>
      <c r="BP338" s="14" t="s">
        <v>6755</v>
      </c>
      <c r="BQ338" s="21">
        <v>1</v>
      </c>
      <c r="BR338" s="14" t="s">
        <v>166</v>
      </c>
      <c r="BS338" s="21" t="s">
        <v>166</v>
      </c>
      <c r="BT338" s="14" t="s">
        <v>166</v>
      </c>
      <c r="BU338" s="14" t="s">
        <v>166</v>
      </c>
      <c r="BV338" s="14" t="s">
        <v>166</v>
      </c>
      <c r="BW338" s="14" t="s">
        <v>166</v>
      </c>
      <c r="BX338" s="14" t="s">
        <v>166</v>
      </c>
      <c r="BY338" s="14" t="s">
        <v>166</v>
      </c>
      <c r="BZ338" s="14" t="s">
        <v>166</v>
      </c>
      <c r="CA338" s="14" t="s">
        <v>166</v>
      </c>
      <c r="CB338" s="14" t="s">
        <v>166</v>
      </c>
      <c r="CC338" s="14" t="s">
        <v>166</v>
      </c>
      <c r="CD338" s="14" t="s">
        <v>166</v>
      </c>
      <c r="CE338" s="18" t="s">
        <v>166</v>
      </c>
      <c r="CF338" s="16" t="s">
        <v>166</v>
      </c>
      <c r="CG338" s="17" t="s">
        <v>166</v>
      </c>
      <c r="CH338" s="16" t="s">
        <v>166</v>
      </c>
      <c r="CI338" s="16" t="s">
        <v>166</v>
      </c>
      <c r="CJ338" s="16" t="s">
        <v>166</v>
      </c>
      <c r="CK338" s="16" t="s">
        <v>166</v>
      </c>
      <c r="CL338" s="16" t="s">
        <v>166</v>
      </c>
      <c r="CM338" s="20" t="s">
        <v>166</v>
      </c>
      <c r="CN338" s="16" t="s">
        <v>166</v>
      </c>
      <c r="CO338" s="16" t="s">
        <v>166</v>
      </c>
      <c r="CP338" s="16" t="s">
        <v>166</v>
      </c>
      <c r="CQ338" s="16" t="s">
        <v>166</v>
      </c>
      <c r="CR338" s="16" t="s">
        <v>166</v>
      </c>
      <c r="CS338" s="16" t="s">
        <v>166</v>
      </c>
      <c r="CT338" s="16" t="s">
        <v>166</v>
      </c>
      <c r="CU338" s="16" t="s">
        <v>166</v>
      </c>
      <c r="CV338" s="16" t="s">
        <v>166</v>
      </c>
      <c r="CW338" s="16" t="s">
        <v>166</v>
      </c>
      <c r="CX338" s="16" t="s">
        <v>166</v>
      </c>
      <c r="CY338" s="16" t="s">
        <v>166</v>
      </c>
      <c r="CZ338" s="16" t="s">
        <v>166</v>
      </c>
      <c r="DA338" s="16" t="s">
        <v>166</v>
      </c>
      <c r="DB338" s="16" t="s">
        <v>166</v>
      </c>
      <c r="DC338" s="16" t="s">
        <v>166</v>
      </c>
      <c r="DD338" s="16" t="s">
        <v>166</v>
      </c>
      <c r="DE338" s="17" t="s">
        <v>166</v>
      </c>
      <c r="DF338" s="22">
        <v>32</v>
      </c>
      <c r="DG338" s="14" t="s">
        <v>309</v>
      </c>
      <c r="DH338" s="14" t="s">
        <v>193</v>
      </c>
      <c r="DI338" s="14" t="s">
        <v>194</v>
      </c>
      <c r="DJ338" s="14" t="s">
        <v>310</v>
      </c>
      <c r="DK338" s="14" t="s">
        <v>310</v>
      </c>
      <c r="DL338" s="21" t="s">
        <v>6722</v>
      </c>
      <c r="DM338" s="14" t="s">
        <v>198</v>
      </c>
      <c r="DN338" s="13" t="s">
        <v>6756</v>
      </c>
      <c r="DO338" s="20">
        <v>2015</v>
      </c>
      <c r="DP338" s="14" t="s">
        <v>166</v>
      </c>
      <c r="DQ338" s="14" t="s">
        <v>166</v>
      </c>
      <c r="DR338" s="18" t="s">
        <v>166</v>
      </c>
      <c r="DS338" s="16" t="s">
        <v>166</v>
      </c>
      <c r="DT338" s="19" t="s">
        <v>166</v>
      </c>
      <c r="DU338" s="14" t="s">
        <v>166</v>
      </c>
      <c r="DV338" s="18" t="s">
        <v>166</v>
      </c>
      <c r="DW338" s="18" t="s">
        <v>166</v>
      </c>
      <c r="DX338" s="16" t="s">
        <v>166</v>
      </c>
      <c r="DY338" s="16" t="s">
        <v>166</v>
      </c>
      <c r="DZ338" s="17" t="s">
        <v>166</v>
      </c>
      <c r="EA338" s="16" t="s">
        <v>166</v>
      </c>
      <c r="EB338" s="16" t="s">
        <v>166</v>
      </c>
      <c r="EC338" s="16" t="s">
        <v>166</v>
      </c>
      <c r="ED338" s="17" t="s">
        <v>166</v>
      </c>
      <c r="EE338" s="17" t="s">
        <v>166</v>
      </c>
      <c r="EF338" s="17" t="s">
        <v>166</v>
      </c>
      <c r="EG338" s="17" t="s">
        <v>166</v>
      </c>
      <c r="EH338" s="16" t="s">
        <v>166</v>
      </c>
      <c r="EI338" s="16" t="s">
        <v>166</v>
      </c>
      <c r="EJ338" s="16" t="s">
        <v>166</v>
      </c>
      <c r="EK338" s="16" t="s">
        <v>166</v>
      </c>
      <c r="EL338" s="16" t="s">
        <v>166</v>
      </c>
      <c r="EM338" s="16" t="s">
        <v>166</v>
      </c>
      <c r="EN338" s="16" t="s">
        <v>166</v>
      </c>
      <c r="EO338" s="16" t="s">
        <v>166</v>
      </c>
      <c r="EP338" s="16" t="s">
        <v>166</v>
      </c>
      <c r="EQ338" s="16" t="s">
        <v>166</v>
      </c>
      <c r="ER338" s="16" t="s">
        <v>166</v>
      </c>
      <c r="ES338" s="16" t="s">
        <v>166</v>
      </c>
      <c r="ET338" s="14" t="s">
        <v>166</v>
      </c>
      <c r="EU338" s="16" t="s">
        <v>166</v>
      </c>
      <c r="EV338" s="16" t="s">
        <v>166</v>
      </c>
      <c r="EW338" s="16" t="s">
        <v>166</v>
      </c>
      <c r="EX338" s="14" t="s">
        <v>190</v>
      </c>
      <c r="EY338" s="14" t="s">
        <v>166</v>
      </c>
      <c r="EZ338" s="16" t="s">
        <v>166</v>
      </c>
      <c r="FA338" s="15" t="s">
        <v>166</v>
      </c>
      <c r="FB338" s="15" t="s">
        <v>166</v>
      </c>
      <c r="FC338" s="15" t="s">
        <v>166</v>
      </c>
      <c r="FD338" s="15" t="s">
        <v>166</v>
      </c>
      <c r="FE338" s="15" t="s">
        <v>166</v>
      </c>
      <c r="FF338" s="15" t="s">
        <v>166</v>
      </c>
      <c r="FG338" s="14" t="s">
        <v>166</v>
      </c>
      <c r="FH338" s="3">
        <f>HYPERLINK("https://my.pitchbook.com?c=136088-11T","View Company Online")</f>
      </c>
    </row>
    <row r="339">
      <c r="A339" s="25" t="s">
        <v>6757</v>
      </c>
      <c r="B339" s="25" t="s">
        <v>6758</v>
      </c>
      <c r="C339" s="25" t="s">
        <v>6759</v>
      </c>
      <c r="D339" s="25" t="s">
        <v>166</v>
      </c>
      <c r="E339" s="34" t="s">
        <v>6760</v>
      </c>
      <c r="F339" s="32">
        <v>22</v>
      </c>
      <c r="G339" s="25" t="s">
        <v>6761</v>
      </c>
      <c r="H339" s="25" t="s">
        <v>166</v>
      </c>
      <c r="I339" s="25" t="s">
        <v>6762</v>
      </c>
      <c r="J339" s="25" t="s">
        <v>6763</v>
      </c>
      <c r="K339" s="25" t="s">
        <v>321</v>
      </c>
      <c r="L339" s="25" t="s">
        <v>322</v>
      </c>
      <c r="M339" s="25" t="s">
        <v>322</v>
      </c>
      <c r="N339" s="25" t="s">
        <v>6764</v>
      </c>
      <c r="O339" s="25" t="s">
        <v>6765</v>
      </c>
      <c r="P339" s="25" t="s">
        <v>6766</v>
      </c>
      <c r="Q339" s="25" t="s">
        <v>6767</v>
      </c>
      <c r="R339" s="25" t="s">
        <v>177</v>
      </c>
      <c r="S339" s="25" t="s">
        <v>178</v>
      </c>
      <c r="T339" s="25" t="s">
        <v>179</v>
      </c>
      <c r="U339" s="25" t="s">
        <v>6768</v>
      </c>
      <c r="V339" s="25" t="s">
        <v>6769</v>
      </c>
      <c r="W339" s="32" t="s">
        <v>6770</v>
      </c>
      <c r="X339" s="25" t="s">
        <v>6771</v>
      </c>
      <c r="Y339" s="25" t="s">
        <v>6772</v>
      </c>
      <c r="Z339" s="25" t="s">
        <v>6773</v>
      </c>
      <c r="AA339" s="25" t="s">
        <v>166</v>
      </c>
      <c r="AB339" s="25" t="s">
        <v>166</v>
      </c>
      <c r="AC339" s="25" t="s">
        <v>166</v>
      </c>
      <c r="AD339" s="25" t="s">
        <v>166</v>
      </c>
      <c r="AE339" s="25" t="s">
        <v>166</v>
      </c>
      <c r="AF339" s="25" t="s">
        <v>166</v>
      </c>
      <c r="AG339" s="25" t="s">
        <v>166</v>
      </c>
      <c r="AH339" s="32">
        <v>1</v>
      </c>
      <c r="AI339" s="4">
        <f>HYPERLINK("https://my.pitchbook.com/?d=194624-74T","194624-74T")</f>
      </c>
      <c r="AJ339" s="30">
        <v>44650</v>
      </c>
      <c r="AK339" s="30">
        <v>44748</v>
      </c>
      <c r="AL339" s="29">
        <v>32</v>
      </c>
      <c r="AM339" s="25" t="s">
        <v>185</v>
      </c>
      <c r="AN339" s="29" t="s">
        <v>166</v>
      </c>
      <c r="AO339" s="29" t="s">
        <v>166</v>
      </c>
      <c r="AP339" s="25" t="s">
        <v>166</v>
      </c>
      <c r="AQ339" s="32" t="s">
        <v>166</v>
      </c>
      <c r="AR339" s="32" t="s">
        <v>166</v>
      </c>
      <c r="AS339" s="28" t="s">
        <v>166</v>
      </c>
      <c r="AT339" s="29">
        <v>32</v>
      </c>
      <c r="AU339" s="32" t="s">
        <v>186</v>
      </c>
      <c r="AV339" s="32" t="s">
        <v>166</v>
      </c>
      <c r="AW339" s="29" t="s">
        <v>166</v>
      </c>
      <c r="AX339" s="32" t="s">
        <v>248</v>
      </c>
      <c r="AY339" s="25" t="s">
        <v>187</v>
      </c>
      <c r="AZ339" s="25" t="s">
        <v>248</v>
      </c>
      <c r="BA339" s="25" t="s">
        <v>166</v>
      </c>
      <c r="BB339" s="32" t="s">
        <v>166</v>
      </c>
      <c r="BC339" s="25" t="s">
        <v>179</v>
      </c>
      <c r="BD339" s="25" t="s">
        <v>6774</v>
      </c>
      <c r="BE339" s="25" t="s">
        <v>189</v>
      </c>
      <c r="BF339" s="29">
        <v>32</v>
      </c>
      <c r="BG339" s="25" t="s">
        <v>190</v>
      </c>
      <c r="BH339" s="25" t="s">
        <v>166</v>
      </c>
      <c r="BI339" s="25" t="s">
        <v>166</v>
      </c>
      <c r="BJ339" s="29" t="s">
        <v>166</v>
      </c>
      <c r="BK339" s="29" t="s">
        <v>166</v>
      </c>
      <c r="BL339" s="25" t="s">
        <v>191</v>
      </c>
      <c r="BM339" s="25" t="s">
        <v>178</v>
      </c>
      <c r="BN339" s="25" t="s">
        <v>177</v>
      </c>
      <c r="BO339" s="33" t="s">
        <v>166</v>
      </c>
      <c r="BP339" s="25" t="s">
        <v>6775</v>
      </c>
      <c r="BQ339" s="32">
        <v>22</v>
      </c>
      <c r="BR339" s="25" t="s">
        <v>166</v>
      </c>
      <c r="BS339" s="32" t="s">
        <v>166</v>
      </c>
      <c r="BT339" s="25" t="s">
        <v>6776</v>
      </c>
      <c r="BU339" s="25" t="s">
        <v>166</v>
      </c>
      <c r="BV339" s="25" t="s">
        <v>6777</v>
      </c>
      <c r="BW339" s="25" t="s">
        <v>166</v>
      </c>
      <c r="BX339" s="25" t="s">
        <v>166</v>
      </c>
      <c r="BY339" s="25" t="s">
        <v>166</v>
      </c>
      <c r="BZ339" s="25" t="s">
        <v>6778</v>
      </c>
      <c r="CA339" s="25" t="s">
        <v>1232</v>
      </c>
      <c r="CB339" s="25" t="s">
        <v>166</v>
      </c>
      <c r="CC339" s="25" t="s">
        <v>517</v>
      </c>
      <c r="CD339" s="25" t="s">
        <v>166</v>
      </c>
      <c r="CE339" s="29" t="s">
        <v>166</v>
      </c>
      <c r="CF339" s="27" t="s">
        <v>166</v>
      </c>
      <c r="CG339" s="28" t="s">
        <v>166</v>
      </c>
      <c r="CH339" s="27" t="s">
        <v>166</v>
      </c>
      <c r="CI339" s="27" t="s">
        <v>166</v>
      </c>
      <c r="CJ339" s="27" t="s">
        <v>166</v>
      </c>
      <c r="CK339" s="27" t="s">
        <v>166</v>
      </c>
      <c r="CL339" s="27" t="s">
        <v>166</v>
      </c>
      <c r="CM339" s="31" t="s">
        <v>166</v>
      </c>
      <c r="CN339" s="27" t="s">
        <v>166</v>
      </c>
      <c r="CO339" s="27" t="s">
        <v>166</v>
      </c>
      <c r="CP339" s="27" t="s">
        <v>166</v>
      </c>
      <c r="CQ339" s="27" t="s">
        <v>166</v>
      </c>
      <c r="CR339" s="27" t="s">
        <v>166</v>
      </c>
      <c r="CS339" s="27" t="s">
        <v>166</v>
      </c>
      <c r="CT339" s="27" t="s">
        <v>166</v>
      </c>
      <c r="CU339" s="27" t="s">
        <v>166</v>
      </c>
      <c r="CV339" s="27" t="s">
        <v>166</v>
      </c>
      <c r="CW339" s="27" t="s">
        <v>166</v>
      </c>
      <c r="CX339" s="27" t="s">
        <v>166</v>
      </c>
      <c r="CY339" s="27" t="s">
        <v>166</v>
      </c>
      <c r="CZ339" s="27" t="s">
        <v>166</v>
      </c>
      <c r="DA339" s="27" t="s">
        <v>166</v>
      </c>
      <c r="DB339" s="27" t="s">
        <v>166</v>
      </c>
      <c r="DC339" s="27" t="s">
        <v>166</v>
      </c>
      <c r="DD339" s="27" t="s">
        <v>166</v>
      </c>
      <c r="DE339" s="28" t="s">
        <v>166</v>
      </c>
      <c r="DF339" s="33">
        <v>35</v>
      </c>
      <c r="DG339" s="25" t="s">
        <v>309</v>
      </c>
      <c r="DH339" s="25" t="s">
        <v>193</v>
      </c>
      <c r="DI339" s="25" t="s">
        <v>194</v>
      </c>
      <c r="DJ339" s="25" t="s">
        <v>310</v>
      </c>
      <c r="DK339" s="25" t="s">
        <v>310</v>
      </c>
      <c r="DL339" s="32" t="s">
        <v>3037</v>
      </c>
      <c r="DM339" s="25" t="s">
        <v>198</v>
      </c>
      <c r="DN339" s="24" t="s">
        <v>6779</v>
      </c>
      <c r="DO339" s="31">
        <v>2021</v>
      </c>
      <c r="DP339" s="25" t="s">
        <v>166</v>
      </c>
      <c r="DQ339" s="25" t="s">
        <v>166</v>
      </c>
      <c r="DR339" s="29" t="s">
        <v>166</v>
      </c>
      <c r="DS339" s="27" t="s">
        <v>166</v>
      </c>
      <c r="DT339" s="30" t="s">
        <v>166</v>
      </c>
      <c r="DU339" s="25" t="s">
        <v>166</v>
      </c>
      <c r="DV339" s="29" t="s">
        <v>166</v>
      </c>
      <c r="DW339" s="29" t="s">
        <v>166</v>
      </c>
      <c r="DX339" s="27" t="s">
        <v>166</v>
      </c>
      <c r="DY339" s="27" t="s">
        <v>166</v>
      </c>
      <c r="DZ339" s="28" t="s">
        <v>166</v>
      </c>
      <c r="EA339" s="27" t="s">
        <v>166</v>
      </c>
      <c r="EB339" s="27" t="s">
        <v>166</v>
      </c>
      <c r="EC339" s="27" t="s">
        <v>166</v>
      </c>
      <c r="ED339" s="28" t="s">
        <v>166</v>
      </c>
      <c r="EE339" s="28" t="s">
        <v>166</v>
      </c>
      <c r="EF339" s="28" t="s">
        <v>166</v>
      </c>
      <c r="EG339" s="28" t="s">
        <v>166</v>
      </c>
      <c r="EH339" s="27" t="s">
        <v>166</v>
      </c>
      <c r="EI339" s="27" t="s">
        <v>166</v>
      </c>
      <c r="EJ339" s="27" t="s">
        <v>166</v>
      </c>
      <c r="EK339" s="27" t="s">
        <v>166</v>
      </c>
      <c r="EL339" s="27" t="s">
        <v>166</v>
      </c>
      <c r="EM339" s="27" t="s">
        <v>166</v>
      </c>
      <c r="EN339" s="27" t="s">
        <v>166</v>
      </c>
      <c r="EO339" s="27" t="s">
        <v>166</v>
      </c>
      <c r="EP339" s="27" t="s">
        <v>166</v>
      </c>
      <c r="EQ339" s="27" t="s">
        <v>166</v>
      </c>
      <c r="ER339" s="27" t="s">
        <v>166</v>
      </c>
      <c r="ES339" s="27" t="s">
        <v>166</v>
      </c>
      <c r="ET339" s="25" t="s">
        <v>166</v>
      </c>
      <c r="EU339" s="27" t="s">
        <v>166</v>
      </c>
      <c r="EV339" s="27" t="s">
        <v>166</v>
      </c>
      <c r="EW339" s="27" t="s">
        <v>166</v>
      </c>
      <c r="EX339" s="25" t="s">
        <v>190</v>
      </c>
      <c r="EY339" s="25" t="s">
        <v>166</v>
      </c>
      <c r="EZ339" s="27" t="s">
        <v>166</v>
      </c>
      <c r="FA339" s="26" t="s">
        <v>166</v>
      </c>
      <c r="FB339" s="26" t="s">
        <v>166</v>
      </c>
      <c r="FC339" s="26" t="s">
        <v>166</v>
      </c>
      <c r="FD339" s="26" t="s">
        <v>166</v>
      </c>
      <c r="FE339" s="26" t="s">
        <v>166</v>
      </c>
      <c r="FF339" s="26" t="s">
        <v>166</v>
      </c>
      <c r="FG339" s="25" t="s">
        <v>166</v>
      </c>
      <c r="FH339" s="4">
        <f>HYPERLINK("https://my.pitchbook.com?c=194624-74T","View Company Online")</f>
      </c>
    </row>
    <row r="340">
      <c r="A340" s="14" t="s">
        <v>6780</v>
      </c>
      <c r="B340" s="14" t="s">
        <v>6781</v>
      </c>
      <c r="C340" s="14" t="s">
        <v>6782</v>
      </c>
      <c r="D340" s="14" t="s">
        <v>166</v>
      </c>
      <c r="E340" s="23" t="s">
        <v>6783</v>
      </c>
      <c r="F340" s="21">
        <v>4</v>
      </c>
      <c r="G340" s="14" t="s">
        <v>6784</v>
      </c>
      <c r="H340" s="14" t="s">
        <v>166</v>
      </c>
      <c r="I340" s="14" t="s">
        <v>6785</v>
      </c>
      <c r="J340" s="14" t="s">
        <v>6786</v>
      </c>
      <c r="K340" s="14" t="s">
        <v>207</v>
      </c>
      <c r="L340" s="14" t="s">
        <v>208</v>
      </c>
      <c r="M340" s="14" t="s">
        <v>209</v>
      </c>
      <c r="N340" s="14" t="s">
        <v>210</v>
      </c>
      <c r="O340" s="14" t="s">
        <v>6787</v>
      </c>
      <c r="P340" s="14" t="s">
        <v>6788</v>
      </c>
      <c r="Q340" s="14" t="s">
        <v>166</v>
      </c>
      <c r="R340" s="14" t="s">
        <v>177</v>
      </c>
      <c r="S340" s="14" t="s">
        <v>178</v>
      </c>
      <c r="T340" s="14" t="s">
        <v>179</v>
      </c>
      <c r="U340" s="14" t="s">
        <v>6789</v>
      </c>
      <c r="V340" s="14" t="s">
        <v>6790</v>
      </c>
      <c r="W340" s="21" t="s">
        <v>6791</v>
      </c>
      <c r="X340" s="14" t="s">
        <v>6792</v>
      </c>
      <c r="Y340" s="14" t="s">
        <v>6793</v>
      </c>
      <c r="Z340" s="14" t="s">
        <v>166</v>
      </c>
      <c r="AA340" s="14" t="s">
        <v>242</v>
      </c>
      <c r="AB340" s="14" t="s">
        <v>243</v>
      </c>
      <c r="AC340" s="14" t="s">
        <v>244</v>
      </c>
      <c r="AD340" s="14" t="s">
        <v>166</v>
      </c>
      <c r="AE340" s="14" t="s">
        <v>166</v>
      </c>
      <c r="AF340" s="14" t="s">
        <v>166</v>
      </c>
      <c r="AG340" s="14" t="s">
        <v>246</v>
      </c>
      <c r="AH340" s="21">
        <v>4</v>
      </c>
      <c r="AI340" s="3">
        <f>HYPERLINK("https://my.pitchbook.com/?d=167625-37T","167625-37T")</f>
      </c>
      <c r="AJ340" s="19" t="s">
        <v>166</v>
      </c>
      <c r="AK340" s="19">
        <v>44460</v>
      </c>
      <c r="AL340" s="18">
        <v>3.7</v>
      </c>
      <c r="AM340" s="14" t="s">
        <v>185</v>
      </c>
      <c r="AN340" s="18">
        <v>7</v>
      </c>
      <c r="AO340" s="18">
        <v>10.7</v>
      </c>
      <c r="AP340" s="14" t="s">
        <v>185</v>
      </c>
      <c r="AQ340" s="21" t="s">
        <v>166</v>
      </c>
      <c r="AR340" s="21" t="s">
        <v>166</v>
      </c>
      <c r="AS340" s="17">
        <v>34.58</v>
      </c>
      <c r="AT340" s="18">
        <v>4.05</v>
      </c>
      <c r="AU340" s="21" t="s">
        <v>186</v>
      </c>
      <c r="AV340" s="21" t="s">
        <v>166</v>
      </c>
      <c r="AW340" s="18">
        <v>0.64</v>
      </c>
      <c r="AX340" s="21" t="s">
        <v>166</v>
      </c>
      <c r="AY340" s="14" t="s">
        <v>217</v>
      </c>
      <c r="AZ340" s="14" t="s">
        <v>217</v>
      </c>
      <c r="BA340" s="14" t="s">
        <v>166</v>
      </c>
      <c r="BB340" s="21" t="s">
        <v>166</v>
      </c>
      <c r="BC340" s="14" t="s">
        <v>179</v>
      </c>
      <c r="BD340" s="14" t="s">
        <v>6794</v>
      </c>
      <c r="BE340" s="14" t="s">
        <v>189</v>
      </c>
      <c r="BF340" s="18">
        <v>3.7</v>
      </c>
      <c r="BG340" s="14" t="s">
        <v>190</v>
      </c>
      <c r="BH340" s="14" t="s">
        <v>166</v>
      </c>
      <c r="BI340" s="14" t="s">
        <v>166</v>
      </c>
      <c r="BJ340" s="18" t="s">
        <v>166</v>
      </c>
      <c r="BK340" s="18" t="s">
        <v>166</v>
      </c>
      <c r="BL340" s="14" t="s">
        <v>191</v>
      </c>
      <c r="BM340" s="14" t="s">
        <v>178</v>
      </c>
      <c r="BN340" s="14" t="s">
        <v>177</v>
      </c>
      <c r="BO340" s="22" t="s">
        <v>166</v>
      </c>
      <c r="BP340" s="14" t="s">
        <v>6795</v>
      </c>
      <c r="BQ340" s="21">
        <v>4</v>
      </c>
      <c r="BR340" s="14" t="s">
        <v>166</v>
      </c>
      <c r="BS340" s="21" t="s">
        <v>166</v>
      </c>
      <c r="BT340" s="14" t="s">
        <v>166</v>
      </c>
      <c r="BU340" s="14" t="s">
        <v>166</v>
      </c>
      <c r="BV340" s="14" t="s">
        <v>6796</v>
      </c>
      <c r="BW340" s="14" t="s">
        <v>166</v>
      </c>
      <c r="BX340" s="14" t="s">
        <v>166</v>
      </c>
      <c r="BY340" s="14" t="s">
        <v>166</v>
      </c>
      <c r="BZ340" s="14" t="s">
        <v>166</v>
      </c>
      <c r="CA340" s="14" t="s">
        <v>166</v>
      </c>
      <c r="CB340" s="14" t="s">
        <v>166</v>
      </c>
      <c r="CC340" s="14" t="s">
        <v>166</v>
      </c>
      <c r="CD340" s="14" t="s">
        <v>166</v>
      </c>
      <c r="CE340" s="18" t="s">
        <v>166</v>
      </c>
      <c r="CF340" s="16" t="s">
        <v>166</v>
      </c>
      <c r="CG340" s="17" t="s">
        <v>166</v>
      </c>
      <c r="CH340" s="16" t="s">
        <v>166</v>
      </c>
      <c r="CI340" s="16" t="s">
        <v>166</v>
      </c>
      <c r="CJ340" s="16" t="s">
        <v>166</v>
      </c>
      <c r="CK340" s="16" t="s">
        <v>166</v>
      </c>
      <c r="CL340" s="16" t="s">
        <v>166</v>
      </c>
      <c r="CM340" s="20" t="s">
        <v>166</v>
      </c>
      <c r="CN340" s="16" t="s">
        <v>166</v>
      </c>
      <c r="CO340" s="16" t="s">
        <v>166</v>
      </c>
      <c r="CP340" s="16" t="s">
        <v>166</v>
      </c>
      <c r="CQ340" s="16" t="s">
        <v>166</v>
      </c>
      <c r="CR340" s="16" t="s">
        <v>166</v>
      </c>
      <c r="CS340" s="16" t="s">
        <v>166</v>
      </c>
      <c r="CT340" s="16" t="s">
        <v>166</v>
      </c>
      <c r="CU340" s="16" t="s">
        <v>166</v>
      </c>
      <c r="CV340" s="16" t="s">
        <v>166</v>
      </c>
      <c r="CW340" s="16" t="s">
        <v>166</v>
      </c>
      <c r="CX340" s="16" t="s">
        <v>166</v>
      </c>
      <c r="CY340" s="16" t="s">
        <v>166</v>
      </c>
      <c r="CZ340" s="16" t="s">
        <v>166</v>
      </c>
      <c r="DA340" s="16" t="s">
        <v>166</v>
      </c>
      <c r="DB340" s="16" t="s">
        <v>166</v>
      </c>
      <c r="DC340" s="16" t="s">
        <v>166</v>
      </c>
      <c r="DD340" s="16" t="s">
        <v>166</v>
      </c>
      <c r="DE340" s="17" t="s">
        <v>166</v>
      </c>
      <c r="DF340" s="22">
        <v>32</v>
      </c>
      <c r="DG340" s="14" t="s">
        <v>309</v>
      </c>
      <c r="DH340" s="14" t="s">
        <v>193</v>
      </c>
      <c r="DI340" s="14" t="s">
        <v>194</v>
      </c>
      <c r="DJ340" s="14" t="s">
        <v>310</v>
      </c>
      <c r="DK340" s="14" t="s">
        <v>310</v>
      </c>
      <c r="DL340" s="21" t="s">
        <v>5179</v>
      </c>
      <c r="DM340" s="14" t="s">
        <v>198</v>
      </c>
      <c r="DN340" s="13" t="s">
        <v>6797</v>
      </c>
      <c r="DO340" s="20">
        <v>2015</v>
      </c>
      <c r="DP340" s="14" t="s">
        <v>166</v>
      </c>
      <c r="DQ340" s="14" t="s">
        <v>166</v>
      </c>
      <c r="DR340" s="18" t="s">
        <v>166</v>
      </c>
      <c r="DS340" s="16" t="s">
        <v>166</v>
      </c>
      <c r="DT340" s="19" t="s">
        <v>166</v>
      </c>
      <c r="DU340" s="14" t="s">
        <v>166</v>
      </c>
      <c r="DV340" s="18" t="s">
        <v>166</v>
      </c>
      <c r="DW340" s="18" t="s">
        <v>166</v>
      </c>
      <c r="DX340" s="16" t="s">
        <v>166</v>
      </c>
      <c r="DY340" s="16" t="s">
        <v>166</v>
      </c>
      <c r="DZ340" s="17" t="s">
        <v>166</v>
      </c>
      <c r="EA340" s="16" t="s">
        <v>166</v>
      </c>
      <c r="EB340" s="16" t="s">
        <v>166</v>
      </c>
      <c r="EC340" s="16" t="s">
        <v>166</v>
      </c>
      <c r="ED340" s="17" t="s">
        <v>166</v>
      </c>
      <c r="EE340" s="17" t="s">
        <v>166</v>
      </c>
      <c r="EF340" s="17" t="s">
        <v>166</v>
      </c>
      <c r="EG340" s="17" t="s">
        <v>166</v>
      </c>
      <c r="EH340" s="16" t="s">
        <v>166</v>
      </c>
      <c r="EI340" s="16" t="s">
        <v>166</v>
      </c>
      <c r="EJ340" s="16" t="s">
        <v>166</v>
      </c>
      <c r="EK340" s="16" t="s">
        <v>166</v>
      </c>
      <c r="EL340" s="16" t="s">
        <v>166</v>
      </c>
      <c r="EM340" s="16" t="s">
        <v>166</v>
      </c>
      <c r="EN340" s="16" t="s">
        <v>166</v>
      </c>
      <c r="EO340" s="16" t="s">
        <v>166</v>
      </c>
      <c r="EP340" s="16" t="s">
        <v>166</v>
      </c>
      <c r="EQ340" s="16" t="s">
        <v>166</v>
      </c>
      <c r="ER340" s="16" t="s">
        <v>166</v>
      </c>
      <c r="ES340" s="16" t="s">
        <v>166</v>
      </c>
      <c r="ET340" s="14" t="s">
        <v>166</v>
      </c>
      <c r="EU340" s="16" t="s">
        <v>166</v>
      </c>
      <c r="EV340" s="16" t="s">
        <v>166</v>
      </c>
      <c r="EW340" s="16" t="s">
        <v>166</v>
      </c>
      <c r="EX340" s="14" t="s">
        <v>190</v>
      </c>
      <c r="EY340" s="14" t="s">
        <v>166</v>
      </c>
      <c r="EZ340" s="16" t="s">
        <v>166</v>
      </c>
      <c r="FA340" s="15" t="s">
        <v>166</v>
      </c>
      <c r="FB340" s="15" t="s">
        <v>166</v>
      </c>
      <c r="FC340" s="15" t="s">
        <v>166</v>
      </c>
      <c r="FD340" s="15" t="s">
        <v>166</v>
      </c>
      <c r="FE340" s="15" t="s">
        <v>166</v>
      </c>
      <c r="FF340" s="15" t="s">
        <v>166</v>
      </c>
      <c r="FG340" s="14" t="s">
        <v>166</v>
      </c>
      <c r="FH340" s="3">
        <f>HYPERLINK("https://my.pitchbook.com?c=167625-37T","View Company Online")</f>
      </c>
    </row>
    <row r="341">
      <c r="A341" s="25" t="s">
        <v>6798</v>
      </c>
      <c r="B341" s="25" t="s">
        <v>6799</v>
      </c>
      <c r="C341" s="25" t="s">
        <v>6800</v>
      </c>
      <c r="D341" s="25" t="s">
        <v>166</v>
      </c>
      <c r="E341" s="34" t="s">
        <v>6801</v>
      </c>
      <c r="F341" s="32">
        <v>10</v>
      </c>
      <c r="G341" s="25" t="s">
        <v>6802</v>
      </c>
      <c r="H341" s="25" t="s">
        <v>166</v>
      </c>
      <c r="I341" s="25" t="s">
        <v>6803</v>
      </c>
      <c r="J341" s="25" t="s">
        <v>6804</v>
      </c>
      <c r="K341" s="25" t="s">
        <v>1455</v>
      </c>
      <c r="L341" s="25" t="s">
        <v>1456</v>
      </c>
      <c r="M341" s="25" t="s">
        <v>1457</v>
      </c>
      <c r="N341" s="25" t="s">
        <v>1841</v>
      </c>
      <c r="O341" s="25" t="s">
        <v>1842</v>
      </c>
      <c r="P341" s="25" t="s">
        <v>6805</v>
      </c>
      <c r="Q341" s="25" t="s">
        <v>166</v>
      </c>
      <c r="R341" s="25" t="s">
        <v>177</v>
      </c>
      <c r="S341" s="25" t="s">
        <v>178</v>
      </c>
      <c r="T341" s="25" t="s">
        <v>179</v>
      </c>
      <c r="U341" s="25" t="s">
        <v>6806</v>
      </c>
      <c r="V341" s="25" t="s">
        <v>6807</v>
      </c>
      <c r="W341" s="32" t="s">
        <v>166</v>
      </c>
      <c r="X341" s="25" t="s">
        <v>6808</v>
      </c>
      <c r="Y341" s="25" t="s">
        <v>6809</v>
      </c>
      <c r="Z341" s="25" t="s">
        <v>166</v>
      </c>
      <c r="AA341" s="25" t="s">
        <v>166</v>
      </c>
      <c r="AB341" s="25" t="s">
        <v>166</v>
      </c>
      <c r="AC341" s="25" t="s">
        <v>166</v>
      </c>
      <c r="AD341" s="25" t="s">
        <v>166</v>
      </c>
      <c r="AE341" s="25" t="s">
        <v>166</v>
      </c>
      <c r="AF341" s="25" t="s">
        <v>166</v>
      </c>
      <c r="AG341" s="25" t="s">
        <v>166</v>
      </c>
      <c r="AH341" s="32">
        <v>2</v>
      </c>
      <c r="AI341" s="4">
        <f>HYPERLINK("https://my.pitchbook.com/?d=197077-15T","197077-15T")</f>
      </c>
      <c r="AJ341" s="30" t="s">
        <v>166</v>
      </c>
      <c r="AK341" s="30">
        <v>45505</v>
      </c>
      <c r="AL341" s="29">
        <v>4.1</v>
      </c>
      <c r="AM341" s="25" t="s">
        <v>185</v>
      </c>
      <c r="AN341" s="29" t="s">
        <v>166</v>
      </c>
      <c r="AO341" s="29" t="s">
        <v>166</v>
      </c>
      <c r="AP341" s="25" t="s">
        <v>166</v>
      </c>
      <c r="AQ341" s="32" t="s">
        <v>166</v>
      </c>
      <c r="AR341" s="32" t="s">
        <v>166</v>
      </c>
      <c r="AS341" s="28">
        <v>7</v>
      </c>
      <c r="AT341" s="29">
        <v>4.1</v>
      </c>
      <c r="AU341" s="32" t="s">
        <v>186</v>
      </c>
      <c r="AV341" s="32" t="s">
        <v>166</v>
      </c>
      <c r="AW341" s="29" t="s">
        <v>166</v>
      </c>
      <c r="AX341" s="32" t="s">
        <v>166</v>
      </c>
      <c r="AY341" s="25" t="s">
        <v>217</v>
      </c>
      <c r="AZ341" s="25" t="s">
        <v>217</v>
      </c>
      <c r="BA341" s="25" t="s">
        <v>166</v>
      </c>
      <c r="BB341" s="32" t="s">
        <v>166</v>
      </c>
      <c r="BC341" s="25" t="s">
        <v>179</v>
      </c>
      <c r="BD341" s="25" t="s">
        <v>6810</v>
      </c>
      <c r="BE341" s="25" t="s">
        <v>189</v>
      </c>
      <c r="BF341" s="29">
        <v>4.1</v>
      </c>
      <c r="BG341" s="25" t="s">
        <v>190</v>
      </c>
      <c r="BH341" s="25" t="s">
        <v>166</v>
      </c>
      <c r="BI341" s="25" t="s">
        <v>166</v>
      </c>
      <c r="BJ341" s="29" t="s">
        <v>166</v>
      </c>
      <c r="BK341" s="29" t="s">
        <v>166</v>
      </c>
      <c r="BL341" s="25" t="s">
        <v>191</v>
      </c>
      <c r="BM341" s="25" t="s">
        <v>178</v>
      </c>
      <c r="BN341" s="25" t="s">
        <v>177</v>
      </c>
      <c r="BO341" s="33">
        <v>6</v>
      </c>
      <c r="BP341" s="25" t="s">
        <v>6811</v>
      </c>
      <c r="BQ341" s="32">
        <v>10</v>
      </c>
      <c r="BR341" s="25" t="s">
        <v>166</v>
      </c>
      <c r="BS341" s="32" t="s">
        <v>166</v>
      </c>
      <c r="BT341" s="25" t="s">
        <v>166</v>
      </c>
      <c r="BU341" s="25" t="s">
        <v>166</v>
      </c>
      <c r="BV341" s="25" t="s">
        <v>166</v>
      </c>
      <c r="BW341" s="25" t="s">
        <v>166</v>
      </c>
      <c r="BX341" s="25" t="s">
        <v>166</v>
      </c>
      <c r="BY341" s="25" t="s">
        <v>166</v>
      </c>
      <c r="BZ341" s="25" t="s">
        <v>166</v>
      </c>
      <c r="CA341" s="25" t="s">
        <v>166</v>
      </c>
      <c r="CB341" s="25" t="s">
        <v>166</v>
      </c>
      <c r="CC341" s="25" t="s">
        <v>166</v>
      </c>
      <c r="CD341" s="25" t="s">
        <v>166</v>
      </c>
      <c r="CE341" s="29" t="s">
        <v>166</v>
      </c>
      <c r="CF341" s="27">
        <v>2</v>
      </c>
      <c r="CG341" s="28">
        <v>400</v>
      </c>
      <c r="CH341" s="27" t="s">
        <v>166</v>
      </c>
      <c r="CI341" s="27" t="s">
        <v>166</v>
      </c>
      <c r="CJ341" s="27" t="s">
        <v>166</v>
      </c>
      <c r="CK341" s="27" t="s">
        <v>166</v>
      </c>
      <c r="CL341" s="27" t="s">
        <v>166</v>
      </c>
      <c r="CM341" s="31">
        <v>2024</v>
      </c>
      <c r="CN341" s="27" t="s">
        <v>166</v>
      </c>
      <c r="CO341" s="27" t="s">
        <v>166</v>
      </c>
      <c r="CP341" s="27" t="s">
        <v>166</v>
      </c>
      <c r="CQ341" s="27" t="s">
        <v>166</v>
      </c>
      <c r="CR341" s="27" t="s">
        <v>166</v>
      </c>
      <c r="CS341" s="27" t="s">
        <v>166</v>
      </c>
      <c r="CT341" s="27" t="s">
        <v>166</v>
      </c>
      <c r="CU341" s="27" t="s">
        <v>166</v>
      </c>
      <c r="CV341" s="27">
        <v>2.05</v>
      </c>
      <c r="CW341" s="27" t="s">
        <v>166</v>
      </c>
      <c r="CX341" s="27" t="s">
        <v>166</v>
      </c>
      <c r="CY341" s="27" t="s">
        <v>166</v>
      </c>
      <c r="CZ341" s="27" t="s">
        <v>166</v>
      </c>
      <c r="DA341" s="27" t="s">
        <v>166</v>
      </c>
      <c r="DB341" s="27" t="s">
        <v>166</v>
      </c>
      <c r="DC341" s="27" t="s">
        <v>166</v>
      </c>
      <c r="DD341" s="27" t="s">
        <v>166</v>
      </c>
      <c r="DE341" s="28" t="s">
        <v>166</v>
      </c>
      <c r="DF341" s="33">
        <v>6</v>
      </c>
      <c r="DG341" s="25" t="s">
        <v>3157</v>
      </c>
      <c r="DH341" s="25" t="s">
        <v>193</v>
      </c>
      <c r="DI341" s="25" t="s">
        <v>194</v>
      </c>
      <c r="DJ341" s="25" t="s">
        <v>3158</v>
      </c>
      <c r="DK341" s="25" t="s">
        <v>257</v>
      </c>
      <c r="DL341" s="32" t="s">
        <v>6812</v>
      </c>
      <c r="DM341" s="25" t="s">
        <v>198</v>
      </c>
      <c r="DN341" s="24" t="s">
        <v>6813</v>
      </c>
      <c r="DO341" s="31">
        <v>2022</v>
      </c>
      <c r="DP341" s="25" t="s">
        <v>166</v>
      </c>
      <c r="DQ341" s="25" t="s">
        <v>166</v>
      </c>
      <c r="DR341" s="29" t="s">
        <v>166</v>
      </c>
      <c r="DS341" s="27" t="s">
        <v>166</v>
      </c>
      <c r="DT341" s="30" t="s">
        <v>166</v>
      </c>
      <c r="DU341" s="25" t="s">
        <v>166</v>
      </c>
      <c r="DV341" s="29" t="s">
        <v>166</v>
      </c>
      <c r="DW341" s="29" t="s">
        <v>166</v>
      </c>
      <c r="DX341" s="27" t="s">
        <v>166</v>
      </c>
      <c r="DY341" s="27" t="s">
        <v>166</v>
      </c>
      <c r="DZ341" s="28" t="s">
        <v>166</v>
      </c>
      <c r="EA341" s="27" t="s">
        <v>166</v>
      </c>
      <c r="EB341" s="27" t="s">
        <v>166</v>
      </c>
      <c r="EC341" s="27" t="s">
        <v>166</v>
      </c>
      <c r="ED341" s="28" t="s">
        <v>166</v>
      </c>
      <c r="EE341" s="28" t="s">
        <v>166</v>
      </c>
      <c r="EF341" s="28" t="s">
        <v>166</v>
      </c>
      <c r="EG341" s="28" t="s">
        <v>166</v>
      </c>
      <c r="EH341" s="27" t="s">
        <v>166</v>
      </c>
      <c r="EI341" s="27" t="s">
        <v>166</v>
      </c>
      <c r="EJ341" s="27" t="s">
        <v>166</v>
      </c>
      <c r="EK341" s="27" t="s">
        <v>166</v>
      </c>
      <c r="EL341" s="27" t="s">
        <v>166</v>
      </c>
      <c r="EM341" s="27" t="s">
        <v>166</v>
      </c>
      <c r="EN341" s="27" t="s">
        <v>166</v>
      </c>
      <c r="EO341" s="27" t="s">
        <v>166</v>
      </c>
      <c r="EP341" s="27" t="s">
        <v>166</v>
      </c>
      <c r="EQ341" s="27" t="s">
        <v>166</v>
      </c>
      <c r="ER341" s="27" t="s">
        <v>166</v>
      </c>
      <c r="ES341" s="27" t="s">
        <v>166</v>
      </c>
      <c r="ET341" s="25" t="s">
        <v>166</v>
      </c>
      <c r="EU341" s="27" t="s">
        <v>166</v>
      </c>
      <c r="EV341" s="27" t="s">
        <v>166</v>
      </c>
      <c r="EW341" s="27" t="s">
        <v>166</v>
      </c>
      <c r="EX341" s="25" t="s">
        <v>190</v>
      </c>
      <c r="EY341" s="25" t="s">
        <v>166</v>
      </c>
      <c r="EZ341" s="27" t="s">
        <v>166</v>
      </c>
      <c r="FA341" s="26" t="s">
        <v>166</v>
      </c>
      <c r="FB341" s="26" t="s">
        <v>166</v>
      </c>
      <c r="FC341" s="26" t="s">
        <v>166</v>
      </c>
      <c r="FD341" s="26" t="s">
        <v>166</v>
      </c>
      <c r="FE341" s="26" t="s">
        <v>166</v>
      </c>
      <c r="FF341" s="26" t="s">
        <v>166</v>
      </c>
      <c r="FG341" s="25" t="s">
        <v>166</v>
      </c>
      <c r="FH341" s="4">
        <f>HYPERLINK("https://my.pitchbook.com?c=197077-15T","View Company Online")</f>
      </c>
    </row>
    <row r="342">
      <c r="A342" s="14" t="s">
        <v>6814</v>
      </c>
      <c r="B342" s="14" t="s">
        <v>6815</v>
      </c>
      <c r="C342" s="14" t="s">
        <v>6816</v>
      </c>
      <c r="D342" s="14" t="s">
        <v>166</v>
      </c>
      <c r="E342" s="23" t="s">
        <v>3565</v>
      </c>
      <c r="F342" s="21">
        <v>1</v>
      </c>
      <c r="G342" s="14" t="s">
        <v>3566</v>
      </c>
      <c r="H342" s="14" t="s">
        <v>166</v>
      </c>
      <c r="I342" s="14" t="s">
        <v>6817</v>
      </c>
      <c r="J342" s="14" t="s">
        <v>6818</v>
      </c>
      <c r="K342" s="14" t="s">
        <v>207</v>
      </c>
      <c r="L342" s="14" t="s">
        <v>208</v>
      </c>
      <c r="M342" s="14" t="s">
        <v>639</v>
      </c>
      <c r="N342" s="14" t="s">
        <v>6819</v>
      </c>
      <c r="O342" s="14" t="s">
        <v>211</v>
      </c>
      <c r="P342" s="14" t="s">
        <v>6820</v>
      </c>
      <c r="Q342" s="14" t="s">
        <v>166</v>
      </c>
      <c r="R342" s="14" t="s">
        <v>177</v>
      </c>
      <c r="S342" s="14" t="s">
        <v>178</v>
      </c>
      <c r="T342" s="14" t="s">
        <v>179</v>
      </c>
      <c r="U342" s="14" t="s">
        <v>6821</v>
      </c>
      <c r="V342" s="14" t="s">
        <v>6822</v>
      </c>
      <c r="W342" s="21" t="s">
        <v>166</v>
      </c>
      <c r="X342" s="14" t="s">
        <v>166</v>
      </c>
      <c r="Y342" s="14" t="s">
        <v>6823</v>
      </c>
      <c r="Z342" s="14" t="s">
        <v>166</v>
      </c>
      <c r="AA342" s="14" t="s">
        <v>166</v>
      </c>
      <c r="AB342" s="14" t="s">
        <v>166</v>
      </c>
      <c r="AC342" s="14" t="s">
        <v>166</v>
      </c>
      <c r="AD342" s="14" t="s">
        <v>166</v>
      </c>
      <c r="AE342" s="14" t="s">
        <v>166</v>
      </c>
      <c r="AF342" s="14" t="s">
        <v>166</v>
      </c>
      <c r="AG342" s="14" t="s">
        <v>166</v>
      </c>
      <c r="AH342" s="21">
        <v>1</v>
      </c>
      <c r="AI342" s="3">
        <f>HYPERLINK("https://my.pitchbook.com/?d=199075-69T","199075-69T")</f>
      </c>
      <c r="AJ342" s="19" t="s">
        <v>166</v>
      </c>
      <c r="AK342" s="19">
        <v>44389</v>
      </c>
      <c r="AL342" s="18">
        <v>0.02</v>
      </c>
      <c r="AM342" s="14" t="s">
        <v>185</v>
      </c>
      <c r="AN342" s="18" t="s">
        <v>166</v>
      </c>
      <c r="AO342" s="18" t="s">
        <v>166</v>
      </c>
      <c r="AP342" s="14" t="s">
        <v>166</v>
      </c>
      <c r="AQ342" s="21" t="s">
        <v>166</v>
      </c>
      <c r="AR342" s="21" t="s">
        <v>166</v>
      </c>
      <c r="AS342" s="17" t="s">
        <v>166</v>
      </c>
      <c r="AT342" s="18">
        <v>0.02</v>
      </c>
      <c r="AU342" s="21" t="s">
        <v>186</v>
      </c>
      <c r="AV342" s="21" t="s">
        <v>166</v>
      </c>
      <c r="AW342" s="18" t="s">
        <v>166</v>
      </c>
      <c r="AX342" s="21" t="s">
        <v>166</v>
      </c>
      <c r="AY342" s="14" t="s">
        <v>217</v>
      </c>
      <c r="AZ342" s="14" t="s">
        <v>217</v>
      </c>
      <c r="BA342" s="14" t="s">
        <v>166</v>
      </c>
      <c r="BB342" s="21" t="s">
        <v>166</v>
      </c>
      <c r="BC342" s="14" t="s">
        <v>179</v>
      </c>
      <c r="BD342" s="14" t="s">
        <v>6824</v>
      </c>
      <c r="BE342" s="14" t="s">
        <v>189</v>
      </c>
      <c r="BF342" s="18">
        <v>0.02</v>
      </c>
      <c r="BG342" s="14" t="s">
        <v>190</v>
      </c>
      <c r="BH342" s="14" t="s">
        <v>166</v>
      </c>
      <c r="BI342" s="14" t="s">
        <v>166</v>
      </c>
      <c r="BJ342" s="18" t="s">
        <v>166</v>
      </c>
      <c r="BK342" s="18" t="s">
        <v>166</v>
      </c>
      <c r="BL342" s="14" t="s">
        <v>191</v>
      </c>
      <c r="BM342" s="14" t="s">
        <v>178</v>
      </c>
      <c r="BN342" s="14" t="s">
        <v>177</v>
      </c>
      <c r="BO342" s="22" t="s">
        <v>166</v>
      </c>
      <c r="BP342" s="14" t="s">
        <v>3565</v>
      </c>
      <c r="BQ342" s="21">
        <v>1</v>
      </c>
      <c r="BR342" s="14" t="s">
        <v>166</v>
      </c>
      <c r="BS342" s="21" t="s">
        <v>166</v>
      </c>
      <c r="BT342" s="14" t="s">
        <v>166</v>
      </c>
      <c r="BU342" s="14" t="s">
        <v>166</v>
      </c>
      <c r="BV342" s="14" t="s">
        <v>166</v>
      </c>
      <c r="BW342" s="14" t="s">
        <v>166</v>
      </c>
      <c r="BX342" s="14" t="s">
        <v>166</v>
      </c>
      <c r="BY342" s="14" t="s">
        <v>166</v>
      </c>
      <c r="BZ342" s="14" t="s">
        <v>166</v>
      </c>
      <c r="CA342" s="14" t="s">
        <v>166</v>
      </c>
      <c r="CB342" s="14" t="s">
        <v>166</v>
      </c>
      <c r="CC342" s="14" t="s">
        <v>166</v>
      </c>
      <c r="CD342" s="14" t="s">
        <v>166</v>
      </c>
      <c r="CE342" s="18" t="s">
        <v>166</v>
      </c>
      <c r="CF342" s="16" t="s">
        <v>166</v>
      </c>
      <c r="CG342" s="17" t="s">
        <v>166</v>
      </c>
      <c r="CH342" s="16" t="s">
        <v>166</v>
      </c>
      <c r="CI342" s="16" t="s">
        <v>166</v>
      </c>
      <c r="CJ342" s="16" t="s">
        <v>166</v>
      </c>
      <c r="CK342" s="16" t="s">
        <v>166</v>
      </c>
      <c r="CL342" s="16" t="s">
        <v>166</v>
      </c>
      <c r="CM342" s="20" t="s">
        <v>166</v>
      </c>
      <c r="CN342" s="16" t="s">
        <v>166</v>
      </c>
      <c r="CO342" s="16" t="s">
        <v>166</v>
      </c>
      <c r="CP342" s="16" t="s">
        <v>166</v>
      </c>
      <c r="CQ342" s="16" t="s">
        <v>166</v>
      </c>
      <c r="CR342" s="16" t="s">
        <v>166</v>
      </c>
      <c r="CS342" s="16" t="s">
        <v>166</v>
      </c>
      <c r="CT342" s="16" t="s">
        <v>166</v>
      </c>
      <c r="CU342" s="16" t="s">
        <v>166</v>
      </c>
      <c r="CV342" s="16" t="s">
        <v>166</v>
      </c>
      <c r="CW342" s="16" t="s">
        <v>166</v>
      </c>
      <c r="CX342" s="16" t="s">
        <v>166</v>
      </c>
      <c r="CY342" s="16" t="s">
        <v>166</v>
      </c>
      <c r="CZ342" s="16" t="s">
        <v>166</v>
      </c>
      <c r="DA342" s="16" t="s">
        <v>166</v>
      </c>
      <c r="DB342" s="16" t="s">
        <v>166</v>
      </c>
      <c r="DC342" s="16" t="s">
        <v>166</v>
      </c>
      <c r="DD342" s="16" t="s">
        <v>166</v>
      </c>
      <c r="DE342" s="17" t="s">
        <v>166</v>
      </c>
      <c r="DF342" s="22">
        <v>2</v>
      </c>
      <c r="DG342" s="14" t="s">
        <v>6825</v>
      </c>
      <c r="DH342" s="14" t="s">
        <v>193</v>
      </c>
      <c r="DI342" s="14" t="s">
        <v>194</v>
      </c>
      <c r="DJ342" s="14" t="s">
        <v>6826</v>
      </c>
      <c r="DK342" s="14" t="s">
        <v>1888</v>
      </c>
      <c r="DL342" s="21" t="s">
        <v>6827</v>
      </c>
      <c r="DM342" s="14" t="s">
        <v>198</v>
      </c>
      <c r="DN342" s="13" t="s">
        <v>6828</v>
      </c>
      <c r="DO342" s="20">
        <v>2021</v>
      </c>
      <c r="DP342" s="14" t="s">
        <v>166</v>
      </c>
      <c r="DQ342" s="14" t="s">
        <v>166</v>
      </c>
      <c r="DR342" s="18" t="s">
        <v>166</v>
      </c>
      <c r="DS342" s="16" t="s">
        <v>166</v>
      </c>
      <c r="DT342" s="19" t="s">
        <v>166</v>
      </c>
      <c r="DU342" s="14" t="s">
        <v>166</v>
      </c>
      <c r="DV342" s="18" t="s">
        <v>166</v>
      </c>
      <c r="DW342" s="18" t="s">
        <v>166</v>
      </c>
      <c r="DX342" s="16" t="s">
        <v>166</v>
      </c>
      <c r="DY342" s="16" t="s">
        <v>166</v>
      </c>
      <c r="DZ342" s="17" t="s">
        <v>166</v>
      </c>
      <c r="EA342" s="16" t="s">
        <v>166</v>
      </c>
      <c r="EB342" s="16" t="s">
        <v>166</v>
      </c>
      <c r="EC342" s="16" t="s">
        <v>166</v>
      </c>
      <c r="ED342" s="17" t="s">
        <v>166</v>
      </c>
      <c r="EE342" s="17" t="s">
        <v>166</v>
      </c>
      <c r="EF342" s="17" t="s">
        <v>166</v>
      </c>
      <c r="EG342" s="17" t="s">
        <v>166</v>
      </c>
      <c r="EH342" s="16" t="s">
        <v>166</v>
      </c>
      <c r="EI342" s="16" t="s">
        <v>166</v>
      </c>
      <c r="EJ342" s="16" t="s">
        <v>166</v>
      </c>
      <c r="EK342" s="16" t="s">
        <v>166</v>
      </c>
      <c r="EL342" s="16" t="s">
        <v>166</v>
      </c>
      <c r="EM342" s="16" t="s">
        <v>166</v>
      </c>
      <c r="EN342" s="16" t="s">
        <v>166</v>
      </c>
      <c r="EO342" s="16" t="s">
        <v>166</v>
      </c>
      <c r="EP342" s="16" t="s">
        <v>166</v>
      </c>
      <c r="EQ342" s="16" t="s">
        <v>166</v>
      </c>
      <c r="ER342" s="16" t="s">
        <v>166</v>
      </c>
      <c r="ES342" s="16" t="s">
        <v>166</v>
      </c>
      <c r="ET342" s="14" t="s">
        <v>166</v>
      </c>
      <c r="EU342" s="16" t="s">
        <v>166</v>
      </c>
      <c r="EV342" s="16" t="s">
        <v>166</v>
      </c>
      <c r="EW342" s="16" t="s">
        <v>166</v>
      </c>
      <c r="EX342" s="14" t="s">
        <v>190</v>
      </c>
      <c r="EY342" s="14" t="s">
        <v>166</v>
      </c>
      <c r="EZ342" s="16" t="s">
        <v>166</v>
      </c>
      <c r="FA342" s="15" t="s">
        <v>166</v>
      </c>
      <c r="FB342" s="15" t="s">
        <v>166</v>
      </c>
      <c r="FC342" s="15" t="s">
        <v>166</v>
      </c>
      <c r="FD342" s="15" t="s">
        <v>166</v>
      </c>
      <c r="FE342" s="15" t="s">
        <v>166</v>
      </c>
      <c r="FF342" s="15" t="s">
        <v>166</v>
      </c>
      <c r="FG342" s="14" t="s">
        <v>166</v>
      </c>
      <c r="FH342" s="3">
        <f>HYPERLINK("https://my.pitchbook.com?c=199075-69T","View Company Online")</f>
      </c>
    </row>
    <row r="343">
      <c r="A343" s="25" t="s">
        <v>6829</v>
      </c>
      <c r="B343" s="25" t="s">
        <v>6830</v>
      </c>
      <c r="C343" s="25" t="s">
        <v>6831</v>
      </c>
      <c r="D343" s="25" t="s">
        <v>166</v>
      </c>
      <c r="E343" s="34" t="s">
        <v>6832</v>
      </c>
      <c r="F343" s="32">
        <v>7</v>
      </c>
      <c r="G343" s="25" t="s">
        <v>6833</v>
      </c>
      <c r="H343" s="25" t="s">
        <v>166</v>
      </c>
      <c r="I343" s="25" t="s">
        <v>6834</v>
      </c>
      <c r="J343" s="25" t="s">
        <v>6835</v>
      </c>
      <c r="K343" s="25" t="s">
        <v>321</v>
      </c>
      <c r="L343" s="25" t="s">
        <v>322</v>
      </c>
      <c r="M343" s="25" t="s">
        <v>699</v>
      </c>
      <c r="N343" s="25" t="s">
        <v>6836</v>
      </c>
      <c r="O343" s="25" t="s">
        <v>166</v>
      </c>
      <c r="P343" s="25" t="s">
        <v>6837</v>
      </c>
      <c r="Q343" s="25" t="s">
        <v>166</v>
      </c>
      <c r="R343" s="25" t="s">
        <v>177</v>
      </c>
      <c r="S343" s="25" t="s">
        <v>178</v>
      </c>
      <c r="T343" s="25" t="s">
        <v>1401</v>
      </c>
      <c r="U343" s="25" t="s">
        <v>6838</v>
      </c>
      <c r="V343" s="25" t="s">
        <v>6839</v>
      </c>
      <c r="W343" s="32" t="s">
        <v>6840</v>
      </c>
      <c r="X343" s="25" t="s">
        <v>6841</v>
      </c>
      <c r="Y343" s="25" t="s">
        <v>6842</v>
      </c>
      <c r="Z343" s="25" t="s">
        <v>6843</v>
      </c>
      <c r="AA343" s="25" t="s">
        <v>166</v>
      </c>
      <c r="AB343" s="25" t="s">
        <v>166</v>
      </c>
      <c r="AC343" s="25" t="s">
        <v>166</v>
      </c>
      <c r="AD343" s="25" t="s">
        <v>166</v>
      </c>
      <c r="AE343" s="25" t="s">
        <v>166</v>
      </c>
      <c r="AF343" s="25" t="s">
        <v>166</v>
      </c>
      <c r="AG343" s="25" t="s">
        <v>166</v>
      </c>
      <c r="AH343" s="32">
        <v>2</v>
      </c>
      <c r="AI343" s="4">
        <f>HYPERLINK("https://my.pitchbook.com/?d=183144-79T","183144-79T")</f>
      </c>
      <c r="AJ343" s="30" t="s">
        <v>166</v>
      </c>
      <c r="AK343" s="30">
        <v>44256</v>
      </c>
      <c r="AL343" s="29">
        <v>9</v>
      </c>
      <c r="AM343" s="25" t="s">
        <v>185</v>
      </c>
      <c r="AN343" s="29" t="s">
        <v>166</v>
      </c>
      <c r="AO343" s="29" t="s">
        <v>166</v>
      </c>
      <c r="AP343" s="25" t="s">
        <v>166</v>
      </c>
      <c r="AQ343" s="32" t="s">
        <v>166</v>
      </c>
      <c r="AR343" s="32" t="s">
        <v>166</v>
      </c>
      <c r="AS343" s="28" t="s">
        <v>166</v>
      </c>
      <c r="AT343" s="29">
        <v>9</v>
      </c>
      <c r="AU343" s="32" t="s">
        <v>186</v>
      </c>
      <c r="AV343" s="32" t="s">
        <v>166</v>
      </c>
      <c r="AW343" s="29" t="s">
        <v>166</v>
      </c>
      <c r="AX343" s="32" t="s">
        <v>248</v>
      </c>
      <c r="AY343" s="25" t="s">
        <v>249</v>
      </c>
      <c r="AZ343" s="25" t="s">
        <v>248</v>
      </c>
      <c r="BA343" s="25" t="s">
        <v>166</v>
      </c>
      <c r="BB343" s="32" t="s">
        <v>166</v>
      </c>
      <c r="BC343" s="25" t="s">
        <v>179</v>
      </c>
      <c r="BD343" s="25" t="s">
        <v>6844</v>
      </c>
      <c r="BE343" s="25" t="s">
        <v>189</v>
      </c>
      <c r="BF343" s="29">
        <v>9</v>
      </c>
      <c r="BG343" s="25" t="s">
        <v>190</v>
      </c>
      <c r="BH343" s="25" t="s">
        <v>166</v>
      </c>
      <c r="BI343" s="25" t="s">
        <v>166</v>
      </c>
      <c r="BJ343" s="29" t="s">
        <v>166</v>
      </c>
      <c r="BK343" s="29" t="s">
        <v>166</v>
      </c>
      <c r="BL343" s="25" t="s">
        <v>191</v>
      </c>
      <c r="BM343" s="25" t="s">
        <v>178</v>
      </c>
      <c r="BN343" s="25" t="s">
        <v>177</v>
      </c>
      <c r="BO343" s="33" t="s">
        <v>166</v>
      </c>
      <c r="BP343" s="25" t="s">
        <v>6845</v>
      </c>
      <c r="BQ343" s="32">
        <v>7</v>
      </c>
      <c r="BR343" s="25" t="s">
        <v>166</v>
      </c>
      <c r="BS343" s="32" t="s">
        <v>166</v>
      </c>
      <c r="BT343" s="25" t="s">
        <v>6846</v>
      </c>
      <c r="BU343" s="25" t="s">
        <v>166</v>
      </c>
      <c r="BV343" s="25" t="s">
        <v>166</v>
      </c>
      <c r="BW343" s="25" t="s">
        <v>166</v>
      </c>
      <c r="BX343" s="25" t="s">
        <v>166</v>
      </c>
      <c r="BY343" s="25" t="s">
        <v>166</v>
      </c>
      <c r="BZ343" s="25" t="s">
        <v>166</v>
      </c>
      <c r="CA343" s="25" t="s">
        <v>166</v>
      </c>
      <c r="CB343" s="25" t="s">
        <v>166</v>
      </c>
      <c r="CC343" s="25" t="s">
        <v>166</v>
      </c>
      <c r="CD343" s="25" t="s">
        <v>166</v>
      </c>
      <c r="CE343" s="29" t="s">
        <v>166</v>
      </c>
      <c r="CF343" s="27" t="s">
        <v>166</v>
      </c>
      <c r="CG343" s="28" t="s">
        <v>166</v>
      </c>
      <c r="CH343" s="27" t="s">
        <v>166</v>
      </c>
      <c r="CI343" s="27" t="s">
        <v>166</v>
      </c>
      <c r="CJ343" s="27" t="s">
        <v>166</v>
      </c>
      <c r="CK343" s="27" t="s">
        <v>166</v>
      </c>
      <c r="CL343" s="27" t="s">
        <v>166</v>
      </c>
      <c r="CM343" s="31" t="s">
        <v>166</v>
      </c>
      <c r="CN343" s="27" t="s">
        <v>166</v>
      </c>
      <c r="CO343" s="27" t="s">
        <v>166</v>
      </c>
      <c r="CP343" s="27" t="s">
        <v>166</v>
      </c>
      <c r="CQ343" s="27" t="s">
        <v>166</v>
      </c>
      <c r="CR343" s="27" t="s">
        <v>166</v>
      </c>
      <c r="CS343" s="27" t="s">
        <v>166</v>
      </c>
      <c r="CT343" s="27" t="s">
        <v>166</v>
      </c>
      <c r="CU343" s="27" t="s">
        <v>166</v>
      </c>
      <c r="CV343" s="27" t="s">
        <v>166</v>
      </c>
      <c r="CW343" s="27" t="s">
        <v>166</v>
      </c>
      <c r="CX343" s="27" t="s">
        <v>166</v>
      </c>
      <c r="CY343" s="27" t="s">
        <v>166</v>
      </c>
      <c r="CZ343" s="27" t="s">
        <v>166</v>
      </c>
      <c r="DA343" s="27" t="s">
        <v>166</v>
      </c>
      <c r="DB343" s="27" t="s">
        <v>166</v>
      </c>
      <c r="DC343" s="27" t="s">
        <v>166</v>
      </c>
      <c r="DD343" s="27" t="s">
        <v>166</v>
      </c>
      <c r="DE343" s="28" t="s">
        <v>166</v>
      </c>
      <c r="DF343" s="33">
        <v>40</v>
      </c>
      <c r="DG343" s="25" t="s">
        <v>4632</v>
      </c>
      <c r="DH343" s="25" t="s">
        <v>193</v>
      </c>
      <c r="DI343" s="25" t="s">
        <v>194</v>
      </c>
      <c r="DJ343" s="25" t="s">
        <v>4633</v>
      </c>
      <c r="DK343" s="25" t="s">
        <v>257</v>
      </c>
      <c r="DL343" s="32" t="s">
        <v>6847</v>
      </c>
      <c r="DM343" s="25" t="s">
        <v>198</v>
      </c>
      <c r="DN343" s="24" t="s">
        <v>6848</v>
      </c>
      <c r="DO343" s="31">
        <v>2015</v>
      </c>
      <c r="DP343" s="25" t="s">
        <v>166</v>
      </c>
      <c r="DQ343" s="25" t="s">
        <v>166</v>
      </c>
      <c r="DR343" s="29" t="s">
        <v>166</v>
      </c>
      <c r="DS343" s="27" t="s">
        <v>166</v>
      </c>
      <c r="DT343" s="30" t="s">
        <v>166</v>
      </c>
      <c r="DU343" s="25" t="s">
        <v>166</v>
      </c>
      <c r="DV343" s="29" t="s">
        <v>166</v>
      </c>
      <c r="DW343" s="29" t="s">
        <v>166</v>
      </c>
      <c r="DX343" s="27" t="s">
        <v>166</v>
      </c>
      <c r="DY343" s="27" t="s">
        <v>166</v>
      </c>
      <c r="DZ343" s="28" t="s">
        <v>166</v>
      </c>
      <c r="EA343" s="27" t="s">
        <v>166</v>
      </c>
      <c r="EB343" s="27" t="s">
        <v>166</v>
      </c>
      <c r="EC343" s="27" t="s">
        <v>166</v>
      </c>
      <c r="ED343" s="28" t="s">
        <v>166</v>
      </c>
      <c r="EE343" s="28" t="s">
        <v>166</v>
      </c>
      <c r="EF343" s="28" t="s">
        <v>166</v>
      </c>
      <c r="EG343" s="28" t="s">
        <v>166</v>
      </c>
      <c r="EH343" s="27" t="s">
        <v>166</v>
      </c>
      <c r="EI343" s="27" t="s">
        <v>166</v>
      </c>
      <c r="EJ343" s="27" t="s">
        <v>166</v>
      </c>
      <c r="EK343" s="27" t="s">
        <v>166</v>
      </c>
      <c r="EL343" s="27" t="s">
        <v>166</v>
      </c>
      <c r="EM343" s="27" t="s">
        <v>166</v>
      </c>
      <c r="EN343" s="27" t="s">
        <v>166</v>
      </c>
      <c r="EO343" s="27" t="s">
        <v>166</v>
      </c>
      <c r="EP343" s="27" t="s">
        <v>166</v>
      </c>
      <c r="EQ343" s="27" t="s">
        <v>166</v>
      </c>
      <c r="ER343" s="27" t="s">
        <v>166</v>
      </c>
      <c r="ES343" s="27" t="s">
        <v>166</v>
      </c>
      <c r="ET343" s="25" t="s">
        <v>166</v>
      </c>
      <c r="EU343" s="27" t="s">
        <v>166</v>
      </c>
      <c r="EV343" s="27" t="s">
        <v>166</v>
      </c>
      <c r="EW343" s="27" t="s">
        <v>166</v>
      </c>
      <c r="EX343" s="25" t="s">
        <v>190</v>
      </c>
      <c r="EY343" s="25" t="s">
        <v>166</v>
      </c>
      <c r="EZ343" s="27" t="s">
        <v>166</v>
      </c>
      <c r="FA343" s="26" t="s">
        <v>166</v>
      </c>
      <c r="FB343" s="26" t="s">
        <v>166</v>
      </c>
      <c r="FC343" s="26" t="s">
        <v>166</v>
      </c>
      <c r="FD343" s="26" t="s">
        <v>166</v>
      </c>
      <c r="FE343" s="26" t="s">
        <v>166</v>
      </c>
      <c r="FF343" s="26" t="s">
        <v>166</v>
      </c>
      <c r="FG343" s="25" t="s">
        <v>166</v>
      </c>
      <c r="FH343" s="4">
        <f>HYPERLINK("https://my.pitchbook.com?c=183144-79T","View Company Online")</f>
      </c>
    </row>
    <row r="344">
      <c r="A344" s="14" t="s">
        <v>6849</v>
      </c>
      <c r="B344" s="14" t="s">
        <v>6850</v>
      </c>
      <c r="C344" s="14" t="s">
        <v>6851</v>
      </c>
      <c r="D344" s="14" t="s">
        <v>166</v>
      </c>
      <c r="E344" s="23" t="s">
        <v>6852</v>
      </c>
      <c r="F344" s="21">
        <v>13</v>
      </c>
      <c r="G344" s="14" t="s">
        <v>6853</v>
      </c>
      <c r="H344" s="14" t="s">
        <v>166</v>
      </c>
      <c r="I344" s="14" t="s">
        <v>6854</v>
      </c>
      <c r="J344" s="14" t="s">
        <v>6855</v>
      </c>
      <c r="K344" s="14" t="s">
        <v>321</v>
      </c>
      <c r="L344" s="14" t="s">
        <v>322</v>
      </c>
      <c r="M344" s="14" t="s">
        <v>322</v>
      </c>
      <c r="N344" s="14" t="s">
        <v>2552</v>
      </c>
      <c r="O344" s="14" t="s">
        <v>6856</v>
      </c>
      <c r="P344" s="14" t="s">
        <v>6857</v>
      </c>
      <c r="Q344" s="14" t="s">
        <v>166</v>
      </c>
      <c r="R344" s="14" t="s">
        <v>177</v>
      </c>
      <c r="S344" s="14" t="s">
        <v>358</v>
      </c>
      <c r="T344" s="14" t="s">
        <v>179</v>
      </c>
      <c r="U344" s="14" t="s">
        <v>6858</v>
      </c>
      <c r="V344" s="14" t="s">
        <v>6859</v>
      </c>
      <c r="W344" s="21" t="s">
        <v>166</v>
      </c>
      <c r="X344" s="14" t="s">
        <v>6860</v>
      </c>
      <c r="Y344" s="14" t="s">
        <v>6861</v>
      </c>
      <c r="Z344" s="14" t="s">
        <v>6862</v>
      </c>
      <c r="AA344" s="14" t="s">
        <v>166</v>
      </c>
      <c r="AB344" s="14" t="s">
        <v>166</v>
      </c>
      <c r="AC344" s="14" t="s">
        <v>166</v>
      </c>
      <c r="AD344" s="14" t="s">
        <v>166</v>
      </c>
      <c r="AE344" s="14" t="s">
        <v>166</v>
      </c>
      <c r="AF344" s="14" t="s">
        <v>166</v>
      </c>
      <c r="AG344" s="14" t="s">
        <v>166</v>
      </c>
      <c r="AH344" s="21">
        <v>2</v>
      </c>
      <c r="AI344" s="3">
        <f>HYPERLINK("https://my.pitchbook.com/?d=232631-92T","232631-92T")</f>
      </c>
      <c r="AJ344" s="19" t="s">
        <v>166</v>
      </c>
      <c r="AK344" s="19">
        <v>45104</v>
      </c>
      <c r="AL344" s="18">
        <v>3.5</v>
      </c>
      <c r="AM344" s="14" t="s">
        <v>185</v>
      </c>
      <c r="AN344" s="18">
        <v>14</v>
      </c>
      <c r="AO344" s="18">
        <v>17</v>
      </c>
      <c r="AP344" s="14" t="s">
        <v>185</v>
      </c>
      <c r="AQ344" s="21" t="s">
        <v>166</v>
      </c>
      <c r="AR344" s="21" t="s">
        <v>166</v>
      </c>
      <c r="AS344" s="17">
        <v>20</v>
      </c>
      <c r="AT344" s="18">
        <v>3.75</v>
      </c>
      <c r="AU344" s="21" t="s">
        <v>186</v>
      </c>
      <c r="AV344" s="21" t="s">
        <v>166</v>
      </c>
      <c r="AW344" s="18" t="s">
        <v>166</v>
      </c>
      <c r="AX344" s="21" t="s">
        <v>166</v>
      </c>
      <c r="AY344" s="14" t="s">
        <v>217</v>
      </c>
      <c r="AZ344" s="14" t="s">
        <v>217</v>
      </c>
      <c r="BA344" s="14" t="s">
        <v>166</v>
      </c>
      <c r="BB344" s="21" t="s">
        <v>166</v>
      </c>
      <c r="BC344" s="14" t="s">
        <v>179</v>
      </c>
      <c r="BD344" s="14" t="s">
        <v>6863</v>
      </c>
      <c r="BE344" s="14" t="s">
        <v>189</v>
      </c>
      <c r="BF344" s="18">
        <v>3.5</v>
      </c>
      <c r="BG344" s="14" t="s">
        <v>190</v>
      </c>
      <c r="BH344" s="14" t="s">
        <v>166</v>
      </c>
      <c r="BI344" s="14" t="s">
        <v>166</v>
      </c>
      <c r="BJ344" s="18" t="s">
        <v>166</v>
      </c>
      <c r="BK344" s="18" t="s">
        <v>166</v>
      </c>
      <c r="BL344" s="14" t="s">
        <v>191</v>
      </c>
      <c r="BM344" s="14" t="s">
        <v>358</v>
      </c>
      <c r="BN344" s="14" t="s">
        <v>177</v>
      </c>
      <c r="BO344" s="22" t="s">
        <v>166</v>
      </c>
      <c r="BP344" s="14" t="s">
        <v>6864</v>
      </c>
      <c r="BQ344" s="21">
        <v>12</v>
      </c>
      <c r="BR344" s="14" t="s">
        <v>6865</v>
      </c>
      <c r="BS344" s="21">
        <v>1</v>
      </c>
      <c r="BT344" s="14" t="s">
        <v>166</v>
      </c>
      <c r="BU344" s="14" t="s">
        <v>166</v>
      </c>
      <c r="BV344" s="14" t="s">
        <v>6866</v>
      </c>
      <c r="BW344" s="14" t="s">
        <v>166</v>
      </c>
      <c r="BX344" s="14" t="s">
        <v>166</v>
      </c>
      <c r="BY344" s="14" t="s">
        <v>166</v>
      </c>
      <c r="BZ344" s="14" t="s">
        <v>166</v>
      </c>
      <c r="CA344" s="14" t="s">
        <v>166</v>
      </c>
      <c r="CB344" s="14" t="s">
        <v>166</v>
      </c>
      <c r="CC344" s="14" t="s">
        <v>166</v>
      </c>
      <c r="CD344" s="14" t="s">
        <v>166</v>
      </c>
      <c r="CE344" s="18" t="s">
        <v>166</v>
      </c>
      <c r="CF344" s="16" t="s">
        <v>166</v>
      </c>
      <c r="CG344" s="17" t="s">
        <v>166</v>
      </c>
      <c r="CH344" s="16" t="s">
        <v>166</v>
      </c>
      <c r="CI344" s="16" t="s">
        <v>166</v>
      </c>
      <c r="CJ344" s="16" t="s">
        <v>166</v>
      </c>
      <c r="CK344" s="16" t="s">
        <v>166</v>
      </c>
      <c r="CL344" s="16" t="s">
        <v>166</v>
      </c>
      <c r="CM344" s="20" t="s">
        <v>166</v>
      </c>
      <c r="CN344" s="16" t="s">
        <v>166</v>
      </c>
      <c r="CO344" s="16" t="s">
        <v>166</v>
      </c>
      <c r="CP344" s="16" t="s">
        <v>166</v>
      </c>
      <c r="CQ344" s="16" t="s">
        <v>166</v>
      </c>
      <c r="CR344" s="16" t="s">
        <v>166</v>
      </c>
      <c r="CS344" s="16" t="s">
        <v>166</v>
      </c>
      <c r="CT344" s="16" t="s">
        <v>166</v>
      </c>
      <c r="CU344" s="16" t="s">
        <v>166</v>
      </c>
      <c r="CV344" s="16" t="s">
        <v>166</v>
      </c>
      <c r="CW344" s="16" t="s">
        <v>166</v>
      </c>
      <c r="CX344" s="16" t="s">
        <v>166</v>
      </c>
      <c r="CY344" s="16" t="s">
        <v>166</v>
      </c>
      <c r="CZ344" s="16" t="s">
        <v>166</v>
      </c>
      <c r="DA344" s="16" t="s">
        <v>166</v>
      </c>
      <c r="DB344" s="16" t="s">
        <v>166</v>
      </c>
      <c r="DC344" s="16" t="s">
        <v>166</v>
      </c>
      <c r="DD344" s="16" t="s">
        <v>166</v>
      </c>
      <c r="DE344" s="17" t="s">
        <v>166</v>
      </c>
      <c r="DF344" s="22">
        <v>3</v>
      </c>
      <c r="DG344" s="14" t="s">
        <v>309</v>
      </c>
      <c r="DH344" s="14" t="s">
        <v>193</v>
      </c>
      <c r="DI344" s="14" t="s">
        <v>194</v>
      </c>
      <c r="DJ344" s="14" t="s">
        <v>310</v>
      </c>
      <c r="DK344" s="14" t="s">
        <v>310</v>
      </c>
      <c r="DL344" s="21" t="s">
        <v>166</v>
      </c>
      <c r="DM344" s="14" t="s">
        <v>198</v>
      </c>
      <c r="DN344" s="13" t="s">
        <v>6867</v>
      </c>
      <c r="DO344" s="20">
        <v>2022</v>
      </c>
      <c r="DP344" s="14" t="s">
        <v>166</v>
      </c>
      <c r="DQ344" s="14" t="s">
        <v>166</v>
      </c>
      <c r="DR344" s="18" t="s">
        <v>166</v>
      </c>
      <c r="DS344" s="16" t="s">
        <v>166</v>
      </c>
      <c r="DT344" s="19" t="s">
        <v>166</v>
      </c>
      <c r="DU344" s="14" t="s">
        <v>166</v>
      </c>
      <c r="DV344" s="18" t="s">
        <v>166</v>
      </c>
      <c r="DW344" s="18" t="s">
        <v>166</v>
      </c>
      <c r="DX344" s="16" t="s">
        <v>166</v>
      </c>
      <c r="DY344" s="16" t="s">
        <v>166</v>
      </c>
      <c r="DZ344" s="17" t="s">
        <v>166</v>
      </c>
      <c r="EA344" s="16" t="s">
        <v>166</v>
      </c>
      <c r="EB344" s="16" t="s">
        <v>166</v>
      </c>
      <c r="EC344" s="16" t="s">
        <v>166</v>
      </c>
      <c r="ED344" s="17" t="s">
        <v>166</v>
      </c>
      <c r="EE344" s="17" t="s">
        <v>166</v>
      </c>
      <c r="EF344" s="17" t="s">
        <v>166</v>
      </c>
      <c r="EG344" s="17" t="s">
        <v>166</v>
      </c>
      <c r="EH344" s="16" t="s">
        <v>166</v>
      </c>
      <c r="EI344" s="16" t="s">
        <v>166</v>
      </c>
      <c r="EJ344" s="16" t="s">
        <v>166</v>
      </c>
      <c r="EK344" s="16" t="s">
        <v>166</v>
      </c>
      <c r="EL344" s="16" t="s">
        <v>166</v>
      </c>
      <c r="EM344" s="16" t="s">
        <v>166</v>
      </c>
      <c r="EN344" s="16" t="s">
        <v>166</v>
      </c>
      <c r="EO344" s="16" t="s">
        <v>166</v>
      </c>
      <c r="EP344" s="16" t="s">
        <v>166</v>
      </c>
      <c r="EQ344" s="16" t="s">
        <v>166</v>
      </c>
      <c r="ER344" s="16" t="s">
        <v>166</v>
      </c>
      <c r="ES344" s="16" t="s">
        <v>166</v>
      </c>
      <c r="ET344" s="14" t="s">
        <v>166</v>
      </c>
      <c r="EU344" s="16" t="s">
        <v>166</v>
      </c>
      <c r="EV344" s="16" t="s">
        <v>166</v>
      </c>
      <c r="EW344" s="16" t="s">
        <v>166</v>
      </c>
      <c r="EX344" s="14" t="s">
        <v>190</v>
      </c>
      <c r="EY344" s="14" t="s">
        <v>166</v>
      </c>
      <c r="EZ344" s="16" t="s">
        <v>166</v>
      </c>
      <c r="FA344" s="15" t="s">
        <v>166</v>
      </c>
      <c r="FB344" s="15" t="s">
        <v>166</v>
      </c>
      <c r="FC344" s="15" t="s">
        <v>166</v>
      </c>
      <c r="FD344" s="15" t="s">
        <v>166</v>
      </c>
      <c r="FE344" s="15" t="s">
        <v>166</v>
      </c>
      <c r="FF344" s="15" t="s">
        <v>166</v>
      </c>
      <c r="FG344" s="14" t="s">
        <v>166</v>
      </c>
      <c r="FH344" s="3">
        <f>HYPERLINK("https://my.pitchbook.com?c=232631-92T","View Company Online")</f>
      </c>
    </row>
    <row r="345">
      <c r="A345" s="25" t="s">
        <v>6868</v>
      </c>
      <c r="B345" s="25" t="s">
        <v>6869</v>
      </c>
      <c r="C345" s="25" t="s">
        <v>6870</v>
      </c>
      <c r="D345" s="25" t="s">
        <v>166</v>
      </c>
      <c r="E345" s="34" t="s">
        <v>6871</v>
      </c>
      <c r="F345" s="32">
        <v>1</v>
      </c>
      <c r="G345" s="25" t="s">
        <v>6872</v>
      </c>
      <c r="H345" s="25" t="s">
        <v>166</v>
      </c>
      <c r="I345" s="25" t="s">
        <v>6873</v>
      </c>
      <c r="J345" s="25" t="s">
        <v>6874</v>
      </c>
      <c r="K345" s="25" t="s">
        <v>1455</v>
      </c>
      <c r="L345" s="25" t="s">
        <v>1984</v>
      </c>
      <c r="M345" s="25" t="s">
        <v>1985</v>
      </c>
      <c r="N345" s="25" t="s">
        <v>2661</v>
      </c>
      <c r="O345" s="25" t="s">
        <v>1768</v>
      </c>
      <c r="P345" s="25" t="s">
        <v>6875</v>
      </c>
      <c r="Q345" s="25" t="s">
        <v>166</v>
      </c>
      <c r="R345" s="25" t="s">
        <v>177</v>
      </c>
      <c r="S345" s="25" t="s">
        <v>178</v>
      </c>
      <c r="T345" s="25" t="s">
        <v>179</v>
      </c>
      <c r="U345" s="25" t="s">
        <v>6876</v>
      </c>
      <c r="V345" s="25" t="s">
        <v>6877</v>
      </c>
      <c r="W345" s="32" t="s">
        <v>6878</v>
      </c>
      <c r="X345" s="25" t="s">
        <v>6879</v>
      </c>
      <c r="Y345" s="25" t="s">
        <v>6880</v>
      </c>
      <c r="Z345" s="25" t="s">
        <v>6881</v>
      </c>
      <c r="AA345" s="25" t="s">
        <v>166</v>
      </c>
      <c r="AB345" s="25" t="s">
        <v>166</v>
      </c>
      <c r="AC345" s="25" t="s">
        <v>166</v>
      </c>
      <c r="AD345" s="25" t="s">
        <v>166</v>
      </c>
      <c r="AE345" s="25" t="s">
        <v>166</v>
      </c>
      <c r="AF345" s="25" t="s">
        <v>166</v>
      </c>
      <c r="AG345" s="25" t="s">
        <v>166</v>
      </c>
      <c r="AH345" s="32">
        <v>1</v>
      </c>
      <c r="AI345" s="4">
        <f>HYPERLINK("https://my.pitchbook.com/?d=158417-65T","158417-65T")</f>
      </c>
      <c r="AJ345" s="30" t="s">
        <v>166</v>
      </c>
      <c r="AK345" s="30">
        <v>44470</v>
      </c>
      <c r="AL345" s="29">
        <v>1.6</v>
      </c>
      <c r="AM345" s="25" t="s">
        <v>185</v>
      </c>
      <c r="AN345" s="29" t="s">
        <v>166</v>
      </c>
      <c r="AO345" s="29" t="s">
        <v>166</v>
      </c>
      <c r="AP345" s="25" t="s">
        <v>166</v>
      </c>
      <c r="AQ345" s="32" t="s">
        <v>166</v>
      </c>
      <c r="AR345" s="32" t="s">
        <v>166</v>
      </c>
      <c r="AS345" s="28" t="s">
        <v>166</v>
      </c>
      <c r="AT345" s="29">
        <v>1.6</v>
      </c>
      <c r="AU345" s="32" t="s">
        <v>186</v>
      </c>
      <c r="AV345" s="32" t="s">
        <v>166</v>
      </c>
      <c r="AW345" s="29" t="s">
        <v>166</v>
      </c>
      <c r="AX345" s="32" t="s">
        <v>166</v>
      </c>
      <c r="AY345" s="25" t="s">
        <v>217</v>
      </c>
      <c r="AZ345" s="25" t="s">
        <v>217</v>
      </c>
      <c r="BA345" s="25" t="s">
        <v>166</v>
      </c>
      <c r="BB345" s="32" t="s">
        <v>166</v>
      </c>
      <c r="BC345" s="25" t="s">
        <v>179</v>
      </c>
      <c r="BD345" s="25" t="s">
        <v>6874</v>
      </c>
      <c r="BE345" s="25" t="s">
        <v>189</v>
      </c>
      <c r="BF345" s="29">
        <v>1.6</v>
      </c>
      <c r="BG345" s="25" t="s">
        <v>190</v>
      </c>
      <c r="BH345" s="25" t="s">
        <v>166</v>
      </c>
      <c r="BI345" s="25" t="s">
        <v>166</v>
      </c>
      <c r="BJ345" s="29" t="s">
        <v>166</v>
      </c>
      <c r="BK345" s="29" t="s">
        <v>166</v>
      </c>
      <c r="BL345" s="25" t="s">
        <v>191</v>
      </c>
      <c r="BM345" s="25" t="s">
        <v>178</v>
      </c>
      <c r="BN345" s="25" t="s">
        <v>177</v>
      </c>
      <c r="BO345" s="33" t="s">
        <v>166</v>
      </c>
      <c r="BP345" s="25" t="s">
        <v>6882</v>
      </c>
      <c r="BQ345" s="32">
        <v>1</v>
      </c>
      <c r="BR345" s="25" t="s">
        <v>166</v>
      </c>
      <c r="BS345" s="32" t="s">
        <v>166</v>
      </c>
      <c r="BT345" s="25" t="s">
        <v>166</v>
      </c>
      <c r="BU345" s="25" t="s">
        <v>166</v>
      </c>
      <c r="BV345" s="25" t="s">
        <v>166</v>
      </c>
      <c r="BW345" s="25" t="s">
        <v>166</v>
      </c>
      <c r="BX345" s="25" t="s">
        <v>166</v>
      </c>
      <c r="BY345" s="25" t="s">
        <v>166</v>
      </c>
      <c r="BZ345" s="25" t="s">
        <v>166</v>
      </c>
      <c r="CA345" s="25" t="s">
        <v>166</v>
      </c>
      <c r="CB345" s="25" t="s">
        <v>166</v>
      </c>
      <c r="CC345" s="25" t="s">
        <v>166</v>
      </c>
      <c r="CD345" s="25" t="s">
        <v>166</v>
      </c>
      <c r="CE345" s="29" t="s">
        <v>166</v>
      </c>
      <c r="CF345" s="27" t="s">
        <v>166</v>
      </c>
      <c r="CG345" s="28" t="s">
        <v>166</v>
      </c>
      <c r="CH345" s="27" t="s">
        <v>166</v>
      </c>
      <c r="CI345" s="27" t="s">
        <v>166</v>
      </c>
      <c r="CJ345" s="27" t="s">
        <v>166</v>
      </c>
      <c r="CK345" s="27" t="s">
        <v>166</v>
      </c>
      <c r="CL345" s="27" t="s">
        <v>166</v>
      </c>
      <c r="CM345" s="31" t="s">
        <v>166</v>
      </c>
      <c r="CN345" s="27" t="s">
        <v>166</v>
      </c>
      <c r="CO345" s="27" t="s">
        <v>166</v>
      </c>
      <c r="CP345" s="27" t="s">
        <v>166</v>
      </c>
      <c r="CQ345" s="27" t="s">
        <v>166</v>
      </c>
      <c r="CR345" s="27" t="s">
        <v>166</v>
      </c>
      <c r="CS345" s="27" t="s">
        <v>166</v>
      </c>
      <c r="CT345" s="27" t="s">
        <v>166</v>
      </c>
      <c r="CU345" s="27" t="s">
        <v>166</v>
      </c>
      <c r="CV345" s="27" t="s">
        <v>166</v>
      </c>
      <c r="CW345" s="27" t="s">
        <v>166</v>
      </c>
      <c r="CX345" s="27" t="s">
        <v>166</v>
      </c>
      <c r="CY345" s="27" t="s">
        <v>166</v>
      </c>
      <c r="CZ345" s="27" t="s">
        <v>166</v>
      </c>
      <c r="DA345" s="27" t="s">
        <v>166</v>
      </c>
      <c r="DB345" s="27" t="s">
        <v>166</v>
      </c>
      <c r="DC345" s="27" t="s">
        <v>166</v>
      </c>
      <c r="DD345" s="27" t="s">
        <v>166</v>
      </c>
      <c r="DE345" s="28" t="s">
        <v>166</v>
      </c>
      <c r="DF345" s="33">
        <v>10</v>
      </c>
      <c r="DG345" s="25" t="s">
        <v>1077</v>
      </c>
      <c r="DH345" s="25" t="s">
        <v>193</v>
      </c>
      <c r="DI345" s="25" t="s">
        <v>194</v>
      </c>
      <c r="DJ345" s="25" t="s">
        <v>1078</v>
      </c>
      <c r="DK345" s="25" t="s">
        <v>257</v>
      </c>
      <c r="DL345" s="32" t="s">
        <v>4894</v>
      </c>
      <c r="DM345" s="25" t="s">
        <v>198</v>
      </c>
      <c r="DN345" s="24" t="s">
        <v>6883</v>
      </c>
      <c r="DO345" s="31">
        <v>2019</v>
      </c>
      <c r="DP345" s="25" t="s">
        <v>166</v>
      </c>
      <c r="DQ345" s="25" t="s">
        <v>166</v>
      </c>
      <c r="DR345" s="29" t="s">
        <v>166</v>
      </c>
      <c r="DS345" s="27" t="s">
        <v>166</v>
      </c>
      <c r="DT345" s="30" t="s">
        <v>166</v>
      </c>
      <c r="DU345" s="25" t="s">
        <v>166</v>
      </c>
      <c r="DV345" s="29" t="s">
        <v>166</v>
      </c>
      <c r="DW345" s="29" t="s">
        <v>166</v>
      </c>
      <c r="DX345" s="27" t="s">
        <v>166</v>
      </c>
      <c r="DY345" s="27" t="s">
        <v>166</v>
      </c>
      <c r="DZ345" s="28" t="s">
        <v>166</v>
      </c>
      <c r="EA345" s="27" t="s">
        <v>166</v>
      </c>
      <c r="EB345" s="27" t="s">
        <v>166</v>
      </c>
      <c r="EC345" s="27" t="s">
        <v>166</v>
      </c>
      <c r="ED345" s="28" t="s">
        <v>166</v>
      </c>
      <c r="EE345" s="28" t="s">
        <v>166</v>
      </c>
      <c r="EF345" s="28" t="s">
        <v>166</v>
      </c>
      <c r="EG345" s="28" t="s">
        <v>166</v>
      </c>
      <c r="EH345" s="27" t="s">
        <v>166</v>
      </c>
      <c r="EI345" s="27" t="s">
        <v>166</v>
      </c>
      <c r="EJ345" s="27" t="s">
        <v>166</v>
      </c>
      <c r="EK345" s="27" t="s">
        <v>166</v>
      </c>
      <c r="EL345" s="27" t="s">
        <v>166</v>
      </c>
      <c r="EM345" s="27" t="s">
        <v>166</v>
      </c>
      <c r="EN345" s="27" t="s">
        <v>166</v>
      </c>
      <c r="EO345" s="27" t="s">
        <v>166</v>
      </c>
      <c r="EP345" s="27" t="s">
        <v>166</v>
      </c>
      <c r="EQ345" s="27" t="s">
        <v>166</v>
      </c>
      <c r="ER345" s="27" t="s">
        <v>166</v>
      </c>
      <c r="ES345" s="27" t="s">
        <v>166</v>
      </c>
      <c r="ET345" s="25" t="s">
        <v>166</v>
      </c>
      <c r="EU345" s="27" t="s">
        <v>166</v>
      </c>
      <c r="EV345" s="27" t="s">
        <v>166</v>
      </c>
      <c r="EW345" s="27" t="s">
        <v>166</v>
      </c>
      <c r="EX345" s="25" t="s">
        <v>190</v>
      </c>
      <c r="EY345" s="25" t="s">
        <v>166</v>
      </c>
      <c r="EZ345" s="27" t="s">
        <v>166</v>
      </c>
      <c r="FA345" s="26" t="s">
        <v>166</v>
      </c>
      <c r="FB345" s="26" t="s">
        <v>166</v>
      </c>
      <c r="FC345" s="26" t="s">
        <v>166</v>
      </c>
      <c r="FD345" s="26" t="s">
        <v>166</v>
      </c>
      <c r="FE345" s="26" t="s">
        <v>166</v>
      </c>
      <c r="FF345" s="26" t="s">
        <v>166</v>
      </c>
      <c r="FG345" s="25" t="s">
        <v>166</v>
      </c>
      <c r="FH345" s="4">
        <f>HYPERLINK("https://my.pitchbook.com?c=158417-65T","View Company Online")</f>
      </c>
    </row>
    <row r="346">
      <c r="A346" s="14" t="s">
        <v>6884</v>
      </c>
      <c r="B346" s="14" t="s">
        <v>6885</v>
      </c>
      <c r="C346" s="14" t="s">
        <v>6886</v>
      </c>
      <c r="D346" s="14" t="s">
        <v>166</v>
      </c>
      <c r="E346" s="23" t="s">
        <v>6887</v>
      </c>
      <c r="F346" s="21">
        <v>16</v>
      </c>
      <c r="G346" s="14" t="s">
        <v>6888</v>
      </c>
      <c r="H346" s="14" t="s">
        <v>166</v>
      </c>
      <c r="I346" s="14" t="s">
        <v>6889</v>
      </c>
      <c r="J346" s="14" t="s">
        <v>6890</v>
      </c>
      <c r="K346" s="14" t="s">
        <v>207</v>
      </c>
      <c r="L346" s="14" t="s">
        <v>208</v>
      </c>
      <c r="M346" s="14" t="s">
        <v>296</v>
      </c>
      <c r="N346" s="14" t="s">
        <v>1202</v>
      </c>
      <c r="O346" s="14" t="s">
        <v>2931</v>
      </c>
      <c r="P346" s="14" t="s">
        <v>6891</v>
      </c>
      <c r="Q346" s="14" t="s">
        <v>1055</v>
      </c>
      <c r="R346" s="14" t="s">
        <v>177</v>
      </c>
      <c r="S346" s="14" t="s">
        <v>178</v>
      </c>
      <c r="T346" s="14" t="s">
        <v>179</v>
      </c>
      <c r="U346" s="14" t="s">
        <v>6892</v>
      </c>
      <c r="V346" s="14" t="s">
        <v>6893</v>
      </c>
      <c r="W346" s="21" t="s">
        <v>166</v>
      </c>
      <c r="X346" s="14" t="s">
        <v>166</v>
      </c>
      <c r="Y346" s="14" t="s">
        <v>6894</v>
      </c>
      <c r="Z346" s="14" t="s">
        <v>166</v>
      </c>
      <c r="AA346" s="14" t="s">
        <v>166</v>
      </c>
      <c r="AB346" s="14" t="s">
        <v>166</v>
      </c>
      <c r="AC346" s="14" t="s">
        <v>166</v>
      </c>
      <c r="AD346" s="14" t="s">
        <v>166</v>
      </c>
      <c r="AE346" s="14" t="s">
        <v>166</v>
      </c>
      <c r="AF346" s="14" t="s">
        <v>166</v>
      </c>
      <c r="AG346" s="14" t="s">
        <v>166</v>
      </c>
      <c r="AH346" s="21">
        <v>1</v>
      </c>
      <c r="AI346" s="3">
        <f>HYPERLINK("https://my.pitchbook.com/?d=220599-10T","220599-10T")</f>
      </c>
      <c r="AJ346" s="19" t="s">
        <v>166</v>
      </c>
      <c r="AK346" s="19">
        <v>45033</v>
      </c>
      <c r="AL346" s="18">
        <v>6</v>
      </c>
      <c r="AM346" s="14" t="s">
        <v>185</v>
      </c>
      <c r="AN346" s="18" t="s">
        <v>166</v>
      </c>
      <c r="AO346" s="18" t="s">
        <v>166</v>
      </c>
      <c r="AP346" s="14" t="s">
        <v>166</v>
      </c>
      <c r="AQ346" s="21" t="s">
        <v>166</v>
      </c>
      <c r="AR346" s="21" t="s">
        <v>166</v>
      </c>
      <c r="AS346" s="17" t="s">
        <v>166</v>
      </c>
      <c r="AT346" s="18">
        <v>6</v>
      </c>
      <c r="AU346" s="21" t="s">
        <v>186</v>
      </c>
      <c r="AV346" s="21" t="s">
        <v>166</v>
      </c>
      <c r="AW346" s="18" t="s">
        <v>166</v>
      </c>
      <c r="AX346" s="21" t="s">
        <v>166</v>
      </c>
      <c r="AY346" s="14" t="s">
        <v>217</v>
      </c>
      <c r="AZ346" s="14" t="s">
        <v>217</v>
      </c>
      <c r="BA346" s="14" t="s">
        <v>166</v>
      </c>
      <c r="BB346" s="21" t="s">
        <v>166</v>
      </c>
      <c r="BC346" s="14" t="s">
        <v>179</v>
      </c>
      <c r="BD346" s="14" t="s">
        <v>6895</v>
      </c>
      <c r="BE346" s="14" t="s">
        <v>189</v>
      </c>
      <c r="BF346" s="18">
        <v>6</v>
      </c>
      <c r="BG346" s="14" t="s">
        <v>190</v>
      </c>
      <c r="BH346" s="14" t="s">
        <v>166</v>
      </c>
      <c r="BI346" s="14" t="s">
        <v>166</v>
      </c>
      <c r="BJ346" s="18" t="s">
        <v>166</v>
      </c>
      <c r="BK346" s="18" t="s">
        <v>166</v>
      </c>
      <c r="BL346" s="14" t="s">
        <v>191</v>
      </c>
      <c r="BM346" s="14" t="s">
        <v>178</v>
      </c>
      <c r="BN346" s="14" t="s">
        <v>177</v>
      </c>
      <c r="BO346" s="22">
        <v>4</v>
      </c>
      <c r="BP346" s="14" t="s">
        <v>6896</v>
      </c>
      <c r="BQ346" s="21">
        <v>16</v>
      </c>
      <c r="BR346" s="14" t="s">
        <v>166</v>
      </c>
      <c r="BS346" s="21" t="s">
        <v>166</v>
      </c>
      <c r="BT346" s="14" t="s">
        <v>6897</v>
      </c>
      <c r="BU346" s="14" t="s">
        <v>166</v>
      </c>
      <c r="BV346" s="14" t="s">
        <v>166</v>
      </c>
      <c r="BW346" s="14" t="s">
        <v>166</v>
      </c>
      <c r="BX346" s="14" t="s">
        <v>166</v>
      </c>
      <c r="BY346" s="14" t="s">
        <v>166</v>
      </c>
      <c r="BZ346" s="14" t="s">
        <v>6898</v>
      </c>
      <c r="CA346" s="14" t="s">
        <v>1232</v>
      </c>
      <c r="CB346" s="14" t="s">
        <v>166</v>
      </c>
      <c r="CC346" s="14" t="s">
        <v>6899</v>
      </c>
      <c r="CD346" s="14" t="s">
        <v>166</v>
      </c>
      <c r="CE346" s="18" t="s">
        <v>166</v>
      </c>
      <c r="CF346" s="16" t="s">
        <v>166</v>
      </c>
      <c r="CG346" s="17" t="s">
        <v>166</v>
      </c>
      <c r="CH346" s="16" t="s">
        <v>166</v>
      </c>
      <c r="CI346" s="16" t="s">
        <v>166</v>
      </c>
      <c r="CJ346" s="16" t="s">
        <v>166</v>
      </c>
      <c r="CK346" s="16" t="s">
        <v>166</v>
      </c>
      <c r="CL346" s="16" t="s">
        <v>166</v>
      </c>
      <c r="CM346" s="20" t="s">
        <v>166</v>
      </c>
      <c r="CN346" s="16" t="s">
        <v>166</v>
      </c>
      <c r="CO346" s="16" t="s">
        <v>166</v>
      </c>
      <c r="CP346" s="16" t="s">
        <v>166</v>
      </c>
      <c r="CQ346" s="16" t="s">
        <v>166</v>
      </c>
      <c r="CR346" s="16" t="s">
        <v>166</v>
      </c>
      <c r="CS346" s="16" t="s">
        <v>166</v>
      </c>
      <c r="CT346" s="16" t="s">
        <v>166</v>
      </c>
      <c r="CU346" s="16" t="s">
        <v>166</v>
      </c>
      <c r="CV346" s="16" t="s">
        <v>166</v>
      </c>
      <c r="CW346" s="16" t="s">
        <v>166</v>
      </c>
      <c r="CX346" s="16" t="s">
        <v>166</v>
      </c>
      <c r="CY346" s="16" t="s">
        <v>166</v>
      </c>
      <c r="CZ346" s="16" t="s">
        <v>166</v>
      </c>
      <c r="DA346" s="16" t="s">
        <v>166</v>
      </c>
      <c r="DB346" s="16" t="s">
        <v>166</v>
      </c>
      <c r="DC346" s="16" t="s">
        <v>166</v>
      </c>
      <c r="DD346" s="16" t="s">
        <v>166</v>
      </c>
      <c r="DE346" s="17" t="s">
        <v>166</v>
      </c>
      <c r="DF346" s="22">
        <v>8</v>
      </c>
      <c r="DG346" s="14" t="s">
        <v>309</v>
      </c>
      <c r="DH346" s="14" t="s">
        <v>193</v>
      </c>
      <c r="DI346" s="14" t="s">
        <v>194</v>
      </c>
      <c r="DJ346" s="14" t="s">
        <v>310</v>
      </c>
      <c r="DK346" s="14" t="s">
        <v>310</v>
      </c>
      <c r="DL346" s="21" t="s">
        <v>166</v>
      </c>
      <c r="DM346" s="14" t="s">
        <v>198</v>
      </c>
      <c r="DN346" s="13" t="s">
        <v>6900</v>
      </c>
      <c r="DO346" s="20">
        <v>2022</v>
      </c>
      <c r="DP346" s="14" t="s">
        <v>166</v>
      </c>
      <c r="DQ346" s="14" t="s">
        <v>166</v>
      </c>
      <c r="DR346" s="18" t="s">
        <v>166</v>
      </c>
      <c r="DS346" s="16" t="s">
        <v>166</v>
      </c>
      <c r="DT346" s="19" t="s">
        <v>166</v>
      </c>
      <c r="DU346" s="14" t="s">
        <v>166</v>
      </c>
      <c r="DV346" s="18" t="s">
        <v>166</v>
      </c>
      <c r="DW346" s="18" t="s">
        <v>166</v>
      </c>
      <c r="DX346" s="16" t="s">
        <v>166</v>
      </c>
      <c r="DY346" s="16" t="s">
        <v>166</v>
      </c>
      <c r="DZ346" s="17" t="s">
        <v>166</v>
      </c>
      <c r="EA346" s="16" t="s">
        <v>166</v>
      </c>
      <c r="EB346" s="16" t="s">
        <v>166</v>
      </c>
      <c r="EC346" s="16" t="s">
        <v>166</v>
      </c>
      <c r="ED346" s="17" t="s">
        <v>166</v>
      </c>
      <c r="EE346" s="17" t="s">
        <v>166</v>
      </c>
      <c r="EF346" s="17" t="s">
        <v>166</v>
      </c>
      <c r="EG346" s="17" t="s">
        <v>166</v>
      </c>
      <c r="EH346" s="16" t="s">
        <v>166</v>
      </c>
      <c r="EI346" s="16" t="s">
        <v>166</v>
      </c>
      <c r="EJ346" s="16" t="s">
        <v>166</v>
      </c>
      <c r="EK346" s="16" t="s">
        <v>166</v>
      </c>
      <c r="EL346" s="16" t="s">
        <v>166</v>
      </c>
      <c r="EM346" s="16" t="s">
        <v>166</v>
      </c>
      <c r="EN346" s="16" t="s">
        <v>166</v>
      </c>
      <c r="EO346" s="16" t="s">
        <v>166</v>
      </c>
      <c r="EP346" s="16" t="s">
        <v>166</v>
      </c>
      <c r="EQ346" s="16" t="s">
        <v>166</v>
      </c>
      <c r="ER346" s="16" t="s">
        <v>166</v>
      </c>
      <c r="ES346" s="16" t="s">
        <v>166</v>
      </c>
      <c r="ET346" s="14" t="s">
        <v>166</v>
      </c>
      <c r="EU346" s="16" t="s">
        <v>166</v>
      </c>
      <c r="EV346" s="16" t="s">
        <v>166</v>
      </c>
      <c r="EW346" s="16" t="s">
        <v>166</v>
      </c>
      <c r="EX346" s="14" t="s">
        <v>190</v>
      </c>
      <c r="EY346" s="14" t="s">
        <v>166</v>
      </c>
      <c r="EZ346" s="16" t="s">
        <v>166</v>
      </c>
      <c r="FA346" s="15" t="s">
        <v>166</v>
      </c>
      <c r="FB346" s="15" t="s">
        <v>166</v>
      </c>
      <c r="FC346" s="15" t="s">
        <v>166</v>
      </c>
      <c r="FD346" s="15" t="s">
        <v>166</v>
      </c>
      <c r="FE346" s="15" t="s">
        <v>166</v>
      </c>
      <c r="FF346" s="15" t="s">
        <v>166</v>
      </c>
      <c r="FG346" s="14" t="s">
        <v>166</v>
      </c>
      <c r="FH346" s="3">
        <f>HYPERLINK("https://my.pitchbook.com?c=220599-10T","View Company Online")</f>
      </c>
    </row>
    <row r="347">
      <c r="A347" s="25" t="s">
        <v>6901</v>
      </c>
      <c r="B347" s="25" t="s">
        <v>6902</v>
      </c>
      <c r="C347" s="25" t="s">
        <v>6903</v>
      </c>
      <c r="D347" s="25" t="s">
        <v>166</v>
      </c>
      <c r="E347" s="34" t="s">
        <v>6904</v>
      </c>
      <c r="F347" s="32">
        <v>3</v>
      </c>
      <c r="G347" s="25" t="s">
        <v>6905</v>
      </c>
      <c r="H347" s="25" t="s">
        <v>166</v>
      </c>
      <c r="I347" s="25" t="s">
        <v>6906</v>
      </c>
      <c r="J347" s="25" t="s">
        <v>6907</v>
      </c>
      <c r="K347" s="25" t="s">
        <v>207</v>
      </c>
      <c r="L347" s="25" t="s">
        <v>208</v>
      </c>
      <c r="M347" s="25" t="s">
        <v>296</v>
      </c>
      <c r="N347" s="25" t="s">
        <v>1202</v>
      </c>
      <c r="O347" s="25" t="s">
        <v>6908</v>
      </c>
      <c r="P347" s="25" t="s">
        <v>6909</v>
      </c>
      <c r="Q347" s="25" t="s">
        <v>166</v>
      </c>
      <c r="R347" s="25" t="s">
        <v>177</v>
      </c>
      <c r="S347" s="25" t="s">
        <v>358</v>
      </c>
      <c r="T347" s="25" t="s">
        <v>179</v>
      </c>
      <c r="U347" s="25" t="s">
        <v>6910</v>
      </c>
      <c r="V347" s="25" t="s">
        <v>6911</v>
      </c>
      <c r="W347" s="32" t="s">
        <v>6912</v>
      </c>
      <c r="X347" s="25" t="s">
        <v>6913</v>
      </c>
      <c r="Y347" s="25" t="s">
        <v>6914</v>
      </c>
      <c r="Z347" s="25" t="s">
        <v>166</v>
      </c>
      <c r="AA347" s="25" t="s">
        <v>242</v>
      </c>
      <c r="AB347" s="25" t="s">
        <v>243</v>
      </c>
      <c r="AC347" s="25" t="s">
        <v>244</v>
      </c>
      <c r="AD347" s="25" t="s">
        <v>243</v>
      </c>
      <c r="AE347" s="25" t="s">
        <v>243</v>
      </c>
      <c r="AF347" s="25" t="s">
        <v>166</v>
      </c>
      <c r="AG347" s="25" t="s">
        <v>246</v>
      </c>
      <c r="AH347" s="32">
        <v>2</v>
      </c>
      <c r="AI347" s="4">
        <f>HYPERLINK("https://my.pitchbook.com/?d=218825-29T","218825-29T")</f>
      </c>
      <c r="AJ347" s="30" t="s">
        <v>166</v>
      </c>
      <c r="AK347" s="30">
        <v>44294</v>
      </c>
      <c r="AL347" s="29">
        <v>1.2</v>
      </c>
      <c r="AM347" s="25" t="s">
        <v>247</v>
      </c>
      <c r="AN347" s="29">
        <v>7</v>
      </c>
      <c r="AO347" s="29">
        <v>8.2</v>
      </c>
      <c r="AP347" s="25" t="s">
        <v>185</v>
      </c>
      <c r="AQ347" s="32" t="s">
        <v>166</v>
      </c>
      <c r="AR347" s="32" t="s">
        <v>166</v>
      </c>
      <c r="AS347" s="28">
        <v>21.66</v>
      </c>
      <c r="AT347" s="29">
        <v>1.33</v>
      </c>
      <c r="AU347" s="32" t="s">
        <v>186</v>
      </c>
      <c r="AV347" s="32" t="s">
        <v>166</v>
      </c>
      <c r="AW347" s="29">
        <v>0.75</v>
      </c>
      <c r="AX347" s="32" t="s">
        <v>248</v>
      </c>
      <c r="AY347" s="25" t="s">
        <v>187</v>
      </c>
      <c r="AZ347" s="25" t="s">
        <v>248</v>
      </c>
      <c r="BA347" s="25" t="s">
        <v>166</v>
      </c>
      <c r="BB347" s="32" t="s">
        <v>166</v>
      </c>
      <c r="BC347" s="25" t="s">
        <v>179</v>
      </c>
      <c r="BD347" s="25" t="s">
        <v>6915</v>
      </c>
      <c r="BE347" s="25" t="s">
        <v>189</v>
      </c>
      <c r="BF347" s="29">
        <v>1.2</v>
      </c>
      <c r="BG347" s="25" t="s">
        <v>190</v>
      </c>
      <c r="BH347" s="25" t="s">
        <v>166</v>
      </c>
      <c r="BI347" s="25" t="s">
        <v>166</v>
      </c>
      <c r="BJ347" s="29" t="s">
        <v>166</v>
      </c>
      <c r="BK347" s="29" t="s">
        <v>166</v>
      </c>
      <c r="BL347" s="25" t="s">
        <v>191</v>
      </c>
      <c r="BM347" s="25" t="s">
        <v>358</v>
      </c>
      <c r="BN347" s="25" t="s">
        <v>177</v>
      </c>
      <c r="BO347" s="33" t="s">
        <v>166</v>
      </c>
      <c r="BP347" s="25" t="s">
        <v>6916</v>
      </c>
      <c r="BQ347" s="32">
        <v>3</v>
      </c>
      <c r="BR347" s="25" t="s">
        <v>166</v>
      </c>
      <c r="BS347" s="32" t="s">
        <v>166</v>
      </c>
      <c r="BT347" s="25" t="s">
        <v>166</v>
      </c>
      <c r="BU347" s="25" t="s">
        <v>166</v>
      </c>
      <c r="BV347" s="25" t="s">
        <v>166</v>
      </c>
      <c r="BW347" s="25" t="s">
        <v>166</v>
      </c>
      <c r="BX347" s="25" t="s">
        <v>166</v>
      </c>
      <c r="BY347" s="25" t="s">
        <v>166</v>
      </c>
      <c r="BZ347" s="25" t="s">
        <v>166</v>
      </c>
      <c r="CA347" s="25" t="s">
        <v>166</v>
      </c>
      <c r="CB347" s="25" t="s">
        <v>166</v>
      </c>
      <c r="CC347" s="25" t="s">
        <v>166</v>
      </c>
      <c r="CD347" s="25" t="s">
        <v>166</v>
      </c>
      <c r="CE347" s="29" t="s">
        <v>166</v>
      </c>
      <c r="CF347" s="27" t="s">
        <v>166</v>
      </c>
      <c r="CG347" s="28" t="s">
        <v>166</v>
      </c>
      <c r="CH347" s="27" t="s">
        <v>166</v>
      </c>
      <c r="CI347" s="27" t="s">
        <v>166</v>
      </c>
      <c r="CJ347" s="27" t="s">
        <v>166</v>
      </c>
      <c r="CK347" s="27" t="s">
        <v>166</v>
      </c>
      <c r="CL347" s="27" t="s">
        <v>166</v>
      </c>
      <c r="CM347" s="31" t="s">
        <v>166</v>
      </c>
      <c r="CN347" s="27" t="s">
        <v>166</v>
      </c>
      <c r="CO347" s="27" t="s">
        <v>166</v>
      </c>
      <c r="CP347" s="27" t="s">
        <v>166</v>
      </c>
      <c r="CQ347" s="27" t="s">
        <v>166</v>
      </c>
      <c r="CR347" s="27" t="s">
        <v>166</v>
      </c>
      <c r="CS347" s="27" t="s">
        <v>166</v>
      </c>
      <c r="CT347" s="27" t="s">
        <v>166</v>
      </c>
      <c r="CU347" s="27" t="s">
        <v>166</v>
      </c>
      <c r="CV347" s="27" t="s">
        <v>166</v>
      </c>
      <c r="CW347" s="27" t="s">
        <v>166</v>
      </c>
      <c r="CX347" s="27" t="s">
        <v>166</v>
      </c>
      <c r="CY347" s="27" t="s">
        <v>166</v>
      </c>
      <c r="CZ347" s="27" t="s">
        <v>166</v>
      </c>
      <c r="DA347" s="27" t="s">
        <v>166</v>
      </c>
      <c r="DB347" s="27" t="s">
        <v>166</v>
      </c>
      <c r="DC347" s="27" t="s">
        <v>166</v>
      </c>
      <c r="DD347" s="27" t="s">
        <v>166</v>
      </c>
      <c r="DE347" s="28" t="s">
        <v>166</v>
      </c>
      <c r="DF347" s="33">
        <v>12</v>
      </c>
      <c r="DG347" s="25" t="s">
        <v>673</v>
      </c>
      <c r="DH347" s="25" t="s">
        <v>193</v>
      </c>
      <c r="DI347" s="25" t="s">
        <v>194</v>
      </c>
      <c r="DJ347" s="25" t="s">
        <v>674</v>
      </c>
      <c r="DK347" s="25" t="s">
        <v>257</v>
      </c>
      <c r="DL347" s="32" t="s">
        <v>1599</v>
      </c>
      <c r="DM347" s="25" t="s">
        <v>198</v>
      </c>
      <c r="DN347" s="24" t="s">
        <v>6917</v>
      </c>
      <c r="DO347" s="31">
        <v>2020</v>
      </c>
      <c r="DP347" s="25" t="s">
        <v>166</v>
      </c>
      <c r="DQ347" s="25" t="s">
        <v>166</v>
      </c>
      <c r="DR347" s="29" t="s">
        <v>166</v>
      </c>
      <c r="DS347" s="27" t="s">
        <v>166</v>
      </c>
      <c r="DT347" s="30" t="s">
        <v>166</v>
      </c>
      <c r="DU347" s="25" t="s">
        <v>166</v>
      </c>
      <c r="DV347" s="29" t="s">
        <v>166</v>
      </c>
      <c r="DW347" s="29" t="s">
        <v>166</v>
      </c>
      <c r="DX347" s="27" t="s">
        <v>166</v>
      </c>
      <c r="DY347" s="27" t="s">
        <v>166</v>
      </c>
      <c r="DZ347" s="28" t="s">
        <v>166</v>
      </c>
      <c r="EA347" s="27" t="s">
        <v>166</v>
      </c>
      <c r="EB347" s="27" t="s">
        <v>166</v>
      </c>
      <c r="EC347" s="27" t="s">
        <v>166</v>
      </c>
      <c r="ED347" s="28" t="s">
        <v>166</v>
      </c>
      <c r="EE347" s="28" t="s">
        <v>166</v>
      </c>
      <c r="EF347" s="28" t="s">
        <v>166</v>
      </c>
      <c r="EG347" s="28" t="s">
        <v>166</v>
      </c>
      <c r="EH347" s="27" t="s">
        <v>166</v>
      </c>
      <c r="EI347" s="27" t="s">
        <v>166</v>
      </c>
      <c r="EJ347" s="27" t="s">
        <v>166</v>
      </c>
      <c r="EK347" s="27" t="s">
        <v>166</v>
      </c>
      <c r="EL347" s="27" t="s">
        <v>166</v>
      </c>
      <c r="EM347" s="27" t="s">
        <v>166</v>
      </c>
      <c r="EN347" s="27" t="s">
        <v>166</v>
      </c>
      <c r="EO347" s="27" t="s">
        <v>166</v>
      </c>
      <c r="EP347" s="27" t="s">
        <v>166</v>
      </c>
      <c r="EQ347" s="27" t="s">
        <v>166</v>
      </c>
      <c r="ER347" s="27" t="s">
        <v>166</v>
      </c>
      <c r="ES347" s="27" t="s">
        <v>166</v>
      </c>
      <c r="ET347" s="25" t="s">
        <v>166</v>
      </c>
      <c r="EU347" s="27" t="s">
        <v>166</v>
      </c>
      <c r="EV347" s="27" t="s">
        <v>166</v>
      </c>
      <c r="EW347" s="27" t="s">
        <v>166</v>
      </c>
      <c r="EX347" s="25" t="s">
        <v>190</v>
      </c>
      <c r="EY347" s="25" t="s">
        <v>166</v>
      </c>
      <c r="EZ347" s="27" t="s">
        <v>166</v>
      </c>
      <c r="FA347" s="26" t="s">
        <v>166</v>
      </c>
      <c r="FB347" s="26" t="s">
        <v>166</v>
      </c>
      <c r="FC347" s="26" t="s">
        <v>166</v>
      </c>
      <c r="FD347" s="26" t="s">
        <v>166</v>
      </c>
      <c r="FE347" s="26" t="s">
        <v>166</v>
      </c>
      <c r="FF347" s="26" t="s">
        <v>166</v>
      </c>
      <c r="FG347" s="25" t="s">
        <v>166</v>
      </c>
      <c r="FH347" s="4">
        <f>HYPERLINK("https://my.pitchbook.com?c=218825-29T","View Company Online")</f>
      </c>
    </row>
    <row r="348">
      <c r="A348" s="14" t="s">
        <v>6918</v>
      </c>
      <c r="B348" s="14" t="s">
        <v>6919</v>
      </c>
      <c r="C348" s="14" t="s">
        <v>6920</v>
      </c>
      <c r="D348" s="14" t="s">
        <v>166</v>
      </c>
      <c r="E348" s="23" t="s">
        <v>6921</v>
      </c>
      <c r="F348" s="21">
        <v>4</v>
      </c>
      <c r="G348" s="14" t="s">
        <v>6922</v>
      </c>
      <c r="H348" s="14" t="s">
        <v>166</v>
      </c>
      <c r="I348" s="14" t="s">
        <v>6923</v>
      </c>
      <c r="J348" s="14" t="s">
        <v>6924</v>
      </c>
      <c r="K348" s="14" t="s">
        <v>1455</v>
      </c>
      <c r="L348" s="14" t="s">
        <v>5130</v>
      </c>
      <c r="M348" s="14" t="s">
        <v>6925</v>
      </c>
      <c r="N348" s="14" t="s">
        <v>6926</v>
      </c>
      <c r="O348" s="14" t="s">
        <v>6927</v>
      </c>
      <c r="P348" s="14" t="s">
        <v>6928</v>
      </c>
      <c r="Q348" s="14" t="s">
        <v>166</v>
      </c>
      <c r="R348" s="14" t="s">
        <v>177</v>
      </c>
      <c r="S348" s="14" t="s">
        <v>178</v>
      </c>
      <c r="T348" s="14" t="s">
        <v>179</v>
      </c>
      <c r="U348" s="14" t="s">
        <v>6929</v>
      </c>
      <c r="V348" s="14" t="s">
        <v>6930</v>
      </c>
      <c r="W348" s="21" t="s">
        <v>6931</v>
      </c>
      <c r="X348" s="14" t="s">
        <v>6932</v>
      </c>
      <c r="Y348" s="14" t="s">
        <v>6933</v>
      </c>
      <c r="Z348" s="14" t="s">
        <v>6934</v>
      </c>
      <c r="AA348" s="14" t="s">
        <v>166</v>
      </c>
      <c r="AB348" s="14" t="s">
        <v>166</v>
      </c>
      <c r="AC348" s="14" t="s">
        <v>166</v>
      </c>
      <c r="AD348" s="14" t="s">
        <v>166</v>
      </c>
      <c r="AE348" s="14" t="s">
        <v>166</v>
      </c>
      <c r="AF348" s="14" t="s">
        <v>166</v>
      </c>
      <c r="AG348" s="14" t="s">
        <v>166</v>
      </c>
      <c r="AH348" s="21">
        <v>1</v>
      </c>
      <c r="AI348" s="3">
        <f>HYPERLINK("https://my.pitchbook.com/?d=192464-65T","192464-65T")</f>
      </c>
      <c r="AJ348" s="19" t="s">
        <v>166</v>
      </c>
      <c r="AK348" s="19">
        <v>44648</v>
      </c>
      <c r="AL348" s="18">
        <v>0.55</v>
      </c>
      <c r="AM348" s="14" t="s">
        <v>185</v>
      </c>
      <c r="AN348" s="18" t="s">
        <v>166</v>
      </c>
      <c r="AO348" s="18" t="s">
        <v>166</v>
      </c>
      <c r="AP348" s="14" t="s">
        <v>166</v>
      </c>
      <c r="AQ348" s="21" t="s">
        <v>166</v>
      </c>
      <c r="AR348" s="21" t="s">
        <v>166</v>
      </c>
      <c r="AS348" s="17" t="s">
        <v>166</v>
      </c>
      <c r="AT348" s="18">
        <v>0.55</v>
      </c>
      <c r="AU348" s="21" t="s">
        <v>186</v>
      </c>
      <c r="AV348" s="21" t="s">
        <v>166</v>
      </c>
      <c r="AW348" s="18" t="s">
        <v>166</v>
      </c>
      <c r="AX348" s="21" t="s">
        <v>166</v>
      </c>
      <c r="AY348" s="14" t="s">
        <v>187</v>
      </c>
      <c r="AZ348" s="14" t="s">
        <v>166</v>
      </c>
      <c r="BA348" s="14" t="s">
        <v>166</v>
      </c>
      <c r="BB348" s="21" t="s">
        <v>166</v>
      </c>
      <c r="BC348" s="14" t="s">
        <v>179</v>
      </c>
      <c r="BD348" s="14" t="s">
        <v>6924</v>
      </c>
      <c r="BE348" s="14" t="s">
        <v>189</v>
      </c>
      <c r="BF348" s="18">
        <v>0.55</v>
      </c>
      <c r="BG348" s="14" t="s">
        <v>190</v>
      </c>
      <c r="BH348" s="14" t="s">
        <v>166</v>
      </c>
      <c r="BI348" s="14" t="s">
        <v>166</v>
      </c>
      <c r="BJ348" s="18" t="s">
        <v>166</v>
      </c>
      <c r="BK348" s="18" t="s">
        <v>166</v>
      </c>
      <c r="BL348" s="14" t="s">
        <v>191</v>
      </c>
      <c r="BM348" s="14" t="s">
        <v>178</v>
      </c>
      <c r="BN348" s="14" t="s">
        <v>177</v>
      </c>
      <c r="BO348" s="22" t="s">
        <v>166</v>
      </c>
      <c r="BP348" s="14" t="s">
        <v>6935</v>
      </c>
      <c r="BQ348" s="21">
        <v>4</v>
      </c>
      <c r="BR348" s="14" t="s">
        <v>166</v>
      </c>
      <c r="BS348" s="21" t="s">
        <v>166</v>
      </c>
      <c r="BT348" s="14" t="s">
        <v>6936</v>
      </c>
      <c r="BU348" s="14" t="s">
        <v>166</v>
      </c>
      <c r="BV348" s="14" t="s">
        <v>166</v>
      </c>
      <c r="BW348" s="14" t="s">
        <v>166</v>
      </c>
      <c r="BX348" s="14" t="s">
        <v>166</v>
      </c>
      <c r="BY348" s="14" t="s">
        <v>166</v>
      </c>
      <c r="BZ348" s="14" t="s">
        <v>166</v>
      </c>
      <c r="CA348" s="14" t="s">
        <v>166</v>
      </c>
      <c r="CB348" s="14" t="s">
        <v>166</v>
      </c>
      <c r="CC348" s="14" t="s">
        <v>166</v>
      </c>
      <c r="CD348" s="14" t="s">
        <v>166</v>
      </c>
      <c r="CE348" s="18" t="s">
        <v>166</v>
      </c>
      <c r="CF348" s="16">
        <v>2</v>
      </c>
      <c r="CG348" s="17" t="s">
        <v>166</v>
      </c>
      <c r="CH348" s="16" t="s">
        <v>166</v>
      </c>
      <c r="CI348" s="16" t="s">
        <v>166</v>
      </c>
      <c r="CJ348" s="16" t="s">
        <v>166</v>
      </c>
      <c r="CK348" s="16" t="s">
        <v>166</v>
      </c>
      <c r="CL348" s="16" t="s">
        <v>166</v>
      </c>
      <c r="CM348" s="20">
        <v>2021</v>
      </c>
      <c r="CN348" s="16" t="s">
        <v>166</v>
      </c>
      <c r="CO348" s="16" t="s">
        <v>166</v>
      </c>
      <c r="CP348" s="16" t="s">
        <v>166</v>
      </c>
      <c r="CQ348" s="16" t="s">
        <v>166</v>
      </c>
      <c r="CR348" s="16" t="s">
        <v>166</v>
      </c>
      <c r="CS348" s="16" t="s">
        <v>166</v>
      </c>
      <c r="CT348" s="16" t="s">
        <v>166</v>
      </c>
      <c r="CU348" s="16" t="s">
        <v>166</v>
      </c>
      <c r="CV348" s="16">
        <v>0.28</v>
      </c>
      <c r="CW348" s="16" t="s">
        <v>166</v>
      </c>
      <c r="CX348" s="16" t="s">
        <v>166</v>
      </c>
      <c r="CY348" s="16" t="s">
        <v>166</v>
      </c>
      <c r="CZ348" s="16" t="s">
        <v>166</v>
      </c>
      <c r="DA348" s="16" t="s">
        <v>166</v>
      </c>
      <c r="DB348" s="16" t="s">
        <v>166</v>
      </c>
      <c r="DC348" s="16" t="s">
        <v>166</v>
      </c>
      <c r="DD348" s="16" t="s">
        <v>166</v>
      </c>
      <c r="DE348" s="17" t="s">
        <v>166</v>
      </c>
      <c r="DF348" s="22">
        <v>11</v>
      </c>
      <c r="DG348" s="14" t="s">
        <v>2439</v>
      </c>
      <c r="DH348" s="14" t="s">
        <v>193</v>
      </c>
      <c r="DI348" s="14" t="s">
        <v>194</v>
      </c>
      <c r="DJ348" s="14" t="s">
        <v>2440</v>
      </c>
      <c r="DK348" s="14" t="s">
        <v>454</v>
      </c>
      <c r="DL348" s="21" t="s">
        <v>6937</v>
      </c>
      <c r="DM348" s="14" t="s">
        <v>198</v>
      </c>
      <c r="DN348" s="13" t="s">
        <v>6938</v>
      </c>
      <c r="DO348" s="20">
        <v>2019</v>
      </c>
      <c r="DP348" s="14" t="s">
        <v>166</v>
      </c>
      <c r="DQ348" s="14" t="s">
        <v>166</v>
      </c>
      <c r="DR348" s="18" t="s">
        <v>166</v>
      </c>
      <c r="DS348" s="16" t="s">
        <v>166</v>
      </c>
      <c r="DT348" s="19" t="s">
        <v>166</v>
      </c>
      <c r="DU348" s="14" t="s">
        <v>166</v>
      </c>
      <c r="DV348" s="18" t="s">
        <v>166</v>
      </c>
      <c r="DW348" s="18" t="s">
        <v>166</v>
      </c>
      <c r="DX348" s="16" t="s">
        <v>166</v>
      </c>
      <c r="DY348" s="16" t="s">
        <v>166</v>
      </c>
      <c r="DZ348" s="17" t="s">
        <v>166</v>
      </c>
      <c r="EA348" s="16" t="s">
        <v>166</v>
      </c>
      <c r="EB348" s="16" t="s">
        <v>166</v>
      </c>
      <c r="EC348" s="16" t="s">
        <v>166</v>
      </c>
      <c r="ED348" s="17" t="s">
        <v>166</v>
      </c>
      <c r="EE348" s="17" t="s">
        <v>166</v>
      </c>
      <c r="EF348" s="17" t="s">
        <v>166</v>
      </c>
      <c r="EG348" s="17" t="s">
        <v>166</v>
      </c>
      <c r="EH348" s="16" t="s">
        <v>166</v>
      </c>
      <c r="EI348" s="16" t="s">
        <v>166</v>
      </c>
      <c r="EJ348" s="16" t="s">
        <v>166</v>
      </c>
      <c r="EK348" s="16" t="s">
        <v>166</v>
      </c>
      <c r="EL348" s="16" t="s">
        <v>166</v>
      </c>
      <c r="EM348" s="16" t="s">
        <v>166</v>
      </c>
      <c r="EN348" s="16" t="s">
        <v>166</v>
      </c>
      <c r="EO348" s="16" t="s">
        <v>166</v>
      </c>
      <c r="EP348" s="16" t="s">
        <v>166</v>
      </c>
      <c r="EQ348" s="16" t="s">
        <v>166</v>
      </c>
      <c r="ER348" s="16" t="s">
        <v>166</v>
      </c>
      <c r="ES348" s="16" t="s">
        <v>166</v>
      </c>
      <c r="ET348" s="14" t="s">
        <v>166</v>
      </c>
      <c r="EU348" s="16" t="s">
        <v>166</v>
      </c>
      <c r="EV348" s="16" t="s">
        <v>166</v>
      </c>
      <c r="EW348" s="16" t="s">
        <v>166</v>
      </c>
      <c r="EX348" s="14" t="s">
        <v>190</v>
      </c>
      <c r="EY348" s="14" t="s">
        <v>166</v>
      </c>
      <c r="EZ348" s="16" t="s">
        <v>166</v>
      </c>
      <c r="FA348" s="15" t="s">
        <v>166</v>
      </c>
      <c r="FB348" s="15" t="s">
        <v>166</v>
      </c>
      <c r="FC348" s="15" t="s">
        <v>166</v>
      </c>
      <c r="FD348" s="15" t="s">
        <v>166</v>
      </c>
      <c r="FE348" s="15" t="s">
        <v>166</v>
      </c>
      <c r="FF348" s="15" t="s">
        <v>166</v>
      </c>
      <c r="FG348" s="14" t="s">
        <v>166</v>
      </c>
      <c r="FH348" s="3">
        <f>HYPERLINK("https://my.pitchbook.com?c=192464-65T","View Company Online")</f>
      </c>
    </row>
    <row r="349">
      <c r="A349" s="25" t="s">
        <v>6939</v>
      </c>
      <c r="B349" s="25" t="s">
        <v>6940</v>
      </c>
      <c r="C349" s="25" t="s">
        <v>6941</v>
      </c>
      <c r="D349" s="25" t="s">
        <v>166</v>
      </c>
      <c r="E349" s="34" t="s">
        <v>6942</v>
      </c>
      <c r="F349" s="32">
        <v>8</v>
      </c>
      <c r="G349" s="25" t="s">
        <v>6943</v>
      </c>
      <c r="H349" s="25" t="s">
        <v>166</v>
      </c>
      <c r="I349" s="25" t="s">
        <v>6944</v>
      </c>
      <c r="J349" s="25" t="s">
        <v>6945</v>
      </c>
      <c r="K349" s="25" t="s">
        <v>207</v>
      </c>
      <c r="L349" s="25" t="s">
        <v>208</v>
      </c>
      <c r="M349" s="25" t="s">
        <v>296</v>
      </c>
      <c r="N349" s="25" t="s">
        <v>905</v>
      </c>
      <c r="O349" s="25" t="s">
        <v>4042</v>
      </c>
      <c r="P349" s="25" t="s">
        <v>6946</v>
      </c>
      <c r="Q349" s="25" t="s">
        <v>166</v>
      </c>
      <c r="R349" s="25" t="s">
        <v>177</v>
      </c>
      <c r="S349" s="25" t="s">
        <v>178</v>
      </c>
      <c r="T349" s="25" t="s">
        <v>179</v>
      </c>
      <c r="U349" s="25" t="s">
        <v>6947</v>
      </c>
      <c r="V349" s="25" t="s">
        <v>6948</v>
      </c>
      <c r="W349" s="32" t="s">
        <v>166</v>
      </c>
      <c r="X349" s="25" t="s">
        <v>6949</v>
      </c>
      <c r="Y349" s="25" t="s">
        <v>6950</v>
      </c>
      <c r="Z349" s="25" t="s">
        <v>166</v>
      </c>
      <c r="AA349" s="25" t="s">
        <v>242</v>
      </c>
      <c r="AB349" s="25" t="s">
        <v>243</v>
      </c>
      <c r="AC349" s="25" t="s">
        <v>244</v>
      </c>
      <c r="AD349" s="25" t="s">
        <v>243</v>
      </c>
      <c r="AE349" s="25" t="s">
        <v>243</v>
      </c>
      <c r="AF349" s="25" t="s">
        <v>245</v>
      </c>
      <c r="AG349" s="25" t="s">
        <v>246</v>
      </c>
      <c r="AH349" s="32">
        <v>3</v>
      </c>
      <c r="AI349" s="4">
        <f>HYPERLINK("https://my.pitchbook.com/?d=260768-53T","260768-53T")</f>
      </c>
      <c r="AJ349" s="30" t="s">
        <v>166</v>
      </c>
      <c r="AK349" s="30">
        <v>45076</v>
      </c>
      <c r="AL349" s="29">
        <v>2.8</v>
      </c>
      <c r="AM349" s="25" t="s">
        <v>185</v>
      </c>
      <c r="AN349" s="29">
        <v>8.2</v>
      </c>
      <c r="AO349" s="29">
        <v>11</v>
      </c>
      <c r="AP349" s="25" t="s">
        <v>185</v>
      </c>
      <c r="AQ349" s="32" t="s">
        <v>166</v>
      </c>
      <c r="AR349" s="32" t="s">
        <v>166</v>
      </c>
      <c r="AS349" s="28">
        <v>29.49</v>
      </c>
      <c r="AT349" s="29">
        <v>3.06</v>
      </c>
      <c r="AU349" s="32" t="s">
        <v>186</v>
      </c>
      <c r="AV349" s="32" t="s">
        <v>166</v>
      </c>
      <c r="AW349" s="29">
        <v>1.26</v>
      </c>
      <c r="AX349" s="32" t="s">
        <v>166</v>
      </c>
      <c r="AY349" s="25" t="s">
        <v>217</v>
      </c>
      <c r="AZ349" s="25" t="s">
        <v>217</v>
      </c>
      <c r="BA349" s="25" t="s">
        <v>166</v>
      </c>
      <c r="BB349" s="32" t="s">
        <v>166</v>
      </c>
      <c r="BC349" s="25" t="s">
        <v>179</v>
      </c>
      <c r="BD349" s="25" t="s">
        <v>6951</v>
      </c>
      <c r="BE349" s="25" t="s">
        <v>189</v>
      </c>
      <c r="BF349" s="29">
        <v>2.8</v>
      </c>
      <c r="BG349" s="25" t="s">
        <v>190</v>
      </c>
      <c r="BH349" s="25" t="s">
        <v>166</v>
      </c>
      <c r="BI349" s="25" t="s">
        <v>166</v>
      </c>
      <c r="BJ349" s="29" t="s">
        <v>166</v>
      </c>
      <c r="BK349" s="29" t="s">
        <v>166</v>
      </c>
      <c r="BL349" s="25" t="s">
        <v>191</v>
      </c>
      <c r="BM349" s="25" t="s">
        <v>178</v>
      </c>
      <c r="BN349" s="25" t="s">
        <v>177</v>
      </c>
      <c r="BO349" s="33" t="s">
        <v>166</v>
      </c>
      <c r="BP349" s="25" t="s">
        <v>6952</v>
      </c>
      <c r="BQ349" s="32">
        <v>7</v>
      </c>
      <c r="BR349" s="25" t="s">
        <v>6953</v>
      </c>
      <c r="BS349" s="32">
        <v>1</v>
      </c>
      <c r="BT349" s="25" t="s">
        <v>6954</v>
      </c>
      <c r="BU349" s="25" t="s">
        <v>166</v>
      </c>
      <c r="BV349" s="25" t="s">
        <v>166</v>
      </c>
      <c r="BW349" s="25" t="s">
        <v>166</v>
      </c>
      <c r="BX349" s="25" t="s">
        <v>166</v>
      </c>
      <c r="BY349" s="25" t="s">
        <v>166</v>
      </c>
      <c r="BZ349" s="25" t="s">
        <v>6955</v>
      </c>
      <c r="CA349" s="25" t="s">
        <v>6955</v>
      </c>
      <c r="CB349" s="25" t="s">
        <v>166</v>
      </c>
      <c r="CC349" s="25" t="s">
        <v>166</v>
      </c>
      <c r="CD349" s="25" t="s">
        <v>166</v>
      </c>
      <c r="CE349" s="29" t="s">
        <v>166</v>
      </c>
      <c r="CF349" s="27" t="s">
        <v>166</v>
      </c>
      <c r="CG349" s="28" t="s">
        <v>166</v>
      </c>
      <c r="CH349" s="27" t="s">
        <v>166</v>
      </c>
      <c r="CI349" s="27" t="s">
        <v>166</v>
      </c>
      <c r="CJ349" s="27" t="s">
        <v>166</v>
      </c>
      <c r="CK349" s="27" t="s">
        <v>166</v>
      </c>
      <c r="CL349" s="27" t="s">
        <v>166</v>
      </c>
      <c r="CM349" s="31" t="s">
        <v>166</v>
      </c>
      <c r="CN349" s="27" t="s">
        <v>166</v>
      </c>
      <c r="CO349" s="27" t="s">
        <v>166</v>
      </c>
      <c r="CP349" s="27" t="s">
        <v>166</v>
      </c>
      <c r="CQ349" s="27" t="s">
        <v>166</v>
      </c>
      <c r="CR349" s="27" t="s">
        <v>166</v>
      </c>
      <c r="CS349" s="27" t="s">
        <v>166</v>
      </c>
      <c r="CT349" s="27" t="s">
        <v>166</v>
      </c>
      <c r="CU349" s="27" t="s">
        <v>166</v>
      </c>
      <c r="CV349" s="27" t="s">
        <v>166</v>
      </c>
      <c r="CW349" s="27" t="s">
        <v>166</v>
      </c>
      <c r="CX349" s="27" t="s">
        <v>166</v>
      </c>
      <c r="CY349" s="27" t="s">
        <v>166</v>
      </c>
      <c r="CZ349" s="27" t="s">
        <v>166</v>
      </c>
      <c r="DA349" s="27" t="s">
        <v>166</v>
      </c>
      <c r="DB349" s="27" t="s">
        <v>166</v>
      </c>
      <c r="DC349" s="27" t="s">
        <v>166</v>
      </c>
      <c r="DD349" s="27" t="s">
        <v>166</v>
      </c>
      <c r="DE349" s="28" t="s">
        <v>166</v>
      </c>
      <c r="DF349" s="33">
        <v>4</v>
      </c>
      <c r="DG349" s="25" t="s">
        <v>309</v>
      </c>
      <c r="DH349" s="25" t="s">
        <v>193</v>
      </c>
      <c r="DI349" s="25" t="s">
        <v>194</v>
      </c>
      <c r="DJ349" s="25" t="s">
        <v>310</v>
      </c>
      <c r="DK349" s="25" t="s">
        <v>310</v>
      </c>
      <c r="DL349" s="32" t="s">
        <v>2633</v>
      </c>
      <c r="DM349" s="25" t="s">
        <v>198</v>
      </c>
      <c r="DN349" s="24" t="s">
        <v>6956</v>
      </c>
      <c r="DO349" s="31">
        <v>2021</v>
      </c>
      <c r="DP349" s="25" t="s">
        <v>166</v>
      </c>
      <c r="DQ349" s="25" t="s">
        <v>166</v>
      </c>
      <c r="DR349" s="29" t="s">
        <v>166</v>
      </c>
      <c r="DS349" s="27" t="s">
        <v>166</v>
      </c>
      <c r="DT349" s="30" t="s">
        <v>166</v>
      </c>
      <c r="DU349" s="25" t="s">
        <v>166</v>
      </c>
      <c r="DV349" s="29" t="s">
        <v>166</v>
      </c>
      <c r="DW349" s="29" t="s">
        <v>166</v>
      </c>
      <c r="DX349" s="27" t="s">
        <v>166</v>
      </c>
      <c r="DY349" s="27" t="s">
        <v>166</v>
      </c>
      <c r="DZ349" s="28" t="s">
        <v>166</v>
      </c>
      <c r="EA349" s="27" t="s">
        <v>166</v>
      </c>
      <c r="EB349" s="27" t="s">
        <v>166</v>
      </c>
      <c r="EC349" s="27" t="s">
        <v>166</v>
      </c>
      <c r="ED349" s="28" t="s">
        <v>166</v>
      </c>
      <c r="EE349" s="28" t="s">
        <v>166</v>
      </c>
      <c r="EF349" s="28" t="s">
        <v>166</v>
      </c>
      <c r="EG349" s="28" t="s">
        <v>166</v>
      </c>
      <c r="EH349" s="27" t="s">
        <v>166</v>
      </c>
      <c r="EI349" s="27" t="s">
        <v>166</v>
      </c>
      <c r="EJ349" s="27" t="s">
        <v>166</v>
      </c>
      <c r="EK349" s="27" t="s">
        <v>166</v>
      </c>
      <c r="EL349" s="27" t="s">
        <v>166</v>
      </c>
      <c r="EM349" s="27" t="s">
        <v>166</v>
      </c>
      <c r="EN349" s="27" t="s">
        <v>166</v>
      </c>
      <c r="EO349" s="27" t="s">
        <v>166</v>
      </c>
      <c r="EP349" s="27" t="s">
        <v>166</v>
      </c>
      <c r="EQ349" s="27" t="s">
        <v>166</v>
      </c>
      <c r="ER349" s="27" t="s">
        <v>166</v>
      </c>
      <c r="ES349" s="27" t="s">
        <v>166</v>
      </c>
      <c r="ET349" s="25" t="s">
        <v>166</v>
      </c>
      <c r="EU349" s="27" t="s">
        <v>166</v>
      </c>
      <c r="EV349" s="27" t="s">
        <v>166</v>
      </c>
      <c r="EW349" s="27" t="s">
        <v>166</v>
      </c>
      <c r="EX349" s="25" t="s">
        <v>190</v>
      </c>
      <c r="EY349" s="25" t="s">
        <v>166</v>
      </c>
      <c r="EZ349" s="27" t="s">
        <v>166</v>
      </c>
      <c r="FA349" s="26" t="s">
        <v>166</v>
      </c>
      <c r="FB349" s="26" t="s">
        <v>166</v>
      </c>
      <c r="FC349" s="26" t="s">
        <v>166</v>
      </c>
      <c r="FD349" s="26" t="s">
        <v>166</v>
      </c>
      <c r="FE349" s="26" t="s">
        <v>166</v>
      </c>
      <c r="FF349" s="26" t="s">
        <v>166</v>
      </c>
      <c r="FG349" s="25" t="s">
        <v>166</v>
      </c>
      <c r="FH349" s="4">
        <f>HYPERLINK("https://my.pitchbook.com?c=260768-53T","View Company Online")</f>
      </c>
    </row>
    <row r="350">
      <c r="A350" s="14" t="s">
        <v>6957</v>
      </c>
      <c r="B350" s="14" t="s">
        <v>6958</v>
      </c>
      <c r="C350" s="14" t="s">
        <v>6959</v>
      </c>
      <c r="D350" s="14" t="s">
        <v>166</v>
      </c>
      <c r="E350" s="23" t="s">
        <v>6960</v>
      </c>
      <c r="F350" s="21">
        <v>7</v>
      </c>
      <c r="G350" s="14" t="s">
        <v>6961</v>
      </c>
      <c r="H350" s="14" t="s">
        <v>166</v>
      </c>
      <c r="I350" s="14" t="s">
        <v>6962</v>
      </c>
      <c r="J350" s="14" t="s">
        <v>6963</v>
      </c>
      <c r="K350" s="14" t="s">
        <v>207</v>
      </c>
      <c r="L350" s="14" t="s">
        <v>208</v>
      </c>
      <c r="M350" s="14" t="s">
        <v>296</v>
      </c>
      <c r="N350" s="14" t="s">
        <v>1666</v>
      </c>
      <c r="O350" s="14" t="s">
        <v>6964</v>
      </c>
      <c r="P350" s="14" t="s">
        <v>6965</v>
      </c>
      <c r="Q350" s="14" t="s">
        <v>166</v>
      </c>
      <c r="R350" s="14" t="s">
        <v>177</v>
      </c>
      <c r="S350" s="14" t="s">
        <v>178</v>
      </c>
      <c r="T350" s="14" t="s">
        <v>179</v>
      </c>
      <c r="U350" s="14" t="s">
        <v>6966</v>
      </c>
      <c r="V350" s="14" t="s">
        <v>6967</v>
      </c>
      <c r="W350" s="21" t="s">
        <v>6968</v>
      </c>
      <c r="X350" s="14" t="s">
        <v>6969</v>
      </c>
      <c r="Y350" s="14" t="s">
        <v>6970</v>
      </c>
      <c r="Z350" s="14" t="s">
        <v>166</v>
      </c>
      <c r="AA350" s="14" t="s">
        <v>242</v>
      </c>
      <c r="AB350" s="14" t="s">
        <v>243</v>
      </c>
      <c r="AC350" s="14" t="s">
        <v>244</v>
      </c>
      <c r="AD350" s="14" t="s">
        <v>243</v>
      </c>
      <c r="AE350" s="14" t="s">
        <v>243</v>
      </c>
      <c r="AF350" s="14" t="s">
        <v>245</v>
      </c>
      <c r="AG350" s="14" t="s">
        <v>246</v>
      </c>
      <c r="AH350" s="21">
        <v>1</v>
      </c>
      <c r="AI350" s="3">
        <f>HYPERLINK("https://my.pitchbook.com/?d=201081-34T","201081-34T")</f>
      </c>
      <c r="AJ350" s="19">
        <v>44768</v>
      </c>
      <c r="AK350" s="19">
        <v>45141</v>
      </c>
      <c r="AL350" s="18">
        <v>8</v>
      </c>
      <c r="AM350" s="14" t="s">
        <v>185</v>
      </c>
      <c r="AN350" s="18">
        <v>28</v>
      </c>
      <c r="AO350" s="18">
        <v>36</v>
      </c>
      <c r="AP350" s="14" t="s">
        <v>185</v>
      </c>
      <c r="AQ350" s="21" t="s">
        <v>166</v>
      </c>
      <c r="AR350" s="21" t="s">
        <v>166</v>
      </c>
      <c r="AS350" s="17">
        <v>26.04</v>
      </c>
      <c r="AT350" s="18">
        <v>8</v>
      </c>
      <c r="AU350" s="21" t="s">
        <v>186</v>
      </c>
      <c r="AV350" s="21" t="s">
        <v>166</v>
      </c>
      <c r="AW350" s="18">
        <v>4.8</v>
      </c>
      <c r="AX350" s="21" t="s">
        <v>166</v>
      </c>
      <c r="AY350" s="14" t="s">
        <v>217</v>
      </c>
      <c r="AZ350" s="14" t="s">
        <v>217</v>
      </c>
      <c r="BA350" s="14" t="s">
        <v>166</v>
      </c>
      <c r="BB350" s="21" t="s">
        <v>166</v>
      </c>
      <c r="BC350" s="14" t="s">
        <v>179</v>
      </c>
      <c r="BD350" s="14" t="s">
        <v>6971</v>
      </c>
      <c r="BE350" s="14" t="s">
        <v>189</v>
      </c>
      <c r="BF350" s="18">
        <v>8</v>
      </c>
      <c r="BG350" s="14" t="s">
        <v>190</v>
      </c>
      <c r="BH350" s="14" t="s">
        <v>166</v>
      </c>
      <c r="BI350" s="14" t="s">
        <v>166</v>
      </c>
      <c r="BJ350" s="18" t="s">
        <v>166</v>
      </c>
      <c r="BK350" s="18" t="s">
        <v>166</v>
      </c>
      <c r="BL350" s="14" t="s">
        <v>191</v>
      </c>
      <c r="BM350" s="14" t="s">
        <v>358</v>
      </c>
      <c r="BN350" s="14" t="s">
        <v>177</v>
      </c>
      <c r="BO350" s="22" t="s">
        <v>166</v>
      </c>
      <c r="BP350" s="14" t="s">
        <v>6972</v>
      </c>
      <c r="BQ350" s="21">
        <v>7</v>
      </c>
      <c r="BR350" s="14" t="s">
        <v>166</v>
      </c>
      <c r="BS350" s="21" t="s">
        <v>166</v>
      </c>
      <c r="BT350" s="14" t="s">
        <v>6973</v>
      </c>
      <c r="BU350" s="14" t="s">
        <v>166</v>
      </c>
      <c r="BV350" s="14" t="s">
        <v>6974</v>
      </c>
      <c r="BW350" s="14" t="s">
        <v>166</v>
      </c>
      <c r="BX350" s="14" t="s">
        <v>166</v>
      </c>
      <c r="BY350" s="14" t="s">
        <v>166</v>
      </c>
      <c r="BZ350" s="14" t="s">
        <v>166</v>
      </c>
      <c r="CA350" s="14" t="s">
        <v>166</v>
      </c>
      <c r="CB350" s="14" t="s">
        <v>166</v>
      </c>
      <c r="CC350" s="14" t="s">
        <v>166</v>
      </c>
      <c r="CD350" s="14" t="s">
        <v>166</v>
      </c>
      <c r="CE350" s="18" t="s">
        <v>166</v>
      </c>
      <c r="CF350" s="16" t="s">
        <v>166</v>
      </c>
      <c r="CG350" s="17" t="s">
        <v>166</v>
      </c>
      <c r="CH350" s="16" t="s">
        <v>166</v>
      </c>
      <c r="CI350" s="16" t="s">
        <v>166</v>
      </c>
      <c r="CJ350" s="16" t="s">
        <v>166</v>
      </c>
      <c r="CK350" s="16" t="s">
        <v>166</v>
      </c>
      <c r="CL350" s="16" t="s">
        <v>166</v>
      </c>
      <c r="CM350" s="20" t="s">
        <v>166</v>
      </c>
      <c r="CN350" s="16" t="s">
        <v>166</v>
      </c>
      <c r="CO350" s="16" t="s">
        <v>166</v>
      </c>
      <c r="CP350" s="16" t="s">
        <v>166</v>
      </c>
      <c r="CQ350" s="16" t="s">
        <v>166</v>
      </c>
      <c r="CR350" s="16" t="s">
        <v>166</v>
      </c>
      <c r="CS350" s="16" t="s">
        <v>166</v>
      </c>
      <c r="CT350" s="16" t="s">
        <v>166</v>
      </c>
      <c r="CU350" s="16" t="s">
        <v>166</v>
      </c>
      <c r="CV350" s="16" t="s">
        <v>166</v>
      </c>
      <c r="CW350" s="16" t="s">
        <v>166</v>
      </c>
      <c r="CX350" s="16" t="s">
        <v>166</v>
      </c>
      <c r="CY350" s="16" t="s">
        <v>166</v>
      </c>
      <c r="CZ350" s="16" t="s">
        <v>166</v>
      </c>
      <c r="DA350" s="16" t="s">
        <v>166</v>
      </c>
      <c r="DB350" s="16" t="s">
        <v>166</v>
      </c>
      <c r="DC350" s="16" t="s">
        <v>166</v>
      </c>
      <c r="DD350" s="16" t="s">
        <v>166</v>
      </c>
      <c r="DE350" s="17" t="s">
        <v>166</v>
      </c>
      <c r="DF350" s="22">
        <v>29</v>
      </c>
      <c r="DG350" s="14" t="s">
        <v>673</v>
      </c>
      <c r="DH350" s="14" t="s">
        <v>193</v>
      </c>
      <c r="DI350" s="14" t="s">
        <v>194</v>
      </c>
      <c r="DJ350" s="14" t="s">
        <v>674</v>
      </c>
      <c r="DK350" s="14" t="s">
        <v>257</v>
      </c>
      <c r="DL350" s="21" t="s">
        <v>1329</v>
      </c>
      <c r="DM350" s="14" t="s">
        <v>198</v>
      </c>
      <c r="DN350" s="13" t="s">
        <v>6975</v>
      </c>
      <c r="DO350" s="20">
        <v>2021</v>
      </c>
      <c r="DP350" s="14" t="s">
        <v>166</v>
      </c>
      <c r="DQ350" s="14" t="s">
        <v>166</v>
      </c>
      <c r="DR350" s="18" t="s">
        <v>166</v>
      </c>
      <c r="DS350" s="16" t="s">
        <v>166</v>
      </c>
      <c r="DT350" s="19" t="s">
        <v>166</v>
      </c>
      <c r="DU350" s="14" t="s">
        <v>166</v>
      </c>
      <c r="DV350" s="18" t="s">
        <v>166</v>
      </c>
      <c r="DW350" s="18" t="s">
        <v>166</v>
      </c>
      <c r="DX350" s="16" t="s">
        <v>166</v>
      </c>
      <c r="DY350" s="16" t="s">
        <v>166</v>
      </c>
      <c r="DZ350" s="17" t="s">
        <v>166</v>
      </c>
      <c r="EA350" s="16" t="s">
        <v>166</v>
      </c>
      <c r="EB350" s="16" t="s">
        <v>166</v>
      </c>
      <c r="EC350" s="16" t="s">
        <v>166</v>
      </c>
      <c r="ED350" s="17" t="s">
        <v>166</v>
      </c>
      <c r="EE350" s="17" t="s">
        <v>166</v>
      </c>
      <c r="EF350" s="17" t="s">
        <v>166</v>
      </c>
      <c r="EG350" s="17" t="s">
        <v>166</v>
      </c>
      <c r="EH350" s="16" t="s">
        <v>166</v>
      </c>
      <c r="EI350" s="16" t="s">
        <v>166</v>
      </c>
      <c r="EJ350" s="16" t="s">
        <v>166</v>
      </c>
      <c r="EK350" s="16" t="s">
        <v>166</v>
      </c>
      <c r="EL350" s="16" t="s">
        <v>166</v>
      </c>
      <c r="EM350" s="16" t="s">
        <v>166</v>
      </c>
      <c r="EN350" s="16" t="s">
        <v>166</v>
      </c>
      <c r="EO350" s="16" t="s">
        <v>166</v>
      </c>
      <c r="EP350" s="16" t="s">
        <v>166</v>
      </c>
      <c r="EQ350" s="16" t="s">
        <v>166</v>
      </c>
      <c r="ER350" s="16" t="s">
        <v>166</v>
      </c>
      <c r="ES350" s="16" t="s">
        <v>166</v>
      </c>
      <c r="ET350" s="14" t="s">
        <v>166</v>
      </c>
      <c r="EU350" s="16" t="s">
        <v>166</v>
      </c>
      <c r="EV350" s="16" t="s">
        <v>166</v>
      </c>
      <c r="EW350" s="16" t="s">
        <v>166</v>
      </c>
      <c r="EX350" s="14" t="s">
        <v>190</v>
      </c>
      <c r="EY350" s="14" t="s">
        <v>166</v>
      </c>
      <c r="EZ350" s="16" t="s">
        <v>166</v>
      </c>
      <c r="FA350" s="15" t="s">
        <v>166</v>
      </c>
      <c r="FB350" s="15" t="s">
        <v>166</v>
      </c>
      <c r="FC350" s="15" t="s">
        <v>166</v>
      </c>
      <c r="FD350" s="15" t="s">
        <v>166</v>
      </c>
      <c r="FE350" s="15" t="s">
        <v>166</v>
      </c>
      <c r="FF350" s="15" t="s">
        <v>166</v>
      </c>
      <c r="FG350" s="14" t="s">
        <v>166</v>
      </c>
      <c r="FH350" s="3">
        <f>HYPERLINK("https://my.pitchbook.com?c=201081-34T","View Company Online")</f>
      </c>
    </row>
    <row r="351">
      <c r="A351" s="25" t="s">
        <v>6976</v>
      </c>
      <c r="B351" s="25" t="s">
        <v>6977</v>
      </c>
      <c r="C351" s="25" t="s">
        <v>6978</v>
      </c>
      <c r="D351" s="25" t="s">
        <v>166</v>
      </c>
      <c r="E351" s="34" t="s">
        <v>6979</v>
      </c>
      <c r="F351" s="32">
        <v>5</v>
      </c>
      <c r="G351" s="25" t="s">
        <v>6980</v>
      </c>
      <c r="H351" s="25" t="s">
        <v>166</v>
      </c>
      <c r="I351" s="25" t="s">
        <v>6981</v>
      </c>
      <c r="J351" s="25" t="s">
        <v>6982</v>
      </c>
      <c r="K351" s="25" t="s">
        <v>207</v>
      </c>
      <c r="L351" s="25" t="s">
        <v>208</v>
      </c>
      <c r="M351" s="25" t="s">
        <v>296</v>
      </c>
      <c r="N351" s="25" t="s">
        <v>1202</v>
      </c>
      <c r="O351" s="25" t="s">
        <v>1339</v>
      </c>
      <c r="P351" s="25" t="s">
        <v>6983</v>
      </c>
      <c r="Q351" s="25" t="s">
        <v>166</v>
      </c>
      <c r="R351" s="25" t="s">
        <v>177</v>
      </c>
      <c r="S351" s="25" t="s">
        <v>178</v>
      </c>
      <c r="T351" s="25" t="s">
        <v>179</v>
      </c>
      <c r="U351" s="25" t="s">
        <v>6984</v>
      </c>
      <c r="V351" s="25" t="s">
        <v>6985</v>
      </c>
      <c r="W351" s="32" t="s">
        <v>6986</v>
      </c>
      <c r="X351" s="25" t="s">
        <v>166</v>
      </c>
      <c r="Y351" s="25" t="s">
        <v>6987</v>
      </c>
      <c r="Z351" s="25" t="s">
        <v>166</v>
      </c>
      <c r="AA351" s="25" t="s">
        <v>166</v>
      </c>
      <c r="AB351" s="25" t="s">
        <v>166</v>
      </c>
      <c r="AC351" s="25" t="s">
        <v>166</v>
      </c>
      <c r="AD351" s="25" t="s">
        <v>166</v>
      </c>
      <c r="AE351" s="25" t="s">
        <v>166</v>
      </c>
      <c r="AF351" s="25" t="s">
        <v>166</v>
      </c>
      <c r="AG351" s="25" t="s">
        <v>166</v>
      </c>
      <c r="AH351" s="32">
        <v>1</v>
      </c>
      <c r="AI351" s="4">
        <f>HYPERLINK("https://my.pitchbook.com/?d=184704-58T","184704-58T")</f>
      </c>
      <c r="AJ351" s="30">
        <v>44523</v>
      </c>
      <c r="AK351" s="30">
        <v>44790</v>
      </c>
      <c r="AL351" s="29">
        <v>5.25</v>
      </c>
      <c r="AM351" s="25" t="s">
        <v>185</v>
      </c>
      <c r="AN351" s="29" t="s">
        <v>166</v>
      </c>
      <c r="AO351" s="29" t="s">
        <v>166</v>
      </c>
      <c r="AP351" s="25" t="s">
        <v>166</v>
      </c>
      <c r="AQ351" s="32" t="s">
        <v>166</v>
      </c>
      <c r="AR351" s="32" t="s">
        <v>166</v>
      </c>
      <c r="AS351" s="28" t="s">
        <v>166</v>
      </c>
      <c r="AT351" s="29">
        <v>5.25</v>
      </c>
      <c r="AU351" s="32" t="s">
        <v>186</v>
      </c>
      <c r="AV351" s="32" t="s">
        <v>166</v>
      </c>
      <c r="AW351" s="29" t="s">
        <v>166</v>
      </c>
      <c r="AX351" s="32" t="s">
        <v>166</v>
      </c>
      <c r="AY351" s="25" t="s">
        <v>217</v>
      </c>
      <c r="AZ351" s="25" t="s">
        <v>217</v>
      </c>
      <c r="BA351" s="25" t="s">
        <v>166</v>
      </c>
      <c r="BB351" s="32" t="s">
        <v>166</v>
      </c>
      <c r="BC351" s="25" t="s">
        <v>179</v>
      </c>
      <c r="BD351" s="25" t="s">
        <v>6982</v>
      </c>
      <c r="BE351" s="25" t="s">
        <v>189</v>
      </c>
      <c r="BF351" s="29">
        <v>5.25</v>
      </c>
      <c r="BG351" s="25" t="s">
        <v>190</v>
      </c>
      <c r="BH351" s="25" t="s">
        <v>166</v>
      </c>
      <c r="BI351" s="25" t="s">
        <v>166</v>
      </c>
      <c r="BJ351" s="29" t="s">
        <v>166</v>
      </c>
      <c r="BK351" s="29" t="s">
        <v>166</v>
      </c>
      <c r="BL351" s="25" t="s">
        <v>191</v>
      </c>
      <c r="BM351" s="25" t="s">
        <v>178</v>
      </c>
      <c r="BN351" s="25" t="s">
        <v>177</v>
      </c>
      <c r="BO351" s="33" t="s">
        <v>166</v>
      </c>
      <c r="BP351" s="25" t="s">
        <v>6988</v>
      </c>
      <c r="BQ351" s="32">
        <v>5</v>
      </c>
      <c r="BR351" s="25" t="s">
        <v>166</v>
      </c>
      <c r="BS351" s="32" t="s">
        <v>166</v>
      </c>
      <c r="BT351" s="25" t="s">
        <v>6989</v>
      </c>
      <c r="BU351" s="25" t="s">
        <v>166</v>
      </c>
      <c r="BV351" s="25" t="s">
        <v>6990</v>
      </c>
      <c r="BW351" s="25" t="s">
        <v>166</v>
      </c>
      <c r="BX351" s="25" t="s">
        <v>166</v>
      </c>
      <c r="BY351" s="25" t="s">
        <v>166</v>
      </c>
      <c r="BZ351" s="25" t="s">
        <v>1232</v>
      </c>
      <c r="CA351" s="25" t="s">
        <v>1232</v>
      </c>
      <c r="CB351" s="25" t="s">
        <v>166</v>
      </c>
      <c r="CC351" s="25" t="s">
        <v>166</v>
      </c>
      <c r="CD351" s="25" t="s">
        <v>166</v>
      </c>
      <c r="CE351" s="29" t="s">
        <v>166</v>
      </c>
      <c r="CF351" s="27" t="s">
        <v>166</v>
      </c>
      <c r="CG351" s="28" t="s">
        <v>166</v>
      </c>
      <c r="CH351" s="27" t="s">
        <v>166</v>
      </c>
      <c r="CI351" s="27" t="s">
        <v>166</v>
      </c>
      <c r="CJ351" s="27" t="s">
        <v>166</v>
      </c>
      <c r="CK351" s="27" t="s">
        <v>166</v>
      </c>
      <c r="CL351" s="27" t="s">
        <v>166</v>
      </c>
      <c r="CM351" s="31" t="s">
        <v>166</v>
      </c>
      <c r="CN351" s="27" t="s">
        <v>166</v>
      </c>
      <c r="CO351" s="27" t="s">
        <v>166</v>
      </c>
      <c r="CP351" s="27" t="s">
        <v>166</v>
      </c>
      <c r="CQ351" s="27" t="s">
        <v>166</v>
      </c>
      <c r="CR351" s="27" t="s">
        <v>166</v>
      </c>
      <c r="CS351" s="27" t="s">
        <v>166</v>
      </c>
      <c r="CT351" s="27" t="s">
        <v>166</v>
      </c>
      <c r="CU351" s="27" t="s">
        <v>166</v>
      </c>
      <c r="CV351" s="27" t="s">
        <v>166</v>
      </c>
      <c r="CW351" s="27" t="s">
        <v>166</v>
      </c>
      <c r="CX351" s="27" t="s">
        <v>166</v>
      </c>
      <c r="CY351" s="27" t="s">
        <v>166</v>
      </c>
      <c r="CZ351" s="27" t="s">
        <v>166</v>
      </c>
      <c r="DA351" s="27" t="s">
        <v>166</v>
      </c>
      <c r="DB351" s="27" t="s">
        <v>166</v>
      </c>
      <c r="DC351" s="27" t="s">
        <v>166</v>
      </c>
      <c r="DD351" s="27" t="s">
        <v>166</v>
      </c>
      <c r="DE351" s="28" t="s">
        <v>166</v>
      </c>
      <c r="DF351" s="33">
        <v>11</v>
      </c>
      <c r="DG351" s="25" t="s">
        <v>6991</v>
      </c>
      <c r="DH351" s="25" t="s">
        <v>193</v>
      </c>
      <c r="DI351" s="25" t="s">
        <v>194</v>
      </c>
      <c r="DJ351" s="25" t="s">
        <v>6992</v>
      </c>
      <c r="DK351" s="25" t="s">
        <v>1117</v>
      </c>
      <c r="DL351" s="32" t="s">
        <v>6993</v>
      </c>
      <c r="DM351" s="25" t="s">
        <v>198</v>
      </c>
      <c r="DN351" s="24" t="s">
        <v>6994</v>
      </c>
      <c r="DO351" s="31">
        <v>2021</v>
      </c>
      <c r="DP351" s="25" t="s">
        <v>166</v>
      </c>
      <c r="DQ351" s="25" t="s">
        <v>166</v>
      </c>
      <c r="DR351" s="29" t="s">
        <v>166</v>
      </c>
      <c r="DS351" s="27" t="s">
        <v>166</v>
      </c>
      <c r="DT351" s="30" t="s">
        <v>166</v>
      </c>
      <c r="DU351" s="25" t="s">
        <v>166</v>
      </c>
      <c r="DV351" s="29" t="s">
        <v>166</v>
      </c>
      <c r="DW351" s="29" t="s">
        <v>166</v>
      </c>
      <c r="DX351" s="27" t="s">
        <v>166</v>
      </c>
      <c r="DY351" s="27" t="s">
        <v>166</v>
      </c>
      <c r="DZ351" s="28" t="s">
        <v>166</v>
      </c>
      <c r="EA351" s="27" t="s">
        <v>166</v>
      </c>
      <c r="EB351" s="27" t="s">
        <v>166</v>
      </c>
      <c r="EC351" s="27" t="s">
        <v>166</v>
      </c>
      <c r="ED351" s="28" t="s">
        <v>166</v>
      </c>
      <c r="EE351" s="28" t="s">
        <v>166</v>
      </c>
      <c r="EF351" s="28" t="s">
        <v>166</v>
      </c>
      <c r="EG351" s="28" t="s">
        <v>166</v>
      </c>
      <c r="EH351" s="27" t="s">
        <v>166</v>
      </c>
      <c r="EI351" s="27" t="s">
        <v>166</v>
      </c>
      <c r="EJ351" s="27" t="s">
        <v>166</v>
      </c>
      <c r="EK351" s="27" t="s">
        <v>166</v>
      </c>
      <c r="EL351" s="27" t="s">
        <v>166</v>
      </c>
      <c r="EM351" s="27" t="s">
        <v>166</v>
      </c>
      <c r="EN351" s="27" t="s">
        <v>166</v>
      </c>
      <c r="EO351" s="27" t="s">
        <v>166</v>
      </c>
      <c r="EP351" s="27" t="s">
        <v>166</v>
      </c>
      <c r="EQ351" s="27" t="s">
        <v>166</v>
      </c>
      <c r="ER351" s="27" t="s">
        <v>166</v>
      </c>
      <c r="ES351" s="27" t="s">
        <v>166</v>
      </c>
      <c r="ET351" s="25" t="s">
        <v>166</v>
      </c>
      <c r="EU351" s="27" t="s">
        <v>166</v>
      </c>
      <c r="EV351" s="27" t="s">
        <v>166</v>
      </c>
      <c r="EW351" s="27" t="s">
        <v>166</v>
      </c>
      <c r="EX351" s="25" t="s">
        <v>190</v>
      </c>
      <c r="EY351" s="25" t="s">
        <v>166</v>
      </c>
      <c r="EZ351" s="27" t="s">
        <v>166</v>
      </c>
      <c r="FA351" s="26" t="s">
        <v>166</v>
      </c>
      <c r="FB351" s="26" t="s">
        <v>166</v>
      </c>
      <c r="FC351" s="26" t="s">
        <v>166</v>
      </c>
      <c r="FD351" s="26" t="s">
        <v>166</v>
      </c>
      <c r="FE351" s="26" t="s">
        <v>166</v>
      </c>
      <c r="FF351" s="26" t="s">
        <v>166</v>
      </c>
      <c r="FG351" s="25" t="s">
        <v>166</v>
      </c>
      <c r="FH351" s="4">
        <f>HYPERLINK("https://my.pitchbook.com?c=184704-58T","View Company Online")</f>
      </c>
    </row>
    <row r="352">
      <c r="A352" s="14" t="s">
        <v>6995</v>
      </c>
      <c r="B352" s="14" t="s">
        <v>6996</v>
      </c>
      <c r="C352" s="14" t="s">
        <v>6997</v>
      </c>
      <c r="D352" s="14" t="s">
        <v>166</v>
      </c>
      <c r="E352" s="23" t="s">
        <v>6998</v>
      </c>
      <c r="F352" s="21">
        <v>4</v>
      </c>
      <c r="G352" s="14" t="s">
        <v>6999</v>
      </c>
      <c r="H352" s="14" t="s">
        <v>166</v>
      </c>
      <c r="I352" s="14" t="s">
        <v>7000</v>
      </c>
      <c r="J352" s="14" t="s">
        <v>7001</v>
      </c>
      <c r="K352" s="14" t="s">
        <v>207</v>
      </c>
      <c r="L352" s="14" t="s">
        <v>208</v>
      </c>
      <c r="M352" s="14" t="s">
        <v>209</v>
      </c>
      <c r="N352" s="14" t="s">
        <v>3407</v>
      </c>
      <c r="O352" s="14" t="s">
        <v>1318</v>
      </c>
      <c r="P352" s="14" t="s">
        <v>7002</v>
      </c>
      <c r="Q352" s="14" t="s">
        <v>166</v>
      </c>
      <c r="R352" s="14" t="s">
        <v>177</v>
      </c>
      <c r="S352" s="14" t="s">
        <v>178</v>
      </c>
      <c r="T352" s="14" t="s">
        <v>179</v>
      </c>
      <c r="U352" s="14" t="s">
        <v>7003</v>
      </c>
      <c r="V352" s="14" t="s">
        <v>7004</v>
      </c>
      <c r="W352" s="21" t="s">
        <v>166</v>
      </c>
      <c r="X352" s="14" t="s">
        <v>7005</v>
      </c>
      <c r="Y352" s="14" t="s">
        <v>7006</v>
      </c>
      <c r="Z352" s="14" t="s">
        <v>166</v>
      </c>
      <c r="AA352" s="14" t="s">
        <v>242</v>
      </c>
      <c r="AB352" s="14" t="s">
        <v>243</v>
      </c>
      <c r="AC352" s="14" t="s">
        <v>244</v>
      </c>
      <c r="AD352" s="14" t="s">
        <v>243</v>
      </c>
      <c r="AE352" s="14" t="s">
        <v>243</v>
      </c>
      <c r="AF352" s="14" t="s">
        <v>166</v>
      </c>
      <c r="AG352" s="14" t="s">
        <v>246</v>
      </c>
      <c r="AH352" s="21">
        <v>4</v>
      </c>
      <c r="AI352" s="3">
        <f>HYPERLINK("https://my.pitchbook.com/?d=226580-68T","226580-68T")</f>
      </c>
      <c r="AJ352" s="19">
        <v>45099</v>
      </c>
      <c r="AK352" s="19">
        <v>45473</v>
      </c>
      <c r="AL352" s="18">
        <v>1.7</v>
      </c>
      <c r="AM352" s="14" t="s">
        <v>185</v>
      </c>
      <c r="AN352" s="18">
        <v>5</v>
      </c>
      <c r="AO352" s="18">
        <v>6.7</v>
      </c>
      <c r="AP352" s="14" t="s">
        <v>185</v>
      </c>
      <c r="AQ352" s="21" t="s">
        <v>166</v>
      </c>
      <c r="AR352" s="21" t="s">
        <v>166</v>
      </c>
      <c r="AS352" s="17">
        <v>25.37</v>
      </c>
      <c r="AT352" s="18">
        <v>1.72</v>
      </c>
      <c r="AU352" s="21" t="s">
        <v>186</v>
      </c>
      <c r="AV352" s="21" t="s">
        <v>166</v>
      </c>
      <c r="AW352" s="18">
        <v>0.25</v>
      </c>
      <c r="AX352" s="21" t="s">
        <v>166</v>
      </c>
      <c r="AY352" s="14" t="s">
        <v>217</v>
      </c>
      <c r="AZ352" s="14" t="s">
        <v>217</v>
      </c>
      <c r="BA352" s="14" t="s">
        <v>166</v>
      </c>
      <c r="BB352" s="21" t="s">
        <v>166</v>
      </c>
      <c r="BC352" s="14" t="s">
        <v>179</v>
      </c>
      <c r="BD352" s="14" t="s">
        <v>7007</v>
      </c>
      <c r="BE352" s="14" t="s">
        <v>189</v>
      </c>
      <c r="BF352" s="18">
        <v>1.7</v>
      </c>
      <c r="BG352" s="14" t="s">
        <v>190</v>
      </c>
      <c r="BH352" s="14" t="s">
        <v>166</v>
      </c>
      <c r="BI352" s="14" t="s">
        <v>166</v>
      </c>
      <c r="BJ352" s="18" t="s">
        <v>166</v>
      </c>
      <c r="BK352" s="18" t="s">
        <v>166</v>
      </c>
      <c r="BL352" s="14" t="s">
        <v>191</v>
      </c>
      <c r="BM352" s="14" t="s">
        <v>178</v>
      </c>
      <c r="BN352" s="14" t="s">
        <v>177</v>
      </c>
      <c r="BO352" s="22" t="s">
        <v>166</v>
      </c>
      <c r="BP352" s="14" t="s">
        <v>7008</v>
      </c>
      <c r="BQ352" s="21">
        <v>3</v>
      </c>
      <c r="BR352" s="14" t="s">
        <v>252</v>
      </c>
      <c r="BS352" s="21">
        <v>1</v>
      </c>
      <c r="BT352" s="14" t="s">
        <v>7009</v>
      </c>
      <c r="BU352" s="14" t="s">
        <v>166</v>
      </c>
      <c r="BV352" s="14" t="s">
        <v>166</v>
      </c>
      <c r="BW352" s="14" t="s">
        <v>166</v>
      </c>
      <c r="BX352" s="14" t="s">
        <v>166</v>
      </c>
      <c r="BY352" s="14" t="s">
        <v>166</v>
      </c>
      <c r="BZ352" s="14" t="s">
        <v>996</v>
      </c>
      <c r="CA352" s="14" t="s">
        <v>996</v>
      </c>
      <c r="CB352" s="14" t="s">
        <v>166</v>
      </c>
      <c r="CC352" s="14" t="s">
        <v>166</v>
      </c>
      <c r="CD352" s="14" t="s">
        <v>166</v>
      </c>
      <c r="CE352" s="18" t="s">
        <v>166</v>
      </c>
      <c r="CF352" s="16" t="s">
        <v>166</v>
      </c>
      <c r="CG352" s="17" t="s">
        <v>166</v>
      </c>
      <c r="CH352" s="16" t="s">
        <v>166</v>
      </c>
      <c r="CI352" s="16" t="s">
        <v>166</v>
      </c>
      <c r="CJ352" s="16" t="s">
        <v>166</v>
      </c>
      <c r="CK352" s="16" t="s">
        <v>166</v>
      </c>
      <c r="CL352" s="16" t="s">
        <v>166</v>
      </c>
      <c r="CM352" s="20" t="s">
        <v>166</v>
      </c>
      <c r="CN352" s="16" t="s">
        <v>166</v>
      </c>
      <c r="CO352" s="16" t="s">
        <v>166</v>
      </c>
      <c r="CP352" s="16" t="s">
        <v>166</v>
      </c>
      <c r="CQ352" s="16" t="s">
        <v>166</v>
      </c>
      <c r="CR352" s="16" t="s">
        <v>166</v>
      </c>
      <c r="CS352" s="16" t="s">
        <v>166</v>
      </c>
      <c r="CT352" s="16" t="s">
        <v>166</v>
      </c>
      <c r="CU352" s="16" t="s">
        <v>166</v>
      </c>
      <c r="CV352" s="16" t="s">
        <v>166</v>
      </c>
      <c r="CW352" s="16" t="s">
        <v>166</v>
      </c>
      <c r="CX352" s="16" t="s">
        <v>166</v>
      </c>
      <c r="CY352" s="16" t="s">
        <v>166</v>
      </c>
      <c r="CZ352" s="16" t="s">
        <v>166</v>
      </c>
      <c r="DA352" s="16" t="s">
        <v>166</v>
      </c>
      <c r="DB352" s="16" t="s">
        <v>166</v>
      </c>
      <c r="DC352" s="16" t="s">
        <v>166</v>
      </c>
      <c r="DD352" s="16" t="s">
        <v>166</v>
      </c>
      <c r="DE352" s="17" t="s">
        <v>166</v>
      </c>
      <c r="DF352" s="22">
        <v>10</v>
      </c>
      <c r="DG352" s="14" t="s">
        <v>7010</v>
      </c>
      <c r="DH352" s="14" t="s">
        <v>193</v>
      </c>
      <c r="DI352" s="14" t="s">
        <v>194</v>
      </c>
      <c r="DJ352" s="14" t="s">
        <v>7011</v>
      </c>
      <c r="DK352" s="14" t="s">
        <v>386</v>
      </c>
      <c r="DL352" s="21" t="s">
        <v>7012</v>
      </c>
      <c r="DM352" s="14" t="s">
        <v>198</v>
      </c>
      <c r="DN352" s="13" t="s">
        <v>7013</v>
      </c>
      <c r="DO352" s="20">
        <v>2022</v>
      </c>
      <c r="DP352" s="14" t="s">
        <v>166</v>
      </c>
      <c r="DQ352" s="14" t="s">
        <v>166</v>
      </c>
      <c r="DR352" s="18" t="s">
        <v>166</v>
      </c>
      <c r="DS352" s="16" t="s">
        <v>166</v>
      </c>
      <c r="DT352" s="19" t="s">
        <v>166</v>
      </c>
      <c r="DU352" s="14" t="s">
        <v>166</v>
      </c>
      <c r="DV352" s="18" t="s">
        <v>166</v>
      </c>
      <c r="DW352" s="18" t="s">
        <v>166</v>
      </c>
      <c r="DX352" s="16" t="s">
        <v>166</v>
      </c>
      <c r="DY352" s="16" t="s">
        <v>166</v>
      </c>
      <c r="DZ352" s="17" t="s">
        <v>166</v>
      </c>
      <c r="EA352" s="16" t="s">
        <v>166</v>
      </c>
      <c r="EB352" s="16" t="s">
        <v>166</v>
      </c>
      <c r="EC352" s="16" t="s">
        <v>166</v>
      </c>
      <c r="ED352" s="17" t="s">
        <v>166</v>
      </c>
      <c r="EE352" s="17" t="s">
        <v>166</v>
      </c>
      <c r="EF352" s="17" t="s">
        <v>166</v>
      </c>
      <c r="EG352" s="17" t="s">
        <v>166</v>
      </c>
      <c r="EH352" s="16" t="s">
        <v>166</v>
      </c>
      <c r="EI352" s="16" t="s">
        <v>166</v>
      </c>
      <c r="EJ352" s="16" t="s">
        <v>166</v>
      </c>
      <c r="EK352" s="16" t="s">
        <v>166</v>
      </c>
      <c r="EL352" s="16" t="s">
        <v>166</v>
      </c>
      <c r="EM352" s="16" t="s">
        <v>166</v>
      </c>
      <c r="EN352" s="16" t="s">
        <v>166</v>
      </c>
      <c r="EO352" s="16" t="s">
        <v>166</v>
      </c>
      <c r="EP352" s="16" t="s">
        <v>166</v>
      </c>
      <c r="EQ352" s="16" t="s">
        <v>166</v>
      </c>
      <c r="ER352" s="16" t="s">
        <v>166</v>
      </c>
      <c r="ES352" s="16" t="s">
        <v>166</v>
      </c>
      <c r="ET352" s="14" t="s">
        <v>166</v>
      </c>
      <c r="EU352" s="16" t="s">
        <v>166</v>
      </c>
      <c r="EV352" s="16" t="s">
        <v>166</v>
      </c>
      <c r="EW352" s="16" t="s">
        <v>166</v>
      </c>
      <c r="EX352" s="14" t="s">
        <v>190</v>
      </c>
      <c r="EY352" s="14" t="s">
        <v>166</v>
      </c>
      <c r="EZ352" s="16" t="s">
        <v>166</v>
      </c>
      <c r="FA352" s="15" t="s">
        <v>166</v>
      </c>
      <c r="FB352" s="15" t="s">
        <v>166</v>
      </c>
      <c r="FC352" s="15" t="s">
        <v>166</v>
      </c>
      <c r="FD352" s="15" t="s">
        <v>166</v>
      </c>
      <c r="FE352" s="15" t="s">
        <v>166</v>
      </c>
      <c r="FF352" s="15" t="s">
        <v>166</v>
      </c>
      <c r="FG352" s="14" t="s">
        <v>166</v>
      </c>
      <c r="FH352" s="3">
        <f>HYPERLINK("https://my.pitchbook.com?c=226580-68T","View Company Online")</f>
      </c>
    </row>
    <row r="353">
      <c r="A353" s="25" t="s">
        <v>7014</v>
      </c>
      <c r="B353" s="25" t="s">
        <v>7015</v>
      </c>
      <c r="C353" s="25" t="s">
        <v>7016</v>
      </c>
      <c r="D353" s="25" t="s">
        <v>166</v>
      </c>
      <c r="E353" s="34" t="s">
        <v>7017</v>
      </c>
      <c r="F353" s="32">
        <v>2</v>
      </c>
      <c r="G353" s="25" t="s">
        <v>7018</v>
      </c>
      <c r="H353" s="25" t="s">
        <v>166</v>
      </c>
      <c r="I353" s="25" t="s">
        <v>7019</v>
      </c>
      <c r="J353" s="25" t="s">
        <v>7020</v>
      </c>
      <c r="K353" s="25" t="s">
        <v>207</v>
      </c>
      <c r="L353" s="25" t="s">
        <v>208</v>
      </c>
      <c r="M353" s="25" t="s">
        <v>296</v>
      </c>
      <c r="N353" s="25" t="s">
        <v>7021</v>
      </c>
      <c r="O353" s="25" t="s">
        <v>325</v>
      </c>
      <c r="P353" s="25" t="s">
        <v>7022</v>
      </c>
      <c r="Q353" s="25" t="s">
        <v>166</v>
      </c>
      <c r="R353" s="25" t="s">
        <v>177</v>
      </c>
      <c r="S353" s="25" t="s">
        <v>178</v>
      </c>
      <c r="T353" s="25" t="s">
        <v>179</v>
      </c>
      <c r="U353" s="25" t="s">
        <v>7023</v>
      </c>
      <c r="V353" s="25" t="s">
        <v>7024</v>
      </c>
      <c r="W353" s="32" t="s">
        <v>166</v>
      </c>
      <c r="X353" s="25" t="s">
        <v>7025</v>
      </c>
      <c r="Y353" s="25" t="s">
        <v>7026</v>
      </c>
      <c r="Z353" s="25" t="s">
        <v>7027</v>
      </c>
      <c r="AA353" s="25" t="s">
        <v>166</v>
      </c>
      <c r="AB353" s="25" t="s">
        <v>166</v>
      </c>
      <c r="AC353" s="25" t="s">
        <v>166</v>
      </c>
      <c r="AD353" s="25" t="s">
        <v>166</v>
      </c>
      <c r="AE353" s="25" t="s">
        <v>166</v>
      </c>
      <c r="AF353" s="25" t="s">
        <v>166</v>
      </c>
      <c r="AG353" s="25" t="s">
        <v>166</v>
      </c>
      <c r="AH353" s="32">
        <v>2</v>
      </c>
      <c r="AI353" s="4">
        <f>HYPERLINK("https://my.pitchbook.com/?d=177964-57T","177964-57T")</f>
      </c>
      <c r="AJ353" s="30">
        <v>44417</v>
      </c>
      <c r="AK353" s="30">
        <v>44417</v>
      </c>
      <c r="AL353" s="29">
        <v>1</v>
      </c>
      <c r="AM353" s="25" t="s">
        <v>185</v>
      </c>
      <c r="AN353" s="29" t="s">
        <v>166</v>
      </c>
      <c r="AO353" s="29" t="s">
        <v>166</v>
      </c>
      <c r="AP353" s="25" t="s">
        <v>166</v>
      </c>
      <c r="AQ353" s="32" t="s">
        <v>166</v>
      </c>
      <c r="AR353" s="32" t="s">
        <v>166</v>
      </c>
      <c r="AS353" s="28" t="s">
        <v>166</v>
      </c>
      <c r="AT353" s="29">
        <v>1.1</v>
      </c>
      <c r="AU353" s="32" t="s">
        <v>186</v>
      </c>
      <c r="AV353" s="32" t="s">
        <v>166</v>
      </c>
      <c r="AW353" s="29" t="s">
        <v>166</v>
      </c>
      <c r="AX353" s="32" t="s">
        <v>166</v>
      </c>
      <c r="AY353" s="25" t="s">
        <v>217</v>
      </c>
      <c r="AZ353" s="25" t="s">
        <v>217</v>
      </c>
      <c r="BA353" s="25" t="s">
        <v>166</v>
      </c>
      <c r="BB353" s="32" t="s">
        <v>166</v>
      </c>
      <c r="BC353" s="25" t="s">
        <v>179</v>
      </c>
      <c r="BD353" s="25" t="s">
        <v>7020</v>
      </c>
      <c r="BE353" s="25" t="s">
        <v>189</v>
      </c>
      <c r="BF353" s="29">
        <v>1</v>
      </c>
      <c r="BG353" s="25" t="s">
        <v>190</v>
      </c>
      <c r="BH353" s="25" t="s">
        <v>166</v>
      </c>
      <c r="BI353" s="25" t="s">
        <v>166</v>
      </c>
      <c r="BJ353" s="29" t="s">
        <v>166</v>
      </c>
      <c r="BK353" s="29" t="s">
        <v>166</v>
      </c>
      <c r="BL353" s="25" t="s">
        <v>191</v>
      </c>
      <c r="BM353" s="25" t="s">
        <v>178</v>
      </c>
      <c r="BN353" s="25" t="s">
        <v>177</v>
      </c>
      <c r="BO353" s="33" t="s">
        <v>166</v>
      </c>
      <c r="BP353" s="25" t="s">
        <v>7017</v>
      </c>
      <c r="BQ353" s="32">
        <v>2</v>
      </c>
      <c r="BR353" s="25" t="s">
        <v>166</v>
      </c>
      <c r="BS353" s="32" t="s">
        <v>166</v>
      </c>
      <c r="BT353" s="25" t="s">
        <v>166</v>
      </c>
      <c r="BU353" s="25" t="s">
        <v>166</v>
      </c>
      <c r="BV353" s="25" t="s">
        <v>166</v>
      </c>
      <c r="BW353" s="25" t="s">
        <v>166</v>
      </c>
      <c r="BX353" s="25" t="s">
        <v>166</v>
      </c>
      <c r="BY353" s="25" t="s">
        <v>166</v>
      </c>
      <c r="BZ353" s="25" t="s">
        <v>166</v>
      </c>
      <c r="CA353" s="25" t="s">
        <v>166</v>
      </c>
      <c r="CB353" s="25" t="s">
        <v>166</v>
      </c>
      <c r="CC353" s="25" t="s">
        <v>166</v>
      </c>
      <c r="CD353" s="25" t="s">
        <v>166</v>
      </c>
      <c r="CE353" s="29" t="s">
        <v>166</v>
      </c>
      <c r="CF353" s="27" t="s">
        <v>166</v>
      </c>
      <c r="CG353" s="28" t="s">
        <v>166</v>
      </c>
      <c r="CH353" s="27" t="s">
        <v>166</v>
      </c>
      <c r="CI353" s="27" t="s">
        <v>166</v>
      </c>
      <c r="CJ353" s="27" t="s">
        <v>166</v>
      </c>
      <c r="CK353" s="27" t="s">
        <v>166</v>
      </c>
      <c r="CL353" s="27" t="s">
        <v>166</v>
      </c>
      <c r="CM353" s="31" t="s">
        <v>166</v>
      </c>
      <c r="CN353" s="27" t="s">
        <v>166</v>
      </c>
      <c r="CO353" s="27" t="s">
        <v>166</v>
      </c>
      <c r="CP353" s="27" t="s">
        <v>166</v>
      </c>
      <c r="CQ353" s="27" t="s">
        <v>166</v>
      </c>
      <c r="CR353" s="27" t="s">
        <v>166</v>
      </c>
      <c r="CS353" s="27" t="s">
        <v>166</v>
      </c>
      <c r="CT353" s="27" t="s">
        <v>166</v>
      </c>
      <c r="CU353" s="27" t="s">
        <v>166</v>
      </c>
      <c r="CV353" s="27" t="s">
        <v>166</v>
      </c>
      <c r="CW353" s="27" t="s">
        <v>166</v>
      </c>
      <c r="CX353" s="27" t="s">
        <v>166</v>
      </c>
      <c r="CY353" s="27" t="s">
        <v>166</v>
      </c>
      <c r="CZ353" s="27" t="s">
        <v>166</v>
      </c>
      <c r="DA353" s="27" t="s">
        <v>166</v>
      </c>
      <c r="DB353" s="27" t="s">
        <v>166</v>
      </c>
      <c r="DC353" s="27" t="s">
        <v>166</v>
      </c>
      <c r="DD353" s="27" t="s">
        <v>166</v>
      </c>
      <c r="DE353" s="28" t="s">
        <v>166</v>
      </c>
      <c r="DF353" s="33">
        <v>5</v>
      </c>
      <c r="DG353" s="25" t="s">
        <v>384</v>
      </c>
      <c r="DH353" s="25" t="s">
        <v>193</v>
      </c>
      <c r="DI353" s="25" t="s">
        <v>194</v>
      </c>
      <c r="DJ353" s="25" t="s">
        <v>385</v>
      </c>
      <c r="DK353" s="25" t="s">
        <v>386</v>
      </c>
      <c r="DL353" s="32" t="s">
        <v>7028</v>
      </c>
      <c r="DM353" s="25" t="s">
        <v>198</v>
      </c>
      <c r="DN353" s="24" t="s">
        <v>7029</v>
      </c>
      <c r="DO353" s="31">
        <v>2018</v>
      </c>
      <c r="DP353" s="25" t="s">
        <v>166</v>
      </c>
      <c r="DQ353" s="25" t="s">
        <v>166</v>
      </c>
      <c r="DR353" s="29" t="s">
        <v>166</v>
      </c>
      <c r="DS353" s="27" t="s">
        <v>166</v>
      </c>
      <c r="DT353" s="30" t="s">
        <v>166</v>
      </c>
      <c r="DU353" s="25" t="s">
        <v>166</v>
      </c>
      <c r="DV353" s="29" t="s">
        <v>166</v>
      </c>
      <c r="DW353" s="29" t="s">
        <v>166</v>
      </c>
      <c r="DX353" s="27" t="s">
        <v>166</v>
      </c>
      <c r="DY353" s="27" t="s">
        <v>166</v>
      </c>
      <c r="DZ353" s="28" t="s">
        <v>166</v>
      </c>
      <c r="EA353" s="27" t="s">
        <v>166</v>
      </c>
      <c r="EB353" s="27" t="s">
        <v>166</v>
      </c>
      <c r="EC353" s="27" t="s">
        <v>166</v>
      </c>
      <c r="ED353" s="28" t="s">
        <v>166</v>
      </c>
      <c r="EE353" s="28" t="s">
        <v>166</v>
      </c>
      <c r="EF353" s="28" t="s">
        <v>166</v>
      </c>
      <c r="EG353" s="28" t="s">
        <v>166</v>
      </c>
      <c r="EH353" s="27" t="s">
        <v>166</v>
      </c>
      <c r="EI353" s="27" t="s">
        <v>166</v>
      </c>
      <c r="EJ353" s="27" t="s">
        <v>166</v>
      </c>
      <c r="EK353" s="27" t="s">
        <v>166</v>
      </c>
      <c r="EL353" s="27" t="s">
        <v>166</v>
      </c>
      <c r="EM353" s="27" t="s">
        <v>166</v>
      </c>
      <c r="EN353" s="27" t="s">
        <v>166</v>
      </c>
      <c r="EO353" s="27" t="s">
        <v>166</v>
      </c>
      <c r="EP353" s="27" t="s">
        <v>166</v>
      </c>
      <c r="EQ353" s="27" t="s">
        <v>166</v>
      </c>
      <c r="ER353" s="27" t="s">
        <v>166</v>
      </c>
      <c r="ES353" s="27" t="s">
        <v>166</v>
      </c>
      <c r="ET353" s="25" t="s">
        <v>166</v>
      </c>
      <c r="EU353" s="27" t="s">
        <v>166</v>
      </c>
      <c r="EV353" s="27" t="s">
        <v>166</v>
      </c>
      <c r="EW353" s="27" t="s">
        <v>166</v>
      </c>
      <c r="EX353" s="25" t="s">
        <v>190</v>
      </c>
      <c r="EY353" s="25" t="s">
        <v>166</v>
      </c>
      <c r="EZ353" s="27" t="s">
        <v>166</v>
      </c>
      <c r="FA353" s="26" t="s">
        <v>166</v>
      </c>
      <c r="FB353" s="26" t="s">
        <v>166</v>
      </c>
      <c r="FC353" s="26" t="s">
        <v>166</v>
      </c>
      <c r="FD353" s="26" t="s">
        <v>166</v>
      </c>
      <c r="FE353" s="26" t="s">
        <v>166</v>
      </c>
      <c r="FF353" s="26" t="s">
        <v>166</v>
      </c>
      <c r="FG353" s="25" t="s">
        <v>166</v>
      </c>
      <c r="FH353" s="4">
        <f>HYPERLINK("https://my.pitchbook.com?c=177964-57T","View Company Online")</f>
      </c>
    </row>
    <row r="354">
      <c r="A354" s="14" t="s">
        <v>7030</v>
      </c>
      <c r="B354" s="14" t="s">
        <v>7031</v>
      </c>
      <c r="C354" s="14" t="s">
        <v>7032</v>
      </c>
      <c r="D354" s="14" t="s">
        <v>166</v>
      </c>
      <c r="E354" s="23" t="s">
        <v>7033</v>
      </c>
      <c r="F354" s="21">
        <v>4</v>
      </c>
      <c r="G354" s="14" t="s">
        <v>7034</v>
      </c>
      <c r="H354" s="14" t="s">
        <v>166</v>
      </c>
      <c r="I354" s="14" t="s">
        <v>7035</v>
      </c>
      <c r="J354" s="14" t="s">
        <v>7036</v>
      </c>
      <c r="K354" s="14" t="s">
        <v>1455</v>
      </c>
      <c r="L354" s="14" t="s">
        <v>1984</v>
      </c>
      <c r="M354" s="14" t="s">
        <v>2112</v>
      </c>
      <c r="N354" s="14" t="s">
        <v>7037</v>
      </c>
      <c r="O354" s="14" t="s">
        <v>7038</v>
      </c>
      <c r="P354" s="14" t="s">
        <v>7039</v>
      </c>
      <c r="Q354" s="14" t="s">
        <v>166</v>
      </c>
      <c r="R354" s="14" t="s">
        <v>177</v>
      </c>
      <c r="S354" s="14" t="s">
        <v>178</v>
      </c>
      <c r="T354" s="14" t="s">
        <v>179</v>
      </c>
      <c r="U354" s="14" t="s">
        <v>7040</v>
      </c>
      <c r="V354" s="14" t="s">
        <v>7041</v>
      </c>
      <c r="W354" s="21" t="s">
        <v>166</v>
      </c>
      <c r="X354" s="14" t="s">
        <v>7042</v>
      </c>
      <c r="Y354" s="14" t="s">
        <v>7043</v>
      </c>
      <c r="Z354" s="14" t="s">
        <v>166</v>
      </c>
      <c r="AA354" s="14" t="s">
        <v>166</v>
      </c>
      <c r="AB354" s="14" t="s">
        <v>166</v>
      </c>
      <c r="AC354" s="14" t="s">
        <v>166</v>
      </c>
      <c r="AD354" s="14" t="s">
        <v>166</v>
      </c>
      <c r="AE354" s="14" t="s">
        <v>166</v>
      </c>
      <c r="AF354" s="14" t="s">
        <v>166</v>
      </c>
      <c r="AG354" s="14" t="s">
        <v>166</v>
      </c>
      <c r="AH354" s="21">
        <v>1</v>
      </c>
      <c r="AI354" s="3">
        <f>HYPERLINK("https://my.pitchbook.com/?d=172124-11T","172124-11T")</f>
      </c>
      <c r="AJ354" s="19" t="s">
        <v>166</v>
      </c>
      <c r="AK354" s="19">
        <v>44281</v>
      </c>
      <c r="AL354" s="18">
        <v>3</v>
      </c>
      <c r="AM354" s="14" t="s">
        <v>185</v>
      </c>
      <c r="AN354" s="18">
        <v>17</v>
      </c>
      <c r="AO354" s="18">
        <v>20</v>
      </c>
      <c r="AP354" s="14" t="s">
        <v>185</v>
      </c>
      <c r="AQ354" s="21" t="s">
        <v>166</v>
      </c>
      <c r="AR354" s="21" t="s">
        <v>166</v>
      </c>
      <c r="AS354" s="17">
        <v>15</v>
      </c>
      <c r="AT354" s="18">
        <v>3</v>
      </c>
      <c r="AU354" s="21" t="s">
        <v>186</v>
      </c>
      <c r="AV354" s="21" t="s">
        <v>166</v>
      </c>
      <c r="AW354" s="18" t="s">
        <v>166</v>
      </c>
      <c r="AX354" s="21" t="s">
        <v>746</v>
      </c>
      <c r="AY354" s="14" t="s">
        <v>217</v>
      </c>
      <c r="AZ354" s="14" t="s">
        <v>746</v>
      </c>
      <c r="BA354" s="14" t="s">
        <v>166</v>
      </c>
      <c r="BB354" s="21" t="s">
        <v>166</v>
      </c>
      <c r="BC354" s="14" t="s">
        <v>179</v>
      </c>
      <c r="BD354" s="14" t="s">
        <v>7044</v>
      </c>
      <c r="BE354" s="14" t="s">
        <v>189</v>
      </c>
      <c r="BF354" s="18">
        <v>3</v>
      </c>
      <c r="BG354" s="14" t="s">
        <v>190</v>
      </c>
      <c r="BH354" s="14" t="s">
        <v>166</v>
      </c>
      <c r="BI354" s="14" t="s">
        <v>166</v>
      </c>
      <c r="BJ354" s="18" t="s">
        <v>166</v>
      </c>
      <c r="BK354" s="18" t="s">
        <v>166</v>
      </c>
      <c r="BL354" s="14" t="s">
        <v>191</v>
      </c>
      <c r="BM354" s="14" t="s">
        <v>178</v>
      </c>
      <c r="BN354" s="14" t="s">
        <v>177</v>
      </c>
      <c r="BO354" s="22" t="s">
        <v>166</v>
      </c>
      <c r="BP354" s="14" t="s">
        <v>7045</v>
      </c>
      <c r="BQ354" s="21">
        <v>4</v>
      </c>
      <c r="BR354" s="14" t="s">
        <v>166</v>
      </c>
      <c r="BS354" s="21" t="s">
        <v>166</v>
      </c>
      <c r="BT354" s="14" t="s">
        <v>7046</v>
      </c>
      <c r="BU354" s="14" t="s">
        <v>166</v>
      </c>
      <c r="BV354" s="14" t="s">
        <v>7047</v>
      </c>
      <c r="BW354" s="14" t="s">
        <v>166</v>
      </c>
      <c r="BX354" s="14" t="s">
        <v>166</v>
      </c>
      <c r="BY354" s="14" t="s">
        <v>166</v>
      </c>
      <c r="BZ354" s="14" t="s">
        <v>166</v>
      </c>
      <c r="CA354" s="14" t="s">
        <v>166</v>
      </c>
      <c r="CB354" s="14" t="s">
        <v>166</v>
      </c>
      <c r="CC354" s="14" t="s">
        <v>166</v>
      </c>
      <c r="CD354" s="14" t="s">
        <v>166</v>
      </c>
      <c r="CE354" s="18" t="s">
        <v>166</v>
      </c>
      <c r="CF354" s="16" t="s">
        <v>166</v>
      </c>
      <c r="CG354" s="17" t="s">
        <v>166</v>
      </c>
      <c r="CH354" s="16" t="s">
        <v>166</v>
      </c>
      <c r="CI354" s="16" t="s">
        <v>166</v>
      </c>
      <c r="CJ354" s="16" t="s">
        <v>166</v>
      </c>
      <c r="CK354" s="16" t="s">
        <v>166</v>
      </c>
      <c r="CL354" s="16" t="s">
        <v>166</v>
      </c>
      <c r="CM354" s="20" t="s">
        <v>166</v>
      </c>
      <c r="CN354" s="16" t="s">
        <v>166</v>
      </c>
      <c r="CO354" s="16" t="s">
        <v>166</v>
      </c>
      <c r="CP354" s="16" t="s">
        <v>166</v>
      </c>
      <c r="CQ354" s="16" t="s">
        <v>166</v>
      </c>
      <c r="CR354" s="16" t="s">
        <v>166</v>
      </c>
      <c r="CS354" s="16" t="s">
        <v>166</v>
      </c>
      <c r="CT354" s="16" t="s">
        <v>166</v>
      </c>
      <c r="CU354" s="16" t="s">
        <v>166</v>
      </c>
      <c r="CV354" s="16" t="s">
        <v>166</v>
      </c>
      <c r="CW354" s="16" t="s">
        <v>166</v>
      </c>
      <c r="CX354" s="16" t="s">
        <v>166</v>
      </c>
      <c r="CY354" s="16" t="s">
        <v>166</v>
      </c>
      <c r="CZ354" s="16" t="s">
        <v>166</v>
      </c>
      <c r="DA354" s="16" t="s">
        <v>166</v>
      </c>
      <c r="DB354" s="16" t="s">
        <v>166</v>
      </c>
      <c r="DC354" s="16" t="s">
        <v>166</v>
      </c>
      <c r="DD354" s="16" t="s">
        <v>166</v>
      </c>
      <c r="DE354" s="17" t="s">
        <v>166</v>
      </c>
      <c r="DF354" s="22">
        <v>8</v>
      </c>
      <c r="DG354" s="14" t="s">
        <v>673</v>
      </c>
      <c r="DH354" s="14" t="s">
        <v>193</v>
      </c>
      <c r="DI354" s="14" t="s">
        <v>194</v>
      </c>
      <c r="DJ354" s="14" t="s">
        <v>674</v>
      </c>
      <c r="DK354" s="14" t="s">
        <v>257</v>
      </c>
      <c r="DL354" s="21" t="s">
        <v>7048</v>
      </c>
      <c r="DM354" s="14" t="s">
        <v>198</v>
      </c>
      <c r="DN354" s="13" t="s">
        <v>7049</v>
      </c>
      <c r="DO354" s="20">
        <v>2020</v>
      </c>
      <c r="DP354" s="14" t="s">
        <v>166</v>
      </c>
      <c r="DQ354" s="14" t="s">
        <v>166</v>
      </c>
      <c r="DR354" s="18" t="s">
        <v>166</v>
      </c>
      <c r="DS354" s="16" t="s">
        <v>166</v>
      </c>
      <c r="DT354" s="19" t="s">
        <v>166</v>
      </c>
      <c r="DU354" s="14" t="s">
        <v>166</v>
      </c>
      <c r="DV354" s="18" t="s">
        <v>166</v>
      </c>
      <c r="DW354" s="18" t="s">
        <v>166</v>
      </c>
      <c r="DX354" s="16" t="s">
        <v>166</v>
      </c>
      <c r="DY354" s="16" t="s">
        <v>166</v>
      </c>
      <c r="DZ354" s="17" t="s">
        <v>166</v>
      </c>
      <c r="EA354" s="16" t="s">
        <v>166</v>
      </c>
      <c r="EB354" s="16" t="s">
        <v>166</v>
      </c>
      <c r="EC354" s="16" t="s">
        <v>166</v>
      </c>
      <c r="ED354" s="17" t="s">
        <v>166</v>
      </c>
      <c r="EE354" s="17" t="s">
        <v>166</v>
      </c>
      <c r="EF354" s="17" t="s">
        <v>166</v>
      </c>
      <c r="EG354" s="17" t="s">
        <v>166</v>
      </c>
      <c r="EH354" s="16" t="s">
        <v>166</v>
      </c>
      <c r="EI354" s="16" t="s">
        <v>166</v>
      </c>
      <c r="EJ354" s="16" t="s">
        <v>166</v>
      </c>
      <c r="EK354" s="16" t="s">
        <v>166</v>
      </c>
      <c r="EL354" s="16" t="s">
        <v>166</v>
      </c>
      <c r="EM354" s="16" t="s">
        <v>166</v>
      </c>
      <c r="EN354" s="16" t="s">
        <v>166</v>
      </c>
      <c r="EO354" s="16" t="s">
        <v>166</v>
      </c>
      <c r="EP354" s="16" t="s">
        <v>166</v>
      </c>
      <c r="EQ354" s="16" t="s">
        <v>166</v>
      </c>
      <c r="ER354" s="16" t="s">
        <v>166</v>
      </c>
      <c r="ES354" s="16" t="s">
        <v>166</v>
      </c>
      <c r="ET354" s="14" t="s">
        <v>166</v>
      </c>
      <c r="EU354" s="16" t="s">
        <v>166</v>
      </c>
      <c r="EV354" s="16" t="s">
        <v>166</v>
      </c>
      <c r="EW354" s="16" t="s">
        <v>166</v>
      </c>
      <c r="EX354" s="14" t="s">
        <v>190</v>
      </c>
      <c r="EY354" s="14" t="s">
        <v>166</v>
      </c>
      <c r="EZ354" s="16" t="s">
        <v>166</v>
      </c>
      <c r="FA354" s="15" t="s">
        <v>166</v>
      </c>
      <c r="FB354" s="15" t="s">
        <v>166</v>
      </c>
      <c r="FC354" s="15" t="s">
        <v>166</v>
      </c>
      <c r="FD354" s="15" t="s">
        <v>166</v>
      </c>
      <c r="FE354" s="15" t="s">
        <v>166</v>
      </c>
      <c r="FF354" s="15" t="s">
        <v>166</v>
      </c>
      <c r="FG354" s="14" t="s">
        <v>166</v>
      </c>
      <c r="FH354" s="3">
        <f>HYPERLINK("https://my.pitchbook.com?c=172124-11T","View Company Online")</f>
      </c>
    </row>
    <row r="355">
      <c r="A355" s="25" t="s">
        <v>7050</v>
      </c>
      <c r="B355" s="25" t="s">
        <v>7051</v>
      </c>
      <c r="C355" s="25" t="s">
        <v>7052</v>
      </c>
      <c r="D355" s="25" t="s">
        <v>166</v>
      </c>
      <c r="E355" s="34" t="s">
        <v>7053</v>
      </c>
      <c r="F355" s="32">
        <v>11</v>
      </c>
      <c r="G355" s="25" t="s">
        <v>7054</v>
      </c>
      <c r="H355" s="25" t="s">
        <v>166</v>
      </c>
      <c r="I355" s="25" t="s">
        <v>7055</v>
      </c>
      <c r="J355" s="25" t="s">
        <v>7056</v>
      </c>
      <c r="K355" s="25" t="s">
        <v>207</v>
      </c>
      <c r="L355" s="25" t="s">
        <v>208</v>
      </c>
      <c r="M355" s="25" t="s">
        <v>209</v>
      </c>
      <c r="N355" s="25" t="s">
        <v>1824</v>
      </c>
      <c r="O355" s="25" t="s">
        <v>7057</v>
      </c>
      <c r="P355" s="25" t="s">
        <v>7058</v>
      </c>
      <c r="Q355" s="25" t="s">
        <v>926</v>
      </c>
      <c r="R355" s="25" t="s">
        <v>177</v>
      </c>
      <c r="S355" s="25" t="s">
        <v>178</v>
      </c>
      <c r="T355" s="25" t="s">
        <v>179</v>
      </c>
      <c r="U355" s="25" t="s">
        <v>7059</v>
      </c>
      <c r="V355" s="25" t="s">
        <v>7060</v>
      </c>
      <c r="W355" s="32" t="s">
        <v>7061</v>
      </c>
      <c r="X355" s="25" t="s">
        <v>7062</v>
      </c>
      <c r="Y355" s="25" t="s">
        <v>7063</v>
      </c>
      <c r="Z355" s="25" t="s">
        <v>166</v>
      </c>
      <c r="AA355" s="25" t="s">
        <v>242</v>
      </c>
      <c r="AB355" s="25" t="s">
        <v>243</v>
      </c>
      <c r="AC355" s="25" t="s">
        <v>244</v>
      </c>
      <c r="AD355" s="25" t="s">
        <v>243</v>
      </c>
      <c r="AE355" s="25" t="s">
        <v>243</v>
      </c>
      <c r="AF355" s="25" t="s">
        <v>166</v>
      </c>
      <c r="AG355" s="25" t="s">
        <v>246</v>
      </c>
      <c r="AH355" s="32">
        <v>1</v>
      </c>
      <c r="AI355" s="4">
        <f>HYPERLINK("https://my.pitchbook.com/?d=168278-14T","168278-14T")</f>
      </c>
      <c r="AJ355" s="30" t="s">
        <v>166</v>
      </c>
      <c r="AK355" s="30">
        <v>44075</v>
      </c>
      <c r="AL355" s="29">
        <v>0.7</v>
      </c>
      <c r="AM355" s="25" t="s">
        <v>185</v>
      </c>
      <c r="AN355" s="29">
        <v>5</v>
      </c>
      <c r="AO355" s="29">
        <v>5.7</v>
      </c>
      <c r="AP355" s="25" t="s">
        <v>185</v>
      </c>
      <c r="AQ355" s="32" t="s">
        <v>166</v>
      </c>
      <c r="AR355" s="32" t="s">
        <v>166</v>
      </c>
      <c r="AS355" s="28">
        <v>16.31</v>
      </c>
      <c r="AT355" s="29">
        <v>0.7</v>
      </c>
      <c r="AU355" s="32" t="s">
        <v>186</v>
      </c>
      <c r="AV355" s="32" t="s">
        <v>166</v>
      </c>
      <c r="AW355" s="29">
        <v>0.45</v>
      </c>
      <c r="AX355" s="32" t="s">
        <v>166</v>
      </c>
      <c r="AY355" s="25" t="s">
        <v>217</v>
      </c>
      <c r="AZ355" s="25" t="s">
        <v>217</v>
      </c>
      <c r="BA355" s="25" t="s">
        <v>166</v>
      </c>
      <c r="BB355" s="32" t="s">
        <v>166</v>
      </c>
      <c r="BC355" s="25" t="s">
        <v>179</v>
      </c>
      <c r="BD355" s="25" t="s">
        <v>7064</v>
      </c>
      <c r="BE355" s="25" t="s">
        <v>189</v>
      </c>
      <c r="BF355" s="29">
        <v>0.7</v>
      </c>
      <c r="BG355" s="25" t="s">
        <v>190</v>
      </c>
      <c r="BH355" s="25" t="s">
        <v>166</v>
      </c>
      <c r="BI355" s="25" t="s">
        <v>166</v>
      </c>
      <c r="BJ355" s="29" t="s">
        <v>166</v>
      </c>
      <c r="BK355" s="29" t="s">
        <v>166</v>
      </c>
      <c r="BL355" s="25" t="s">
        <v>191</v>
      </c>
      <c r="BM355" s="25" t="s">
        <v>358</v>
      </c>
      <c r="BN355" s="25" t="s">
        <v>177</v>
      </c>
      <c r="BO355" s="33" t="s">
        <v>166</v>
      </c>
      <c r="BP355" s="25" t="s">
        <v>7065</v>
      </c>
      <c r="BQ355" s="32">
        <v>11</v>
      </c>
      <c r="BR355" s="25" t="s">
        <v>166</v>
      </c>
      <c r="BS355" s="32" t="s">
        <v>166</v>
      </c>
      <c r="BT355" s="25" t="s">
        <v>166</v>
      </c>
      <c r="BU355" s="25" t="s">
        <v>166</v>
      </c>
      <c r="BV355" s="25" t="s">
        <v>7066</v>
      </c>
      <c r="BW355" s="25" t="s">
        <v>166</v>
      </c>
      <c r="BX355" s="25" t="s">
        <v>166</v>
      </c>
      <c r="BY355" s="25" t="s">
        <v>166</v>
      </c>
      <c r="BZ355" s="25" t="s">
        <v>166</v>
      </c>
      <c r="CA355" s="25" t="s">
        <v>166</v>
      </c>
      <c r="CB355" s="25" t="s">
        <v>166</v>
      </c>
      <c r="CC355" s="25" t="s">
        <v>166</v>
      </c>
      <c r="CD355" s="25" t="s">
        <v>166</v>
      </c>
      <c r="CE355" s="29" t="s">
        <v>166</v>
      </c>
      <c r="CF355" s="27" t="s">
        <v>166</v>
      </c>
      <c r="CG355" s="28" t="s">
        <v>166</v>
      </c>
      <c r="CH355" s="27" t="s">
        <v>166</v>
      </c>
      <c r="CI355" s="27" t="s">
        <v>166</v>
      </c>
      <c r="CJ355" s="27" t="s">
        <v>166</v>
      </c>
      <c r="CK355" s="27" t="s">
        <v>166</v>
      </c>
      <c r="CL355" s="27" t="s">
        <v>166</v>
      </c>
      <c r="CM355" s="31" t="s">
        <v>166</v>
      </c>
      <c r="CN355" s="27" t="s">
        <v>166</v>
      </c>
      <c r="CO355" s="27" t="s">
        <v>166</v>
      </c>
      <c r="CP355" s="27" t="s">
        <v>166</v>
      </c>
      <c r="CQ355" s="27" t="s">
        <v>166</v>
      </c>
      <c r="CR355" s="27" t="s">
        <v>166</v>
      </c>
      <c r="CS355" s="27" t="s">
        <v>166</v>
      </c>
      <c r="CT355" s="27" t="s">
        <v>166</v>
      </c>
      <c r="CU355" s="27" t="s">
        <v>166</v>
      </c>
      <c r="CV355" s="27" t="s">
        <v>166</v>
      </c>
      <c r="CW355" s="27" t="s">
        <v>166</v>
      </c>
      <c r="CX355" s="27" t="s">
        <v>166</v>
      </c>
      <c r="CY355" s="27" t="s">
        <v>166</v>
      </c>
      <c r="CZ355" s="27" t="s">
        <v>166</v>
      </c>
      <c r="DA355" s="27" t="s">
        <v>166</v>
      </c>
      <c r="DB355" s="27" t="s">
        <v>166</v>
      </c>
      <c r="DC355" s="27" t="s">
        <v>166</v>
      </c>
      <c r="DD355" s="27" t="s">
        <v>166</v>
      </c>
      <c r="DE355" s="28" t="s">
        <v>166</v>
      </c>
      <c r="DF355" s="33">
        <v>47</v>
      </c>
      <c r="DG355" s="25" t="s">
        <v>673</v>
      </c>
      <c r="DH355" s="25" t="s">
        <v>193</v>
      </c>
      <c r="DI355" s="25" t="s">
        <v>194</v>
      </c>
      <c r="DJ355" s="25" t="s">
        <v>674</v>
      </c>
      <c r="DK355" s="25" t="s">
        <v>257</v>
      </c>
      <c r="DL355" s="32" t="s">
        <v>1700</v>
      </c>
      <c r="DM355" s="25" t="s">
        <v>198</v>
      </c>
      <c r="DN355" s="24" t="s">
        <v>7067</v>
      </c>
      <c r="DO355" s="31">
        <v>2020</v>
      </c>
      <c r="DP355" s="25" t="s">
        <v>166</v>
      </c>
      <c r="DQ355" s="25" t="s">
        <v>166</v>
      </c>
      <c r="DR355" s="29" t="s">
        <v>166</v>
      </c>
      <c r="DS355" s="27" t="s">
        <v>166</v>
      </c>
      <c r="DT355" s="30" t="s">
        <v>166</v>
      </c>
      <c r="DU355" s="25" t="s">
        <v>166</v>
      </c>
      <c r="DV355" s="29" t="s">
        <v>166</v>
      </c>
      <c r="DW355" s="29" t="s">
        <v>166</v>
      </c>
      <c r="DX355" s="27" t="s">
        <v>166</v>
      </c>
      <c r="DY355" s="27" t="s">
        <v>166</v>
      </c>
      <c r="DZ355" s="28" t="s">
        <v>166</v>
      </c>
      <c r="EA355" s="27" t="s">
        <v>166</v>
      </c>
      <c r="EB355" s="27" t="s">
        <v>166</v>
      </c>
      <c r="EC355" s="27" t="s">
        <v>166</v>
      </c>
      <c r="ED355" s="28" t="s">
        <v>166</v>
      </c>
      <c r="EE355" s="28" t="s">
        <v>166</v>
      </c>
      <c r="EF355" s="28" t="s">
        <v>166</v>
      </c>
      <c r="EG355" s="28" t="s">
        <v>166</v>
      </c>
      <c r="EH355" s="27" t="s">
        <v>166</v>
      </c>
      <c r="EI355" s="27" t="s">
        <v>166</v>
      </c>
      <c r="EJ355" s="27" t="s">
        <v>166</v>
      </c>
      <c r="EK355" s="27" t="s">
        <v>166</v>
      </c>
      <c r="EL355" s="27" t="s">
        <v>166</v>
      </c>
      <c r="EM355" s="27" t="s">
        <v>166</v>
      </c>
      <c r="EN355" s="27" t="s">
        <v>166</v>
      </c>
      <c r="EO355" s="27" t="s">
        <v>166</v>
      </c>
      <c r="EP355" s="27" t="s">
        <v>166</v>
      </c>
      <c r="EQ355" s="27" t="s">
        <v>166</v>
      </c>
      <c r="ER355" s="27" t="s">
        <v>166</v>
      </c>
      <c r="ES355" s="27" t="s">
        <v>166</v>
      </c>
      <c r="ET355" s="25" t="s">
        <v>166</v>
      </c>
      <c r="EU355" s="27" t="s">
        <v>166</v>
      </c>
      <c r="EV355" s="27" t="s">
        <v>166</v>
      </c>
      <c r="EW355" s="27" t="s">
        <v>166</v>
      </c>
      <c r="EX355" s="25" t="s">
        <v>190</v>
      </c>
      <c r="EY355" s="25" t="s">
        <v>166</v>
      </c>
      <c r="EZ355" s="27" t="s">
        <v>166</v>
      </c>
      <c r="FA355" s="26">
        <v>1</v>
      </c>
      <c r="FB355" s="26">
        <v>1</v>
      </c>
      <c r="FC355" s="26" t="s">
        <v>166</v>
      </c>
      <c r="FD355" s="26" t="s">
        <v>166</v>
      </c>
      <c r="FE355" s="26" t="s">
        <v>166</v>
      </c>
      <c r="FF355" s="26">
        <v>1</v>
      </c>
      <c r="FG355" s="25" t="s">
        <v>166</v>
      </c>
      <c r="FH355" s="4">
        <f>HYPERLINK("https://my.pitchbook.com?c=168278-14T","View Company Online")</f>
      </c>
    </row>
    <row r="356">
      <c r="A356" s="14" t="s">
        <v>7068</v>
      </c>
      <c r="B356" s="14" t="s">
        <v>7069</v>
      </c>
      <c r="C356" s="14" t="s">
        <v>7070</v>
      </c>
      <c r="D356" s="14" t="s">
        <v>166</v>
      </c>
      <c r="E356" s="23" t="s">
        <v>7071</v>
      </c>
      <c r="F356" s="21">
        <v>1</v>
      </c>
      <c r="G356" s="14" t="s">
        <v>7072</v>
      </c>
      <c r="H356" s="14" t="s">
        <v>166</v>
      </c>
      <c r="I356" s="14" t="s">
        <v>7073</v>
      </c>
      <c r="J356" s="14" t="s">
        <v>7074</v>
      </c>
      <c r="K356" s="14" t="s">
        <v>207</v>
      </c>
      <c r="L356" s="14" t="s">
        <v>208</v>
      </c>
      <c r="M356" s="14" t="s">
        <v>209</v>
      </c>
      <c r="N356" s="14" t="s">
        <v>269</v>
      </c>
      <c r="O356" s="14" t="s">
        <v>7075</v>
      </c>
      <c r="P356" s="14" t="s">
        <v>7076</v>
      </c>
      <c r="Q356" s="14" t="s">
        <v>166</v>
      </c>
      <c r="R356" s="14" t="s">
        <v>177</v>
      </c>
      <c r="S356" s="14" t="s">
        <v>178</v>
      </c>
      <c r="T356" s="14" t="s">
        <v>179</v>
      </c>
      <c r="U356" s="14" t="s">
        <v>7077</v>
      </c>
      <c r="V356" s="14" t="s">
        <v>7078</v>
      </c>
      <c r="W356" s="21" t="s">
        <v>7079</v>
      </c>
      <c r="X356" s="14" t="s">
        <v>7080</v>
      </c>
      <c r="Y356" s="14" t="s">
        <v>7081</v>
      </c>
      <c r="Z356" s="14" t="s">
        <v>7082</v>
      </c>
      <c r="AA356" s="14" t="s">
        <v>166</v>
      </c>
      <c r="AB356" s="14" t="s">
        <v>166</v>
      </c>
      <c r="AC356" s="14" t="s">
        <v>166</v>
      </c>
      <c r="AD356" s="14" t="s">
        <v>166</v>
      </c>
      <c r="AE356" s="14" t="s">
        <v>166</v>
      </c>
      <c r="AF356" s="14" t="s">
        <v>166</v>
      </c>
      <c r="AG356" s="14" t="s">
        <v>166</v>
      </c>
      <c r="AH356" s="21">
        <v>1</v>
      </c>
      <c r="AI356" s="3">
        <f>HYPERLINK("https://my.pitchbook.com/?d=199197-28T","199197-28T")</f>
      </c>
      <c r="AJ356" s="19">
        <v>44724</v>
      </c>
      <c r="AK356" s="19">
        <v>44753</v>
      </c>
      <c r="AL356" s="18">
        <v>3</v>
      </c>
      <c r="AM356" s="14" t="s">
        <v>185</v>
      </c>
      <c r="AN356" s="18" t="s">
        <v>166</v>
      </c>
      <c r="AO356" s="18" t="s">
        <v>166</v>
      </c>
      <c r="AP356" s="14" t="s">
        <v>166</v>
      </c>
      <c r="AQ356" s="21" t="s">
        <v>166</v>
      </c>
      <c r="AR356" s="21" t="s">
        <v>166</v>
      </c>
      <c r="AS356" s="17" t="s">
        <v>166</v>
      </c>
      <c r="AT356" s="18">
        <v>3</v>
      </c>
      <c r="AU356" s="21" t="s">
        <v>186</v>
      </c>
      <c r="AV356" s="21" t="s">
        <v>166</v>
      </c>
      <c r="AW356" s="18" t="s">
        <v>166</v>
      </c>
      <c r="AX356" s="21" t="s">
        <v>166</v>
      </c>
      <c r="AY356" s="14" t="s">
        <v>217</v>
      </c>
      <c r="AZ356" s="14" t="s">
        <v>217</v>
      </c>
      <c r="BA356" s="14" t="s">
        <v>166</v>
      </c>
      <c r="BB356" s="21" t="s">
        <v>166</v>
      </c>
      <c r="BC356" s="14" t="s">
        <v>179</v>
      </c>
      <c r="BD356" s="14" t="s">
        <v>7074</v>
      </c>
      <c r="BE356" s="14" t="s">
        <v>189</v>
      </c>
      <c r="BF356" s="18">
        <v>3</v>
      </c>
      <c r="BG356" s="14" t="s">
        <v>190</v>
      </c>
      <c r="BH356" s="14" t="s">
        <v>166</v>
      </c>
      <c r="BI356" s="14" t="s">
        <v>166</v>
      </c>
      <c r="BJ356" s="18" t="s">
        <v>166</v>
      </c>
      <c r="BK356" s="18" t="s">
        <v>166</v>
      </c>
      <c r="BL356" s="14" t="s">
        <v>191</v>
      </c>
      <c r="BM356" s="14" t="s">
        <v>178</v>
      </c>
      <c r="BN356" s="14" t="s">
        <v>177</v>
      </c>
      <c r="BO356" s="22" t="s">
        <v>166</v>
      </c>
      <c r="BP356" s="14" t="s">
        <v>7083</v>
      </c>
      <c r="BQ356" s="21">
        <v>1</v>
      </c>
      <c r="BR356" s="14" t="s">
        <v>166</v>
      </c>
      <c r="BS356" s="21" t="s">
        <v>166</v>
      </c>
      <c r="BT356" s="14" t="s">
        <v>166</v>
      </c>
      <c r="BU356" s="14" t="s">
        <v>166</v>
      </c>
      <c r="BV356" s="14" t="s">
        <v>166</v>
      </c>
      <c r="BW356" s="14" t="s">
        <v>166</v>
      </c>
      <c r="BX356" s="14" t="s">
        <v>166</v>
      </c>
      <c r="BY356" s="14" t="s">
        <v>166</v>
      </c>
      <c r="BZ356" s="14" t="s">
        <v>7084</v>
      </c>
      <c r="CA356" s="14" t="s">
        <v>7084</v>
      </c>
      <c r="CB356" s="14" t="s">
        <v>7085</v>
      </c>
      <c r="CC356" s="14" t="s">
        <v>166</v>
      </c>
      <c r="CD356" s="14" t="s">
        <v>166</v>
      </c>
      <c r="CE356" s="18" t="s">
        <v>166</v>
      </c>
      <c r="CF356" s="16" t="s">
        <v>166</v>
      </c>
      <c r="CG356" s="17" t="s">
        <v>166</v>
      </c>
      <c r="CH356" s="16" t="s">
        <v>166</v>
      </c>
      <c r="CI356" s="16" t="s">
        <v>166</v>
      </c>
      <c r="CJ356" s="16" t="s">
        <v>166</v>
      </c>
      <c r="CK356" s="16" t="s">
        <v>166</v>
      </c>
      <c r="CL356" s="16" t="s">
        <v>166</v>
      </c>
      <c r="CM356" s="20" t="s">
        <v>166</v>
      </c>
      <c r="CN356" s="16" t="s">
        <v>166</v>
      </c>
      <c r="CO356" s="16" t="s">
        <v>166</v>
      </c>
      <c r="CP356" s="16" t="s">
        <v>166</v>
      </c>
      <c r="CQ356" s="16" t="s">
        <v>166</v>
      </c>
      <c r="CR356" s="16" t="s">
        <v>166</v>
      </c>
      <c r="CS356" s="16" t="s">
        <v>166</v>
      </c>
      <c r="CT356" s="16" t="s">
        <v>166</v>
      </c>
      <c r="CU356" s="16" t="s">
        <v>166</v>
      </c>
      <c r="CV356" s="16" t="s">
        <v>166</v>
      </c>
      <c r="CW356" s="16" t="s">
        <v>166</v>
      </c>
      <c r="CX356" s="16" t="s">
        <v>166</v>
      </c>
      <c r="CY356" s="16" t="s">
        <v>166</v>
      </c>
      <c r="CZ356" s="16" t="s">
        <v>166</v>
      </c>
      <c r="DA356" s="16" t="s">
        <v>166</v>
      </c>
      <c r="DB356" s="16" t="s">
        <v>166</v>
      </c>
      <c r="DC356" s="16" t="s">
        <v>166</v>
      </c>
      <c r="DD356" s="16" t="s">
        <v>166</v>
      </c>
      <c r="DE356" s="17" t="s">
        <v>166</v>
      </c>
      <c r="DF356" s="22">
        <v>42</v>
      </c>
      <c r="DG356" s="14" t="s">
        <v>1077</v>
      </c>
      <c r="DH356" s="14" t="s">
        <v>193</v>
      </c>
      <c r="DI356" s="14" t="s">
        <v>194</v>
      </c>
      <c r="DJ356" s="14" t="s">
        <v>1078</v>
      </c>
      <c r="DK356" s="14" t="s">
        <v>257</v>
      </c>
      <c r="DL356" s="21" t="s">
        <v>4108</v>
      </c>
      <c r="DM356" s="14" t="s">
        <v>198</v>
      </c>
      <c r="DN356" s="13" t="s">
        <v>7086</v>
      </c>
      <c r="DO356" s="20">
        <v>2014</v>
      </c>
      <c r="DP356" s="14" t="s">
        <v>166</v>
      </c>
      <c r="DQ356" s="14" t="s">
        <v>166</v>
      </c>
      <c r="DR356" s="18" t="s">
        <v>166</v>
      </c>
      <c r="DS356" s="16" t="s">
        <v>166</v>
      </c>
      <c r="DT356" s="19" t="s">
        <v>166</v>
      </c>
      <c r="DU356" s="14" t="s">
        <v>166</v>
      </c>
      <c r="DV356" s="18" t="s">
        <v>166</v>
      </c>
      <c r="DW356" s="18" t="s">
        <v>166</v>
      </c>
      <c r="DX356" s="16" t="s">
        <v>166</v>
      </c>
      <c r="DY356" s="16" t="s">
        <v>166</v>
      </c>
      <c r="DZ356" s="17" t="s">
        <v>166</v>
      </c>
      <c r="EA356" s="16" t="s">
        <v>166</v>
      </c>
      <c r="EB356" s="16" t="s">
        <v>166</v>
      </c>
      <c r="EC356" s="16" t="s">
        <v>166</v>
      </c>
      <c r="ED356" s="17" t="s">
        <v>166</v>
      </c>
      <c r="EE356" s="17" t="s">
        <v>166</v>
      </c>
      <c r="EF356" s="17" t="s">
        <v>166</v>
      </c>
      <c r="EG356" s="17" t="s">
        <v>166</v>
      </c>
      <c r="EH356" s="16" t="s">
        <v>166</v>
      </c>
      <c r="EI356" s="16" t="s">
        <v>166</v>
      </c>
      <c r="EJ356" s="16" t="s">
        <v>166</v>
      </c>
      <c r="EK356" s="16" t="s">
        <v>166</v>
      </c>
      <c r="EL356" s="16" t="s">
        <v>166</v>
      </c>
      <c r="EM356" s="16" t="s">
        <v>166</v>
      </c>
      <c r="EN356" s="16" t="s">
        <v>166</v>
      </c>
      <c r="EO356" s="16" t="s">
        <v>166</v>
      </c>
      <c r="EP356" s="16" t="s">
        <v>166</v>
      </c>
      <c r="EQ356" s="16" t="s">
        <v>166</v>
      </c>
      <c r="ER356" s="16" t="s">
        <v>166</v>
      </c>
      <c r="ES356" s="16" t="s">
        <v>166</v>
      </c>
      <c r="ET356" s="14" t="s">
        <v>166</v>
      </c>
      <c r="EU356" s="16" t="s">
        <v>166</v>
      </c>
      <c r="EV356" s="16" t="s">
        <v>166</v>
      </c>
      <c r="EW356" s="16" t="s">
        <v>166</v>
      </c>
      <c r="EX356" s="14" t="s">
        <v>190</v>
      </c>
      <c r="EY356" s="14" t="s">
        <v>166</v>
      </c>
      <c r="EZ356" s="16" t="s">
        <v>166</v>
      </c>
      <c r="FA356" s="15" t="s">
        <v>166</v>
      </c>
      <c r="FB356" s="15" t="s">
        <v>166</v>
      </c>
      <c r="FC356" s="15" t="s">
        <v>166</v>
      </c>
      <c r="FD356" s="15" t="s">
        <v>166</v>
      </c>
      <c r="FE356" s="15" t="s">
        <v>166</v>
      </c>
      <c r="FF356" s="15" t="s">
        <v>166</v>
      </c>
      <c r="FG356" s="14" t="s">
        <v>166</v>
      </c>
      <c r="FH356" s="3">
        <f>HYPERLINK("https://my.pitchbook.com?c=199197-28T","View Company Online")</f>
      </c>
    </row>
    <row r="357">
      <c r="A357" s="25" t="s">
        <v>7087</v>
      </c>
      <c r="B357" s="25" t="s">
        <v>7088</v>
      </c>
      <c r="C357" s="25" t="s">
        <v>7089</v>
      </c>
      <c r="D357" s="25" t="s">
        <v>166</v>
      </c>
      <c r="E357" s="34" t="s">
        <v>7090</v>
      </c>
      <c r="F357" s="32">
        <v>10</v>
      </c>
      <c r="G357" s="25" t="s">
        <v>7091</v>
      </c>
      <c r="H357" s="25" t="s">
        <v>166</v>
      </c>
      <c r="I357" s="25" t="s">
        <v>7092</v>
      </c>
      <c r="J357" s="25" t="s">
        <v>7093</v>
      </c>
      <c r="K357" s="25" t="s">
        <v>207</v>
      </c>
      <c r="L357" s="25" t="s">
        <v>208</v>
      </c>
      <c r="M357" s="25" t="s">
        <v>1940</v>
      </c>
      <c r="N357" s="25" t="s">
        <v>7094</v>
      </c>
      <c r="O357" s="25" t="s">
        <v>5519</v>
      </c>
      <c r="P357" s="25" t="s">
        <v>7095</v>
      </c>
      <c r="Q357" s="25" t="s">
        <v>926</v>
      </c>
      <c r="R357" s="25" t="s">
        <v>177</v>
      </c>
      <c r="S357" s="25" t="s">
        <v>178</v>
      </c>
      <c r="T357" s="25" t="s">
        <v>179</v>
      </c>
      <c r="U357" s="25" t="s">
        <v>7096</v>
      </c>
      <c r="V357" s="25" t="s">
        <v>7097</v>
      </c>
      <c r="W357" s="32" t="s">
        <v>166</v>
      </c>
      <c r="X357" s="25" t="s">
        <v>7098</v>
      </c>
      <c r="Y357" s="25" t="s">
        <v>7099</v>
      </c>
      <c r="Z357" s="25" t="s">
        <v>166</v>
      </c>
      <c r="AA357" s="25" t="s">
        <v>166</v>
      </c>
      <c r="AB357" s="25" t="s">
        <v>166</v>
      </c>
      <c r="AC357" s="25" t="s">
        <v>166</v>
      </c>
      <c r="AD357" s="25" t="s">
        <v>166</v>
      </c>
      <c r="AE357" s="25" t="s">
        <v>166</v>
      </c>
      <c r="AF357" s="25" t="s">
        <v>166</v>
      </c>
      <c r="AG357" s="25" t="s">
        <v>166</v>
      </c>
      <c r="AH357" s="32">
        <v>2</v>
      </c>
      <c r="AI357" s="4">
        <f>HYPERLINK("https://my.pitchbook.com/?d=179808-40T","179808-40T")</f>
      </c>
      <c r="AJ357" s="30">
        <v>44432</v>
      </c>
      <c r="AK357" s="30">
        <v>44447</v>
      </c>
      <c r="AL357" s="29">
        <v>2.64</v>
      </c>
      <c r="AM357" s="25" t="s">
        <v>185</v>
      </c>
      <c r="AN357" s="29">
        <v>9.36</v>
      </c>
      <c r="AO357" s="29">
        <v>12</v>
      </c>
      <c r="AP357" s="25" t="s">
        <v>185</v>
      </c>
      <c r="AQ357" s="32" t="s">
        <v>166</v>
      </c>
      <c r="AR357" s="32" t="s">
        <v>166</v>
      </c>
      <c r="AS357" s="28" t="s">
        <v>166</v>
      </c>
      <c r="AT357" s="29">
        <v>2.64</v>
      </c>
      <c r="AU357" s="32" t="s">
        <v>186</v>
      </c>
      <c r="AV357" s="32" t="s">
        <v>166</v>
      </c>
      <c r="AW357" s="29" t="s">
        <v>166</v>
      </c>
      <c r="AX357" s="32" t="s">
        <v>166</v>
      </c>
      <c r="AY357" s="25" t="s">
        <v>217</v>
      </c>
      <c r="AZ357" s="25" t="s">
        <v>217</v>
      </c>
      <c r="BA357" s="25" t="s">
        <v>166</v>
      </c>
      <c r="BB357" s="32" t="s">
        <v>166</v>
      </c>
      <c r="BC357" s="25" t="s">
        <v>179</v>
      </c>
      <c r="BD357" s="25" t="s">
        <v>7100</v>
      </c>
      <c r="BE357" s="25" t="s">
        <v>189</v>
      </c>
      <c r="BF357" s="29">
        <v>2.64</v>
      </c>
      <c r="BG357" s="25" t="s">
        <v>190</v>
      </c>
      <c r="BH357" s="25" t="s">
        <v>166</v>
      </c>
      <c r="BI357" s="25" t="s">
        <v>166</v>
      </c>
      <c r="BJ357" s="29" t="s">
        <v>166</v>
      </c>
      <c r="BK357" s="29" t="s">
        <v>166</v>
      </c>
      <c r="BL357" s="25" t="s">
        <v>191</v>
      </c>
      <c r="BM357" s="25" t="s">
        <v>178</v>
      </c>
      <c r="BN357" s="25" t="s">
        <v>177</v>
      </c>
      <c r="BO357" s="33" t="s">
        <v>166</v>
      </c>
      <c r="BP357" s="25" t="s">
        <v>7101</v>
      </c>
      <c r="BQ357" s="32">
        <v>10</v>
      </c>
      <c r="BR357" s="25" t="s">
        <v>166</v>
      </c>
      <c r="BS357" s="32" t="s">
        <v>166</v>
      </c>
      <c r="BT357" s="25" t="s">
        <v>7102</v>
      </c>
      <c r="BU357" s="25" t="s">
        <v>166</v>
      </c>
      <c r="BV357" s="25" t="s">
        <v>7103</v>
      </c>
      <c r="BW357" s="25" t="s">
        <v>166</v>
      </c>
      <c r="BX357" s="25" t="s">
        <v>166</v>
      </c>
      <c r="BY357" s="25" t="s">
        <v>166</v>
      </c>
      <c r="BZ357" s="25" t="s">
        <v>1232</v>
      </c>
      <c r="CA357" s="25" t="s">
        <v>1232</v>
      </c>
      <c r="CB357" s="25" t="s">
        <v>166</v>
      </c>
      <c r="CC357" s="25" t="s">
        <v>166</v>
      </c>
      <c r="CD357" s="25" t="s">
        <v>166</v>
      </c>
      <c r="CE357" s="29" t="s">
        <v>166</v>
      </c>
      <c r="CF357" s="27" t="s">
        <v>166</v>
      </c>
      <c r="CG357" s="28" t="s">
        <v>166</v>
      </c>
      <c r="CH357" s="27" t="s">
        <v>166</v>
      </c>
      <c r="CI357" s="27" t="s">
        <v>166</v>
      </c>
      <c r="CJ357" s="27" t="s">
        <v>166</v>
      </c>
      <c r="CK357" s="27" t="s">
        <v>166</v>
      </c>
      <c r="CL357" s="27" t="s">
        <v>166</v>
      </c>
      <c r="CM357" s="31" t="s">
        <v>166</v>
      </c>
      <c r="CN357" s="27" t="s">
        <v>166</v>
      </c>
      <c r="CO357" s="27" t="s">
        <v>166</v>
      </c>
      <c r="CP357" s="27" t="s">
        <v>166</v>
      </c>
      <c r="CQ357" s="27" t="s">
        <v>166</v>
      </c>
      <c r="CR357" s="27" t="s">
        <v>166</v>
      </c>
      <c r="CS357" s="27" t="s">
        <v>166</v>
      </c>
      <c r="CT357" s="27" t="s">
        <v>166</v>
      </c>
      <c r="CU357" s="27" t="s">
        <v>166</v>
      </c>
      <c r="CV357" s="27" t="s">
        <v>166</v>
      </c>
      <c r="CW357" s="27" t="s">
        <v>166</v>
      </c>
      <c r="CX357" s="27" t="s">
        <v>166</v>
      </c>
      <c r="CY357" s="27" t="s">
        <v>166</v>
      </c>
      <c r="CZ357" s="27" t="s">
        <v>166</v>
      </c>
      <c r="DA357" s="27" t="s">
        <v>166</v>
      </c>
      <c r="DB357" s="27" t="s">
        <v>166</v>
      </c>
      <c r="DC357" s="27" t="s">
        <v>166</v>
      </c>
      <c r="DD357" s="27" t="s">
        <v>166</v>
      </c>
      <c r="DE357" s="28" t="s">
        <v>166</v>
      </c>
      <c r="DF357" s="33">
        <v>13</v>
      </c>
      <c r="DG357" s="25" t="s">
        <v>1634</v>
      </c>
      <c r="DH357" s="25" t="s">
        <v>193</v>
      </c>
      <c r="DI357" s="25" t="s">
        <v>194</v>
      </c>
      <c r="DJ357" s="25" t="s">
        <v>1635</v>
      </c>
      <c r="DK357" s="25" t="s">
        <v>408</v>
      </c>
      <c r="DL357" s="32" t="s">
        <v>6663</v>
      </c>
      <c r="DM357" s="25" t="s">
        <v>198</v>
      </c>
      <c r="DN357" s="24" t="s">
        <v>7104</v>
      </c>
      <c r="DO357" s="31">
        <v>2020</v>
      </c>
      <c r="DP357" s="25" t="s">
        <v>166</v>
      </c>
      <c r="DQ357" s="25" t="s">
        <v>166</v>
      </c>
      <c r="DR357" s="29" t="s">
        <v>166</v>
      </c>
      <c r="DS357" s="27" t="s">
        <v>166</v>
      </c>
      <c r="DT357" s="30" t="s">
        <v>166</v>
      </c>
      <c r="DU357" s="25" t="s">
        <v>166</v>
      </c>
      <c r="DV357" s="29" t="s">
        <v>166</v>
      </c>
      <c r="DW357" s="29" t="s">
        <v>166</v>
      </c>
      <c r="DX357" s="27" t="s">
        <v>166</v>
      </c>
      <c r="DY357" s="27" t="s">
        <v>166</v>
      </c>
      <c r="DZ357" s="28" t="s">
        <v>166</v>
      </c>
      <c r="EA357" s="27" t="s">
        <v>166</v>
      </c>
      <c r="EB357" s="27" t="s">
        <v>166</v>
      </c>
      <c r="EC357" s="27" t="s">
        <v>166</v>
      </c>
      <c r="ED357" s="28" t="s">
        <v>166</v>
      </c>
      <c r="EE357" s="28" t="s">
        <v>166</v>
      </c>
      <c r="EF357" s="28" t="s">
        <v>166</v>
      </c>
      <c r="EG357" s="28" t="s">
        <v>166</v>
      </c>
      <c r="EH357" s="27" t="s">
        <v>166</v>
      </c>
      <c r="EI357" s="27" t="s">
        <v>166</v>
      </c>
      <c r="EJ357" s="27" t="s">
        <v>166</v>
      </c>
      <c r="EK357" s="27" t="s">
        <v>166</v>
      </c>
      <c r="EL357" s="27" t="s">
        <v>166</v>
      </c>
      <c r="EM357" s="27" t="s">
        <v>166</v>
      </c>
      <c r="EN357" s="27" t="s">
        <v>166</v>
      </c>
      <c r="EO357" s="27" t="s">
        <v>166</v>
      </c>
      <c r="EP357" s="27" t="s">
        <v>166</v>
      </c>
      <c r="EQ357" s="27" t="s">
        <v>166</v>
      </c>
      <c r="ER357" s="27" t="s">
        <v>166</v>
      </c>
      <c r="ES357" s="27" t="s">
        <v>166</v>
      </c>
      <c r="ET357" s="25" t="s">
        <v>166</v>
      </c>
      <c r="EU357" s="27" t="s">
        <v>166</v>
      </c>
      <c r="EV357" s="27" t="s">
        <v>166</v>
      </c>
      <c r="EW357" s="27" t="s">
        <v>166</v>
      </c>
      <c r="EX357" s="25" t="s">
        <v>190</v>
      </c>
      <c r="EY357" s="25" t="s">
        <v>166</v>
      </c>
      <c r="EZ357" s="27" t="s">
        <v>166</v>
      </c>
      <c r="FA357" s="26" t="s">
        <v>166</v>
      </c>
      <c r="FB357" s="26" t="s">
        <v>166</v>
      </c>
      <c r="FC357" s="26" t="s">
        <v>166</v>
      </c>
      <c r="FD357" s="26" t="s">
        <v>166</v>
      </c>
      <c r="FE357" s="26" t="s">
        <v>166</v>
      </c>
      <c r="FF357" s="26" t="s">
        <v>166</v>
      </c>
      <c r="FG357" s="25" t="s">
        <v>166</v>
      </c>
      <c r="FH357" s="4">
        <f>HYPERLINK("https://my.pitchbook.com?c=179808-40T","View Company Online")</f>
      </c>
    </row>
    <row r="358">
      <c r="A358" s="14" t="s">
        <v>7105</v>
      </c>
      <c r="B358" s="14" t="s">
        <v>7106</v>
      </c>
      <c r="C358" s="14" t="s">
        <v>7107</v>
      </c>
      <c r="D358" s="14" t="s">
        <v>166</v>
      </c>
      <c r="E358" s="23" t="s">
        <v>7108</v>
      </c>
      <c r="F358" s="21">
        <v>4</v>
      </c>
      <c r="G358" s="14" t="s">
        <v>7109</v>
      </c>
      <c r="H358" s="14" t="s">
        <v>166</v>
      </c>
      <c r="I358" s="14" t="s">
        <v>7110</v>
      </c>
      <c r="J358" s="14" t="s">
        <v>7111</v>
      </c>
      <c r="K358" s="14" t="s">
        <v>1455</v>
      </c>
      <c r="L358" s="14" t="s">
        <v>5912</v>
      </c>
      <c r="M358" s="14" t="s">
        <v>7112</v>
      </c>
      <c r="N358" s="14" t="s">
        <v>7113</v>
      </c>
      <c r="O358" s="14" t="s">
        <v>7114</v>
      </c>
      <c r="P358" s="14" t="s">
        <v>7115</v>
      </c>
      <c r="Q358" s="14" t="s">
        <v>166</v>
      </c>
      <c r="R358" s="14" t="s">
        <v>177</v>
      </c>
      <c r="S358" s="14" t="s">
        <v>178</v>
      </c>
      <c r="T358" s="14" t="s">
        <v>179</v>
      </c>
      <c r="U358" s="14" t="s">
        <v>7116</v>
      </c>
      <c r="V358" s="14" t="s">
        <v>7117</v>
      </c>
      <c r="W358" s="21" t="s">
        <v>7118</v>
      </c>
      <c r="X358" s="14" t="s">
        <v>7119</v>
      </c>
      <c r="Y358" s="14" t="s">
        <v>7120</v>
      </c>
      <c r="Z358" s="14" t="s">
        <v>166</v>
      </c>
      <c r="AA358" s="14" t="s">
        <v>166</v>
      </c>
      <c r="AB358" s="14" t="s">
        <v>166</v>
      </c>
      <c r="AC358" s="14" t="s">
        <v>166</v>
      </c>
      <c r="AD358" s="14" t="s">
        <v>166</v>
      </c>
      <c r="AE358" s="14" t="s">
        <v>166</v>
      </c>
      <c r="AF358" s="14" t="s">
        <v>166</v>
      </c>
      <c r="AG358" s="14" t="s">
        <v>166</v>
      </c>
      <c r="AH358" s="21">
        <v>2</v>
      </c>
      <c r="AI358" s="3">
        <f>HYPERLINK("https://my.pitchbook.com/?d=157187-26T","157187-26T")</f>
      </c>
      <c r="AJ358" s="19" t="s">
        <v>166</v>
      </c>
      <c r="AK358" s="19">
        <v>44088</v>
      </c>
      <c r="AL358" s="18">
        <v>0.8</v>
      </c>
      <c r="AM358" s="14" t="s">
        <v>185</v>
      </c>
      <c r="AN358" s="18" t="s">
        <v>166</v>
      </c>
      <c r="AO358" s="18" t="s">
        <v>166</v>
      </c>
      <c r="AP358" s="14" t="s">
        <v>166</v>
      </c>
      <c r="AQ358" s="21" t="s">
        <v>166</v>
      </c>
      <c r="AR358" s="21" t="s">
        <v>166</v>
      </c>
      <c r="AS358" s="17" t="s">
        <v>166</v>
      </c>
      <c r="AT358" s="18">
        <v>0.8</v>
      </c>
      <c r="AU358" s="21" t="s">
        <v>186</v>
      </c>
      <c r="AV358" s="21" t="s">
        <v>166</v>
      </c>
      <c r="AW358" s="18" t="s">
        <v>166</v>
      </c>
      <c r="AX358" s="21" t="s">
        <v>166</v>
      </c>
      <c r="AY358" s="14" t="s">
        <v>217</v>
      </c>
      <c r="AZ358" s="14" t="s">
        <v>217</v>
      </c>
      <c r="BA358" s="14" t="s">
        <v>166</v>
      </c>
      <c r="BB358" s="21" t="s">
        <v>166</v>
      </c>
      <c r="BC358" s="14" t="s">
        <v>179</v>
      </c>
      <c r="BD358" s="14" t="s">
        <v>7121</v>
      </c>
      <c r="BE358" s="14" t="s">
        <v>189</v>
      </c>
      <c r="BF358" s="18">
        <v>0.8</v>
      </c>
      <c r="BG358" s="14" t="s">
        <v>190</v>
      </c>
      <c r="BH358" s="14" t="s">
        <v>166</v>
      </c>
      <c r="BI358" s="14" t="s">
        <v>166</v>
      </c>
      <c r="BJ358" s="18" t="s">
        <v>166</v>
      </c>
      <c r="BK358" s="18" t="s">
        <v>166</v>
      </c>
      <c r="BL358" s="14" t="s">
        <v>191</v>
      </c>
      <c r="BM358" s="14" t="s">
        <v>178</v>
      </c>
      <c r="BN358" s="14" t="s">
        <v>177</v>
      </c>
      <c r="BO358" s="22" t="s">
        <v>166</v>
      </c>
      <c r="BP358" s="14" t="s">
        <v>7108</v>
      </c>
      <c r="BQ358" s="21">
        <v>4</v>
      </c>
      <c r="BR358" s="14" t="s">
        <v>166</v>
      </c>
      <c r="BS358" s="21" t="s">
        <v>166</v>
      </c>
      <c r="BT358" s="14" t="s">
        <v>166</v>
      </c>
      <c r="BU358" s="14" t="s">
        <v>166</v>
      </c>
      <c r="BV358" s="14" t="s">
        <v>166</v>
      </c>
      <c r="BW358" s="14" t="s">
        <v>166</v>
      </c>
      <c r="BX358" s="14" t="s">
        <v>166</v>
      </c>
      <c r="BY358" s="14" t="s">
        <v>166</v>
      </c>
      <c r="BZ358" s="14" t="s">
        <v>166</v>
      </c>
      <c r="CA358" s="14" t="s">
        <v>166</v>
      </c>
      <c r="CB358" s="14" t="s">
        <v>166</v>
      </c>
      <c r="CC358" s="14" t="s">
        <v>166</v>
      </c>
      <c r="CD358" s="14" t="s">
        <v>166</v>
      </c>
      <c r="CE358" s="18" t="s">
        <v>166</v>
      </c>
      <c r="CF358" s="16" t="s">
        <v>166</v>
      </c>
      <c r="CG358" s="17" t="s">
        <v>166</v>
      </c>
      <c r="CH358" s="16" t="s">
        <v>166</v>
      </c>
      <c r="CI358" s="16" t="s">
        <v>166</v>
      </c>
      <c r="CJ358" s="16" t="s">
        <v>166</v>
      </c>
      <c r="CK358" s="16" t="s">
        <v>166</v>
      </c>
      <c r="CL358" s="16" t="s">
        <v>166</v>
      </c>
      <c r="CM358" s="20" t="s">
        <v>166</v>
      </c>
      <c r="CN358" s="16" t="s">
        <v>166</v>
      </c>
      <c r="CO358" s="16" t="s">
        <v>166</v>
      </c>
      <c r="CP358" s="16" t="s">
        <v>166</v>
      </c>
      <c r="CQ358" s="16" t="s">
        <v>166</v>
      </c>
      <c r="CR358" s="16" t="s">
        <v>166</v>
      </c>
      <c r="CS358" s="16" t="s">
        <v>166</v>
      </c>
      <c r="CT358" s="16" t="s">
        <v>166</v>
      </c>
      <c r="CU358" s="16" t="s">
        <v>166</v>
      </c>
      <c r="CV358" s="16" t="s">
        <v>166</v>
      </c>
      <c r="CW358" s="16" t="s">
        <v>166</v>
      </c>
      <c r="CX358" s="16" t="s">
        <v>166</v>
      </c>
      <c r="CY358" s="16" t="s">
        <v>166</v>
      </c>
      <c r="CZ358" s="16" t="s">
        <v>166</v>
      </c>
      <c r="DA358" s="16" t="s">
        <v>166</v>
      </c>
      <c r="DB358" s="16" t="s">
        <v>166</v>
      </c>
      <c r="DC358" s="16" t="s">
        <v>166</v>
      </c>
      <c r="DD358" s="16" t="s">
        <v>166</v>
      </c>
      <c r="DE358" s="17" t="s">
        <v>166</v>
      </c>
      <c r="DF358" s="22">
        <v>11</v>
      </c>
      <c r="DG358" s="14" t="s">
        <v>2439</v>
      </c>
      <c r="DH358" s="14" t="s">
        <v>193</v>
      </c>
      <c r="DI358" s="14" t="s">
        <v>194</v>
      </c>
      <c r="DJ358" s="14" t="s">
        <v>2440</v>
      </c>
      <c r="DK358" s="14" t="s">
        <v>454</v>
      </c>
      <c r="DL358" s="21" t="s">
        <v>6195</v>
      </c>
      <c r="DM358" s="14" t="s">
        <v>198</v>
      </c>
      <c r="DN358" s="13" t="s">
        <v>7122</v>
      </c>
      <c r="DO358" s="20">
        <v>2018</v>
      </c>
      <c r="DP358" s="14" t="s">
        <v>166</v>
      </c>
      <c r="DQ358" s="14" t="s">
        <v>166</v>
      </c>
      <c r="DR358" s="18" t="s">
        <v>166</v>
      </c>
      <c r="DS358" s="16" t="s">
        <v>166</v>
      </c>
      <c r="DT358" s="19" t="s">
        <v>166</v>
      </c>
      <c r="DU358" s="14" t="s">
        <v>166</v>
      </c>
      <c r="DV358" s="18" t="s">
        <v>166</v>
      </c>
      <c r="DW358" s="18" t="s">
        <v>166</v>
      </c>
      <c r="DX358" s="16" t="s">
        <v>166</v>
      </c>
      <c r="DY358" s="16" t="s">
        <v>166</v>
      </c>
      <c r="DZ358" s="17" t="s">
        <v>166</v>
      </c>
      <c r="EA358" s="16" t="s">
        <v>166</v>
      </c>
      <c r="EB358" s="16" t="s">
        <v>166</v>
      </c>
      <c r="EC358" s="16" t="s">
        <v>166</v>
      </c>
      <c r="ED358" s="17" t="s">
        <v>166</v>
      </c>
      <c r="EE358" s="17" t="s">
        <v>166</v>
      </c>
      <c r="EF358" s="17" t="s">
        <v>166</v>
      </c>
      <c r="EG358" s="17" t="s">
        <v>166</v>
      </c>
      <c r="EH358" s="16" t="s">
        <v>166</v>
      </c>
      <c r="EI358" s="16" t="s">
        <v>166</v>
      </c>
      <c r="EJ358" s="16" t="s">
        <v>166</v>
      </c>
      <c r="EK358" s="16" t="s">
        <v>166</v>
      </c>
      <c r="EL358" s="16" t="s">
        <v>166</v>
      </c>
      <c r="EM358" s="16" t="s">
        <v>166</v>
      </c>
      <c r="EN358" s="16" t="s">
        <v>166</v>
      </c>
      <c r="EO358" s="16" t="s">
        <v>166</v>
      </c>
      <c r="EP358" s="16" t="s">
        <v>166</v>
      </c>
      <c r="EQ358" s="16" t="s">
        <v>166</v>
      </c>
      <c r="ER358" s="16" t="s">
        <v>166</v>
      </c>
      <c r="ES358" s="16" t="s">
        <v>166</v>
      </c>
      <c r="ET358" s="14" t="s">
        <v>166</v>
      </c>
      <c r="EU358" s="16" t="s">
        <v>166</v>
      </c>
      <c r="EV358" s="16" t="s">
        <v>166</v>
      </c>
      <c r="EW358" s="16" t="s">
        <v>166</v>
      </c>
      <c r="EX358" s="14" t="s">
        <v>190</v>
      </c>
      <c r="EY358" s="14" t="s">
        <v>166</v>
      </c>
      <c r="EZ358" s="16" t="s">
        <v>166</v>
      </c>
      <c r="FA358" s="15">
        <v>2</v>
      </c>
      <c r="FB358" s="15">
        <v>2</v>
      </c>
      <c r="FC358" s="15">
        <v>1</v>
      </c>
      <c r="FD358" s="15">
        <v>1</v>
      </c>
      <c r="FE358" s="15" t="s">
        <v>166</v>
      </c>
      <c r="FF358" s="15" t="s">
        <v>166</v>
      </c>
      <c r="FG358" s="14" t="s">
        <v>7123</v>
      </c>
      <c r="FH358" s="3">
        <f>HYPERLINK("https://my.pitchbook.com?c=157187-26T","View Company Online")</f>
      </c>
    </row>
    <row r="359">
      <c r="A359" s="25" t="s">
        <v>7124</v>
      </c>
      <c r="B359" s="25" t="s">
        <v>7125</v>
      </c>
      <c r="C359" s="25" t="s">
        <v>7126</v>
      </c>
      <c r="D359" s="25" t="s">
        <v>166</v>
      </c>
      <c r="E359" s="34" t="s">
        <v>7127</v>
      </c>
      <c r="F359" s="32">
        <v>2</v>
      </c>
      <c r="G359" s="25" t="s">
        <v>7128</v>
      </c>
      <c r="H359" s="25" t="s">
        <v>166</v>
      </c>
      <c r="I359" s="25" t="s">
        <v>7129</v>
      </c>
      <c r="J359" s="25" t="s">
        <v>7130</v>
      </c>
      <c r="K359" s="25" t="s">
        <v>207</v>
      </c>
      <c r="L359" s="25" t="s">
        <v>208</v>
      </c>
      <c r="M359" s="25" t="s">
        <v>209</v>
      </c>
      <c r="N359" s="25" t="s">
        <v>556</v>
      </c>
      <c r="O359" s="25" t="s">
        <v>557</v>
      </c>
      <c r="P359" s="25" t="s">
        <v>7131</v>
      </c>
      <c r="Q359" s="25" t="s">
        <v>926</v>
      </c>
      <c r="R359" s="25" t="s">
        <v>177</v>
      </c>
      <c r="S359" s="25" t="s">
        <v>178</v>
      </c>
      <c r="T359" s="25" t="s">
        <v>179</v>
      </c>
      <c r="U359" s="25" t="s">
        <v>7132</v>
      </c>
      <c r="V359" s="25" t="s">
        <v>7133</v>
      </c>
      <c r="W359" s="32" t="s">
        <v>7134</v>
      </c>
      <c r="X359" s="25" t="s">
        <v>7135</v>
      </c>
      <c r="Y359" s="25" t="s">
        <v>7136</v>
      </c>
      <c r="Z359" s="25" t="s">
        <v>7137</v>
      </c>
      <c r="AA359" s="25" t="s">
        <v>242</v>
      </c>
      <c r="AB359" s="25" t="s">
        <v>243</v>
      </c>
      <c r="AC359" s="25" t="s">
        <v>244</v>
      </c>
      <c r="AD359" s="25" t="s">
        <v>166</v>
      </c>
      <c r="AE359" s="25" t="s">
        <v>243</v>
      </c>
      <c r="AF359" s="25" t="s">
        <v>166</v>
      </c>
      <c r="AG359" s="25" t="s">
        <v>807</v>
      </c>
      <c r="AH359" s="32">
        <v>1</v>
      </c>
      <c r="AI359" s="4">
        <f>HYPERLINK("https://my.pitchbook.com/?d=272341-00T","272341-00T")</f>
      </c>
      <c r="AJ359" s="30">
        <v>45434</v>
      </c>
      <c r="AK359" s="30">
        <v>45551</v>
      </c>
      <c r="AL359" s="29">
        <v>1.65</v>
      </c>
      <c r="AM359" s="25" t="s">
        <v>185</v>
      </c>
      <c r="AN359" s="29">
        <v>8.35</v>
      </c>
      <c r="AO359" s="29">
        <v>10</v>
      </c>
      <c r="AP359" s="25" t="s">
        <v>185</v>
      </c>
      <c r="AQ359" s="32" t="s">
        <v>166</v>
      </c>
      <c r="AR359" s="32" t="s">
        <v>166</v>
      </c>
      <c r="AS359" s="28">
        <v>16.47</v>
      </c>
      <c r="AT359" s="29">
        <v>1.65</v>
      </c>
      <c r="AU359" s="32" t="s">
        <v>186</v>
      </c>
      <c r="AV359" s="32" t="s">
        <v>166</v>
      </c>
      <c r="AW359" s="29">
        <v>0.87</v>
      </c>
      <c r="AX359" s="32" t="s">
        <v>166</v>
      </c>
      <c r="AY359" s="25" t="s">
        <v>217</v>
      </c>
      <c r="AZ359" s="25" t="s">
        <v>217</v>
      </c>
      <c r="BA359" s="25" t="s">
        <v>166</v>
      </c>
      <c r="BB359" s="32" t="s">
        <v>166</v>
      </c>
      <c r="BC359" s="25" t="s">
        <v>179</v>
      </c>
      <c r="BD359" s="25" t="s">
        <v>7130</v>
      </c>
      <c r="BE359" s="25" t="s">
        <v>189</v>
      </c>
      <c r="BF359" s="29">
        <v>1.65</v>
      </c>
      <c r="BG359" s="25" t="s">
        <v>190</v>
      </c>
      <c r="BH359" s="25" t="s">
        <v>166</v>
      </c>
      <c r="BI359" s="25" t="s">
        <v>166</v>
      </c>
      <c r="BJ359" s="29" t="s">
        <v>166</v>
      </c>
      <c r="BK359" s="29" t="s">
        <v>166</v>
      </c>
      <c r="BL359" s="25" t="s">
        <v>191</v>
      </c>
      <c r="BM359" s="25" t="s">
        <v>178</v>
      </c>
      <c r="BN359" s="25" t="s">
        <v>177</v>
      </c>
      <c r="BO359" s="33" t="s">
        <v>166</v>
      </c>
      <c r="BP359" s="25" t="s">
        <v>7127</v>
      </c>
      <c r="BQ359" s="32">
        <v>2</v>
      </c>
      <c r="BR359" s="25" t="s">
        <v>166</v>
      </c>
      <c r="BS359" s="32" t="s">
        <v>166</v>
      </c>
      <c r="BT359" s="25" t="s">
        <v>166</v>
      </c>
      <c r="BU359" s="25" t="s">
        <v>166</v>
      </c>
      <c r="BV359" s="25" t="s">
        <v>166</v>
      </c>
      <c r="BW359" s="25" t="s">
        <v>166</v>
      </c>
      <c r="BX359" s="25" t="s">
        <v>166</v>
      </c>
      <c r="BY359" s="25" t="s">
        <v>166</v>
      </c>
      <c r="BZ359" s="25" t="s">
        <v>166</v>
      </c>
      <c r="CA359" s="25" t="s">
        <v>166</v>
      </c>
      <c r="CB359" s="25" t="s">
        <v>166</v>
      </c>
      <c r="CC359" s="25" t="s">
        <v>166</v>
      </c>
      <c r="CD359" s="25" t="s">
        <v>166</v>
      </c>
      <c r="CE359" s="29" t="s">
        <v>166</v>
      </c>
      <c r="CF359" s="27" t="s">
        <v>166</v>
      </c>
      <c r="CG359" s="28" t="s">
        <v>166</v>
      </c>
      <c r="CH359" s="27" t="s">
        <v>166</v>
      </c>
      <c r="CI359" s="27" t="s">
        <v>166</v>
      </c>
      <c r="CJ359" s="27" t="s">
        <v>166</v>
      </c>
      <c r="CK359" s="27" t="s">
        <v>166</v>
      </c>
      <c r="CL359" s="27" t="s">
        <v>166</v>
      </c>
      <c r="CM359" s="31" t="s">
        <v>166</v>
      </c>
      <c r="CN359" s="27" t="s">
        <v>166</v>
      </c>
      <c r="CO359" s="27" t="s">
        <v>166</v>
      </c>
      <c r="CP359" s="27" t="s">
        <v>166</v>
      </c>
      <c r="CQ359" s="27" t="s">
        <v>166</v>
      </c>
      <c r="CR359" s="27" t="s">
        <v>166</v>
      </c>
      <c r="CS359" s="27" t="s">
        <v>166</v>
      </c>
      <c r="CT359" s="27" t="s">
        <v>166</v>
      </c>
      <c r="CU359" s="27" t="s">
        <v>166</v>
      </c>
      <c r="CV359" s="27" t="s">
        <v>166</v>
      </c>
      <c r="CW359" s="27" t="s">
        <v>166</v>
      </c>
      <c r="CX359" s="27" t="s">
        <v>166</v>
      </c>
      <c r="CY359" s="27" t="s">
        <v>166</v>
      </c>
      <c r="CZ359" s="27" t="s">
        <v>166</v>
      </c>
      <c r="DA359" s="27" t="s">
        <v>166</v>
      </c>
      <c r="DB359" s="27" t="s">
        <v>166</v>
      </c>
      <c r="DC359" s="27" t="s">
        <v>166</v>
      </c>
      <c r="DD359" s="27" t="s">
        <v>166</v>
      </c>
      <c r="DE359" s="28" t="s">
        <v>166</v>
      </c>
      <c r="DF359" s="33">
        <v>8</v>
      </c>
      <c r="DG359" s="25" t="s">
        <v>673</v>
      </c>
      <c r="DH359" s="25" t="s">
        <v>193</v>
      </c>
      <c r="DI359" s="25" t="s">
        <v>194</v>
      </c>
      <c r="DJ359" s="25" t="s">
        <v>674</v>
      </c>
      <c r="DK359" s="25" t="s">
        <v>257</v>
      </c>
      <c r="DL359" s="32" t="s">
        <v>675</v>
      </c>
      <c r="DM359" s="25" t="s">
        <v>198</v>
      </c>
      <c r="DN359" s="24" t="s">
        <v>7138</v>
      </c>
      <c r="DO359" s="31">
        <v>2023</v>
      </c>
      <c r="DP359" s="25" t="s">
        <v>166</v>
      </c>
      <c r="DQ359" s="25" t="s">
        <v>166</v>
      </c>
      <c r="DR359" s="29" t="s">
        <v>166</v>
      </c>
      <c r="DS359" s="27" t="s">
        <v>166</v>
      </c>
      <c r="DT359" s="30" t="s">
        <v>166</v>
      </c>
      <c r="DU359" s="25" t="s">
        <v>166</v>
      </c>
      <c r="DV359" s="29" t="s">
        <v>166</v>
      </c>
      <c r="DW359" s="29" t="s">
        <v>166</v>
      </c>
      <c r="DX359" s="27" t="s">
        <v>166</v>
      </c>
      <c r="DY359" s="27" t="s">
        <v>166</v>
      </c>
      <c r="DZ359" s="28" t="s">
        <v>166</v>
      </c>
      <c r="EA359" s="27" t="s">
        <v>166</v>
      </c>
      <c r="EB359" s="27" t="s">
        <v>166</v>
      </c>
      <c r="EC359" s="27" t="s">
        <v>166</v>
      </c>
      <c r="ED359" s="28" t="s">
        <v>166</v>
      </c>
      <c r="EE359" s="28" t="s">
        <v>166</v>
      </c>
      <c r="EF359" s="28" t="s">
        <v>166</v>
      </c>
      <c r="EG359" s="28" t="s">
        <v>166</v>
      </c>
      <c r="EH359" s="27" t="s">
        <v>166</v>
      </c>
      <c r="EI359" s="27" t="s">
        <v>166</v>
      </c>
      <c r="EJ359" s="27" t="s">
        <v>166</v>
      </c>
      <c r="EK359" s="27" t="s">
        <v>166</v>
      </c>
      <c r="EL359" s="27" t="s">
        <v>166</v>
      </c>
      <c r="EM359" s="27" t="s">
        <v>166</v>
      </c>
      <c r="EN359" s="27" t="s">
        <v>166</v>
      </c>
      <c r="EO359" s="27" t="s">
        <v>166</v>
      </c>
      <c r="EP359" s="27" t="s">
        <v>166</v>
      </c>
      <c r="EQ359" s="27" t="s">
        <v>166</v>
      </c>
      <c r="ER359" s="27" t="s">
        <v>166</v>
      </c>
      <c r="ES359" s="27" t="s">
        <v>166</v>
      </c>
      <c r="ET359" s="25" t="s">
        <v>166</v>
      </c>
      <c r="EU359" s="27" t="s">
        <v>166</v>
      </c>
      <c r="EV359" s="27" t="s">
        <v>166</v>
      </c>
      <c r="EW359" s="27" t="s">
        <v>166</v>
      </c>
      <c r="EX359" s="25" t="s">
        <v>190</v>
      </c>
      <c r="EY359" s="25" t="s">
        <v>166</v>
      </c>
      <c r="EZ359" s="27" t="s">
        <v>166</v>
      </c>
      <c r="FA359" s="26" t="s">
        <v>166</v>
      </c>
      <c r="FB359" s="26" t="s">
        <v>166</v>
      </c>
      <c r="FC359" s="26" t="s">
        <v>166</v>
      </c>
      <c r="FD359" s="26" t="s">
        <v>166</v>
      </c>
      <c r="FE359" s="26" t="s">
        <v>166</v>
      </c>
      <c r="FF359" s="26" t="s">
        <v>166</v>
      </c>
      <c r="FG359" s="25" t="s">
        <v>166</v>
      </c>
      <c r="FH359" s="4">
        <f>HYPERLINK("https://my.pitchbook.com?c=272341-00T","View Company Online")</f>
      </c>
    </row>
    <row r="360">
      <c r="A360" s="14" t="s">
        <v>7139</v>
      </c>
      <c r="B360" s="14" t="s">
        <v>7140</v>
      </c>
      <c r="C360" s="14" t="s">
        <v>7141</v>
      </c>
      <c r="D360" s="14" t="s">
        <v>166</v>
      </c>
      <c r="E360" s="23" t="s">
        <v>7142</v>
      </c>
      <c r="F360" s="21">
        <v>1</v>
      </c>
      <c r="G360" s="14" t="s">
        <v>7143</v>
      </c>
      <c r="H360" s="14" t="s">
        <v>166</v>
      </c>
      <c r="I360" s="14" t="s">
        <v>7144</v>
      </c>
      <c r="J360" s="14" t="s">
        <v>7145</v>
      </c>
      <c r="K360" s="14" t="s">
        <v>207</v>
      </c>
      <c r="L360" s="14" t="s">
        <v>208</v>
      </c>
      <c r="M360" s="14" t="s">
        <v>296</v>
      </c>
      <c r="N360" s="14" t="s">
        <v>1052</v>
      </c>
      <c r="O360" s="14" t="s">
        <v>4042</v>
      </c>
      <c r="P360" s="14" t="s">
        <v>7146</v>
      </c>
      <c r="Q360" s="14" t="s">
        <v>166</v>
      </c>
      <c r="R360" s="14" t="s">
        <v>177</v>
      </c>
      <c r="S360" s="14" t="s">
        <v>178</v>
      </c>
      <c r="T360" s="14" t="s">
        <v>179</v>
      </c>
      <c r="U360" s="14" t="s">
        <v>7147</v>
      </c>
      <c r="V360" s="14" t="s">
        <v>7148</v>
      </c>
      <c r="W360" s="21" t="s">
        <v>166</v>
      </c>
      <c r="X360" s="14" t="s">
        <v>7149</v>
      </c>
      <c r="Y360" s="14" t="s">
        <v>7150</v>
      </c>
      <c r="Z360" s="14" t="s">
        <v>7151</v>
      </c>
      <c r="AA360" s="14" t="s">
        <v>166</v>
      </c>
      <c r="AB360" s="14" t="s">
        <v>166</v>
      </c>
      <c r="AC360" s="14" t="s">
        <v>166</v>
      </c>
      <c r="AD360" s="14" t="s">
        <v>166</v>
      </c>
      <c r="AE360" s="14" t="s">
        <v>166</v>
      </c>
      <c r="AF360" s="14" t="s">
        <v>166</v>
      </c>
      <c r="AG360" s="14" t="s">
        <v>166</v>
      </c>
      <c r="AH360" s="21">
        <v>3</v>
      </c>
      <c r="AI360" s="3">
        <f>HYPERLINK("https://my.pitchbook.com/?d=209690-65T","209690-65T")</f>
      </c>
      <c r="AJ360" s="19" t="s">
        <v>166</v>
      </c>
      <c r="AK360" s="19">
        <v>44676</v>
      </c>
      <c r="AL360" s="18">
        <v>0.1</v>
      </c>
      <c r="AM360" s="14" t="s">
        <v>185</v>
      </c>
      <c r="AN360" s="18" t="s">
        <v>166</v>
      </c>
      <c r="AO360" s="18" t="s">
        <v>166</v>
      </c>
      <c r="AP360" s="14" t="s">
        <v>166</v>
      </c>
      <c r="AQ360" s="21" t="s">
        <v>166</v>
      </c>
      <c r="AR360" s="21" t="s">
        <v>166</v>
      </c>
      <c r="AS360" s="17" t="s">
        <v>166</v>
      </c>
      <c r="AT360" s="18">
        <v>0.2</v>
      </c>
      <c r="AU360" s="21" t="s">
        <v>186</v>
      </c>
      <c r="AV360" s="21" t="s">
        <v>166</v>
      </c>
      <c r="AW360" s="18" t="s">
        <v>166</v>
      </c>
      <c r="AX360" s="21" t="s">
        <v>166</v>
      </c>
      <c r="AY360" s="14" t="s">
        <v>187</v>
      </c>
      <c r="AZ360" s="14" t="s">
        <v>166</v>
      </c>
      <c r="BA360" s="14" t="s">
        <v>166</v>
      </c>
      <c r="BB360" s="21" t="s">
        <v>166</v>
      </c>
      <c r="BC360" s="14" t="s">
        <v>179</v>
      </c>
      <c r="BD360" s="14" t="s">
        <v>7152</v>
      </c>
      <c r="BE360" s="14" t="s">
        <v>189</v>
      </c>
      <c r="BF360" s="18">
        <v>0.1</v>
      </c>
      <c r="BG360" s="14" t="s">
        <v>190</v>
      </c>
      <c r="BH360" s="14" t="s">
        <v>166</v>
      </c>
      <c r="BI360" s="14" t="s">
        <v>166</v>
      </c>
      <c r="BJ360" s="18" t="s">
        <v>166</v>
      </c>
      <c r="BK360" s="18" t="s">
        <v>166</v>
      </c>
      <c r="BL360" s="14" t="s">
        <v>191</v>
      </c>
      <c r="BM360" s="14" t="s">
        <v>178</v>
      </c>
      <c r="BN360" s="14" t="s">
        <v>177</v>
      </c>
      <c r="BO360" s="22" t="s">
        <v>166</v>
      </c>
      <c r="BP360" s="14" t="s">
        <v>7142</v>
      </c>
      <c r="BQ360" s="21">
        <v>1</v>
      </c>
      <c r="BR360" s="14" t="s">
        <v>166</v>
      </c>
      <c r="BS360" s="21" t="s">
        <v>166</v>
      </c>
      <c r="BT360" s="14" t="s">
        <v>7142</v>
      </c>
      <c r="BU360" s="14" t="s">
        <v>166</v>
      </c>
      <c r="BV360" s="14" t="s">
        <v>166</v>
      </c>
      <c r="BW360" s="14" t="s">
        <v>166</v>
      </c>
      <c r="BX360" s="14" t="s">
        <v>166</v>
      </c>
      <c r="BY360" s="14" t="s">
        <v>166</v>
      </c>
      <c r="BZ360" s="14" t="s">
        <v>166</v>
      </c>
      <c r="CA360" s="14" t="s">
        <v>166</v>
      </c>
      <c r="CB360" s="14" t="s">
        <v>166</v>
      </c>
      <c r="CC360" s="14" t="s">
        <v>166</v>
      </c>
      <c r="CD360" s="14" t="s">
        <v>166</v>
      </c>
      <c r="CE360" s="18" t="s">
        <v>166</v>
      </c>
      <c r="CF360" s="16" t="s">
        <v>166</v>
      </c>
      <c r="CG360" s="17" t="s">
        <v>166</v>
      </c>
      <c r="CH360" s="16" t="s">
        <v>166</v>
      </c>
      <c r="CI360" s="16" t="s">
        <v>166</v>
      </c>
      <c r="CJ360" s="16" t="s">
        <v>166</v>
      </c>
      <c r="CK360" s="16" t="s">
        <v>166</v>
      </c>
      <c r="CL360" s="16" t="s">
        <v>166</v>
      </c>
      <c r="CM360" s="20" t="s">
        <v>166</v>
      </c>
      <c r="CN360" s="16" t="s">
        <v>166</v>
      </c>
      <c r="CO360" s="16" t="s">
        <v>166</v>
      </c>
      <c r="CP360" s="16" t="s">
        <v>166</v>
      </c>
      <c r="CQ360" s="16" t="s">
        <v>166</v>
      </c>
      <c r="CR360" s="16" t="s">
        <v>166</v>
      </c>
      <c r="CS360" s="16" t="s">
        <v>166</v>
      </c>
      <c r="CT360" s="16" t="s">
        <v>166</v>
      </c>
      <c r="CU360" s="16" t="s">
        <v>166</v>
      </c>
      <c r="CV360" s="16" t="s">
        <v>166</v>
      </c>
      <c r="CW360" s="16" t="s">
        <v>166</v>
      </c>
      <c r="CX360" s="16" t="s">
        <v>166</v>
      </c>
      <c r="CY360" s="16" t="s">
        <v>166</v>
      </c>
      <c r="CZ360" s="16" t="s">
        <v>166</v>
      </c>
      <c r="DA360" s="16" t="s">
        <v>166</v>
      </c>
      <c r="DB360" s="16" t="s">
        <v>166</v>
      </c>
      <c r="DC360" s="16" t="s">
        <v>166</v>
      </c>
      <c r="DD360" s="16" t="s">
        <v>166</v>
      </c>
      <c r="DE360" s="17" t="s">
        <v>166</v>
      </c>
      <c r="DF360" s="22">
        <v>4</v>
      </c>
      <c r="DG360" s="14" t="s">
        <v>7153</v>
      </c>
      <c r="DH360" s="14" t="s">
        <v>193</v>
      </c>
      <c r="DI360" s="14" t="s">
        <v>194</v>
      </c>
      <c r="DJ360" s="14" t="s">
        <v>166</v>
      </c>
      <c r="DK360" s="14" t="s">
        <v>3521</v>
      </c>
      <c r="DL360" s="21" t="s">
        <v>7154</v>
      </c>
      <c r="DM360" s="14" t="s">
        <v>198</v>
      </c>
      <c r="DN360" s="13" t="s">
        <v>7155</v>
      </c>
      <c r="DO360" s="20">
        <v>2021</v>
      </c>
      <c r="DP360" s="14" t="s">
        <v>166</v>
      </c>
      <c r="DQ360" s="14" t="s">
        <v>166</v>
      </c>
      <c r="DR360" s="18" t="s">
        <v>166</v>
      </c>
      <c r="DS360" s="16" t="s">
        <v>166</v>
      </c>
      <c r="DT360" s="19" t="s">
        <v>166</v>
      </c>
      <c r="DU360" s="14" t="s">
        <v>166</v>
      </c>
      <c r="DV360" s="18" t="s">
        <v>166</v>
      </c>
      <c r="DW360" s="18" t="s">
        <v>166</v>
      </c>
      <c r="DX360" s="16" t="s">
        <v>166</v>
      </c>
      <c r="DY360" s="16" t="s">
        <v>166</v>
      </c>
      <c r="DZ360" s="17" t="s">
        <v>166</v>
      </c>
      <c r="EA360" s="16" t="s">
        <v>166</v>
      </c>
      <c r="EB360" s="16" t="s">
        <v>166</v>
      </c>
      <c r="EC360" s="16" t="s">
        <v>166</v>
      </c>
      <c r="ED360" s="17" t="s">
        <v>166</v>
      </c>
      <c r="EE360" s="17" t="s">
        <v>166</v>
      </c>
      <c r="EF360" s="17" t="s">
        <v>166</v>
      </c>
      <c r="EG360" s="17" t="s">
        <v>166</v>
      </c>
      <c r="EH360" s="16" t="s">
        <v>166</v>
      </c>
      <c r="EI360" s="16" t="s">
        <v>166</v>
      </c>
      <c r="EJ360" s="16" t="s">
        <v>166</v>
      </c>
      <c r="EK360" s="16" t="s">
        <v>166</v>
      </c>
      <c r="EL360" s="16" t="s">
        <v>166</v>
      </c>
      <c r="EM360" s="16" t="s">
        <v>166</v>
      </c>
      <c r="EN360" s="16" t="s">
        <v>166</v>
      </c>
      <c r="EO360" s="16" t="s">
        <v>166</v>
      </c>
      <c r="EP360" s="16" t="s">
        <v>166</v>
      </c>
      <c r="EQ360" s="16" t="s">
        <v>166</v>
      </c>
      <c r="ER360" s="16" t="s">
        <v>166</v>
      </c>
      <c r="ES360" s="16" t="s">
        <v>166</v>
      </c>
      <c r="ET360" s="14" t="s">
        <v>166</v>
      </c>
      <c r="EU360" s="16" t="s">
        <v>166</v>
      </c>
      <c r="EV360" s="16" t="s">
        <v>166</v>
      </c>
      <c r="EW360" s="16" t="s">
        <v>166</v>
      </c>
      <c r="EX360" s="14" t="s">
        <v>190</v>
      </c>
      <c r="EY360" s="14" t="s">
        <v>166</v>
      </c>
      <c r="EZ360" s="16" t="s">
        <v>166</v>
      </c>
      <c r="FA360" s="15" t="s">
        <v>166</v>
      </c>
      <c r="FB360" s="15" t="s">
        <v>166</v>
      </c>
      <c r="FC360" s="15" t="s">
        <v>166</v>
      </c>
      <c r="FD360" s="15" t="s">
        <v>166</v>
      </c>
      <c r="FE360" s="15" t="s">
        <v>166</v>
      </c>
      <c r="FF360" s="15" t="s">
        <v>166</v>
      </c>
      <c r="FG360" s="14" t="s">
        <v>166</v>
      </c>
      <c r="FH360" s="3">
        <f>HYPERLINK("https://my.pitchbook.com?c=209690-65T","View Company Online")</f>
      </c>
    </row>
    <row r="361">
      <c r="A361" s="25" t="s">
        <v>7156</v>
      </c>
      <c r="B361" s="25" t="s">
        <v>7157</v>
      </c>
      <c r="C361" s="25" t="s">
        <v>7158</v>
      </c>
      <c r="D361" s="25" t="s">
        <v>166</v>
      </c>
      <c r="E361" s="34" t="s">
        <v>7159</v>
      </c>
      <c r="F361" s="32">
        <v>2</v>
      </c>
      <c r="G361" s="25" t="s">
        <v>7160</v>
      </c>
      <c r="H361" s="25" t="s">
        <v>166</v>
      </c>
      <c r="I361" s="25" t="s">
        <v>7161</v>
      </c>
      <c r="J361" s="25" t="s">
        <v>7162</v>
      </c>
      <c r="K361" s="25" t="s">
        <v>207</v>
      </c>
      <c r="L361" s="25" t="s">
        <v>208</v>
      </c>
      <c r="M361" s="25" t="s">
        <v>1766</v>
      </c>
      <c r="N361" s="25" t="s">
        <v>2393</v>
      </c>
      <c r="O361" s="25" t="s">
        <v>1035</v>
      </c>
      <c r="P361" s="25" t="s">
        <v>7163</v>
      </c>
      <c r="Q361" s="25" t="s">
        <v>166</v>
      </c>
      <c r="R361" s="25" t="s">
        <v>177</v>
      </c>
      <c r="S361" s="25" t="s">
        <v>178</v>
      </c>
      <c r="T361" s="25" t="s">
        <v>179</v>
      </c>
      <c r="U361" s="25" t="s">
        <v>7164</v>
      </c>
      <c r="V361" s="25" t="s">
        <v>7165</v>
      </c>
      <c r="W361" s="32" t="s">
        <v>7166</v>
      </c>
      <c r="X361" s="25" t="s">
        <v>166</v>
      </c>
      <c r="Y361" s="25" t="s">
        <v>7167</v>
      </c>
      <c r="Z361" s="25" t="s">
        <v>7168</v>
      </c>
      <c r="AA361" s="25" t="s">
        <v>166</v>
      </c>
      <c r="AB361" s="25" t="s">
        <v>166</v>
      </c>
      <c r="AC361" s="25" t="s">
        <v>166</v>
      </c>
      <c r="AD361" s="25" t="s">
        <v>166</v>
      </c>
      <c r="AE361" s="25" t="s">
        <v>166</v>
      </c>
      <c r="AF361" s="25" t="s">
        <v>166</v>
      </c>
      <c r="AG361" s="25" t="s">
        <v>166</v>
      </c>
      <c r="AH361" s="32">
        <v>1</v>
      </c>
      <c r="AI361" s="4">
        <f>HYPERLINK("https://my.pitchbook.com/?d=225766-09T","225766-09T")</f>
      </c>
      <c r="AJ361" s="30" t="s">
        <v>166</v>
      </c>
      <c r="AK361" s="30">
        <v>44440</v>
      </c>
      <c r="AL361" s="29">
        <v>1.1</v>
      </c>
      <c r="AM361" s="25" t="s">
        <v>185</v>
      </c>
      <c r="AN361" s="29">
        <v>5.9</v>
      </c>
      <c r="AO361" s="29">
        <v>7</v>
      </c>
      <c r="AP361" s="25" t="s">
        <v>185</v>
      </c>
      <c r="AQ361" s="32" t="s">
        <v>166</v>
      </c>
      <c r="AR361" s="32" t="s">
        <v>166</v>
      </c>
      <c r="AS361" s="28">
        <v>15.71</v>
      </c>
      <c r="AT361" s="29">
        <v>1.1</v>
      </c>
      <c r="AU361" s="32" t="s">
        <v>186</v>
      </c>
      <c r="AV361" s="32" t="s">
        <v>166</v>
      </c>
      <c r="AW361" s="29" t="s">
        <v>166</v>
      </c>
      <c r="AX361" s="32" t="s">
        <v>166</v>
      </c>
      <c r="AY361" s="25" t="s">
        <v>217</v>
      </c>
      <c r="AZ361" s="25" t="s">
        <v>217</v>
      </c>
      <c r="BA361" s="25" t="s">
        <v>166</v>
      </c>
      <c r="BB361" s="32" t="s">
        <v>166</v>
      </c>
      <c r="BC361" s="25" t="s">
        <v>179</v>
      </c>
      <c r="BD361" s="25" t="s">
        <v>7169</v>
      </c>
      <c r="BE361" s="25" t="s">
        <v>189</v>
      </c>
      <c r="BF361" s="29">
        <v>1.1</v>
      </c>
      <c r="BG361" s="25" t="s">
        <v>190</v>
      </c>
      <c r="BH361" s="25" t="s">
        <v>166</v>
      </c>
      <c r="BI361" s="25" t="s">
        <v>166</v>
      </c>
      <c r="BJ361" s="29" t="s">
        <v>166</v>
      </c>
      <c r="BK361" s="29" t="s">
        <v>166</v>
      </c>
      <c r="BL361" s="25" t="s">
        <v>191</v>
      </c>
      <c r="BM361" s="25" t="s">
        <v>178</v>
      </c>
      <c r="BN361" s="25" t="s">
        <v>177</v>
      </c>
      <c r="BO361" s="33" t="s">
        <v>166</v>
      </c>
      <c r="BP361" s="25" t="s">
        <v>7159</v>
      </c>
      <c r="BQ361" s="32">
        <v>2</v>
      </c>
      <c r="BR361" s="25" t="s">
        <v>166</v>
      </c>
      <c r="BS361" s="32" t="s">
        <v>166</v>
      </c>
      <c r="BT361" s="25" t="s">
        <v>166</v>
      </c>
      <c r="BU361" s="25" t="s">
        <v>166</v>
      </c>
      <c r="BV361" s="25" t="s">
        <v>166</v>
      </c>
      <c r="BW361" s="25" t="s">
        <v>166</v>
      </c>
      <c r="BX361" s="25" t="s">
        <v>166</v>
      </c>
      <c r="BY361" s="25" t="s">
        <v>166</v>
      </c>
      <c r="BZ361" s="25" t="s">
        <v>166</v>
      </c>
      <c r="CA361" s="25" t="s">
        <v>166</v>
      </c>
      <c r="CB361" s="25" t="s">
        <v>166</v>
      </c>
      <c r="CC361" s="25" t="s">
        <v>166</v>
      </c>
      <c r="CD361" s="25" t="s">
        <v>166</v>
      </c>
      <c r="CE361" s="29" t="s">
        <v>166</v>
      </c>
      <c r="CF361" s="27" t="s">
        <v>166</v>
      </c>
      <c r="CG361" s="28" t="s">
        <v>166</v>
      </c>
      <c r="CH361" s="27" t="s">
        <v>166</v>
      </c>
      <c r="CI361" s="27" t="s">
        <v>166</v>
      </c>
      <c r="CJ361" s="27" t="s">
        <v>166</v>
      </c>
      <c r="CK361" s="27" t="s">
        <v>166</v>
      </c>
      <c r="CL361" s="27" t="s">
        <v>166</v>
      </c>
      <c r="CM361" s="31" t="s">
        <v>166</v>
      </c>
      <c r="CN361" s="27" t="s">
        <v>166</v>
      </c>
      <c r="CO361" s="27" t="s">
        <v>166</v>
      </c>
      <c r="CP361" s="27" t="s">
        <v>166</v>
      </c>
      <c r="CQ361" s="27" t="s">
        <v>166</v>
      </c>
      <c r="CR361" s="27" t="s">
        <v>166</v>
      </c>
      <c r="CS361" s="27" t="s">
        <v>166</v>
      </c>
      <c r="CT361" s="27" t="s">
        <v>166</v>
      </c>
      <c r="CU361" s="27" t="s">
        <v>166</v>
      </c>
      <c r="CV361" s="27" t="s">
        <v>166</v>
      </c>
      <c r="CW361" s="27" t="s">
        <v>166</v>
      </c>
      <c r="CX361" s="27" t="s">
        <v>166</v>
      </c>
      <c r="CY361" s="27" t="s">
        <v>166</v>
      </c>
      <c r="CZ361" s="27" t="s">
        <v>166</v>
      </c>
      <c r="DA361" s="27" t="s">
        <v>166</v>
      </c>
      <c r="DB361" s="27" t="s">
        <v>166</v>
      </c>
      <c r="DC361" s="27" t="s">
        <v>166</v>
      </c>
      <c r="DD361" s="27" t="s">
        <v>166</v>
      </c>
      <c r="DE361" s="28" t="s">
        <v>166</v>
      </c>
      <c r="DF361" s="33">
        <v>43</v>
      </c>
      <c r="DG361" s="25" t="s">
        <v>6252</v>
      </c>
      <c r="DH361" s="25" t="s">
        <v>193</v>
      </c>
      <c r="DI361" s="25" t="s">
        <v>194</v>
      </c>
      <c r="DJ361" s="25" t="s">
        <v>6253</v>
      </c>
      <c r="DK361" s="25" t="s">
        <v>257</v>
      </c>
      <c r="DL361" s="32" t="s">
        <v>6254</v>
      </c>
      <c r="DM361" s="25" t="s">
        <v>198</v>
      </c>
      <c r="DN361" s="24" t="s">
        <v>7170</v>
      </c>
      <c r="DO361" s="31">
        <v>2010</v>
      </c>
      <c r="DP361" s="25" t="s">
        <v>166</v>
      </c>
      <c r="DQ361" s="25" t="s">
        <v>166</v>
      </c>
      <c r="DR361" s="29" t="s">
        <v>166</v>
      </c>
      <c r="DS361" s="27" t="s">
        <v>166</v>
      </c>
      <c r="DT361" s="30" t="s">
        <v>166</v>
      </c>
      <c r="DU361" s="25" t="s">
        <v>166</v>
      </c>
      <c r="DV361" s="29" t="s">
        <v>166</v>
      </c>
      <c r="DW361" s="29" t="s">
        <v>166</v>
      </c>
      <c r="DX361" s="27" t="s">
        <v>166</v>
      </c>
      <c r="DY361" s="27" t="s">
        <v>166</v>
      </c>
      <c r="DZ361" s="28" t="s">
        <v>166</v>
      </c>
      <c r="EA361" s="27" t="s">
        <v>166</v>
      </c>
      <c r="EB361" s="27" t="s">
        <v>166</v>
      </c>
      <c r="EC361" s="27" t="s">
        <v>166</v>
      </c>
      <c r="ED361" s="28" t="s">
        <v>166</v>
      </c>
      <c r="EE361" s="28" t="s">
        <v>166</v>
      </c>
      <c r="EF361" s="28" t="s">
        <v>166</v>
      </c>
      <c r="EG361" s="28" t="s">
        <v>166</v>
      </c>
      <c r="EH361" s="27" t="s">
        <v>166</v>
      </c>
      <c r="EI361" s="27" t="s">
        <v>166</v>
      </c>
      <c r="EJ361" s="27" t="s">
        <v>166</v>
      </c>
      <c r="EK361" s="27" t="s">
        <v>166</v>
      </c>
      <c r="EL361" s="27" t="s">
        <v>166</v>
      </c>
      <c r="EM361" s="27" t="s">
        <v>166</v>
      </c>
      <c r="EN361" s="27" t="s">
        <v>166</v>
      </c>
      <c r="EO361" s="27" t="s">
        <v>166</v>
      </c>
      <c r="EP361" s="27" t="s">
        <v>166</v>
      </c>
      <c r="EQ361" s="27" t="s">
        <v>166</v>
      </c>
      <c r="ER361" s="27" t="s">
        <v>166</v>
      </c>
      <c r="ES361" s="27" t="s">
        <v>166</v>
      </c>
      <c r="ET361" s="25" t="s">
        <v>166</v>
      </c>
      <c r="EU361" s="27" t="s">
        <v>166</v>
      </c>
      <c r="EV361" s="27" t="s">
        <v>166</v>
      </c>
      <c r="EW361" s="27" t="s">
        <v>166</v>
      </c>
      <c r="EX361" s="25" t="s">
        <v>190</v>
      </c>
      <c r="EY361" s="25" t="s">
        <v>166</v>
      </c>
      <c r="EZ361" s="27" t="s">
        <v>166</v>
      </c>
      <c r="FA361" s="26" t="s">
        <v>166</v>
      </c>
      <c r="FB361" s="26" t="s">
        <v>166</v>
      </c>
      <c r="FC361" s="26" t="s">
        <v>166</v>
      </c>
      <c r="FD361" s="26" t="s">
        <v>166</v>
      </c>
      <c r="FE361" s="26" t="s">
        <v>166</v>
      </c>
      <c r="FF361" s="26" t="s">
        <v>166</v>
      </c>
      <c r="FG361" s="25" t="s">
        <v>166</v>
      </c>
      <c r="FH361" s="4">
        <f>HYPERLINK("https://my.pitchbook.com?c=225766-09T","View Company Online")</f>
      </c>
    </row>
    <row r="362">
      <c r="A362" s="14" t="s">
        <v>7171</v>
      </c>
      <c r="B362" s="14" t="s">
        <v>7172</v>
      </c>
      <c r="C362" s="14" t="s">
        <v>7173</v>
      </c>
      <c r="D362" s="14" t="s">
        <v>166</v>
      </c>
      <c r="E362" s="23" t="s">
        <v>7174</v>
      </c>
      <c r="F362" s="21">
        <v>2</v>
      </c>
      <c r="G362" s="14" t="s">
        <v>7175</v>
      </c>
      <c r="H362" s="14" t="s">
        <v>166</v>
      </c>
      <c r="I362" s="14" t="s">
        <v>7176</v>
      </c>
      <c r="J362" s="14" t="s">
        <v>7177</v>
      </c>
      <c r="K362" s="14" t="s">
        <v>1455</v>
      </c>
      <c r="L362" s="14" t="s">
        <v>1984</v>
      </c>
      <c r="M362" s="14" t="s">
        <v>7178</v>
      </c>
      <c r="N362" s="14" t="s">
        <v>7179</v>
      </c>
      <c r="O362" s="14" t="s">
        <v>1072</v>
      </c>
      <c r="P362" s="14" t="s">
        <v>7180</v>
      </c>
      <c r="Q362" s="14" t="s">
        <v>166</v>
      </c>
      <c r="R362" s="14" t="s">
        <v>177</v>
      </c>
      <c r="S362" s="14" t="s">
        <v>178</v>
      </c>
      <c r="T362" s="14" t="s">
        <v>179</v>
      </c>
      <c r="U362" s="14" t="s">
        <v>7181</v>
      </c>
      <c r="V362" s="14" t="s">
        <v>7182</v>
      </c>
      <c r="W362" s="21" t="s">
        <v>7183</v>
      </c>
      <c r="X362" s="14" t="s">
        <v>7184</v>
      </c>
      <c r="Y362" s="14" t="s">
        <v>7185</v>
      </c>
      <c r="Z362" s="14" t="s">
        <v>7186</v>
      </c>
      <c r="AA362" s="14" t="s">
        <v>166</v>
      </c>
      <c r="AB362" s="14" t="s">
        <v>166</v>
      </c>
      <c r="AC362" s="14" t="s">
        <v>166</v>
      </c>
      <c r="AD362" s="14" t="s">
        <v>166</v>
      </c>
      <c r="AE362" s="14" t="s">
        <v>166</v>
      </c>
      <c r="AF362" s="14" t="s">
        <v>166</v>
      </c>
      <c r="AG362" s="14" t="s">
        <v>166</v>
      </c>
      <c r="AH362" s="21">
        <v>2</v>
      </c>
      <c r="AI362" s="3">
        <f>HYPERLINK("https://my.pitchbook.com/?d=134888-68T","134888-68T")</f>
      </c>
      <c r="AJ362" s="19" t="s">
        <v>166</v>
      </c>
      <c r="AK362" s="19">
        <v>43922</v>
      </c>
      <c r="AL362" s="18">
        <v>0.03</v>
      </c>
      <c r="AM362" s="14" t="s">
        <v>185</v>
      </c>
      <c r="AN362" s="18" t="s">
        <v>166</v>
      </c>
      <c r="AO362" s="18" t="s">
        <v>166</v>
      </c>
      <c r="AP362" s="14" t="s">
        <v>166</v>
      </c>
      <c r="AQ362" s="21" t="s">
        <v>166</v>
      </c>
      <c r="AR362" s="21" t="s">
        <v>166</v>
      </c>
      <c r="AS362" s="17" t="s">
        <v>166</v>
      </c>
      <c r="AT362" s="18">
        <v>0.13</v>
      </c>
      <c r="AU362" s="21" t="s">
        <v>186</v>
      </c>
      <c r="AV362" s="21" t="s">
        <v>166</v>
      </c>
      <c r="AW362" s="18" t="s">
        <v>166</v>
      </c>
      <c r="AX362" s="21" t="s">
        <v>166</v>
      </c>
      <c r="AY362" s="14" t="s">
        <v>217</v>
      </c>
      <c r="AZ362" s="14" t="s">
        <v>217</v>
      </c>
      <c r="BA362" s="14" t="s">
        <v>166</v>
      </c>
      <c r="BB362" s="21" t="s">
        <v>166</v>
      </c>
      <c r="BC362" s="14" t="s">
        <v>179</v>
      </c>
      <c r="BD362" s="14" t="s">
        <v>7187</v>
      </c>
      <c r="BE362" s="14" t="s">
        <v>189</v>
      </c>
      <c r="BF362" s="18">
        <v>0.03</v>
      </c>
      <c r="BG362" s="14" t="s">
        <v>190</v>
      </c>
      <c r="BH362" s="14" t="s">
        <v>166</v>
      </c>
      <c r="BI362" s="14" t="s">
        <v>166</v>
      </c>
      <c r="BJ362" s="18" t="s">
        <v>166</v>
      </c>
      <c r="BK362" s="18" t="s">
        <v>166</v>
      </c>
      <c r="BL362" s="14" t="s">
        <v>191</v>
      </c>
      <c r="BM362" s="14" t="s">
        <v>178</v>
      </c>
      <c r="BN362" s="14" t="s">
        <v>177</v>
      </c>
      <c r="BO362" s="22" t="s">
        <v>166</v>
      </c>
      <c r="BP362" s="14" t="s">
        <v>7174</v>
      </c>
      <c r="BQ362" s="21">
        <v>2</v>
      </c>
      <c r="BR362" s="14" t="s">
        <v>166</v>
      </c>
      <c r="BS362" s="21" t="s">
        <v>166</v>
      </c>
      <c r="BT362" s="14" t="s">
        <v>7188</v>
      </c>
      <c r="BU362" s="14" t="s">
        <v>166</v>
      </c>
      <c r="BV362" s="14" t="s">
        <v>166</v>
      </c>
      <c r="BW362" s="14" t="s">
        <v>166</v>
      </c>
      <c r="BX362" s="14" t="s">
        <v>166</v>
      </c>
      <c r="BY362" s="14" t="s">
        <v>166</v>
      </c>
      <c r="BZ362" s="14" t="s">
        <v>166</v>
      </c>
      <c r="CA362" s="14" t="s">
        <v>166</v>
      </c>
      <c r="CB362" s="14" t="s">
        <v>166</v>
      </c>
      <c r="CC362" s="14" t="s">
        <v>166</v>
      </c>
      <c r="CD362" s="14" t="s">
        <v>166</v>
      </c>
      <c r="CE362" s="18" t="s">
        <v>166</v>
      </c>
      <c r="CF362" s="16" t="s">
        <v>166</v>
      </c>
      <c r="CG362" s="17" t="s">
        <v>166</v>
      </c>
      <c r="CH362" s="16" t="s">
        <v>166</v>
      </c>
      <c r="CI362" s="16" t="s">
        <v>166</v>
      </c>
      <c r="CJ362" s="16" t="s">
        <v>166</v>
      </c>
      <c r="CK362" s="16" t="s">
        <v>166</v>
      </c>
      <c r="CL362" s="16" t="s">
        <v>166</v>
      </c>
      <c r="CM362" s="20" t="s">
        <v>166</v>
      </c>
      <c r="CN362" s="16" t="s">
        <v>166</v>
      </c>
      <c r="CO362" s="16" t="s">
        <v>166</v>
      </c>
      <c r="CP362" s="16" t="s">
        <v>166</v>
      </c>
      <c r="CQ362" s="16" t="s">
        <v>166</v>
      </c>
      <c r="CR362" s="16" t="s">
        <v>166</v>
      </c>
      <c r="CS362" s="16" t="s">
        <v>166</v>
      </c>
      <c r="CT362" s="16" t="s">
        <v>166</v>
      </c>
      <c r="CU362" s="16" t="s">
        <v>166</v>
      </c>
      <c r="CV362" s="16" t="s">
        <v>166</v>
      </c>
      <c r="CW362" s="16" t="s">
        <v>166</v>
      </c>
      <c r="CX362" s="16" t="s">
        <v>166</v>
      </c>
      <c r="CY362" s="16" t="s">
        <v>166</v>
      </c>
      <c r="CZ362" s="16" t="s">
        <v>166</v>
      </c>
      <c r="DA362" s="16" t="s">
        <v>166</v>
      </c>
      <c r="DB362" s="16" t="s">
        <v>166</v>
      </c>
      <c r="DC362" s="16" t="s">
        <v>166</v>
      </c>
      <c r="DD362" s="16" t="s">
        <v>166</v>
      </c>
      <c r="DE362" s="17" t="s">
        <v>166</v>
      </c>
      <c r="DF362" s="22">
        <v>19</v>
      </c>
      <c r="DG362" s="14" t="s">
        <v>7189</v>
      </c>
      <c r="DH362" s="14" t="s">
        <v>193</v>
      </c>
      <c r="DI362" s="14" t="s">
        <v>194</v>
      </c>
      <c r="DJ362" s="14" t="s">
        <v>7190</v>
      </c>
      <c r="DK362" s="14" t="s">
        <v>1023</v>
      </c>
      <c r="DL362" s="21" t="s">
        <v>7191</v>
      </c>
      <c r="DM362" s="14" t="s">
        <v>198</v>
      </c>
      <c r="DN362" s="13" t="s">
        <v>7192</v>
      </c>
      <c r="DO362" s="20">
        <v>2017</v>
      </c>
      <c r="DP362" s="14" t="s">
        <v>166</v>
      </c>
      <c r="DQ362" s="14" t="s">
        <v>166</v>
      </c>
      <c r="DR362" s="18" t="s">
        <v>166</v>
      </c>
      <c r="DS362" s="16" t="s">
        <v>166</v>
      </c>
      <c r="DT362" s="19" t="s">
        <v>166</v>
      </c>
      <c r="DU362" s="14" t="s">
        <v>166</v>
      </c>
      <c r="DV362" s="18" t="s">
        <v>166</v>
      </c>
      <c r="DW362" s="18" t="s">
        <v>166</v>
      </c>
      <c r="DX362" s="16" t="s">
        <v>166</v>
      </c>
      <c r="DY362" s="16" t="s">
        <v>166</v>
      </c>
      <c r="DZ362" s="17" t="s">
        <v>166</v>
      </c>
      <c r="EA362" s="16" t="s">
        <v>166</v>
      </c>
      <c r="EB362" s="16" t="s">
        <v>166</v>
      </c>
      <c r="EC362" s="16" t="s">
        <v>166</v>
      </c>
      <c r="ED362" s="17" t="s">
        <v>166</v>
      </c>
      <c r="EE362" s="17" t="s">
        <v>166</v>
      </c>
      <c r="EF362" s="17" t="s">
        <v>166</v>
      </c>
      <c r="EG362" s="17" t="s">
        <v>166</v>
      </c>
      <c r="EH362" s="16" t="s">
        <v>166</v>
      </c>
      <c r="EI362" s="16" t="s">
        <v>166</v>
      </c>
      <c r="EJ362" s="16" t="s">
        <v>166</v>
      </c>
      <c r="EK362" s="16" t="s">
        <v>166</v>
      </c>
      <c r="EL362" s="16" t="s">
        <v>166</v>
      </c>
      <c r="EM362" s="16" t="s">
        <v>166</v>
      </c>
      <c r="EN362" s="16" t="s">
        <v>166</v>
      </c>
      <c r="EO362" s="16" t="s">
        <v>166</v>
      </c>
      <c r="EP362" s="16" t="s">
        <v>166</v>
      </c>
      <c r="EQ362" s="16" t="s">
        <v>166</v>
      </c>
      <c r="ER362" s="16" t="s">
        <v>166</v>
      </c>
      <c r="ES362" s="16" t="s">
        <v>166</v>
      </c>
      <c r="ET362" s="14" t="s">
        <v>166</v>
      </c>
      <c r="EU362" s="16" t="s">
        <v>166</v>
      </c>
      <c r="EV362" s="16" t="s">
        <v>166</v>
      </c>
      <c r="EW362" s="16" t="s">
        <v>166</v>
      </c>
      <c r="EX362" s="14" t="s">
        <v>190</v>
      </c>
      <c r="EY362" s="14" t="s">
        <v>166</v>
      </c>
      <c r="EZ362" s="16" t="s">
        <v>166</v>
      </c>
      <c r="FA362" s="15" t="s">
        <v>166</v>
      </c>
      <c r="FB362" s="15" t="s">
        <v>166</v>
      </c>
      <c r="FC362" s="15" t="s">
        <v>166</v>
      </c>
      <c r="FD362" s="15" t="s">
        <v>166</v>
      </c>
      <c r="FE362" s="15" t="s">
        <v>166</v>
      </c>
      <c r="FF362" s="15" t="s">
        <v>166</v>
      </c>
      <c r="FG362" s="14" t="s">
        <v>166</v>
      </c>
      <c r="FH362" s="3">
        <f>HYPERLINK("https://my.pitchbook.com?c=134888-68T","View Company Online")</f>
      </c>
    </row>
    <row r="363">
      <c r="A363" s="25" t="s">
        <v>7193</v>
      </c>
      <c r="B363" s="25" t="s">
        <v>7194</v>
      </c>
      <c r="C363" s="25" t="s">
        <v>7195</v>
      </c>
      <c r="D363" s="25" t="s">
        <v>166</v>
      </c>
      <c r="E363" s="34" t="s">
        <v>7196</v>
      </c>
      <c r="F363" s="32">
        <v>6</v>
      </c>
      <c r="G363" s="25" t="s">
        <v>7197</v>
      </c>
      <c r="H363" s="25" t="s">
        <v>166</v>
      </c>
      <c r="I363" s="25" t="s">
        <v>7198</v>
      </c>
      <c r="J363" s="25" t="s">
        <v>7199</v>
      </c>
      <c r="K363" s="25" t="s">
        <v>1455</v>
      </c>
      <c r="L363" s="25" t="s">
        <v>1456</v>
      </c>
      <c r="M363" s="25" t="s">
        <v>2760</v>
      </c>
      <c r="N363" s="25" t="s">
        <v>7200</v>
      </c>
      <c r="O363" s="25" t="s">
        <v>7201</v>
      </c>
      <c r="P363" s="25" t="s">
        <v>7202</v>
      </c>
      <c r="Q363" s="25" t="s">
        <v>166</v>
      </c>
      <c r="R363" s="25" t="s">
        <v>177</v>
      </c>
      <c r="S363" s="25" t="s">
        <v>178</v>
      </c>
      <c r="T363" s="25" t="s">
        <v>179</v>
      </c>
      <c r="U363" s="25" t="s">
        <v>7203</v>
      </c>
      <c r="V363" s="25" t="s">
        <v>7204</v>
      </c>
      <c r="W363" s="32" t="s">
        <v>7205</v>
      </c>
      <c r="X363" s="25" t="s">
        <v>7206</v>
      </c>
      <c r="Y363" s="25" t="s">
        <v>7207</v>
      </c>
      <c r="Z363" s="25" t="s">
        <v>166</v>
      </c>
      <c r="AA363" s="25" t="s">
        <v>242</v>
      </c>
      <c r="AB363" s="25" t="s">
        <v>243</v>
      </c>
      <c r="AC363" s="25" t="s">
        <v>244</v>
      </c>
      <c r="AD363" s="25" t="s">
        <v>243</v>
      </c>
      <c r="AE363" s="25" t="s">
        <v>243</v>
      </c>
      <c r="AF363" s="25" t="s">
        <v>166</v>
      </c>
      <c r="AG363" s="25" t="s">
        <v>807</v>
      </c>
      <c r="AH363" s="32">
        <v>1</v>
      </c>
      <c r="AI363" s="4">
        <f>HYPERLINK("https://my.pitchbook.com/?d=139233-52T","139233-52T")</f>
      </c>
      <c r="AJ363" s="30">
        <v>43643</v>
      </c>
      <c r="AK363" s="30">
        <v>43945</v>
      </c>
      <c r="AL363" s="29">
        <v>2.5</v>
      </c>
      <c r="AM363" s="25" t="s">
        <v>185</v>
      </c>
      <c r="AN363" s="29">
        <v>2.6</v>
      </c>
      <c r="AO363" s="29">
        <v>5.1</v>
      </c>
      <c r="AP363" s="25" t="s">
        <v>185</v>
      </c>
      <c r="AQ363" s="32" t="s">
        <v>166</v>
      </c>
      <c r="AR363" s="32" t="s">
        <v>166</v>
      </c>
      <c r="AS363" s="28">
        <v>49.02</v>
      </c>
      <c r="AT363" s="29">
        <v>2.5</v>
      </c>
      <c r="AU363" s="32" t="s">
        <v>186</v>
      </c>
      <c r="AV363" s="32" t="s">
        <v>166</v>
      </c>
      <c r="AW363" s="29">
        <v>0.27</v>
      </c>
      <c r="AX363" s="32" t="s">
        <v>166</v>
      </c>
      <c r="AY363" s="25" t="s">
        <v>217</v>
      </c>
      <c r="AZ363" s="25" t="s">
        <v>217</v>
      </c>
      <c r="BA363" s="25" t="s">
        <v>166</v>
      </c>
      <c r="BB363" s="32" t="s">
        <v>166</v>
      </c>
      <c r="BC363" s="25" t="s">
        <v>179</v>
      </c>
      <c r="BD363" s="25" t="s">
        <v>7208</v>
      </c>
      <c r="BE363" s="25" t="s">
        <v>189</v>
      </c>
      <c r="BF363" s="29">
        <v>2.5</v>
      </c>
      <c r="BG363" s="25" t="s">
        <v>190</v>
      </c>
      <c r="BH363" s="25" t="s">
        <v>166</v>
      </c>
      <c r="BI363" s="25" t="s">
        <v>166</v>
      </c>
      <c r="BJ363" s="29" t="s">
        <v>166</v>
      </c>
      <c r="BK363" s="29" t="s">
        <v>166</v>
      </c>
      <c r="BL363" s="25" t="s">
        <v>191</v>
      </c>
      <c r="BM363" s="25" t="s">
        <v>178</v>
      </c>
      <c r="BN363" s="25" t="s">
        <v>177</v>
      </c>
      <c r="BO363" s="33" t="s">
        <v>166</v>
      </c>
      <c r="BP363" s="25" t="s">
        <v>7209</v>
      </c>
      <c r="BQ363" s="32">
        <v>6</v>
      </c>
      <c r="BR363" s="25" t="s">
        <v>166</v>
      </c>
      <c r="BS363" s="32" t="s">
        <v>166</v>
      </c>
      <c r="BT363" s="25" t="s">
        <v>7210</v>
      </c>
      <c r="BU363" s="25" t="s">
        <v>166</v>
      </c>
      <c r="BV363" s="25" t="s">
        <v>7211</v>
      </c>
      <c r="BW363" s="25" t="s">
        <v>166</v>
      </c>
      <c r="BX363" s="25" t="s">
        <v>166</v>
      </c>
      <c r="BY363" s="25" t="s">
        <v>166</v>
      </c>
      <c r="BZ363" s="25" t="s">
        <v>166</v>
      </c>
      <c r="CA363" s="25" t="s">
        <v>166</v>
      </c>
      <c r="CB363" s="25" t="s">
        <v>166</v>
      </c>
      <c r="CC363" s="25" t="s">
        <v>166</v>
      </c>
      <c r="CD363" s="25" t="s">
        <v>166</v>
      </c>
      <c r="CE363" s="29" t="s">
        <v>166</v>
      </c>
      <c r="CF363" s="27" t="s">
        <v>166</v>
      </c>
      <c r="CG363" s="28" t="s">
        <v>166</v>
      </c>
      <c r="CH363" s="27" t="s">
        <v>166</v>
      </c>
      <c r="CI363" s="27" t="s">
        <v>166</v>
      </c>
      <c r="CJ363" s="27" t="s">
        <v>166</v>
      </c>
      <c r="CK363" s="27" t="s">
        <v>166</v>
      </c>
      <c r="CL363" s="27" t="s">
        <v>166</v>
      </c>
      <c r="CM363" s="31" t="s">
        <v>166</v>
      </c>
      <c r="CN363" s="27" t="s">
        <v>166</v>
      </c>
      <c r="CO363" s="27" t="s">
        <v>166</v>
      </c>
      <c r="CP363" s="27" t="s">
        <v>166</v>
      </c>
      <c r="CQ363" s="27" t="s">
        <v>166</v>
      </c>
      <c r="CR363" s="27" t="s">
        <v>166</v>
      </c>
      <c r="CS363" s="27" t="s">
        <v>166</v>
      </c>
      <c r="CT363" s="27" t="s">
        <v>166</v>
      </c>
      <c r="CU363" s="27" t="s">
        <v>166</v>
      </c>
      <c r="CV363" s="27" t="s">
        <v>166</v>
      </c>
      <c r="CW363" s="27" t="s">
        <v>166</v>
      </c>
      <c r="CX363" s="27" t="s">
        <v>166</v>
      </c>
      <c r="CY363" s="27" t="s">
        <v>166</v>
      </c>
      <c r="CZ363" s="27" t="s">
        <v>166</v>
      </c>
      <c r="DA363" s="27" t="s">
        <v>166</v>
      </c>
      <c r="DB363" s="27" t="s">
        <v>166</v>
      </c>
      <c r="DC363" s="27" t="s">
        <v>166</v>
      </c>
      <c r="DD363" s="27" t="s">
        <v>166</v>
      </c>
      <c r="DE363" s="28" t="s">
        <v>166</v>
      </c>
      <c r="DF363" s="33">
        <v>23</v>
      </c>
      <c r="DG363" s="25" t="s">
        <v>1540</v>
      </c>
      <c r="DH363" s="25" t="s">
        <v>193</v>
      </c>
      <c r="DI363" s="25" t="s">
        <v>194</v>
      </c>
      <c r="DJ363" s="25" t="s">
        <v>1541</v>
      </c>
      <c r="DK363" s="25" t="s">
        <v>257</v>
      </c>
      <c r="DL363" s="32" t="s">
        <v>7212</v>
      </c>
      <c r="DM363" s="25" t="s">
        <v>198</v>
      </c>
      <c r="DN363" s="24" t="s">
        <v>7213</v>
      </c>
      <c r="DO363" s="31">
        <v>2019</v>
      </c>
      <c r="DP363" s="25" t="s">
        <v>166</v>
      </c>
      <c r="DQ363" s="25" t="s">
        <v>166</v>
      </c>
      <c r="DR363" s="29" t="s">
        <v>166</v>
      </c>
      <c r="DS363" s="27" t="s">
        <v>166</v>
      </c>
      <c r="DT363" s="30" t="s">
        <v>166</v>
      </c>
      <c r="DU363" s="25" t="s">
        <v>166</v>
      </c>
      <c r="DV363" s="29" t="s">
        <v>166</v>
      </c>
      <c r="DW363" s="29" t="s">
        <v>166</v>
      </c>
      <c r="DX363" s="27" t="s">
        <v>166</v>
      </c>
      <c r="DY363" s="27" t="s">
        <v>166</v>
      </c>
      <c r="DZ363" s="28" t="s">
        <v>166</v>
      </c>
      <c r="EA363" s="27" t="s">
        <v>166</v>
      </c>
      <c r="EB363" s="27" t="s">
        <v>166</v>
      </c>
      <c r="EC363" s="27" t="s">
        <v>166</v>
      </c>
      <c r="ED363" s="28" t="s">
        <v>166</v>
      </c>
      <c r="EE363" s="28" t="s">
        <v>166</v>
      </c>
      <c r="EF363" s="28" t="s">
        <v>166</v>
      </c>
      <c r="EG363" s="28" t="s">
        <v>166</v>
      </c>
      <c r="EH363" s="27" t="s">
        <v>166</v>
      </c>
      <c r="EI363" s="27" t="s">
        <v>166</v>
      </c>
      <c r="EJ363" s="27" t="s">
        <v>166</v>
      </c>
      <c r="EK363" s="27" t="s">
        <v>166</v>
      </c>
      <c r="EL363" s="27" t="s">
        <v>166</v>
      </c>
      <c r="EM363" s="27" t="s">
        <v>166</v>
      </c>
      <c r="EN363" s="27" t="s">
        <v>166</v>
      </c>
      <c r="EO363" s="27" t="s">
        <v>166</v>
      </c>
      <c r="EP363" s="27" t="s">
        <v>166</v>
      </c>
      <c r="EQ363" s="27" t="s">
        <v>166</v>
      </c>
      <c r="ER363" s="27" t="s">
        <v>166</v>
      </c>
      <c r="ES363" s="27" t="s">
        <v>166</v>
      </c>
      <c r="ET363" s="25" t="s">
        <v>166</v>
      </c>
      <c r="EU363" s="27" t="s">
        <v>166</v>
      </c>
      <c r="EV363" s="27" t="s">
        <v>166</v>
      </c>
      <c r="EW363" s="27" t="s">
        <v>166</v>
      </c>
      <c r="EX363" s="25" t="s">
        <v>190</v>
      </c>
      <c r="EY363" s="25" t="s">
        <v>166</v>
      </c>
      <c r="EZ363" s="27" t="s">
        <v>166</v>
      </c>
      <c r="FA363" s="26" t="s">
        <v>166</v>
      </c>
      <c r="FB363" s="26" t="s">
        <v>166</v>
      </c>
      <c r="FC363" s="26" t="s">
        <v>166</v>
      </c>
      <c r="FD363" s="26" t="s">
        <v>166</v>
      </c>
      <c r="FE363" s="26" t="s">
        <v>166</v>
      </c>
      <c r="FF363" s="26" t="s">
        <v>166</v>
      </c>
      <c r="FG363" s="25" t="s">
        <v>166</v>
      </c>
      <c r="FH363" s="4">
        <f>HYPERLINK("https://my.pitchbook.com?c=139233-52T","View Company Online")</f>
      </c>
    </row>
    <row r="364">
      <c r="A364" s="14" t="s">
        <v>7214</v>
      </c>
      <c r="B364" s="14" t="s">
        <v>7215</v>
      </c>
      <c r="C364" s="14" t="s">
        <v>7216</v>
      </c>
      <c r="D364" s="14" t="s">
        <v>166</v>
      </c>
      <c r="E364" s="23" t="s">
        <v>7217</v>
      </c>
      <c r="F364" s="21">
        <v>4</v>
      </c>
      <c r="G364" s="14" t="s">
        <v>7218</v>
      </c>
      <c r="H364" s="14" t="s">
        <v>166</v>
      </c>
      <c r="I364" s="14" t="s">
        <v>7219</v>
      </c>
      <c r="J364" s="14" t="s">
        <v>7220</v>
      </c>
      <c r="K364" s="14" t="s">
        <v>207</v>
      </c>
      <c r="L364" s="14" t="s">
        <v>208</v>
      </c>
      <c r="M364" s="14" t="s">
        <v>1220</v>
      </c>
      <c r="N364" s="14" t="s">
        <v>1379</v>
      </c>
      <c r="O364" s="14" t="s">
        <v>3837</v>
      </c>
      <c r="P364" s="14" t="s">
        <v>7221</v>
      </c>
      <c r="Q364" s="14" t="s">
        <v>166</v>
      </c>
      <c r="R364" s="14" t="s">
        <v>177</v>
      </c>
      <c r="S364" s="14" t="s">
        <v>178</v>
      </c>
      <c r="T364" s="14" t="s">
        <v>179</v>
      </c>
      <c r="U364" s="14" t="s">
        <v>7222</v>
      </c>
      <c r="V364" s="14" t="s">
        <v>7223</v>
      </c>
      <c r="W364" s="21" t="s">
        <v>7224</v>
      </c>
      <c r="X364" s="14" t="s">
        <v>7225</v>
      </c>
      <c r="Y364" s="14" t="s">
        <v>7226</v>
      </c>
      <c r="Z364" s="14" t="s">
        <v>7227</v>
      </c>
      <c r="AA364" s="14" t="s">
        <v>166</v>
      </c>
      <c r="AB364" s="14" t="s">
        <v>166</v>
      </c>
      <c r="AC364" s="14" t="s">
        <v>166</v>
      </c>
      <c r="AD364" s="14" t="s">
        <v>166</v>
      </c>
      <c r="AE364" s="14" t="s">
        <v>166</v>
      </c>
      <c r="AF364" s="14" t="s">
        <v>166</v>
      </c>
      <c r="AG364" s="14" t="s">
        <v>166</v>
      </c>
      <c r="AH364" s="21">
        <v>2</v>
      </c>
      <c r="AI364" s="3">
        <f>HYPERLINK("https://my.pitchbook.com/?d=253664-65T","253664-65T")</f>
      </c>
      <c r="AJ364" s="19" t="s">
        <v>166</v>
      </c>
      <c r="AK364" s="19">
        <v>45267</v>
      </c>
      <c r="AL364" s="18">
        <v>2</v>
      </c>
      <c r="AM364" s="14" t="s">
        <v>185</v>
      </c>
      <c r="AN364" s="18" t="s">
        <v>166</v>
      </c>
      <c r="AO364" s="18" t="s">
        <v>166</v>
      </c>
      <c r="AP364" s="14" t="s">
        <v>166</v>
      </c>
      <c r="AQ364" s="21" t="s">
        <v>166</v>
      </c>
      <c r="AR364" s="21" t="s">
        <v>166</v>
      </c>
      <c r="AS364" s="17" t="s">
        <v>166</v>
      </c>
      <c r="AT364" s="18">
        <v>2</v>
      </c>
      <c r="AU364" s="21" t="s">
        <v>186</v>
      </c>
      <c r="AV364" s="21" t="s">
        <v>166</v>
      </c>
      <c r="AW364" s="18" t="s">
        <v>166</v>
      </c>
      <c r="AX364" s="21" t="s">
        <v>166</v>
      </c>
      <c r="AY364" s="14" t="s">
        <v>217</v>
      </c>
      <c r="AZ364" s="14" t="s">
        <v>217</v>
      </c>
      <c r="BA364" s="14" t="s">
        <v>166</v>
      </c>
      <c r="BB364" s="21" t="s">
        <v>166</v>
      </c>
      <c r="BC364" s="14" t="s">
        <v>179</v>
      </c>
      <c r="BD364" s="14" t="s">
        <v>7228</v>
      </c>
      <c r="BE364" s="14" t="s">
        <v>189</v>
      </c>
      <c r="BF364" s="18">
        <v>2</v>
      </c>
      <c r="BG364" s="14" t="s">
        <v>190</v>
      </c>
      <c r="BH364" s="14" t="s">
        <v>166</v>
      </c>
      <c r="BI364" s="14" t="s">
        <v>166</v>
      </c>
      <c r="BJ364" s="18" t="s">
        <v>166</v>
      </c>
      <c r="BK364" s="18" t="s">
        <v>166</v>
      </c>
      <c r="BL364" s="14" t="s">
        <v>191</v>
      </c>
      <c r="BM364" s="14" t="s">
        <v>178</v>
      </c>
      <c r="BN364" s="14" t="s">
        <v>177</v>
      </c>
      <c r="BO364" s="22" t="s">
        <v>166</v>
      </c>
      <c r="BP364" s="14" t="s">
        <v>7229</v>
      </c>
      <c r="BQ364" s="21">
        <v>3</v>
      </c>
      <c r="BR364" s="14" t="s">
        <v>7230</v>
      </c>
      <c r="BS364" s="21">
        <v>1</v>
      </c>
      <c r="BT364" s="14" t="s">
        <v>166</v>
      </c>
      <c r="BU364" s="14" t="s">
        <v>166</v>
      </c>
      <c r="BV364" s="14" t="s">
        <v>7231</v>
      </c>
      <c r="BW364" s="14" t="s">
        <v>166</v>
      </c>
      <c r="BX364" s="14" t="s">
        <v>166</v>
      </c>
      <c r="BY364" s="14" t="s">
        <v>166</v>
      </c>
      <c r="BZ364" s="14" t="s">
        <v>166</v>
      </c>
      <c r="CA364" s="14" t="s">
        <v>166</v>
      </c>
      <c r="CB364" s="14" t="s">
        <v>166</v>
      </c>
      <c r="CC364" s="14" t="s">
        <v>166</v>
      </c>
      <c r="CD364" s="14" t="s">
        <v>166</v>
      </c>
      <c r="CE364" s="18" t="s">
        <v>166</v>
      </c>
      <c r="CF364" s="16" t="s">
        <v>166</v>
      </c>
      <c r="CG364" s="17" t="s">
        <v>166</v>
      </c>
      <c r="CH364" s="16" t="s">
        <v>166</v>
      </c>
      <c r="CI364" s="16" t="s">
        <v>166</v>
      </c>
      <c r="CJ364" s="16" t="s">
        <v>166</v>
      </c>
      <c r="CK364" s="16" t="s">
        <v>166</v>
      </c>
      <c r="CL364" s="16" t="s">
        <v>166</v>
      </c>
      <c r="CM364" s="20" t="s">
        <v>166</v>
      </c>
      <c r="CN364" s="16" t="s">
        <v>166</v>
      </c>
      <c r="CO364" s="16" t="s">
        <v>166</v>
      </c>
      <c r="CP364" s="16" t="s">
        <v>166</v>
      </c>
      <c r="CQ364" s="16" t="s">
        <v>166</v>
      </c>
      <c r="CR364" s="16" t="s">
        <v>166</v>
      </c>
      <c r="CS364" s="16" t="s">
        <v>166</v>
      </c>
      <c r="CT364" s="16" t="s">
        <v>166</v>
      </c>
      <c r="CU364" s="16" t="s">
        <v>166</v>
      </c>
      <c r="CV364" s="16" t="s">
        <v>166</v>
      </c>
      <c r="CW364" s="16" t="s">
        <v>166</v>
      </c>
      <c r="CX364" s="16" t="s">
        <v>166</v>
      </c>
      <c r="CY364" s="16" t="s">
        <v>166</v>
      </c>
      <c r="CZ364" s="16" t="s">
        <v>166</v>
      </c>
      <c r="DA364" s="16" t="s">
        <v>166</v>
      </c>
      <c r="DB364" s="16" t="s">
        <v>166</v>
      </c>
      <c r="DC364" s="16" t="s">
        <v>166</v>
      </c>
      <c r="DD364" s="16" t="s">
        <v>166</v>
      </c>
      <c r="DE364" s="17" t="s">
        <v>166</v>
      </c>
      <c r="DF364" s="22">
        <v>10</v>
      </c>
      <c r="DG364" s="14" t="s">
        <v>7232</v>
      </c>
      <c r="DH364" s="14" t="s">
        <v>193</v>
      </c>
      <c r="DI364" s="14" t="s">
        <v>194</v>
      </c>
      <c r="DJ364" s="14" t="s">
        <v>7233</v>
      </c>
      <c r="DK364" s="14" t="s">
        <v>386</v>
      </c>
      <c r="DL364" s="21" t="s">
        <v>7234</v>
      </c>
      <c r="DM364" s="14" t="s">
        <v>198</v>
      </c>
      <c r="DN364" s="13" t="s">
        <v>7235</v>
      </c>
      <c r="DO364" s="20">
        <v>2023</v>
      </c>
      <c r="DP364" s="14" t="s">
        <v>166</v>
      </c>
      <c r="DQ364" s="14" t="s">
        <v>166</v>
      </c>
      <c r="DR364" s="18" t="s">
        <v>166</v>
      </c>
      <c r="DS364" s="16" t="s">
        <v>166</v>
      </c>
      <c r="DT364" s="19" t="s">
        <v>166</v>
      </c>
      <c r="DU364" s="14" t="s">
        <v>166</v>
      </c>
      <c r="DV364" s="18" t="s">
        <v>166</v>
      </c>
      <c r="DW364" s="18" t="s">
        <v>166</v>
      </c>
      <c r="DX364" s="16" t="s">
        <v>166</v>
      </c>
      <c r="DY364" s="16" t="s">
        <v>166</v>
      </c>
      <c r="DZ364" s="17" t="s">
        <v>166</v>
      </c>
      <c r="EA364" s="16" t="s">
        <v>166</v>
      </c>
      <c r="EB364" s="16" t="s">
        <v>166</v>
      </c>
      <c r="EC364" s="16" t="s">
        <v>166</v>
      </c>
      <c r="ED364" s="17" t="s">
        <v>166</v>
      </c>
      <c r="EE364" s="17" t="s">
        <v>166</v>
      </c>
      <c r="EF364" s="17" t="s">
        <v>166</v>
      </c>
      <c r="EG364" s="17" t="s">
        <v>166</v>
      </c>
      <c r="EH364" s="16" t="s">
        <v>166</v>
      </c>
      <c r="EI364" s="16" t="s">
        <v>166</v>
      </c>
      <c r="EJ364" s="16" t="s">
        <v>166</v>
      </c>
      <c r="EK364" s="16" t="s">
        <v>166</v>
      </c>
      <c r="EL364" s="16" t="s">
        <v>166</v>
      </c>
      <c r="EM364" s="16" t="s">
        <v>166</v>
      </c>
      <c r="EN364" s="16" t="s">
        <v>166</v>
      </c>
      <c r="EO364" s="16" t="s">
        <v>166</v>
      </c>
      <c r="EP364" s="16" t="s">
        <v>166</v>
      </c>
      <c r="EQ364" s="16" t="s">
        <v>166</v>
      </c>
      <c r="ER364" s="16" t="s">
        <v>166</v>
      </c>
      <c r="ES364" s="16" t="s">
        <v>166</v>
      </c>
      <c r="ET364" s="14" t="s">
        <v>166</v>
      </c>
      <c r="EU364" s="16" t="s">
        <v>166</v>
      </c>
      <c r="EV364" s="16" t="s">
        <v>166</v>
      </c>
      <c r="EW364" s="16" t="s">
        <v>166</v>
      </c>
      <c r="EX364" s="14" t="s">
        <v>190</v>
      </c>
      <c r="EY364" s="14" t="s">
        <v>166</v>
      </c>
      <c r="EZ364" s="16" t="s">
        <v>166</v>
      </c>
      <c r="FA364" s="15" t="s">
        <v>166</v>
      </c>
      <c r="FB364" s="15" t="s">
        <v>166</v>
      </c>
      <c r="FC364" s="15" t="s">
        <v>166</v>
      </c>
      <c r="FD364" s="15" t="s">
        <v>166</v>
      </c>
      <c r="FE364" s="15" t="s">
        <v>166</v>
      </c>
      <c r="FF364" s="15" t="s">
        <v>166</v>
      </c>
      <c r="FG364" s="14" t="s">
        <v>166</v>
      </c>
      <c r="FH364" s="3">
        <f>HYPERLINK("https://my.pitchbook.com?c=253664-65T","View Company Online")</f>
      </c>
    </row>
    <row r="365">
      <c r="A365" s="25" t="s">
        <v>7236</v>
      </c>
      <c r="B365" s="25" t="s">
        <v>7237</v>
      </c>
      <c r="C365" s="25" t="s">
        <v>7238</v>
      </c>
      <c r="D365" s="25" t="s">
        <v>166</v>
      </c>
      <c r="E365" s="34" t="s">
        <v>3403</v>
      </c>
      <c r="F365" s="32">
        <v>1</v>
      </c>
      <c r="G365" s="25" t="s">
        <v>3404</v>
      </c>
      <c r="H365" s="25" t="s">
        <v>166</v>
      </c>
      <c r="I365" s="25" t="s">
        <v>7239</v>
      </c>
      <c r="J365" s="25" t="s">
        <v>7240</v>
      </c>
      <c r="K365" s="25" t="s">
        <v>207</v>
      </c>
      <c r="L365" s="25" t="s">
        <v>208</v>
      </c>
      <c r="M365" s="25" t="s">
        <v>209</v>
      </c>
      <c r="N365" s="25" t="s">
        <v>269</v>
      </c>
      <c r="O365" s="25" t="s">
        <v>397</v>
      </c>
      <c r="P365" s="25" t="s">
        <v>7241</v>
      </c>
      <c r="Q365" s="25" t="s">
        <v>166</v>
      </c>
      <c r="R365" s="25" t="s">
        <v>177</v>
      </c>
      <c r="S365" s="25" t="s">
        <v>178</v>
      </c>
      <c r="T365" s="25" t="s">
        <v>1401</v>
      </c>
      <c r="U365" s="25" t="s">
        <v>7242</v>
      </c>
      <c r="V365" s="25" t="s">
        <v>7243</v>
      </c>
      <c r="W365" s="32" t="s">
        <v>7244</v>
      </c>
      <c r="X365" s="25" t="s">
        <v>7245</v>
      </c>
      <c r="Y365" s="25" t="s">
        <v>7246</v>
      </c>
      <c r="Z365" s="25" t="s">
        <v>166</v>
      </c>
      <c r="AA365" s="25" t="s">
        <v>242</v>
      </c>
      <c r="AB365" s="25" t="s">
        <v>243</v>
      </c>
      <c r="AC365" s="25" t="s">
        <v>244</v>
      </c>
      <c r="AD365" s="25" t="s">
        <v>243</v>
      </c>
      <c r="AE365" s="25" t="s">
        <v>243</v>
      </c>
      <c r="AF365" s="25" t="s">
        <v>166</v>
      </c>
      <c r="AG365" s="25" t="s">
        <v>807</v>
      </c>
      <c r="AH365" s="32">
        <v>2</v>
      </c>
      <c r="AI365" s="4">
        <f>HYPERLINK("https://my.pitchbook.com/?d=158631-85T","158631-85T")</f>
      </c>
      <c r="AJ365" s="30">
        <v>44127</v>
      </c>
      <c r="AK365" s="30">
        <v>44137</v>
      </c>
      <c r="AL365" s="29">
        <v>3</v>
      </c>
      <c r="AM365" s="25" t="s">
        <v>185</v>
      </c>
      <c r="AN365" s="29">
        <v>10</v>
      </c>
      <c r="AO365" s="29">
        <v>13</v>
      </c>
      <c r="AP365" s="25" t="s">
        <v>185</v>
      </c>
      <c r="AQ365" s="32" t="s">
        <v>166</v>
      </c>
      <c r="AR365" s="32" t="s">
        <v>166</v>
      </c>
      <c r="AS365" s="28">
        <v>23.08</v>
      </c>
      <c r="AT365" s="29">
        <v>3</v>
      </c>
      <c r="AU365" s="32" t="s">
        <v>186</v>
      </c>
      <c r="AV365" s="32" t="s">
        <v>166</v>
      </c>
      <c r="AW365" s="29">
        <v>1</v>
      </c>
      <c r="AX365" s="32" t="s">
        <v>248</v>
      </c>
      <c r="AY365" s="25" t="s">
        <v>249</v>
      </c>
      <c r="AZ365" s="25" t="s">
        <v>248</v>
      </c>
      <c r="BA365" s="25" t="s">
        <v>166</v>
      </c>
      <c r="BB365" s="32" t="s">
        <v>166</v>
      </c>
      <c r="BC365" s="25" t="s">
        <v>179</v>
      </c>
      <c r="BD365" s="25" t="s">
        <v>7240</v>
      </c>
      <c r="BE365" s="25" t="s">
        <v>189</v>
      </c>
      <c r="BF365" s="29">
        <v>3</v>
      </c>
      <c r="BG365" s="25" t="s">
        <v>190</v>
      </c>
      <c r="BH365" s="25" t="s">
        <v>166</v>
      </c>
      <c r="BI365" s="25" t="s">
        <v>166</v>
      </c>
      <c r="BJ365" s="29" t="s">
        <v>166</v>
      </c>
      <c r="BK365" s="29" t="s">
        <v>166</v>
      </c>
      <c r="BL365" s="25" t="s">
        <v>191</v>
      </c>
      <c r="BM365" s="25" t="s">
        <v>178</v>
      </c>
      <c r="BN365" s="25" t="s">
        <v>177</v>
      </c>
      <c r="BO365" s="33" t="s">
        <v>166</v>
      </c>
      <c r="BP365" s="25" t="s">
        <v>3417</v>
      </c>
      <c r="BQ365" s="32">
        <v>1</v>
      </c>
      <c r="BR365" s="25" t="s">
        <v>166</v>
      </c>
      <c r="BS365" s="32" t="s">
        <v>166</v>
      </c>
      <c r="BT365" s="25" t="s">
        <v>166</v>
      </c>
      <c r="BU365" s="25" t="s">
        <v>166</v>
      </c>
      <c r="BV365" s="25" t="s">
        <v>166</v>
      </c>
      <c r="BW365" s="25" t="s">
        <v>166</v>
      </c>
      <c r="BX365" s="25" t="s">
        <v>166</v>
      </c>
      <c r="BY365" s="25" t="s">
        <v>166</v>
      </c>
      <c r="BZ365" s="25" t="s">
        <v>166</v>
      </c>
      <c r="CA365" s="25" t="s">
        <v>166</v>
      </c>
      <c r="CB365" s="25" t="s">
        <v>166</v>
      </c>
      <c r="CC365" s="25" t="s">
        <v>166</v>
      </c>
      <c r="CD365" s="25" t="s">
        <v>166</v>
      </c>
      <c r="CE365" s="29" t="s">
        <v>166</v>
      </c>
      <c r="CF365" s="27" t="s">
        <v>166</v>
      </c>
      <c r="CG365" s="28" t="s">
        <v>166</v>
      </c>
      <c r="CH365" s="27" t="s">
        <v>166</v>
      </c>
      <c r="CI365" s="27" t="s">
        <v>166</v>
      </c>
      <c r="CJ365" s="27" t="s">
        <v>166</v>
      </c>
      <c r="CK365" s="27" t="s">
        <v>166</v>
      </c>
      <c r="CL365" s="27" t="s">
        <v>166</v>
      </c>
      <c r="CM365" s="31" t="s">
        <v>166</v>
      </c>
      <c r="CN365" s="27" t="s">
        <v>166</v>
      </c>
      <c r="CO365" s="27" t="s">
        <v>166</v>
      </c>
      <c r="CP365" s="27" t="s">
        <v>166</v>
      </c>
      <c r="CQ365" s="27" t="s">
        <v>166</v>
      </c>
      <c r="CR365" s="27" t="s">
        <v>166</v>
      </c>
      <c r="CS365" s="27" t="s">
        <v>166</v>
      </c>
      <c r="CT365" s="27" t="s">
        <v>166</v>
      </c>
      <c r="CU365" s="27" t="s">
        <v>166</v>
      </c>
      <c r="CV365" s="27" t="s">
        <v>166</v>
      </c>
      <c r="CW365" s="27" t="s">
        <v>166</v>
      </c>
      <c r="CX365" s="27" t="s">
        <v>166</v>
      </c>
      <c r="CY365" s="27" t="s">
        <v>166</v>
      </c>
      <c r="CZ365" s="27" t="s">
        <v>166</v>
      </c>
      <c r="DA365" s="27" t="s">
        <v>166</v>
      </c>
      <c r="DB365" s="27" t="s">
        <v>166</v>
      </c>
      <c r="DC365" s="27" t="s">
        <v>166</v>
      </c>
      <c r="DD365" s="27" t="s">
        <v>166</v>
      </c>
      <c r="DE365" s="28" t="s">
        <v>166</v>
      </c>
      <c r="DF365" s="33">
        <v>46</v>
      </c>
      <c r="DG365" s="25" t="s">
        <v>4592</v>
      </c>
      <c r="DH365" s="25" t="s">
        <v>193</v>
      </c>
      <c r="DI365" s="25" t="s">
        <v>194</v>
      </c>
      <c r="DJ365" s="25" t="s">
        <v>4593</v>
      </c>
      <c r="DK365" s="25" t="s">
        <v>1023</v>
      </c>
      <c r="DL365" s="32" t="s">
        <v>7247</v>
      </c>
      <c r="DM365" s="25" t="s">
        <v>198</v>
      </c>
      <c r="DN365" s="24" t="s">
        <v>7248</v>
      </c>
      <c r="DO365" s="31">
        <v>2009</v>
      </c>
      <c r="DP365" s="25" t="s">
        <v>166</v>
      </c>
      <c r="DQ365" s="25" t="s">
        <v>166</v>
      </c>
      <c r="DR365" s="29" t="s">
        <v>166</v>
      </c>
      <c r="DS365" s="27" t="s">
        <v>166</v>
      </c>
      <c r="DT365" s="30" t="s">
        <v>166</v>
      </c>
      <c r="DU365" s="25" t="s">
        <v>166</v>
      </c>
      <c r="DV365" s="29" t="s">
        <v>166</v>
      </c>
      <c r="DW365" s="29" t="s">
        <v>166</v>
      </c>
      <c r="DX365" s="27" t="s">
        <v>166</v>
      </c>
      <c r="DY365" s="27" t="s">
        <v>166</v>
      </c>
      <c r="DZ365" s="28" t="s">
        <v>166</v>
      </c>
      <c r="EA365" s="27" t="s">
        <v>166</v>
      </c>
      <c r="EB365" s="27" t="s">
        <v>166</v>
      </c>
      <c r="EC365" s="27" t="s">
        <v>166</v>
      </c>
      <c r="ED365" s="28" t="s">
        <v>166</v>
      </c>
      <c r="EE365" s="28" t="s">
        <v>166</v>
      </c>
      <c r="EF365" s="28" t="s">
        <v>166</v>
      </c>
      <c r="EG365" s="28" t="s">
        <v>166</v>
      </c>
      <c r="EH365" s="27" t="s">
        <v>166</v>
      </c>
      <c r="EI365" s="27" t="s">
        <v>166</v>
      </c>
      <c r="EJ365" s="27" t="s">
        <v>166</v>
      </c>
      <c r="EK365" s="27" t="s">
        <v>166</v>
      </c>
      <c r="EL365" s="27" t="s">
        <v>166</v>
      </c>
      <c r="EM365" s="27" t="s">
        <v>166</v>
      </c>
      <c r="EN365" s="27" t="s">
        <v>166</v>
      </c>
      <c r="EO365" s="27" t="s">
        <v>166</v>
      </c>
      <c r="EP365" s="27" t="s">
        <v>166</v>
      </c>
      <c r="EQ365" s="27" t="s">
        <v>166</v>
      </c>
      <c r="ER365" s="27" t="s">
        <v>166</v>
      </c>
      <c r="ES365" s="27" t="s">
        <v>166</v>
      </c>
      <c r="ET365" s="25" t="s">
        <v>166</v>
      </c>
      <c r="EU365" s="27" t="s">
        <v>166</v>
      </c>
      <c r="EV365" s="27" t="s">
        <v>166</v>
      </c>
      <c r="EW365" s="27" t="s">
        <v>166</v>
      </c>
      <c r="EX365" s="25" t="s">
        <v>190</v>
      </c>
      <c r="EY365" s="25" t="s">
        <v>166</v>
      </c>
      <c r="EZ365" s="27" t="s">
        <v>166</v>
      </c>
      <c r="FA365" s="26" t="s">
        <v>166</v>
      </c>
      <c r="FB365" s="26" t="s">
        <v>166</v>
      </c>
      <c r="FC365" s="26" t="s">
        <v>166</v>
      </c>
      <c r="FD365" s="26" t="s">
        <v>166</v>
      </c>
      <c r="FE365" s="26" t="s">
        <v>166</v>
      </c>
      <c r="FF365" s="26" t="s">
        <v>166</v>
      </c>
      <c r="FG365" s="25" t="s">
        <v>166</v>
      </c>
      <c r="FH365" s="4">
        <f>HYPERLINK("https://my.pitchbook.com?c=158631-85T","View Company Online")</f>
      </c>
    </row>
    <row r="366">
      <c r="A366" s="14" t="s">
        <v>7249</v>
      </c>
      <c r="B366" s="14" t="s">
        <v>7250</v>
      </c>
      <c r="C366" s="14" t="s">
        <v>7251</v>
      </c>
      <c r="D366" s="14" t="s">
        <v>166</v>
      </c>
      <c r="E366" s="23" t="s">
        <v>7252</v>
      </c>
      <c r="F366" s="21">
        <v>6</v>
      </c>
      <c r="G366" s="14" t="s">
        <v>7253</v>
      </c>
      <c r="H366" s="14" t="s">
        <v>166</v>
      </c>
      <c r="I366" s="14" t="s">
        <v>7254</v>
      </c>
      <c r="J366" s="14" t="s">
        <v>7255</v>
      </c>
      <c r="K366" s="14" t="s">
        <v>1455</v>
      </c>
      <c r="L366" s="14" t="s">
        <v>1984</v>
      </c>
      <c r="M366" s="14" t="s">
        <v>2112</v>
      </c>
      <c r="N366" s="14" t="s">
        <v>3046</v>
      </c>
      <c r="O366" s="14" t="s">
        <v>1842</v>
      </c>
      <c r="P366" s="14" t="s">
        <v>7256</v>
      </c>
      <c r="Q366" s="14" t="s">
        <v>166</v>
      </c>
      <c r="R366" s="14" t="s">
        <v>177</v>
      </c>
      <c r="S366" s="14" t="s">
        <v>178</v>
      </c>
      <c r="T366" s="14" t="s">
        <v>179</v>
      </c>
      <c r="U366" s="14" t="s">
        <v>7257</v>
      </c>
      <c r="V366" s="14" t="s">
        <v>7258</v>
      </c>
      <c r="W366" s="21" t="s">
        <v>7259</v>
      </c>
      <c r="X366" s="14" t="s">
        <v>7260</v>
      </c>
      <c r="Y366" s="14" t="s">
        <v>7261</v>
      </c>
      <c r="Z366" s="14" t="s">
        <v>7262</v>
      </c>
      <c r="AA366" s="14" t="s">
        <v>242</v>
      </c>
      <c r="AB366" s="14" t="s">
        <v>243</v>
      </c>
      <c r="AC366" s="14" t="s">
        <v>244</v>
      </c>
      <c r="AD366" s="14" t="s">
        <v>243</v>
      </c>
      <c r="AE366" s="14" t="s">
        <v>243</v>
      </c>
      <c r="AF366" s="14" t="s">
        <v>166</v>
      </c>
      <c r="AG366" s="14" t="s">
        <v>246</v>
      </c>
      <c r="AH366" s="21">
        <v>3</v>
      </c>
      <c r="AI366" s="3">
        <f>HYPERLINK("https://my.pitchbook.com/?d=171369-73T","171369-73T")</f>
      </c>
      <c r="AJ366" s="19">
        <v>44315</v>
      </c>
      <c r="AK366" s="19">
        <v>44376</v>
      </c>
      <c r="AL366" s="18">
        <v>4</v>
      </c>
      <c r="AM366" s="14" t="s">
        <v>185</v>
      </c>
      <c r="AN366" s="18">
        <v>10</v>
      </c>
      <c r="AO366" s="18">
        <v>14</v>
      </c>
      <c r="AP366" s="14" t="s">
        <v>185</v>
      </c>
      <c r="AQ366" s="21" t="s">
        <v>166</v>
      </c>
      <c r="AR366" s="21" t="s">
        <v>166</v>
      </c>
      <c r="AS366" s="17">
        <v>34.65</v>
      </c>
      <c r="AT366" s="18">
        <v>5</v>
      </c>
      <c r="AU366" s="21" t="s">
        <v>186</v>
      </c>
      <c r="AV366" s="21" t="s">
        <v>166</v>
      </c>
      <c r="AW366" s="18">
        <v>1.38</v>
      </c>
      <c r="AX366" s="21" t="s">
        <v>166</v>
      </c>
      <c r="AY366" s="14" t="s">
        <v>217</v>
      </c>
      <c r="AZ366" s="14" t="s">
        <v>217</v>
      </c>
      <c r="BA366" s="14" t="s">
        <v>166</v>
      </c>
      <c r="BB366" s="21" t="s">
        <v>166</v>
      </c>
      <c r="BC366" s="14" t="s">
        <v>179</v>
      </c>
      <c r="BD366" s="14" t="s">
        <v>7263</v>
      </c>
      <c r="BE366" s="14" t="s">
        <v>189</v>
      </c>
      <c r="BF366" s="18">
        <v>4</v>
      </c>
      <c r="BG366" s="14" t="s">
        <v>190</v>
      </c>
      <c r="BH366" s="14" t="s">
        <v>166</v>
      </c>
      <c r="BI366" s="14" t="s">
        <v>166</v>
      </c>
      <c r="BJ366" s="18" t="s">
        <v>166</v>
      </c>
      <c r="BK366" s="18" t="s">
        <v>166</v>
      </c>
      <c r="BL366" s="14" t="s">
        <v>191</v>
      </c>
      <c r="BM366" s="14" t="s">
        <v>178</v>
      </c>
      <c r="BN366" s="14" t="s">
        <v>177</v>
      </c>
      <c r="BO366" s="22" t="s">
        <v>166</v>
      </c>
      <c r="BP366" s="14" t="s">
        <v>7264</v>
      </c>
      <c r="BQ366" s="21">
        <v>5</v>
      </c>
      <c r="BR366" s="14" t="s">
        <v>7265</v>
      </c>
      <c r="BS366" s="21">
        <v>1</v>
      </c>
      <c r="BT366" s="14" t="s">
        <v>870</v>
      </c>
      <c r="BU366" s="14" t="s">
        <v>166</v>
      </c>
      <c r="BV366" s="14" t="s">
        <v>7266</v>
      </c>
      <c r="BW366" s="14" t="s">
        <v>166</v>
      </c>
      <c r="BX366" s="14" t="s">
        <v>166</v>
      </c>
      <c r="BY366" s="14" t="s">
        <v>166</v>
      </c>
      <c r="BZ366" s="14" t="s">
        <v>7267</v>
      </c>
      <c r="CA366" s="14" t="s">
        <v>872</v>
      </c>
      <c r="CB366" s="14" t="s">
        <v>166</v>
      </c>
      <c r="CC366" s="14" t="s">
        <v>7268</v>
      </c>
      <c r="CD366" s="14" t="s">
        <v>166</v>
      </c>
      <c r="CE366" s="18" t="s">
        <v>166</v>
      </c>
      <c r="CF366" s="16" t="s">
        <v>166</v>
      </c>
      <c r="CG366" s="17" t="s">
        <v>166</v>
      </c>
      <c r="CH366" s="16" t="s">
        <v>166</v>
      </c>
      <c r="CI366" s="16" t="s">
        <v>166</v>
      </c>
      <c r="CJ366" s="16" t="s">
        <v>166</v>
      </c>
      <c r="CK366" s="16" t="s">
        <v>166</v>
      </c>
      <c r="CL366" s="16" t="s">
        <v>166</v>
      </c>
      <c r="CM366" s="20" t="s">
        <v>166</v>
      </c>
      <c r="CN366" s="16" t="s">
        <v>166</v>
      </c>
      <c r="CO366" s="16" t="s">
        <v>166</v>
      </c>
      <c r="CP366" s="16" t="s">
        <v>166</v>
      </c>
      <c r="CQ366" s="16" t="s">
        <v>166</v>
      </c>
      <c r="CR366" s="16" t="s">
        <v>166</v>
      </c>
      <c r="CS366" s="16" t="s">
        <v>166</v>
      </c>
      <c r="CT366" s="16" t="s">
        <v>166</v>
      </c>
      <c r="CU366" s="16" t="s">
        <v>166</v>
      </c>
      <c r="CV366" s="16" t="s">
        <v>166</v>
      </c>
      <c r="CW366" s="16" t="s">
        <v>166</v>
      </c>
      <c r="CX366" s="16" t="s">
        <v>166</v>
      </c>
      <c r="CY366" s="16" t="s">
        <v>166</v>
      </c>
      <c r="CZ366" s="16" t="s">
        <v>166</v>
      </c>
      <c r="DA366" s="16" t="s">
        <v>166</v>
      </c>
      <c r="DB366" s="16" t="s">
        <v>166</v>
      </c>
      <c r="DC366" s="16" t="s">
        <v>166</v>
      </c>
      <c r="DD366" s="16" t="s">
        <v>166</v>
      </c>
      <c r="DE366" s="17" t="s">
        <v>166</v>
      </c>
      <c r="DF366" s="22">
        <v>20</v>
      </c>
      <c r="DG366" s="14" t="s">
        <v>2672</v>
      </c>
      <c r="DH366" s="14" t="s">
        <v>193</v>
      </c>
      <c r="DI366" s="14" t="s">
        <v>194</v>
      </c>
      <c r="DJ366" s="14" t="s">
        <v>2673</v>
      </c>
      <c r="DK366" s="14" t="s">
        <v>257</v>
      </c>
      <c r="DL366" s="21" t="s">
        <v>7269</v>
      </c>
      <c r="DM366" s="14" t="s">
        <v>198</v>
      </c>
      <c r="DN366" s="13" t="s">
        <v>7270</v>
      </c>
      <c r="DO366" s="20">
        <v>2019</v>
      </c>
      <c r="DP366" s="14" t="s">
        <v>166</v>
      </c>
      <c r="DQ366" s="14" t="s">
        <v>166</v>
      </c>
      <c r="DR366" s="18" t="s">
        <v>166</v>
      </c>
      <c r="DS366" s="16" t="s">
        <v>166</v>
      </c>
      <c r="DT366" s="19" t="s">
        <v>166</v>
      </c>
      <c r="DU366" s="14" t="s">
        <v>166</v>
      </c>
      <c r="DV366" s="18" t="s">
        <v>166</v>
      </c>
      <c r="DW366" s="18" t="s">
        <v>166</v>
      </c>
      <c r="DX366" s="16" t="s">
        <v>166</v>
      </c>
      <c r="DY366" s="16" t="s">
        <v>166</v>
      </c>
      <c r="DZ366" s="17" t="s">
        <v>166</v>
      </c>
      <c r="EA366" s="16" t="s">
        <v>166</v>
      </c>
      <c r="EB366" s="16" t="s">
        <v>166</v>
      </c>
      <c r="EC366" s="16" t="s">
        <v>166</v>
      </c>
      <c r="ED366" s="17" t="s">
        <v>166</v>
      </c>
      <c r="EE366" s="17" t="s">
        <v>166</v>
      </c>
      <c r="EF366" s="17" t="s">
        <v>166</v>
      </c>
      <c r="EG366" s="17" t="s">
        <v>166</v>
      </c>
      <c r="EH366" s="16" t="s">
        <v>166</v>
      </c>
      <c r="EI366" s="16" t="s">
        <v>166</v>
      </c>
      <c r="EJ366" s="16" t="s">
        <v>166</v>
      </c>
      <c r="EK366" s="16" t="s">
        <v>166</v>
      </c>
      <c r="EL366" s="16" t="s">
        <v>166</v>
      </c>
      <c r="EM366" s="16" t="s">
        <v>166</v>
      </c>
      <c r="EN366" s="16" t="s">
        <v>166</v>
      </c>
      <c r="EO366" s="16" t="s">
        <v>166</v>
      </c>
      <c r="EP366" s="16" t="s">
        <v>166</v>
      </c>
      <c r="EQ366" s="16" t="s">
        <v>166</v>
      </c>
      <c r="ER366" s="16" t="s">
        <v>166</v>
      </c>
      <c r="ES366" s="16" t="s">
        <v>166</v>
      </c>
      <c r="ET366" s="14" t="s">
        <v>166</v>
      </c>
      <c r="EU366" s="16" t="s">
        <v>166</v>
      </c>
      <c r="EV366" s="16" t="s">
        <v>166</v>
      </c>
      <c r="EW366" s="16" t="s">
        <v>166</v>
      </c>
      <c r="EX366" s="14" t="s">
        <v>190</v>
      </c>
      <c r="EY366" s="14" t="s">
        <v>166</v>
      </c>
      <c r="EZ366" s="16" t="s">
        <v>166</v>
      </c>
      <c r="FA366" s="15" t="s">
        <v>166</v>
      </c>
      <c r="FB366" s="15" t="s">
        <v>166</v>
      </c>
      <c r="FC366" s="15" t="s">
        <v>166</v>
      </c>
      <c r="FD366" s="15" t="s">
        <v>166</v>
      </c>
      <c r="FE366" s="15" t="s">
        <v>166</v>
      </c>
      <c r="FF366" s="15" t="s">
        <v>166</v>
      </c>
      <c r="FG366" s="14" t="s">
        <v>166</v>
      </c>
      <c r="FH366" s="3">
        <f>HYPERLINK("https://my.pitchbook.com?c=171369-73T","View Company Online")</f>
      </c>
    </row>
    <row r="367">
      <c r="A367" s="25" t="s">
        <v>7271</v>
      </c>
      <c r="B367" s="25" t="s">
        <v>7272</v>
      </c>
      <c r="C367" s="25" t="s">
        <v>7273</v>
      </c>
      <c r="D367" s="25" t="s">
        <v>166</v>
      </c>
      <c r="E367" s="34" t="s">
        <v>7274</v>
      </c>
      <c r="F367" s="32">
        <v>3</v>
      </c>
      <c r="G367" s="25" t="s">
        <v>7275</v>
      </c>
      <c r="H367" s="25" t="s">
        <v>166</v>
      </c>
      <c r="I367" s="25" t="s">
        <v>7276</v>
      </c>
      <c r="J367" s="25" t="s">
        <v>7277</v>
      </c>
      <c r="K367" s="25" t="s">
        <v>207</v>
      </c>
      <c r="L367" s="25" t="s">
        <v>418</v>
      </c>
      <c r="M367" s="25" t="s">
        <v>7278</v>
      </c>
      <c r="N367" s="25" t="s">
        <v>7279</v>
      </c>
      <c r="O367" s="25" t="s">
        <v>7280</v>
      </c>
      <c r="P367" s="25" t="s">
        <v>7281</v>
      </c>
      <c r="Q367" s="25" t="s">
        <v>166</v>
      </c>
      <c r="R367" s="25" t="s">
        <v>177</v>
      </c>
      <c r="S367" s="25" t="s">
        <v>178</v>
      </c>
      <c r="T367" s="25" t="s">
        <v>179</v>
      </c>
      <c r="U367" s="25" t="s">
        <v>7282</v>
      </c>
      <c r="V367" s="25" t="s">
        <v>7283</v>
      </c>
      <c r="W367" s="32" t="s">
        <v>166</v>
      </c>
      <c r="X367" s="25" t="s">
        <v>7284</v>
      </c>
      <c r="Y367" s="25" t="s">
        <v>7285</v>
      </c>
      <c r="Z367" s="25" t="s">
        <v>166</v>
      </c>
      <c r="AA367" s="25" t="s">
        <v>242</v>
      </c>
      <c r="AB367" s="25" t="s">
        <v>243</v>
      </c>
      <c r="AC367" s="25" t="s">
        <v>244</v>
      </c>
      <c r="AD367" s="25" t="s">
        <v>243</v>
      </c>
      <c r="AE367" s="25" t="s">
        <v>243</v>
      </c>
      <c r="AF367" s="25" t="s">
        <v>245</v>
      </c>
      <c r="AG367" s="25" t="s">
        <v>246</v>
      </c>
      <c r="AH367" s="32">
        <v>1</v>
      </c>
      <c r="AI367" s="4">
        <f>HYPERLINK("https://my.pitchbook.com/?d=186943-24T","186943-24T")</f>
      </c>
      <c r="AJ367" s="30" t="s">
        <v>166</v>
      </c>
      <c r="AK367" s="30">
        <v>44326</v>
      </c>
      <c r="AL367" s="29">
        <v>0.8</v>
      </c>
      <c r="AM367" s="25" t="s">
        <v>185</v>
      </c>
      <c r="AN367" s="29">
        <v>2.4</v>
      </c>
      <c r="AO367" s="29">
        <v>3.2</v>
      </c>
      <c r="AP367" s="25" t="s">
        <v>185</v>
      </c>
      <c r="AQ367" s="32" t="s">
        <v>166</v>
      </c>
      <c r="AR367" s="32" t="s">
        <v>166</v>
      </c>
      <c r="AS367" s="28">
        <v>25</v>
      </c>
      <c r="AT367" s="29">
        <v>0.8</v>
      </c>
      <c r="AU367" s="32" t="s">
        <v>186</v>
      </c>
      <c r="AV367" s="32" t="s">
        <v>166</v>
      </c>
      <c r="AW367" s="29">
        <v>0.6</v>
      </c>
      <c r="AX367" s="32" t="s">
        <v>166</v>
      </c>
      <c r="AY367" s="25" t="s">
        <v>217</v>
      </c>
      <c r="AZ367" s="25" t="s">
        <v>217</v>
      </c>
      <c r="BA367" s="25" t="s">
        <v>166</v>
      </c>
      <c r="BB367" s="32" t="s">
        <v>166</v>
      </c>
      <c r="BC367" s="25" t="s">
        <v>179</v>
      </c>
      <c r="BD367" s="25" t="s">
        <v>7286</v>
      </c>
      <c r="BE367" s="25" t="s">
        <v>189</v>
      </c>
      <c r="BF367" s="29">
        <v>0.8</v>
      </c>
      <c r="BG367" s="25" t="s">
        <v>190</v>
      </c>
      <c r="BH367" s="25" t="s">
        <v>166</v>
      </c>
      <c r="BI367" s="25" t="s">
        <v>166</v>
      </c>
      <c r="BJ367" s="29" t="s">
        <v>166</v>
      </c>
      <c r="BK367" s="29" t="s">
        <v>166</v>
      </c>
      <c r="BL367" s="25" t="s">
        <v>191</v>
      </c>
      <c r="BM367" s="25" t="s">
        <v>178</v>
      </c>
      <c r="BN367" s="25" t="s">
        <v>177</v>
      </c>
      <c r="BO367" s="33" t="s">
        <v>166</v>
      </c>
      <c r="BP367" s="25" t="s">
        <v>7287</v>
      </c>
      <c r="BQ367" s="32">
        <v>3</v>
      </c>
      <c r="BR367" s="25" t="s">
        <v>166</v>
      </c>
      <c r="BS367" s="32" t="s">
        <v>166</v>
      </c>
      <c r="BT367" s="25" t="s">
        <v>166</v>
      </c>
      <c r="BU367" s="25" t="s">
        <v>166</v>
      </c>
      <c r="BV367" s="25" t="s">
        <v>7288</v>
      </c>
      <c r="BW367" s="25" t="s">
        <v>166</v>
      </c>
      <c r="BX367" s="25" t="s">
        <v>166</v>
      </c>
      <c r="BY367" s="25" t="s">
        <v>166</v>
      </c>
      <c r="BZ367" s="25" t="s">
        <v>166</v>
      </c>
      <c r="CA367" s="25" t="s">
        <v>166</v>
      </c>
      <c r="CB367" s="25" t="s">
        <v>166</v>
      </c>
      <c r="CC367" s="25" t="s">
        <v>166</v>
      </c>
      <c r="CD367" s="25" t="s">
        <v>166</v>
      </c>
      <c r="CE367" s="29" t="s">
        <v>166</v>
      </c>
      <c r="CF367" s="27" t="s">
        <v>166</v>
      </c>
      <c r="CG367" s="28" t="s">
        <v>166</v>
      </c>
      <c r="CH367" s="27" t="s">
        <v>166</v>
      </c>
      <c r="CI367" s="27" t="s">
        <v>166</v>
      </c>
      <c r="CJ367" s="27" t="s">
        <v>166</v>
      </c>
      <c r="CK367" s="27" t="s">
        <v>166</v>
      </c>
      <c r="CL367" s="27" t="s">
        <v>166</v>
      </c>
      <c r="CM367" s="31" t="s">
        <v>166</v>
      </c>
      <c r="CN367" s="27" t="s">
        <v>166</v>
      </c>
      <c r="CO367" s="27" t="s">
        <v>166</v>
      </c>
      <c r="CP367" s="27" t="s">
        <v>166</v>
      </c>
      <c r="CQ367" s="27" t="s">
        <v>166</v>
      </c>
      <c r="CR367" s="27" t="s">
        <v>166</v>
      </c>
      <c r="CS367" s="27" t="s">
        <v>166</v>
      </c>
      <c r="CT367" s="27" t="s">
        <v>166</v>
      </c>
      <c r="CU367" s="27" t="s">
        <v>166</v>
      </c>
      <c r="CV367" s="27" t="s">
        <v>166</v>
      </c>
      <c r="CW367" s="27" t="s">
        <v>166</v>
      </c>
      <c r="CX367" s="27" t="s">
        <v>166</v>
      </c>
      <c r="CY367" s="27" t="s">
        <v>166</v>
      </c>
      <c r="CZ367" s="27" t="s">
        <v>166</v>
      </c>
      <c r="DA367" s="27" t="s">
        <v>166</v>
      </c>
      <c r="DB367" s="27" t="s">
        <v>166</v>
      </c>
      <c r="DC367" s="27" t="s">
        <v>166</v>
      </c>
      <c r="DD367" s="27" t="s">
        <v>166</v>
      </c>
      <c r="DE367" s="28" t="s">
        <v>166</v>
      </c>
      <c r="DF367" s="33">
        <v>20</v>
      </c>
      <c r="DG367" s="25" t="s">
        <v>673</v>
      </c>
      <c r="DH367" s="25" t="s">
        <v>193</v>
      </c>
      <c r="DI367" s="25" t="s">
        <v>194</v>
      </c>
      <c r="DJ367" s="25" t="s">
        <v>674</v>
      </c>
      <c r="DK367" s="25" t="s">
        <v>257</v>
      </c>
      <c r="DL367" s="32" t="s">
        <v>851</v>
      </c>
      <c r="DM367" s="25" t="s">
        <v>198</v>
      </c>
      <c r="DN367" s="24" t="s">
        <v>7289</v>
      </c>
      <c r="DO367" s="31">
        <v>2019</v>
      </c>
      <c r="DP367" s="25" t="s">
        <v>166</v>
      </c>
      <c r="DQ367" s="25" t="s">
        <v>166</v>
      </c>
      <c r="DR367" s="29" t="s">
        <v>166</v>
      </c>
      <c r="DS367" s="27" t="s">
        <v>166</v>
      </c>
      <c r="DT367" s="30" t="s">
        <v>166</v>
      </c>
      <c r="DU367" s="25" t="s">
        <v>166</v>
      </c>
      <c r="DV367" s="29" t="s">
        <v>166</v>
      </c>
      <c r="DW367" s="29" t="s">
        <v>166</v>
      </c>
      <c r="DX367" s="27" t="s">
        <v>166</v>
      </c>
      <c r="DY367" s="27" t="s">
        <v>166</v>
      </c>
      <c r="DZ367" s="28" t="s">
        <v>166</v>
      </c>
      <c r="EA367" s="27" t="s">
        <v>166</v>
      </c>
      <c r="EB367" s="27" t="s">
        <v>166</v>
      </c>
      <c r="EC367" s="27" t="s">
        <v>166</v>
      </c>
      <c r="ED367" s="28" t="s">
        <v>166</v>
      </c>
      <c r="EE367" s="28" t="s">
        <v>166</v>
      </c>
      <c r="EF367" s="28" t="s">
        <v>166</v>
      </c>
      <c r="EG367" s="28" t="s">
        <v>166</v>
      </c>
      <c r="EH367" s="27" t="s">
        <v>166</v>
      </c>
      <c r="EI367" s="27" t="s">
        <v>166</v>
      </c>
      <c r="EJ367" s="27" t="s">
        <v>166</v>
      </c>
      <c r="EK367" s="27" t="s">
        <v>166</v>
      </c>
      <c r="EL367" s="27" t="s">
        <v>166</v>
      </c>
      <c r="EM367" s="27" t="s">
        <v>166</v>
      </c>
      <c r="EN367" s="27" t="s">
        <v>166</v>
      </c>
      <c r="EO367" s="27" t="s">
        <v>166</v>
      </c>
      <c r="EP367" s="27" t="s">
        <v>166</v>
      </c>
      <c r="EQ367" s="27" t="s">
        <v>166</v>
      </c>
      <c r="ER367" s="27" t="s">
        <v>166</v>
      </c>
      <c r="ES367" s="27" t="s">
        <v>166</v>
      </c>
      <c r="ET367" s="25" t="s">
        <v>166</v>
      </c>
      <c r="EU367" s="27" t="s">
        <v>166</v>
      </c>
      <c r="EV367" s="27" t="s">
        <v>166</v>
      </c>
      <c r="EW367" s="27" t="s">
        <v>166</v>
      </c>
      <c r="EX367" s="25" t="s">
        <v>190</v>
      </c>
      <c r="EY367" s="25" t="s">
        <v>166</v>
      </c>
      <c r="EZ367" s="27" t="s">
        <v>166</v>
      </c>
      <c r="FA367" s="26">
        <v>1</v>
      </c>
      <c r="FB367" s="26">
        <v>1</v>
      </c>
      <c r="FC367" s="26" t="s">
        <v>166</v>
      </c>
      <c r="FD367" s="26" t="s">
        <v>166</v>
      </c>
      <c r="FE367" s="26" t="s">
        <v>166</v>
      </c>
      <c r="FF367" s="26">
        <v>1</v>
      </c>
      <c r="FG367" s="25" t="s">
        <v>166</v>
      </c>
      <c r="FH367" s="4">
        <f>HYPERLINK("https://my.pitchbook.com?c=186943-24T","View Company Online")</f>
      </c>
    </row>
    <row r="368">
      <c r="A368" s="14" t="s">
        <v>7290</v>
      </c>
      <c r="B368" s="14" t="s">
        <v>7291</v>
      </c>
      <c r="C368" s="14" t="s">
        <v>7292</v>
      </c>
      <c r="D368" s="14" t="s">
        <v>166</v>
      </c>
      <c r="E368" s="23" t="s">
        <v>7293</v>
      </c>
      <c r="F368" s="21">
        <v>4</v>
      </c>
      <c r="G368" s="14" t="s">
        <v>7294</v>
      </c>
      <c r="H368" s="14" t="s">
        <v>166</v>
      </c>
      <c r="I368" s="14" t="s">
        <v>7295</v>
      </c>
      <c r="J368" s="14" t="s">
        <v>7296</v>
      </c>
      <c r="K368" s="14" t="s">
        <v>207</v>
      </c>
      <c r="L368" s="14" t="s">
        <v>208</v>
      </c>
      <c r="M368" s="14" t="s">
        <v>1940</v>
      </c>
      <c r="N368" s="14" t="s">
        <v>7297</v>
      </c>
      <c r="O368" s="14" t="s">
        <v>5659</v>
      </c>
      <c r="P368" s="14" t="s">
        <v>7298</v>
      </c>
      <c r="Q368" s="14" t="s">
        <v>166</v>
      </c>
      <c r="R368" s="14" t="s">
        <v>177</v>
      </c>
      <c r="S368" s="14" t="s">
        <v>178</v>
      </c>
      <c r="T368" s="14" t="s">
        <v>179</v>
      </c>
      <c r="U368" s="14" t="s">
        <v>7299</v>
      </c>
      <c r="V368" s="14" t="s">
        <v>7300</v>
      </c>
      <c r="W368" s="21" t="s">
        <v>7301</v>
      </c>
      <c r="X368" s="14" t="s">
        <v>7302</v>
      </c>
      <c r="Y368" s="14" t="s">
        <v>7303</v>
      </c>
      <c r="Z368" s="14" t="s">
        <v>7304</v>
      </c>
      <c r="AA368" s="14" t="s">
        <v>166</v>
      </c>
      <c r="AB368" s="14" t="s">
        <v>166</v>
      </c>
      <c r="AC368" s="14" t="s">
        <v>166</v>
      </c>
      <c r="AD368" s="14" t="s">
        <v>166</v>
      </c>
      <c r="AE368" s="14" t="s">
        <v>166</v>
      </c>
      <c r="AF368" s="14" t="s">
        <v>166</v>
      </c>
      <c r="AG368" s="14" t="s">
        <v>166</v>
      </c>
      <c r="AH368" s="21">
        <v>2</v>
      </c>
      <c r="AI368" s="3">
        <f>HYPERLINK("https://my.pitchbook.com/?d=172362-25T","172362-25T")</f>
      </c>
      <c r="AJ368" s="19">
        <v>44306</v>
      </c>
      <c r="AK368" s="19">
        <v>44334</v>
      </c>
      <c r="AL368" s="18">
        <v>0.58</v>
      </c>
      <c r="AM368" s="14" t="s">
        <v>185</v>
      </c>
      <c r="AN368" s="18" t="s">
        <v>166</v>
      </c>
      <c r="AO368" s="18" t="s">
        <v>166</v>
      </c>
      <c r="AP368" s="14" t="s">
        <v>166</v>
      </c>
      <c r="AQ368" s="21" t="s">
        <v>166</v>
      </c>
      <c r="AR368" s="21" t="s">
        <v>166</v>
      </c>
      <c r="AS368" s="17" t="s">
        <v>166</v>
      </c>
      <c r="AT368" s="18">
        <v>1.78</v>
      </c>
      <c r="AU368" s="21" t="s">
        <v>186</v>
      </c>
      <c r="AV368" s="21" t="s">
        <v>166</v>
      </c>
      <c r="AW368" s="18" t="s">
        <v>166</v>
      </c>
      <c r="AX368" s="21" t="s">
        <v>166</v>
      </c>
      <c r="AY368" s="14" t="s">
        <v>217</v>
      </c>
      <c r="AZ368" s="14" t="s">
        <v>217</v>
      </c>
      <c r="BA368" s="14" t="s">
        <v>166</v>
      </c>
      <c r="BB368" s="21" t="s">
        <v>166</v>
      </c>
      <c r="BC368" s="14" t="s">
        <v>179</v>
      </c>
      <c r="BD368" s="14" t="s">
        <v>7296</v>
      </c>
      <c r="BE368" s="14" t="s">
        <v>189</v>
      </c>
      <c r="BF368" s="18" t="s">
        <v>166</v>
      </c>
      <c r="BG368" s="14" t="s">
        <v>190</v>
      </c>
      <c r="BH368" s="14" t="s">
        <v>166</v>
      </c>
      <c r="BI368" s="14" t="s">
        <v>166</v>
      </c>
      <c r="BJ368" s="18" t="s">
        <v>166</v>
      </c>
      <c r="BK368" s="18" t="s">
        <v>166</v>
      </c>
      <c r="BL368" s="14" t="s">
        <v>191</v>
      </c>
      <c r="BM368" s="14" t="s">
        <v>178</v>
      </c>
      <c r="BN368" s="14" t="s">
        <v>177</v>
      </c>
      <c r="BO368" s="22" t="s">
        <v>166</v>
      </c>
      <c r="BP368" s="14" t="s">
        <v>7305</v>
      </c>
      <c r="BQ368" s="21">
        <v>4</v>
      </c>
      <c r="BR368" s="14" t="s">
        <v>166</v>
      </c>
      <c r="BS368" s="21" t="s">
        <v>166</v>
      </c>
      <c r="BT368" s="14" t="s">
        <v>166</v>
      </c>
      <c r="BU368" s="14" t="s">
        <v>166</v>
      </c>
      <c r="BV368" s="14" t="s">
        <v>7306</v>
      </c>
      <c r="BW368" s="14" t="s">
        <v>166</v>
      </c>
      <c r="BX368" s="14" t="s">
        <v>166</v>
      </c>
      <c r="BY368" s="14" t="s">
        <v>166</v>
      </c>
      <c r="BZ368" s="14" t="s">
        <v>166</v>
      </c>
      <c r="CA368" s="14" t="s">
        <v>166</v>
      </c>
      <c r="CB368" s="14" t="s">
        <v>166</v>
      </c>
      <c r="CC368" s="14" t="s">
        <v>166</v>
      </c>
      <c r="CD368" s="14" t="s">
        <v>166</v>
      </c>
      <c r="CE368" s="18" t="s">
        <v>166</v>
      </c>
      <c r="CF368" s="16" t="s">
        <v>166</v>
      </c>
      <c r="CG368" s="17" t="s">
        <v>166</v>
      </c>
      <c r="CH368" s="16" t="s">
        <v>166</v>
      </c>
      <c r="CI368" s="16" t="s">
        <v>166</v>
      </c>
      <c r="CJ368" s="16" t="s">
        <v>166</v>
      </c>
      <c r="CK368" s="16" t="s">
        <v>166</v>
      </c>
      <c r="CL368" s="16" t="s">
        <v>166</v>
      </c>
      <c r="CM368" s="20" t="s">
        <v>166</v>
      </c>
      <c r="CN368" s="16" t="s">
        <v>166</v>
      </c>
      <c r="CO368" s="16" t="s">
        <v>166</v>
      </c>
      <c r="CP368" s="16" t="s">
        <v>166</v>
      </c>
      <c r="CQ368" s="16" t="s">
        <v>166</v>
      </c>
      <c r="CR368" s="16" t="s">
        <v>166</v>
      </c>
      <c r="CS368" s="16" t="s">
        <v>166</v>
      </c>
      <c r="CT368" s="16" t="s">
        <v>166</v>
      </c>
      <c r="CU368" s="16" t="s">
        <v>166</v>
      </c>
      <c r="CV368" s="16" t="s">
        <v>166</v>
      </c>
      <c r="CW368" s="16" t="s">
        <v>166</v>
      </c>
      <c r="CX368" s="16" t="s">
        <v>166</v>
      </c>
      <c r="CY368" s="16" t="s">
        <v>166</v>
      </c>
      <c r="CZ368" s="16" t="s">
        <v>166</v>
      </c>
      <c r="DA368" s="16" t="s">
        <v>166</v>
      </c>
      <c r="DB368" s="16" t="s">
        <v>166</v>
      </c>
      <c r="DC368" s="16" t="s">
        <v>166</v>
      </c>
      <c r="DD368" s="16" t="s">
        <v>166</v>
      </c>
      <c r="DE368" s="17" t="s">
        <v>166</v>
      </c>
      <c r="DF368" s="22">
        <v>4</v>
      </c>
      <c r="DG368" s="14" t="s">
        <v>309</v>
      </c>
      <c r="DH368" s="14" t="s">
        <v>193</v>
      </c>
      <c r="DI368" s="14" t="s">
        <v>194</v>
      </c>
      <c r="DJ368" s="14" t="s">
        <v>310</v>
      </c>
      <c r="DK368" s="14" t="s">
        <v>310</v>
      </c>
      <c r="DL368" s="21" t="s">
        <v>479</v>
      </c>
      <c r="DM368" s="14" t="s">
        <v>198</v>
      </c>
      <c r="DN368" s="13" t="s">
        <v>7307</v>
      </c>
      <c r="DO368" s="20">
        <v>2019</v>
      </c>
      <c r="DP368" s="14" t="s">
        <v>166</v>
      </c>
      <c r="DQ368" s="14" t="s">
        <v>166</v>
      </c>
      <c r="DR368" s="18" t="s">
        <v>166</v>
      </c>
      <c r="DS368" s="16" t="s">
        <v>166</v>
      </c>
      <c r="DT368" s="19" t="s">
        <v>166</v>
      </c>
      <c r="DU368" s="14" t="s">
        <v>166</v>
      </c>
      <c r="DV368" s="18" t="s">
        <v>166</v>
      </c>
      <c r="DW368" s="18" t="s">
        <v>166</v>
      </c>
      <c r="DX368" s="16" t="s">
        <v>166</v>
      </c>
      <c r="DY368" s="16" t="s">
        <v>166</v>
      </c>
      <c r="DZ368" s="17" t="s">
        <v>166</v>
      </c>
      <c r="EA368" s="16" t="s">
        <v>166</v>
      </c>
      <c r="EB368" s="16" t="s">
        <v>166</v>
      </c>
      <c r="EC368" s="16" t="s">
        <v>166</v>
      </c>
      <c r="ED368" s="17" t="s">
        <v>166</v>
      </c>
      <c r="EE368" s="17" t="s">
        <v>166</v>
      </c>
      <c r="EF368" s="17" t="s">
        <v>166</v>
      </c>
      <c r="EG368" s="17" t="s">
        <v>166</v>
      </c>
      <c r="EH368" s="16" t="s">
        <v>166</v>
      </c>
      <c r="EI368" s="16" t="s">
        <v>166</v>
      </c>
      <c r="EJ368" s="16" t="s">
        <v>166</v>
      </c>
      <c r="EK368" s="16" t="s">
        <v>166</v>
      </c>
      <c r="EL368" s="16" t="s">
        <v>166</v>
      </c>
      <c r="EM368" s="16" t="s">
        <v>166</v>
      </c>
      <c r="EN368" s="16" t="s">
        <v>166</v>
      </c>
      <c r="EO368" s="16" t="s">
        <v>166</v>
      </c>
      <c r="EP368" s="16" t="s">
        <v>166</v>
      </c>
      <c r="EQ368" s="16" t="s">
        <v>166</v>
      </c>
      <c r="ER368" s="16" t="s">
        <v>166</v>
      </c>
      <c r="ES368" s="16" t="s">
        <v>166</v>
      </c>
      <c r="ET368" s="14" t="s">
        <v>166</v>
      </c>
      <c r="EU368" s="16" t="s">
        <v>166</v>
      </c>
      <c r="EV368" s="16" t="s">
        <v>166</v>
      </c>
      <c r="EW368" s="16" t="s">
        <v>166</v>
      </c>
      <c r="EX368" s="14" t="s">
        <v>190</v>
      </c>
      <c r="EY368" s="14" t="s">
        <v>166</v>
      </c>
      <c r="EZ368" s="16" t="s">
        <v>166</v>
      </c>
      <c r="FA368" s="15" t="s">
        <v>166</v>
      </c>
      <c r="FB368" s="15" t="s">
        <v>166</v>
      </c>
      <c r="FC368" s="15" t="s">
        <v>166</v>
      </c>
      <c r="FD368" s="15" t="s">
        <v>166</v>
      </c>
      <c r="FE368" s="15" t="s">
        <v>166</v>
      </c>
      <c r="FF368" s="15" t="s">
        <v>166</v>
      </c>
      <c r="FG368" s="14" t="s">
        <v>166</v>
      </c>
      <c r="FH368" s="3">
        <f>HYPERLINK("https://my.pitchbook.com?c=172362-25T","View Company Online")</f>
      </c>
    </row>
    <row r="369">
      <c r="A369" s="25" t="s">
        <v>7308</v>
      </c>
      <c r="B369" s="25" t="s">
        <v>7309</v>
      </c>
      <c r="C369" s="25" t="s">
        <v>7310</v>
      </c>
      <c r="D369" s="25" t="s">
        <v>166</v>
      </c>
      <c r="E369" s="34" t="s">
        <v>7311</v>
      </c>
      <c r="F369" s="32">
        <v>19</v>
      </c>
      <c r="G369" s="25" t="s">
        <v>7312</v>
      </c>
      <c r="H369" s="25" t="s">
        <v>166</v>
      </c>
      <c r="I369" s="25" t="s">
        <v>7313</v>
      </c>
      <c r="J369" s="25" t="s">
        <v>7314</v>
      </c>
      <c r="K369" s="25" t="s">
        <v>207</v>
      </c>
      <c r="L369" s="25" t="s">
        <v>208</v>
      </c>
      <c r="M369" s="25" t="s">
        <v>296</v>
      </c>
      <c r="N369" s="25" t="s">
        <v>2621</v>
      </c>
      <c r="O369" s="25" t="s">
        <v>4042</v>
      </c>
      <c r="P369" s="25" t="s">
        <v>7315</v>
      </c>
      <c r="Q369" s="25" t="s">
        <v>7316</v>
      </c>
      <c r="R369" s="25" t="s">
        <v>177</v>
      </c>
      <c r="S369" s="25" t="s">
        <v>178</v>
      </c>
      <c r="T369" s="25" t="s">
        <v>179</v>
      </c>
      <c r="U369" s="25" t="s">
        <v>7317</v>
      </c>
      <c r="V369" s="25" t="s">
        <v>7318</v>
      </c>
      <c r="W369" s="32" t="s">
        <v>7319</v>
      </c>
      <c r="X369" s="25" t="s">
        <v>7320</v>
      </c>
      <c r="Y369" s="25" t="s">
        <v>7321</v>
      </c>
      <c r="Z369" s="25" t="s">
        <v>7322</v>
      </c>
      <c r="AA369" s="25" t="s">
        <v>242</v>
      </c>
      <c r="AB369" s="25" t="s">
        <v>243</v>
      </c>
      <c r="AC369" s="25" t="s">
        <v>244</v>
      </c>
      <c r="AD369" s="25" t="s">
        <v>243</v>
      </c>
      <c r="AE369" s="25" t="s">
        <v>243</v>
      </c>
      <c r="AF369" s="25" t="s">
        <v>166</v>
      </c>
      <c r="AG369" s="25" t="s">
        <v>246</v>
      </c>
      <c r="AH369" s="32">
        <v>8</v>
      </c>
      <c r="AI369" s="4">
        <f>HYPERLINK("https://my.pitchbook.com/?d=165584-98T","165584-98T")</f>
      </c>
      <c r="AJ369" s="30">
        <v>44215</v>
      </c>
      <c r="AK369" s="30">
        <v>44245</v>
      </c>
      <c r="AL369" s="29">
        <v>3.89</v>
      </c>
      <c r="AM369" s="25" t="s">
        <v>185</v>
      </c>
      <c r="AN369" s="29">
        <v>8.53</v>
      </c>
      <c r="AO369" s="29">
        <v>12.42</v>
      </c>
      <c r="AP369" s="25" t="s">
        <v>185</v>
      </c>
      <c r="AQ369" s="32" t="s">
        <v>166</v>
      </c>
      <c r="AR369" s="32" t="s">
        <v>166</v>
      </c>
      <c r="AS369" s="28" t="s">
        <v>166</v>
      </c>
      <c r="AT369" s="29">
        <v>4.95</v>
      </c>
      <c r="AU369" s="32" t="s">
        <v>186</v>
      </c>
      <c r="AV369" s="32" t="s">
        <v>166</v>
      </c>
      <c r="AW369" s="29">
        <v>3.85</v>
      </c>
      <c r="AX369" s="32" t="s">
        <v>166</v>
      </c>
      <c r="AY369" s="25" t="s">
        <v>217</v>
      </c>
      <c r="AZ369" s="25" t="s">
        <v>217</v>
      </c>
      <c r="BA369" s="25" t="s">
        <v>166</v>
      </c>
      <c r="BB369" s="32" t="s">
        <v>166</v>
      </c>
      <c r="BC369" s="25" t="s">
        <v>179</v>
      </c>
      <c r="BD369" s="25" t="s">
        <v>7323</v>
      </c>
      <c r="BE369" s="25" t="s">
        <v>189</v>
      </c>
      <c r="BF369" s="29">
        <v>3.89</v>
      </c>
      <c r="BG369" s="25" t="s">
        <v>190</v>
      </c>
      <c r="BH369" s="25" t="s">
        <v>166</v>
      </c>
      <c r="BI369" s="25" t="s">
        <v>166</v>
      </c>
      <c r="BJ369" s="29" t="s">
        <v>166</v>
      </c>
      <c r="BK369" s="29" t="s">
        <v>166</v>
      </c>
      <c r="BL369" s="25" t="s">
        <v>191</v>
      </c>
      <c r="BM369" s="25" t="s">
        <v>178</v>
      </c>
      <c r="BN369" s="25" t="s">
        <v>177</v>
      </c>
      <c r="BO369" s="33" t="s">
        <v>166</v>
      </c>
      <c r="BP369" s="25" t="s">
        <v>7324</v>
      </c>
      <c r="BQ369" s="32">
        <v>18</v>
      </c>
      <c r="BR369" s="25" t="s">
        <v>7325</v>
      </c>
      <c r="BS369" s="32">
        <v>1</v>
      </c>
      <c r="BT369" s="25" t="s">
        <v>7326</v>
      </c>
      <c r="BU369" s="25" t="s">
        <v>166</v>
      </c>
      <c r="BV369" s="25" t="s">
        <v>7327</v>
      </c>
      <c r="BW369" s="25" t="s">
        <v>166</v>
      </c>
      <c r="BX369" s="25" t="s">
        <v>166</v>
      </c>
      <c r="BY369" s="25" t="s">
        <v>166</v>
      </c>
      <c r="BZ369" s="25" t="s">
        <v>7328</v>
      </c>
      <c r="CA369" s="25" t="s">
        <v>166</v>
      </c>
      <c r="CB369" s="25" t="s">
        <v>166</v>
      </c>
      <c r="CC369" s="25" t="s">
        <v>7328</v>
      </c>
      <c r="CD369" s="25" t="s">
        <v>166</v>
      </c>
      <c r="CE369" s="29" t="s">
        <v>166</v>
      </c>
      <c r="CF369" s="27" t="s">
        <v>166</v>
      </c>
      <c r="CG369" s="28" t="s">
        <v>166</v>
      </c>
      <c r="CH369" s="27" t="s">
        <v>166</v>
      </c>
      <c r="CI369" s="27" t="s">
        <v>166</v>
      </c>
      <c r="CJ369" s="27" t="s">
        <v>166</v>
      </c>
      <c r="CK369" s="27" t="s">
        <v>166</v>
      </c>
      <c r="CL369" s="27" t="s">
        <v>166</v>
      </c>
      <c r="CM369" s="31" t="s">
        <v>166</v>
      </c>
      <c r="CN369" s="27" t="s">
        <v>166</v>
      </c>
      <c r="CO369" s="27" t="s">
        <v>166</v>
      </c>
      <c r="CP369" s="27" t="s">
        <v>166</v>
      </c>
      <c r="CQ369" s="27" t="s">
        <v>166</v>
      </c>
      <c r="CR369" s="27" t="s">
        <v>166</v>
      </c>
      <c r="CS369" s="27" t="s">
        <v>166</v>
      </c>
      <c r="CT369" s="27" t="s">
        <v>166</v>
      </c>
      <c r="CU369" s="27" t="s">
        <v>166</v>
      </c>
      <c r="CV369" s="27" t="s">
        <v>166</v>
      </c>
      <c r="CW369" s="27" t="s">
        <v>166</v>
      </c>
      <c r="CX369" s="27" t="s">
        <v>166</v>
      </c>
      <c r="CY369" s="27" t="s">
        <v>166</v>
      </c>
      <c r="CZ369" s="27" t="s">
        <v>166</v>
      </c>
      <c r="DA369" s="27" t="s">
        <v>166</v>
      </c>
      <c r="DB369" s="27" t="s">
        <v>166</v>
      </c>
      <c r="DC369" s="27" t="s">
        <v>166</v>
      </c>
      <c r="DD369" s="27" t="s">
        <v>166</v>
      </c>
      <c r="DE369" s="28" t="s">
        <v>166</v>
      </c>
      <c r="DF369" s="33">
        <v>24</v>
      </c>
      <c r="DG369" s="25" t="s">
        <v>309</v>
      </c>
      <c r="DH369" s="25" t="s">
        <v>193</v>
      </c>
      <c r="DI369" s="25" t="s">
        <v>194</v>
      </c>
      <c r="DJ369" s="25" t="s">
        <v>310</v>
      </c>
      <c r="DK369" s="25" t="s">
        <v>310</v>
      </c>
      <c r="DL369" s="32" t="s">
        <v>7329</v>
      </c>
      <c r="DM369" s="25" t="s">
        <v>198</v>
      </c>
      <c r="DN369" s="24" t="s">
        <v>7330</v>
      </c>
      <c r="DO369" s="31">
        <v>2015</v>
      </c>
      <c r="DP369" s="25" t="s">
        <v>166</v>
      </c>
      <c r="DQ369" s="25" t="s">
        <v>166</v>
      </c>
      <c r="DR369" s="29" t="s">
        <v>166</v>
      </c>
      <c r="DS369" s="27" t="s">
        <v>166</v>
      </c>
      <c r="DT369" s="30" t="s">
        <v>166</v>
      </c>
      <c r="DU369" s="25" t="s">
        <v>166</v>
      </c>
      <c r="DV369" s="29" t="s">
        <v>166</v>
      </c>
      <c r="DW369" s="29" t="s">
        <v>166</v>
      </c>
      <c r="DX369" s="27" t="s">
        <v>166</v>
      </c>
      <c r="DY369" s="27" t="s">
        <v>166</v>
      </c>
      <c r="DZ369" s="28" t="s">
        <v>166</v>
      </c>
      <c r="EA369" s="27" t="s">
        <v>166</v>
      </c>
      <c r="EB369" s="27" t="s">
        <v>166</v>
      </c>
      <c r="EC369" s="27" t="s">
        <v>166</v>
      </c>
      <c r="ED369" s="28" t="s">
        <v>166</v>
      </c>
      <c r="EE369" s="28" t="s">
        <v>166</v>
      </c>
      <c r="EF369" s="28" t="s">
        <v>166</v>
      </c>
      <c r="EG369" s="28" t="s">
        <v>166</v>
      </c>
      <c r="EH369" s="27" t="s">
        <v>166</v>
      </c>
      <c r="EI369" s="27" t="s">
        <v>166</v>
      </c>
      <c r="EJ369" s="27" t="s">
        <v>166</v>
      </c>
      <c r="EK369" s="27" t="s">
        <v>166</v>
      </c>
      <c r="EL369" s="27" t="s">
        <v>166</v>
      </c>
      <c r="EM369" s="27" t="s">
        <v>166</v>
      </c>
      <c r="EN369" s="27" t="s">
        <v>166</v>
      </c>
      <c r="EO369" s="27" t="s">
        <v>166</v>
      </c>
      <c r="EP369" s="27" t="s">
        <v>166</v>
      </c>
      <c r="EQ369" s="27" t="s">
        <v>166</v>
      </c>
      <c r="ER369" s="27" t="s">
        <v>166</v>
      </c>
      <c r="ES369" s="27" t="s">
        <v>166</v>
      </c>
      <c r="ET369" s="25" t="s">
        <v>166</v>
      </c>
      <c r="EU369" s="27" t="s">
        <v>166</v>
      </c>
      <c r="EV369" s="27" t="s">
        <v>166</v>
      </c>
      <c r="EW369" s="27" t="s">
        <v>166</v>
      </c>
      <c r="EX369" s="25" t="s">
        <v>190</v>
      </c>
      <c r="EY369" s="25" t="s">
        <v>166</v>
      </c>
      <c r="EZ369" s="27" t="s">
        <v>166</v>
      </c>
      <c r="FA369" s="26">
        <v>4</v>
      </c>
      <c r="FB369" s="26">
        <v>3</v>
      </c>
      <c r="FC369" s="26">
        <v>3</v>
      </c>
      <c r="FD369" s="26">
        <v>1</v>
      </c>
      <c r="FE369" s="26" t="s">
        <v>166</v>
      </c>
      <c r="FF369" s="26" t="s">
        <v>166</v>
      </c>
      <c r="FG369" s="25" t="s">
        <v>7331</v>
      </c>
      <c r="FH369" s="4">
        <f>HYPERLINK("https://my.pitchbook.com?c=165584-98T","View Company Online")</f>
      </c>
    </row>
    <row r="370">
      <c r="A370" s="14" t="s">
        <v>7332</v>
      </c>
      <c r="B370" s="14" t="s">
        <v>7333</v>
      </c>
      <c r="C370" s="14" t="s">
        <v>7334</v>
      </c>
      <c r="D370" s="14" t="s">
        <v>166</v>
      </c>
      <c r="E370" s="23" t="s">
        <v>7335</v>
      </c>
      <c r="F370" s="21">
        <v>1</v>
      </c>
      <c r="G370" s="14" t="s">
        <v>7336</v>
      </c>
      <c r="H370" s="14" t="s">
        <v>166</v>
      </c>
      <c r="I370" s="14" t="s">
        <v>7337</v>
      </c>
      <c r="J370" s="14" t="s">
        <v>7338</v>
      </c>
      <c r="K370" s="14" t="s">
        <v>1455</v>
      </c>
      <c r="L370" s="14" t="s">
        <v>1456</v>
      </c>
      <c r="M370" s="14" t="s">
        <v>3445</v>
      </c>
      <c r="N370" s="14" t="s">
        <v>3446</v>
      </c>
      <c r="O370" s="14" t="s">
        <v>166</v>
      </c>
      <c r="P370" s="14" t="s">
        <v>7339</v>
      </c>
      <c r="Q370" s="14" t="s">
        <v>166</v>
      </c>
      <c r="R370" s="14" t="s">
        <v>177</v>
      </c>
      <c r="S370" s="14" t="s">
        <v>178</v>
      </c>
      <c r="T370" s="14" t="s">
        <v>179</v>
      </c>
      <c r="U370" s="14" t="s">
        <v>7340</v>
      </c>
      <c r="V370" s="14" t="s">
        <v>7341</v>
      </c>
      <c r="W370" s="21" t="s">
        <v>166</v>
      </c>
      <c r="X370" s="14" t="s">
        <v>7342</v>
      </c>
      <c r="Y370" s="14" t="s">
        <v>7343</v>
      </c>
      <c r="Z370" s="14" t="s">
        <v>166</v>
      </c>
      <c r="AA370" s="14" t="s">
        <v>166</v>
      </c>
      <c r="AB370" s="14" t="s">
        <v>166</v>
      </c>
      <c r="AC370" s="14" t="s">
        <v>166</v>
      </c>
      <c r="AD370" s="14" t="s">
        <v>166</v>
      </c>
      <c r="AE370" s="14" t="s">
        <v>166</v>
      </c>
      <c r="AF370" s="14" t="s">
        <v>166</v>
      </c>
      <c r="AG370" s="14" t="s">
        <v>166</v>
      </c>
      <c r="AH370" s="21">
        <v>1</v>
      </c>
      <c r="AI370" s="3">
        <f>HYPERLINK("https://my.pitchbook.com/?d=195641-56T","195641-56T")</f>
      </c>
      <c r="AJ370" s="19" t="s">
        <v>166</v>
      </c>
      <c r="AK370" s="19">
        <v>44718</v>
      </c>
      <c r="AL370" s="18">
        <v>1.1</v>
      </c>
      <c r="AM370" s="14" t="s">
        <v>185</v>
      </c>
      <c r="AN370" s="18" t="s">
        <v>166</v>
      </c>
      <c r="AO370" s="18" t="s">
        <v>166</v>
      </c>
      <c r="AP370" s="14" t="s">
        <v>166</v>
      </c>
      <c r="AQ370" s="21" t="s">
        <v>166</v>
      </c>
      <c r="AR370" s="21" t="s">
        <v>166</v>
      </c>
      <c r="AS370" s="17" t="s">
        <v>166</v>
      </c>
      <c r="AT370" s="18">
        <v>1.1</v>
      </c>
      <c r="AU370" s="21" t="s">
        <v>186</v>
      </c>
      <c r="AV370" s="21" t="s">
        <v>166</v>
      </c>
      <c r="AW370" s="18" t="s">
        <v>166</v>
      </c>
      <c r="AX370" s="21" t="s">
        <v>166</v>
      </c>
      <c r="AY370" s="14" t="s">
        <v>187</v>
      </c>
      <c r="AZ370" s="14" t="s">
        <v>166</v>
      </c>
      <c r="BA370" s="14" t="s">
        <v>166</v>
      </c>
      <c r="BB370" s="21" t="s">
        <v>166</v>
      </c>
      <c r="BC370" s="14" t="s">
        <v>179</v>
      </c>
      <c r="BD370" s="14" t="s">
        <v>7338</v>
      </c>
      <c r="BE370" s="14" t="s">
        <v>189</v>
      </c>
      <c r="BF370" s="18">
        <v>1.1</v>
      </c>
      <c r="BG370" s="14" t="s">
        <v>190</v>
      </c>
      <c r="BH370" s="14" t="s">
        <v>166</v>
      </c>
      <c r="BI370" s="14" t="s">
        <v>166</v>
      </c>
      <c r="BJ370" s="18" t="s">
        <v>166</v>
      </c>
      <c r="BK370" s="18" t="s">
        <v>166</v>
      </c>
      <c r="BL370" s="14" t="s">
        <v>191</v>
      </c>
      <c r="BM370" s="14" t="s">
        <v>178</v>
      </c>
      <c r="BN370" s="14" t="s">
        <v>177</v>
      </c>
      <c r="BO370" s="22" t="s">
        <v>166</v>
      </c>
      <c r="BP370" s="14" t="s">
        <v>7335</v>
      </c>
      <c r="BQ370" s="21">
        <v>1</v>
      </c>
      <c r="BR370" s="14" t="s">
        <v>166</v>
      </c>
      <c r="BS370" s="21" t="s">
        <v>166</v>
      </c>
      <c r="BT370" s="14" t="s">
        <v>166</v>
      </c>
      <c r="BU370" s="14" t="s">
        <v>166</v>
      </c>
      <c r="BV370" s="14" t="s">
        <v>166</v>
      </c>
      <c r="BW370" s="14" t="s">
        <v>166</v>
      </c>
      <c r="BX370" s="14" t="s">
        <v>166</v>
      </c>
      <c r="BY370" s="14" t="s">
        <v>166</v>
      </c>
      <c r="BZ370" s="14" t="s">
        <v>7344</v>
      </c>
      <c r="CA370" s="14" t="s">
        <v>7345</v>
      </c>
      <c r="CB370" s="14" t="s">
        <v>166</v>
      </c>
      <c r="CC370" s="14" t="s">
        <v>7346</v>
      </c>
      <c r="CD370" s="14" t="s">
        <v>166</v>
      </c>
      <c r="CE370" s="18" t="s">
        <v>166</v>
      </c>
      <c r="CF370" s="16" t="s">
        <v>166</v>
      </c>
      <c r="CG370" s="17" t="s">
        <v>166</v>
      </c>
      <c r="CH370" s="16" t="s">
        <v>166</v>
      </c>
      <c r="CI370" s="16" t="s">
        <v>166</v>
      </c>
      <c r="CJ370" s="16" t="s">
        <v>166</v>
      </c>
      <c r="CK370" s="16" t="s">
        <v>166</v>
      </c>
      <c r="CL370" s="16" t="s">
        <v>166</v>
      </c>
      <c r="CM370" s="20" t="s">
        <v>166</v>
      </c>
      <c r="CN370" s="16" t="s">
        <v>166</v>
      </c>
      <c r="CO370" s="16" t="s">
        <v>166</v>
      </c>
      <c r="CP370" s="16" t="s">
        <v>166</v>
      </c>
      <c r="CQ370" s="16" t="s">
        <v>166</v>
      </c>
      <c r="CR370" s="16" t="s">
        <v>166</v>
      </c>
      <c r="CS370" s="16" t="s">
        <v>166</v>
      </c>
      <c r="CT370" s="16" t="s">
        <v>166</v>
      </c>
      <c r="CU370" s="16" t="s">
        <v>166</v>
      </c>
      <c r="CV370" s="16" t="s">
        <v>166</v>
      </c>
      <c r="CW370" s="16" t="s">
        <v>166</v>
      </c>
      <c r="CX370" s="16" t="s">
        <v>166</v>
      </c>
      <c r="CY370" s="16" t="s">
        <v>166</v>
      </c>
      <c r="CZ370" s="16" t="s">
        <v>166</v>
      </c>
      <c r="DA370" s="16" t="s">
        <v>166</v>
      </c>
      <c r="DB370" s="16" t="s">
        <v>166</v>
      </c>
      <c r="DC370" s="16" t="s">
        <v>166</v>
      </c>
      <c r="DD370" s="16" t="s">
        <v>166</v>
      </c>
      <c r="DE370" s="17" t="s">
        <v>166</v>
      </c>
      <c r="DF370" s="22">
        <v>9</v>
      </c>
      <c r="DG370" s="14" t="s">
        <v>1540</v>
      </c>
      <c r="DH370" s="14" t="s">
        <v>193</v>
      </c>
      <c r="DI370" s="14" t="s">
        <v>194</v>
      </c>
      <c r="DJ370" s="14" t="s">
        <v>1541</v>
      </c>
      <c r="DK370" s="14" t="s">
        <v>257</v>
      </c>
      <c r="DL370" s="21" t="s">
        <v>4537</v>
      </c>
      <c r="DM370" s="14" t="s">
        <v>198</v>
      </c>
      <c r="DN370" s="13" t="s">
        <v>7347</v>
      </c>
      <c r="DO370" s="20">
        <v>2020</v>
      </c>
      <c r="DP370" s="14" t="s">
        <v>166</v>
      </c>
      <c r="DQ370" s="14" t="s">
        <v>166</v>
      </c>
      <c r="DR370" s="18" t="s">
        <v>166</v>
      </c>
      <c r="DS370" s="16" t="s">
        <v>166</v>
      </c>
      <c r="DT370" s="19" t="s">
        <v>166</v>
      </c>
      <c r="DU370" s="14" t="s">
        <v>166</v>
      </c>
      <c r="DV370" s="18" t="s">
        <v>166</v>
      </c>
      <c r="DW370" s="18" t="s">
        <v>166</v>
      </c>
      <c r="DX370" s="16" t="s">
        <v>166</v>
      </c>
      <c r="DY370" s="16" t="s">
        <v>166</v>
      </c>
      <c r="DZ370" s="17" t="s">
        <v>166</v>
      </c>
      <c r="EA370" s="16" t="s">
        <v>166</v>
      </c>
      <c r="EB370" s="16" t="s">
        <v>166</v>
      </c>
      <c r="EC370" s="16" t="s">
        <v>166</v>
      </c>
      <c r="ED370" s="17" t="s">
        <v>166</v>
      </c>
      <c r="EE370" s="17" t="s">
        <v>166</v>
      </c>
      <c r="EF370" s="17" t="s">
        <v>166</v>
      </c>
      <c r="EG370" s="17" t="s">
        <v>166</v>
      </c>
      <c r="EH370" s="16" t="s">
        <v>166</v>
      </c>
      <c r="EI370" s="16" t="s">
        <v>166</v>
      </c>
      <c r="EJ370" s="16" t="s">
        <v>166</v>
      </c>
      <c r="EK370" s="16" t="s">
        <v>166</v>
      </c>
      <c r="EL370" s="16" t="s">
        <v>166</v>
      </c>
      <c r="EM370" s="16" t="s">
        <v>166</v>
      </c>
      <c r="EN370" s="16" t="s">
        <v>166</v>
      </c>
      <c r="EO370" s="16" t="s">
        <v>166</v>
      </c>
      <c r="EP370" s="16" t="s">
        <v>166</v>
      </c>
      <c r="EQ370" s="16" t="s">
        <v>166</v>
      </c>
      <c r="ER370" s="16" t="s">
        <v>166</v>
      </c>
      <c r="ES370" s="16" t="s">
        <v>166</v>
      </c>
      <c r="ET370" s="14" t="s">
        <v>166</v>
      </c>
      <c r="EU370" s="16" t="s">
        <v>166</v>
      </c>
      <c r="EV370" s="16" t="s">
        <v>166</v>
      </c>
      <c r="EW370" s="16" t="s">
        <v>166</v>
      </c>
      <c r="EX370" s="14" t="s">
        <v>190</v>
      </c>
      <c r="EY370" s="14" t="s">
        <v>166</v>
      </c>
      <c r="EZ370" s="16" t="s">
        <v>166</v>
      </c>
      <c r="FA370" s="15" t="s">
        <v>166</v>
      </c>
      <c r="FB370" s="15" t="s">
        <v>166</v>
      </c>
      <c r="FC370" s="15" t="s">
        <v>166</v>
      </c>
      <c r="FD370" s="15" t="s">
        <v>166</v>
      </c>
      <c r="FE370" s="15" t="s">
        <v>166</v>
      </c>
      <c r="FF370" s="15" t="s">
        <v>166</v>
      </c>
      <c r="FG370" s="14" t="s">
        <v>166</v>
      </c>
      <c r="FH370" s="3">
        <f>HYPERLINK("https://my.pitchbook.com?c=195641-56T","View Company Online")</f>
      </c>
    </row>
    <row r="371">
      <c r="A371" s="25" t="s">
        <v>7348</v>
      </c>
      <c r="B371" s="25" t="s">
        <v>7349</v>
      </c>
      <c r="C371" s="25" t="s">
        <v>7350</v>
      </c>
      <c r="D371" s="25" t="s">
        <v>166</v>
      </c>
      <c r="E371" s="34" t="s">
        <v>7351</v>
      </c>
      <c r="F371" s="32">
        <v>3</v>
      </c>
      <c r="G371" s="25" t="s">
        <v>7352</v>
      </c>
      <c r="H371" s="25" t="s">
        <v>166</v>
      </c>
      <c r="I371" s="25" t="s">
        <v>7353</v>
      </c>
      <c r="J371" s="25" t="s">
        <v>7354</v>
      </c>
      <c r="K371" s="25" t="s">
        <v>207</v>
      </c>
      <c r="L371" s="25" t="s">
        <v>208</v>
      </c>
      <c r="M371" s="25" t="s">
        <v>296</v>
      </c>
      <c r="N371" s="25" t="s">
        <v>1052</v>
      </c>
      <c r="O371" s="25" t="s">
        <v>7355</v>
      </c>
      <c r="P371" s="25" t="s">
        <v>7356</v>
      </c>
      <c r="Q371" s="25" t="s">
        <v>7357</v>
      </c>
      <c r="R371" s="25" t="s">
        <v>177</v>
      </c>
      <c r="S371" s="25" t="s">
        <v>2947</v>
      </c>
      <c r="T371" s="25" t="s">
        <v>179</v>
      </c>
      <c r="U371" s="25" t="s">
        <v>7358</v>
      </c>
      <c r="V371" s="25" t="s">
        <v>7359</v>
      </c>
      <c r="W371" s="32" t="s">
        <v>7360</v>
      </c>
      <c r="X371" s="25" t="s">
        <v>7361</v>
      </c>
      <c r="Y371" s="25" t="s">
        <v>7362</v>
      </c>
      <c r="Z371" s="25" t="s">
        <v>166</v>
      </c>
      <c r="AA371" s="25" t="s">
        <v>166</v>
      </c>
      <c r="AB371" s="25" t="s">
        <v>166</v>
      </c>
      <c r="AC371" s="25" t="s">
        <v>166</v>
      </c>
      <c r="AD371" s="25" t="s">
        <v>166</v>
      </c>
      <c r="AE371" s="25" t="s">
        <v>166</v>
      </c>
      <c r="AF371" s="25" t="s">
        <v>166</v>
      </c>
      <c r="AG371" s="25" t="s">
        <v>166</v>
      </c>
      <c r="AH371" s="32">
        <v>7</v>
      </c>
      <c r="AI371" s="4">
        <f>HYPERLINK("https://my.pitchbook.com/?d=271125-37T","271125-37T")</f>
      </c>
      <c r="AJ371" s="30" t="s">
        <v>166</v>
      </c>
      <c r="AK371" s="30">
        <v>45536</v>
      </c>
      <c r="AL371" s="29">
        <v>0.65</v>
      </c>
      <c r="AM371" s="25" t="s">
        <v>185</v>
      </c>
      <c r="AN371" s="29">
        <v>3.35</v>
      </c>
      <c r="AO371" s="29">
        <v>4</v>
      </c>
      <c r="AP371" s="25" t="s">
        <v>185</v>
      </c>
      <c r="AQ371" s="32" t="s">
        <v>166</v>
      </c>
      <c r="AR371" s="32" t="s">
        <v>166</v>
      </c>
      <c r="AS371" s="28">
        <v>16.25</v>
      </c>
      <c r="AT371" s="29">
        <v>1.02</v>
      </c>
      <c r="AU371" s="32" t="s">
        <v>186</v>
      </c>
      <c r="AV371" s="32" t="s">
        <v>166</v>
      </c>
      <c r="AW371" s="29" t="s">
        <v>166</v>
      </c>
      <c r="AX371" s="32" t="s">
        <v>166</v>
      </c>
      <c r="AY371" s="25" t="s">
        <v>217</v>
      </c>
      <c r="AZ371" s="25" t="s">
        <v>217</v>
      </c>
      <c r="BA371" s="25" t="s">
        <v>166</v>
      </c>
      <c r="BB371" s="32" t="s">
        <v>166</v>
      </c>
      <c r="BC371" s="25" t="s">
        <v>179</v>
      </c>
      <c r="BD371" s="25" t="s">
        <v>7354</v>
      </c>
      <c r="BE371" s="25" t="s">
        <v>189</v>
      </c>
      <c r="BF371" s="29">
        <v>0.65</v>
      </c>
      <c r="BG371" s="25" t="s">
        <v>190</v>
      </c>
      <c r="BH371" s="25" t="s">
        <v>166</v>
      </c>
      <c r="BI371" s="25" t="s">
        <v>166</v>
      </c>
      <c r="BJ371" s="29" t="s">
        <v>166</v>
      </c>
      <c r="BK371" s="29" t="s">
        <v>166</v>
      </c>
      <c r="BL371" s="25" t="s">
        <v>191</v>
      </c>
      <c r="BM371" s="25" t="s">
        <v>2947</v>
      </c>
      <c r="BN371" s="25" t="s">
        <v>177</v>
      </c>
      <c r="BO371" s="33">
        <v>6</v>
      </c>
      <c r="BP371" s="25" t="s">
        <v>7351</v>
      </c>
      <c r="BQ371" s="32">
        <v>3</v>
      </c>
      <c r="BR371" s="25" t="s">
        <v>166</v>
      </c>
      <c r="BS371" s="32" t="s">
        <v>166</v>
      </c>
      <c r="BT371" s="25" t="s">
        <v>166</v>
      </c>
      <c r="BU371" s="25" t="s">
        <v>166</v>
      </c>
      <c r="BV371" s="25" t="s">
        <v>166</v>
      </c>
      <c r="BW371" s="25" t="s">
        <v>166</v>
      </c>
      <c r="BX371" s="25" t="s">
        <v>166</v>
      </c>
      <c r="BY371" s="25" t="s">
        <v>166</v>
      </c>
      <c r="BZ371" s="25" t="s">
        <v>166</v>
      </c>
      <c r="CA371" s="25" t="s">
        <v>166</v>
      </c>
      <c r="CB371" s="25" t="s">
        <v>166</v>
      </c>
      <c r="CC371" s="25" t="s">
        <v>166</v>
      </c>
      <c r="CD371" s="25" t="s">
        <v>166</v>
      </c>
      <c r="CE371" s="29" t="s">
        <v>166</v>
      </c>
      <c r="CF371" s="27">
        <v>0.15</v>
      </c>
      <c r="CG371" s="28">
        <v>194.12</v>
      </c>
      <c r="CH371" s="27" t="s">
        <v>166</v>
      </c>
      <c r="CI371" s="27" t="s">
        <v>166</v>
      </c>
      <c r="CJ371" s="27" t="s">
        <v>166</v>
      </c>
      <c r="CK371" s="27" t="s">
        <v>166</v>
      </c>
      <c r="CL371" s="27" t="s">
        <v>166</v>
      </c>
      <c r="CM371" s="31">
        <v>2024</v>
      </c>
      <c r="CN371" s="27" t="s">
        <v>166</v>
      </c>
      <c r="CO371" s="27" t="s">
        <v>166</v>
      </c>
      <c r="CP371" s="27" t="s">
        <v>166</v>
      </c>
      <c r="CQ371" s="27">
        <v>26.67</v>
      </c>
      <c r="CR371" s="27" t="s">
        <v>166</v>
      </c>
      <c r="CS371" s="27" t="s">
        <v>166</v>
      </c>
      <c r="CT371" s="27" t="s">
        <v>166</v>
      </c>
      <c r="CU371" s="27" t="s">
        <v>166</v>
      </c>
      <c r="CV371" s="27">
        <v>4.33</v>
      </c>
      <c r="CW371" s="27" t="s">
        <v>166</v>
      </c>
      <c r="CX371" s="27" t="s">
        <v>166</v>
      </c>
      <c r="CY371" s="27" t="s">
        <v>166</v>
      </c>
      <c r="CZ371" s="27" t="s">
        <v>166</v>
      </c>
      <c r="DA371" s="27" t="s">
        <v>166</v>
      </c>
      <c r="DB371" s="27" t="s">
        <v>166</v>
      </c>
      <c r="DC371" s="27" t="s">
        <v>166</v>
      </c>
      <c r="DD371" s="27" t="s">
        <v>166</v>
      </c>
      <c r="DE371" s="28" t="s">
        <v>166</v>
      </c>
      <c r="DF371" s="33">
        <v>6</v>
      </c>
      <c r="DG371" s="25" t="s">
        <v>2367</v>
      </c>
      <c r="DH371" s="25" t="s">
        <v>193</v>
      </c>
      <c r="DI371" s="25" t="s">
        <v>194</v>
      </c>
      <c r="DJ371" s="25" t="s">
        <v>2368</v>
      </c>
      <c r="DK371" s="25" t="s">
        <v>2369</v>
      </c>
      <c r="DL371" s="32" t="s">
        <v>7363</v>
      </c>
      <c r="DM371" s="25" t="s">
        <v>198</v>
      </c>
      <c r="DN371" s="24" t="s">
        <v>7364</v>
      </c>
      <c r="DO371" s="31">
        <v>2022</v>
      </c>
      <c r="DP371" s="25" t="s">
        <v>166</v>
      </c>
      <c r="DQ371" s="25" t="s">
        <v>166</v>
      </c>
      <c r="DR371" s="29" t="s">
        <v>166</v>
      </c>
      <c r="DS371" s="27" t="s">
        <v>166</v>
      </c>
      <c r="DT371" s="30" t="s">
        <v>166</v>
      </c>
      <c r="DU371" s="25" t="s">
        <v>166</v>
      </c>
      <c r="DV371" s="29" t="s">
        <v>166</v>
      </c>
      <c r="DW371" s="29" t="s">
        <v>166</v>
      </c>
      <c r="DX371" s="27" t="s">
        <v>166</v>
      </c>
      <c r="DY371" s="27" t="s">
        <v>166</v>
      </c>
      <c r="DZ371" s="28" t="s">
        <v>166</v>
      </c>
      <c r="EA371" s="27" t="s">
        <v>166</v>
      </c>
      <c r="EB371" s="27" t="s">
        <v>166</v>
      </c>
      <c r="EC371" s="27" t="s">
        <v>166</v>
      </c>
      <c r="ED371" s="28" t="s">
        <v>166</v>
      </c>
      <c r="EE371" s="28" t="s">
        <v>166</v>
      </c>
      <c r="EF371" s="28" t="s">
        <v>166</v>
      </c>
      <c r="EG371" s="28" t="s">
        <v>166</v>
      </c>
      <c r="EH371" s="27" t="s">
        <v>166</v>
      </c>
      <c r="EI371" s="27" t="s">
        <v>166</v>
      </c>
      <c r="EJ371" s="27" t="s">
        <v>166</v>
      </c>
      <c r="EK371" s="27" t="s">
        <v>166</v>
      </c>
      <c r="EL371" s="27" t="s">
        <v>166</v>
      </c>
      <c r="EM371" s="27" t="s">
        <v>166</v>
      </c>
      <c r="EN371" s="27" t="s">
        <v>166</v>
      </c>
      <c r="EO371" s="27" t="s">
        <v>166</v>
      </c>
      <c r="EP371" s="27" t="s">
        <v>166</v>
      </c>
      <c r="EQ371" s="27" t="s">
        <v>166</v>
      </c>
      <c r="ER371" s="27" t="s">
        <v>166</v>
      </c>
      <c r="ES371" s="27" t="s">
        <v>166</v>
      </c>
      <c r="ET371" s="25" t="s">
        <v>166</v>
      </c>
      <c r="EU371" s="27" t="s">
        <v>166</v>
      </c>
      <c r="EV371" s="27" t="s">
        <v>166</v>
      </c>
      <c r="EW371" s="27" t="s">
        <v>166</v>
      </c>
      <c r="EX371" s="25" t="s">
        <v>190</v>
      </c>
      <c r="EY371" s="25" t="s">
        <v>166</v>
      </c>
      <c r="EZ371" s="27" t="s">
        <v>166</v>
      </c>
      <c r="FA371" s="26" t="s">
        <v>166</v>
      </c>
      <c r="FB371" s="26" t="s">
        <v>166</v>
      </c>
      <c r="FC371" s="26" t="s">
        <v>166</v>
      </c>
      <c r="FD371" s="26" t="s">
        <v>166</v>
      </c>
      <c r="FE371" s="26" t="s">
        <v>166</v>
      </c>
      <c r="FF371" s="26" t="s">
        <v>166</v>
      </c>
      <c r="FG371" s="25" t="s">
        <v>166</v>
      </c>
      <c r="FH371" s="4">
        <f>HYPERLINK("https://my.pitchbook.com?c=271125-37T","View Company Online")</f>
      </c>
    </row>
    <row r="372">
      <c r="A372" s="14" t="s">
        <v>7365</v>
      </c>
      <c r="B372" s="14" t="s">
        <v>7366</v>
      </c>
      <c r="C372" s="14" t="s">
        <v>7367</v>
      </c>
      <c r="D372" s="14" t="s">
        <v>166</v>
      </c>
      <c r="E372" s="23" t="s">
        <v>7368</v>
      </c>
      <c r="F372" s="21">
        <v>7</v>
      </c>
      <c r="G372" s="14" t="s">
        <v>7369</v>
      </c>
      <c r="H372" s="14" t="s">
        <v>166</v>
      </c>
      <c r="I372" s="14" t="s">
        <v>7370</v>
      </c>
      <c r="J372" s="14" t="s">
        <v>7371</v>
      </c>
      <c r="K372" s="14" t="s">
        <v>1455</v>
      </c>
      <c r="L372" s="14" t="s">
        <v>1456</v>
      </c>
      <c r="M372" s="14" t="s">
        <v>1457</v>
      </c>
      <c r="N372" s="14" t="s">
        <v>1841</v>
      </c>
      <c r="O372" s="14" t="s">
        <v>7372</v>
      </c>
      <c r="P372" s="14" t="s">
        <v>7373</v>
      </c>
      <c r="Q372" s="14" t="s">
        <v>7374</v>
      </c>
      <c r="R372" s="14" t="s">
        <v>177</v>
      </c>
      <c r="S372" s="14" t="s">
        <v>178</v>
      </c>
      <c r="T372" s="14" t="s">
        <v>179</v>
      </c>
      <c r="U372" s="14" t="s">
        <v>7375</v>
      </c>
      <c r="V372" s="14" t="s">
        <v>7376</v>
      </c>
      <c r="W372" s="21" t="s">
        <v>7377</v>
      </c>
      <c r="X372" s="14" t="s">
        <v>166</v>
      </c>
      <c r="Y372" s="14" t="s">
        <v>7378</v>
      </c>
      <c r="Z372" s="14" t="s">
        <v>166</v>
      </c>
      <c r="AA372" s="14" t="s">
        <v>242</v>
      </c>
      <c r="AB372" s="14" t="s">
        <v>243</v>
      </c>
      <c r="AC372" s="14" t="s">
        <v>244</v>
      </c>
      <c r="AD372" s="14" t="s">
        <v>243</v>
      </c>
      <c r="AE372" s="14" t="s">
        <v>243</v>
      </c>
      <c r="AF372" s="14" t="s">
        <v>245</v>
      </c>
      <c r="AG372" s="14" t="s">
        <v>807</v>
      </c>
      <c r="AH372" s="21">
        <v>3</v>
      </c>
      <c r="AI372" s="3">
        <f>HYPERLINK("https://my.pitchbook.com/?d=165662-38T","165662-38T")</f>
      </c>
      <c r="AJ372" s="19">
        <v>44217</v>
      </c>
      <c r="AK372" s="19">
        <v>44602</v>
      </c>
      <c r="AL372" s="18">
        <v>3.5</v>
      </c>
      <c r="AM372" s="14" t="s">
        <v>185</v>
      </c>
      <c r="AN372" s="18">
        <v>6</v>
      </c>
      <c r="AO372" s="18">
        <v>9.5</v>
      </c>
      <c r="AP372" s="14" t="s">
        <v>185</v>
      </c>
      <c r="AQ372" s="21" t="s">
        <v>166</v>
      </c>
      <c r="AR372" s="21" t="s">
        <v>166</v>
      </c>
      <c r="AS372" s="17">
        <v>36.84</v>
      </c>
      <c r="AT372" s="18">
        <v>3.5</v>
      </c>
      <c r="AU372" s="21" t="s">
        <v>186</v>
      </c>
      <c r="AV372" s="21" t="s">
        <v>166</v>
      </c>
      <c r="AW372" s="18">
        <v>0.66</v>
      </c>
      <c r="AX372" s="21" t="s">
        <v>5705</v>
      </c>
      <c r="AY372" s="14" t="s">
        <v>187</v>
      </c>
      <c r="AZ372" s="14" t="s">
        <v>5705</v>
      </c>
      <c r="BA372" s="14" t="s">
        <v>166</v>
      </c>
      <c r="BB372" s="21" t="s">
        <v>166</v>
      </c>
      <c r="BC372" s="14" t="s">
        <v>179</v>
      </c>
      <c r="BD372" s="14" t="s">
        <v>7379</v>
      </c>
      <c r="BE372" s="14" t="s">
        <v>189</v>
      </c>
      <c r="BF372" s="18">
        <v>3.5</v>
      </c>
      <c r="BG372" s="14" t="s">
        <v>190</v>
      </c>
      <c r="BH372" s="14" t="s">
        <v>166</v>
      </c>
      <c r="BI372" s="14" t="s">
        <v>166</v>
      </c>
      <c r="BJ372" s="18" t="s">
        <v>166</v>
      </c>
      <c r="BK372" s="18" t="s">
        <v>166</v>
      </c>
      <c r="BL372" s="14" t="s">
        <v>191</v>
      </c>
      <c r="BM372" s="14" t="s">
        <v>178</v>
      </c>
      <c r="BN372" s="14" t="s">
        <v>177</v>
      </c>
      <c r="BO372" s="22" t="s">
        <v>166</v>
      </c>
      <c r="BP372" s="14" t="s">
        <v>7380</v>
      </c>
      <c r="BQ372" s="21">
        <v>7</v>
      </c>
      <c r="BR372" s="14" t="s">
        <v>166</v>
      </c>
      <c r="BS372" s="21" t="s">
        <v>166</v>
      </c>
      <c r="BT372" s="14" t="s">
        <v>7381</v>
      </c>
      <c r="BU372" s="14" t="s">
        <v>166</v>
      </c>
      <c r="BV372" s="14" t="s">
        <v>7382</v>
      </c>
      <c r="BW372" s="14" t="s">
        <v>166</v>
      </c>
      <c r="BX372" s="14" t="s">
        <v>166</v>
      </c>
      <c r="BY372" s="14" t="s">
        <v>166</v>
      </c>
      <c r="BZ372" s="14" t="s">
        <v>7383</v>
      </c>
      <c r="CA372" s="14" t="s">
        <v>7383</v>
      </c>
      <c r="CB372" s="14" t="s">
        <v>166</v>
      </c>
      <c r="CC372" s="14" t="s">
        <v>166</v>
      </c>
      <c r="CD372" s="14" t="s">
        <v>166</v>
      </c>
      <c r="CE372" s="18" t="s">
        <v>166</v>
      </c>
      <c r="CF372" s="16">
        <v>0.78</v>
      </c>
      <c r="CG372" s="17" t="s">
        <v>166</v>
      </c>
      <c r="CH372" s="16" t="s">
        <v>166</v>
      </c>
      <c r="CI372" s="16">
        <v>-1.5</v>
      </c>
      <c r="CJ372" s="16">
        <v>-1.5</v>
      </c>
      <c r="CK372" s="16" t="s">
        <v>166</v>
      </c>
      <c r="CL372" s="16" t="s">
        <v>166</v>
      </c>
      <c r="CM372" s="20">
        <v>2021</v>
      </c>
      <c r="CN372" s="16">
        <v>-6.33</v>
      </c>
      <c r="CO372" s="16" t="s">
        <v>166</v>
      </c>
      <c r="CP372" s="16">
        <v>-6.33</v>
      </c>
      <c r="CQ372" s="16">
        <v>12.18</v>
      </c>
      <c r="CR372" s="16" t="s">
        <v>166</v>
      </c>
      <c r="CS372" s="16">
        <v>-2.33</v>
      </c>
      <c r="CT372" s="16" t="s">
        <v>166</v>
      </c>
      <c r="CU372" s="16">
        <v>-2.33</v>
      </c>
      <c r="CV372" s="16">
        <v>4.49</v>
      </c>
      <c r="CW372" s="16" t="s">
        <v>166</v>
      </c>
      <c r="CX372" s="16" t="s">
        <v>166</v>
      </c>
      <c r="CY372" s="16" t="s">
        <v>166</v>
      </c>
      <c r="CZ372" s="16" t="s">
        <v>166</v>
      </c>
      <c r="DA372" s="16" t="s">
        <v>166</v>
      </c>
      <c r="DB372" s="16" t="s">
        <v>166</v>
      </c>
      <c r="DC372" s="16" t="s">
        <v>166</v>
      </c>
      <c r="DD372" s="16" t="s">
        <v>166</v>
      </c>
      <c r="DE372" s="17">
        <v>-192.31</v>
      </c>
      <c r="DF372" s="22">
        <v>28</v>
      </c>
      <c r="DG372" s="14" t="s">
        <v>7384</v>
      </c>
      <c r="DH372" s="14" t="s">
        <v>193</v>
      </c>
      <c r="DI372" s="14" t="s">
        <v>194</v>
      </c>
      <c r="DJ372" s="14" t="s">
        <v>7385</v>
      </c>
      <c r="DK372" s="14" t="s">
        <v>7386</v>
      </c>
      <c r="DL372" s="21" t="s">
        <v>7387</v>
      </c>
      <c r="DM372" s="14" t="s">
        <v>198</v>
      </c>
      <c r="DN372" s="13" t="s">
        <v>7388</v>
      </c>
      <c r="DO372" s="20">
        <v>2018</v>
      </c>
      <c r="DP372" s="14" t="s">
        <v>166</v>
      </c>
      <c r="DQ372" s="14" t="s">
        <v>166</v>
      </c>
      <c r="DR372" s="18" t="s">
        <v>166</v>
      </c>
      <c r="DS372" s="16" t="s">
        <v>166</v>
      </c>
      <c r="DT372" s="19" t="s">
        <v>166</v>
      </c>
      <c r="DU372" s="14" t="s">
        <v>166</v>
      </c>
      <c r="DV372" s="18" t="s">
        <v>166</v>
      </c>
      <c r="DW372" s="18" t="s">
        <v>166</v>
      </c>
      <c r="DX372" s="16" t="s">
        <v>166</v>
      </c>
      <c r="DY372" s="16" t="s">
        <v>166</v>
      </c>
      <c r="DZ372" s="17" t="s">
        <v>166</v>
      </c>
      <c r="EA372" s="16" t="s">
        <v>166</v>
      </c>
      <c r="EB372" s="16" t="s">
        <v>166</v>
      </c>
      <c r="EC372" s="16" t="s">
        <v>166</v>
      </c>
      <c r="ED372" s="17" t="s">
        <v>166</v>
      </c>
      <c r="EE372" s="17" t="s">
        <v>166</v>
      </c>
      <c r="EF372" s="17" t="s">
        <v>166</v>
      </c>
      <c r="EG372" s="17" t="s">
        <v>166</v>
      </c>
      <c r="EH372" s="16" t="s">
        <v>166</v>
      </c>
      <c r="EI372" s="16" t="s">
        <v>166</v>
      </c>
      <c r="EJ372" s="16" t="s">
        <v>166</v>
      </c>
      <c r="EK372" s="16" t="s">
        <v>166</v>
      </c>
      <c r="EL372" s="16" t="s">
        <v>166</v>
      </c>
      <c r="EM372" s="16" t="s">
        <v>166</v>
      </c>
      <c r="EN372" s="16" t="s">
        <v>166</v>
      </c>
      <c r="EO372" s="16" t="s">
        <v>166</v>
      </c>
      <c r="EP372" s="16" t="s">
        <v>166</v>
      </c>
      <c r="EQ372" s="16" t="s">
        <v>166</v>
      </c>
      <c r="ER372" s="16" t="s">
        <v>166</v>
      </c>
      <c r="ES372" s="16" t="s">
        <v>166</v>
      </c>
      <c r="ET372" s="14" t="s">
        <v>166</v>
      </c>
      <c r="EU372" s="16" t="s">
        <v>166</v>
      </c>
      <c r="EV372" s="16" t="s">
        <v>166</v>
      </c>
      <c r="EW372" s="16" t="s">
        <v>166</v>
      </c>
      <c r="EX372" s="14" t="s">
        <v>190</v>
      </c>
      <c r="EY372" s="14" t="s">
        <v>166</v>
      </c>
      <c r="EZ372" s="16" t="s">
        <v>166</v>
      </c>
      <c r="FA372" s="15">
        <v>1</v>
      </c>
      <c r="FB372" s="15">
        <v>1</v>
      </c>
      <c r="FC372" s="15">
        <v>1</v>
      </c>
      <c r="FD372" s="15" t="s">
        <v>166</v>
      </c>
      <c r="FE372" s="15" t="s">
        <v>166</v>
      </c>
      <c r="FF372" s="15" t="s">
        <v>166</v>
      </c>
      <c r="FG372" s="14" t="s">
        <v>7389</v>
      </c>
      <c r="FH372" s="3">
        <f>HYPERLINK("https://my.pitchbook.com?c=165662-38T","View Company Online")</f>
      </c>
    </row>
    <row r="373">
      <c r="A373" s="25" t="s">
        <v>7390</v>
      </c>
      <c r="B373" s="25" t="s">
        <v>7391</v>
      </c>
      <c r="C373" s="25" t="s">
        <v>7392</v>
      </c>
      <c r="D373" s="25" t="s">
        <v>166</v>
      </c>
      <c r="E373" s="34" t="s">
        <v>7393</v>
      </c>
      <c r="F373" s="32">
        <v>6</v>
      </c>
      <c r="G373" s="25" t="s">
        <v>7394</v>
      </c>
      <c r="H373" s="25" t="s">
        <v>166</v>
      </c>
      <c r="I373" s="25" t="s">
        <v>7395</v>
      </c>
      <c r="J373" s="25" t="s">
        <v>7396</v>
      </c>
      <c r="K373" s="25" t="s">
        <v>321</v>
      </c>
      <c r="L373" s="25" t="s">
        <v>322</v>
      </c>
      <c r="M373" s="25" t="s">
        <v>322</v>
      </c>
      <c r="N373" s="25" t="s">
        <v>7397</v>
      </c>
      <c r="O373" s="25" t="s">
        <v>641</v>
      </c>
      <c r="P373" s="25" t="s">
        <v>7398</v>
      </c>
      <c r="Q373" s="25" t="s">
        <v>166</v>
      </c>
      <c r="R373" s="25" t="s">
        <v>177</v>
      </c>
      <c r="S373" s="25" t="s">
        <v>178</v>
      </c>
      <c r="T373" s="25" t="s">
        <v>179</v>
      </c>
      <c r="U373" s="25" t="s">
        <v>7399</v>
      </c>
      <c r="V373" s="25" t="s">
        <v>7400</v>
      </c>
      <c r="W373" s="32" t="s">
        <v>166</v>
      </c>
      <c r="X373" s="25" t="s">
        <v>166</v>
      </c>
      <c r="Y373" s="25" t="s">
        <v>7401</v>
      </c>
      <c r="Z373" s="25" t="s">
        <v>166</v>
      </c>
      <c r="AA373" s="25" t="s">
        <v>166</v>
      </c>
      <c r="AB373" s="25" t="s">
        <v>166</v>
      </c>
      <c r="AC373" s="25" t="s">
        <v>166</v>
      </c>
      <c r="AD373" s="25" t="s">
        <v>166</v>
      </c>
      <c r="AE373" s="25" t="s">
        <v>166</v>
      </c>
      <c r="AF373" s="25" t="s">
        <v>166</v>
      </c>
      <c r="AG373" s="25" t="s">
        <v>166</v>
      </c>
      <c r="AH373" s="32">
        <v>1</v>
      </c>
      <c r="AI373" s="4">
        <f>HYPERLINK("https://my.pitchbook.com/?d=181290-52T","181290-52T")</f>
      </c>
      <c r="AJ373" s="30" t="s">
        <v>166</v>
      </c>
      <c r="AK373" s="30">
        <v>44326</v>
      </c>
      <c r="AL373" s="29">
        <v>2.1</v>
      </c>
      <c r="AM373" s="25" t="s">
        <v>185</v>
      </c>
      <c r="AN373" s="29" t="s">
        <v>166</v>
      </c>
      <c r="AO373" s="29" t="s">
        <v>166</v>
      </c>
      <c r="AP373" s="25" t="s">
        <v>166</v>
      </c>
      <c r="AQ373" s="32" t="s">
        <v>166</v>
      </c>
      <c r="AR373" s="32" t="s">
        <v>166</v>
      </c>
      <c r="AS373" s="28" t="s">
        <v>166</v>
      </c>
      <c r="AT373" s="29">
        <v>2.1</v>
      </c>
      <c r="AU373" s="32" t="s">
        <v>186</v>
      </c>
      <c r="AV373" s="32" t="s">
        <v>166</v>
      </c>
      <c r="AW373" s="29" t="s">
        <v>166</v>
      </c>
      <c r="AX373" s="32" t="s">
        <v>166</v>
      </c>
      <c r="AY373" s="25" t="s">
        <v>187</v>
      </c>
      <c r="AZ373" s="25" t="s">
        <v>166</v>
      </c>
      <c r="BA373" s="25" t="s">
        <v>166</v>
      </c>
      <c r="BB373" s="32" t="s">
        <v>166</v>
      </c>
      <c r="BC373" s="25" t="s">
        <v>179</v>
      </c>
      <c r="BD373" s="25" t="s">
        <v>7402</v>
      </c>
      <c r="BE373" s="25" t="s">
        <v>189</v>
      </c>
      <c r="BF373" s="29">
        <v>2.1</v>
      </c>
      <c r="BG373" s="25" t="s">
        <v>190</v>
      </c>
      <c r="BH373" s="25" t="s">
        <v>166</v>
      </c>
      <c r="BI373" s="25" t="s">
        <v>166</v>
      </c>
      <c r="BJ373" s="29" t="s">
        <v>166</v>
      </c>
      <c r="BK373" s="29" t="s">
        <v>166</v>
      </c>
      <c r="BL373" s="25" t="s">
        <v>191</v>
      </c>
      <c r="BM373" s="25" t="s">
        <v>178</v>
      </c>
      <c r="BN373" s="25" t="s">
        <v>177</v>
      </c>
      <c r="BO373" s="33" t="s">
        <v>166</v>
      </c>
      <c r="BP373" s="25" t="s">
        <v>7393</v>
      </c>
      <c r="BQ373" s="32">
        <v>6</v>
      </c>
      <c r="BR373" s="25" t="s">
        <v>166</v>
      </c>
      <c r="BS373" s="32" t="s">
        <v>166</v>
      </c>
      <c r="BT373" s="25" t="s">
        <v>166</v>
      </c>
      <c r="BU373" s="25" t="s">
        <v>166</v>
      </c>
      <c r="BV373" s="25" t="s">
        <v>7403</v>
      </c>
      <c r="BW373" s="25" t="s">
        <v>166</v>
      </c>
      <c r="BX373" s="25" t="s">
        <v>166</v>
      </c>
      <c r="BY373" s="25" t="s">
        <v>166</v>
      </c>
      <c r="BZ373" s="25" t="s">
        <v>166</v>
      </c>
      <c r="CA373" s="25" t="s">
        <v>166</v>
      </c>
      <c r="CB373" s="25" t="s">
        <v>166</v>
      </c>
      <c r="CC373" s="25" t="s">
        <v>166</v>
      </c>
      <c r="CD373" s="25" t="s">
        <v>166</v>
      </c>
      <c r="CE373" s="29" t="s">
        <v>166</v>
      </c>
      <c r="CF373" s="27" t="s">
        <v>166</v>
      </c>
      <c r="CG373" s="28" t="s">
        <v>166</v>
      </c>
      <c r="CH373" s="27" t="s">
        <v>166</v>
      </c>
      <c r="CI373" s="27" t="s">
        <v>166</v>
      </c>
      <c r="CJ373" s="27" t="s">
        <v>166</v>
      </c>
      <c r="CK373" s="27" t="s">
        <v>166</v>
      </c>
      <c r="CL373" s="27" t="s">
        <v>166</v>
      </c>
      <c r="CM373" s="31" t="s">
        <v>166</v>
      </c>
      <c r="CN373" s="27" t="s">
        <v>166</v>
      </c>
      <c r="CO373" s="27" t="s">
        <v>166</v>
      </c>
      <c r="CP373" s="27" t="s">
        <v>166</v>
      </c>
      <c r="CQ373" s="27" t="s">
        <v>166</v>
      </c>
      <c r="CR373" s="27" t="s">
        <v>166</v>
      </c>
      <c r="CS373" s="27" t="s">
        <v>166</v>
      </c>
      <c r="CT373" s="27" t="s">
        <v>166</v>
      </c>
      <c r="CU373" s="27" t="s">
        <v>166</v>
      </c>
      <c r="CV373" s="27" t="s">
        <v>166</v>
      </c>
      <c r="CW373" s="27" t="s">
        <v>166</v>
      </c>
      <c r="CX373" s="27" t="s">
        <v>166</v>
      </c>
      <c r="CY373" s="27" t="s">
        <v>166</v>
      </c>
      <c r="CZ373" s="27" t="s">
        <v>166</v>
      </c>
      <c r="DA373" s="27" t="s">
        <v>166</v>
      </c>
      <c r="DB373" s="27" t="s">
        <v>166</v>
      </c>
      <c r="DC373" s="27" t="s">
        <v>166</v>
      </c>
      <c r="DD373" s="27" t="s">
        <v>166</v>
      </c>
      <c r="DE373" s="28" t="s">
        <v>166</v>
      </c>
      <c r="DF373" s="33">
        <v>10</v>
      </c>
      <c r="DG373" s="25" t="s">
        <v>2367</v>
      </c>
      <c r="DH373" s="25" t="s">
        <v>193</v>
      </c>
      <c r="DI373" s="25" t="s">
        <v>194</v>
      </c>
      <c r="DJ373" s="25" t="s">
        <v>2368</v>
      </c>
      <c r="DK373" s="25" t="s">
        <v>2369</v>
      </c>
      <c r="DL373" s="32" t="s">
        <v>7404</v>
      </c>
      <c r="DM373" s="25" t="s">
        <v>198</v>
      </c>
      <c r="DN373" s="24" t="s">
        <v>7405</v>
      </c>
      <c r="DO373" s="31">
        <v>2021</v>
      </c>
      <c r="DP373" s="25" t="s">
        <v>166</v>
      </c>
      <c r="DQ373" s="25" t="s">
        <v>166</v>
      </c>
      <c r="DR373" s="29" t="s">
        <v>166</v>
      </c>
      <c r="DS373" s="27" t="s">
        <v>166</v>
      </c>
      <c r="DT373" s="30" t="s">
        <v>166</v>
      </c>
      <c r="DU373" s="25" t="s">
        <v>166</v>
      </c>
      <c r="DV373" s="29" t="s">
        <v>166</v>
      </c>
      <c r="DW373" s="29" t="s">
        <v>166</v>
      </c>
      <c r="DX373" s="27" t="s">
        <v>166</v>
      </c>
      <c r="DY373" s="27" t="s">
        <v>166</v>
      </c>
      <c r="DZ373" s="28" t="s">
        <v>166</v>
      </c>
      <c r="EA373" s="27" t="s">
        <v>166</v>
      </c>
      <c r="EB373" s="27" t="s">
        <v>166</v>
      </c>
      <c r="EC373" s="27" t="s">
        <v>166</v>
      </c>
      <c r="ED373" s="28" t="s">
        <v>166</v>
      </c>
      <c r="EE373" s="28" t="s">
        <v>166</v>
      </c>
      <c r="EF373" s="28" t="s">
        <v>166</v>
      </c>
      <c r="EG373" s="28" t="s">
        <v>166</v>
      </c>
      <c r="EH373" s="27" t="s">
        <v>166</v>
      </c>
      <c r="EI373" s="27" t="s">
        <v>166</v>
      </c>
      <c r="EJ373" s="27" t="s">
        <v>166</v>
      </c>
      <c r="EK373" s="27" t="s">
        <v>166</v>
      </c>
      <c r="EL373" s="27" t="s">
        <v>166</v>
      </c>
      <c r="EM373" s="27" t="s">
        <v>166</v>
      </c>
      <c r="EN373" s="27" t="s">
        <v>166</v>
      </c>
      <c r="EO373" s="27" t="s">
        <v>166</v>
      </c>
      <c r="EP373" s="27" t="s">
        <v>166</v>
      </c>
      <c r="EQ373" s="27" t="s">
        <v>166</v>
      </c>
      <c r="ER373" s="27" t="s">
        <v>166</v>
      </c>
      <c r="ES373" s="27" t="s">
        <v>166</v>
      </c>
      <c r="ET373" s="25" t="s">
        <v>166</v>
      </c>
      <c r="EU373" s="27" t="s">
        <v>166</v>
      </c>
      <c r="EV373" s="27" t="s">
        <v>166</v>
      </c>
      <c r="EW373" s="27" t="s">
        <v>166</v>
      </c>
      <c r="EX373" s="25" t="s">
        <v>190</v>
      </c>
      <c r="EY373" s="25" t="s">
        <v>166</v>
      </c>
      <c r="EZ373" s="27" t="s">
        <v>166</v>
      </c>
      <c r="FA373" s="26" t="s">
        <v>166</v>
      </c>
      <c r="FB373" s="26" t="s">
        <v>166</v>
      </c>
      <c r="FC373" s="26" t="s">
        <v>166</v>
      </c>
      <c r="FD373" s="26" t="s">
        <v>166</v>
      </c>
      <c r="FE373" s="26" t="s">
        <v>166</v>
      </c>
      <c r="FF373" s="26" t="s">
        <v>166</v>
      </c>
      <c r="FG373" s="25" t="s">
        <v>166</v>
      </c>
      <c r="FH373" s="4">
        <f>HYPERLINK("https://my.pitchbook.com?c=181290-52T","View Company Online")</f>
      </c>
    </row>
    <row r="374">
      <c r="A374" s="14" t="s">
        <v>7406</v>
      </c>
      <c r="B374" s="14" t="s">
        <v>7407</v>
      </c>
      <c r="C374" s="14" t="s">
        <v>7408</v>
      </c>
      <c r="D374" s="14" t="s">
        <v>166</v>
      </c>
      <c r="E374" s="23" t="s">
        <v>7409</v>
      </c>
      <c r="F374" s="21">
        <v>1</v>
      </c>
      <c r="G374" s="14" t="s">
        <v>3566</v>
      </c>
      <c r="H374" s="14" t="s">
        <v>166</v>
      </c>
      <c r="I374" s="14" t="s">
        <v>7410</v>
      </c>
      <c r="J374" s="14" t="s">
        <v>7411</v>
      </c>
      <c r="K374" s="14" t="s">
        <v>207</v>
      </c>
      <c r="L374" s="14" t="s">
        <v>208</v>
      </c>
      <c r="M374" s="14" t="s">
        <v>209</v>
      </c>
      <c r="N374" s="14" t="s">
        <v>348</v>
      </c>
      <c r="O374" s="14" t="s">
        <v>1318</v>
      </c>
      <c r="P374" s="14" t="s">
        <v>7412</v>
      </c>
      <c r="Q374" s="14" t="s">
        <v>166</v>
      </c>
      <c r="R374" s="14" t="s">
        <v>177</v>
      </c>
      <c r="S374" s="14" t="s">
        <v>178</v>
      </c>
      <c r="T374" s="14" t="s">
        <v>179</v>
      </c>
      <c r="U374" s="14" t="s">
        <v>7413</v>
      </c>
      <c r="V374" s="14" t="s">
        <v>7414</v>
      </c>
      <c r="W374" s="21" t="s">
        <v>7415</v>
      </c>
      <c r="X374" s="14" t="s">
        <v>7416</v>
      </c>
      <c r="Y374" s="14" t="s">
        <v>7417</v>
      </c>
      <c r="Z374" s="14" t="s">
        <v>7418</v>
      </c>
      <c r="AA374" s="14" t="s">
        <v>166</v>
      </c>
      <c r="AB374" s="14" t="s">
        <v>166</v>
      </c>
      <c r="AC374" s="14" t="s">
        <v>166</v>
      </c>
      <c r="AD374" s="14" t="s">
        <v>166</v>
      </c>
      <c r="AE374" s="14" t="s">
        <v>166</v>
      </c>
      <c r="AF374" s="14" t="s">
        <v>166</v>
      </c>
      <c r="AG374" s="14" t="s">
        <v>166</v>
      </c>
      <c r="AH374" s="21">
        <v>1</v>
      </c>
      <c r="AI374" s="3">
        <f>HYPERLINK("https://my.pitchbook.com/?d=165751-39T","165751-39T")</f>
      </c>
      <c r="AJ374" s="19" t="s">
        <v>166</v>
      </c>
      <c r="AK374" s="19">
        <v>44105</v>
      </c>
      <c r="AL374" s="18">
        <v>0.02</v>
      </c>
      <c r="AM374" s="14" t="s">
        <v>185</v>
      </c>
      <c r="AN374" s="18" t="s">
        <v>166</v>
      </c>
      <c r="AO374" s="18" t="s">
        <v>166</v>
      </c>
      <c r="AP374" s="14" t="s">
        <v>166</v>
      </c>
      <c r="AQ374" s="21" t="s">
        <v>166</v>
      </c>
      <c r="AR374" s="21" t="s">
        <v>166</v>
      </c>
      <c r="AS374" s="17" t="s">
        <v>166</v>
      </c>
      <c r="AT374" s="18">
        <v>0.02</v>
      </c>
      <c r="AU374" s="21" t="s">
        <v>186</v>
      </c>
      <c r="AV374" s="21" t="s">
        <v>166</v>
      </c>
      <c r="AW374" s="18" t="s">
        <v>166</v>
      </c>
      <c r="AX374" s="21" t="s">
        <v>746</v>
      </c>
      <c r="AY374" s="14" t="s">
        <v>217</v>
      </c>
      <c r="AZ374" s="14" t="s">
        <v>746</v>
      </c>
      <c r="BA374" s="14" t="s">
        <v>166</v>
      </c>
      <c r="BB374" s="21" t="s">
        <v>166</v>
      </c>
      <c r="BC374" s="14" t="s">
        <v>179</v>
      </c>
      <c r="BD374" s="14" t="s">
        <v>7419</v>
      </c>
      <c r="BE374" s="14" t="s">
        <v>189</v>
      </c>
      <c r="BF374" s="18">
        <v>0.02</v>
      </c>
      <c r="BG374" s="14" t="s">
        <v>190</v>
      </c>
      <c r="BH374" s="14" t="s">
        <v>166</v>
      </c>
      <c r="BI374" s="14" t="s">
        <v>166</v>
      </c>
      <c r="BJ374" s="18" t="s">
        <v>166</v>
      </c>
      <c r="BK374" s="18" t="s">
        <v>166</v>
      </c>
      <c r="BL374" s="14" t="s">
        <v>191</v>
      </c>
      <c r="BM374" s="14" t="s">
        <v>358</v>
      </c>
      <c r="BN374" s="14" t="s">
        <v>177</v>
      </c>
      <c r="BO374" s="22" t="s">
        <v>166</v>
      </c>
      <c r="BP374" s="14" t="s">
        <v>3565</v>
      </c>
      <c r="BQ374" s="21">
        <v>1</v>
      </c>
      <c r="BR374" s="14" t="s">
        <v>166</v>
      </c>
      <c r="BS374" s="21" t="s">
        <v>166</v>
      </c>
      <c r="BT374" s="14" t="s">
        <v>166</v>
      </c>
      <c r="BU374" s="14" t="s">
        <v>166</v>
      </c>
      <c r="BV374" s="14" t="s">
        <v>7420</v>
      </c>
      <c r="BW374" s="14" t="s">
        <v>166</v>
      </c>
      <c r="BX374" s="14" t="s">
        <v>166</v>
      </c>
      <c r="BY374" s="14" t="s">
        <v>166</v>
      </c>
      <c r="BZ374" s="14" t="s">
        <v>166</v>
      </c>
      <c r="CA374" s="14" t="s">
        <v>166</v>
      </c>
      <c r="CB374" s="14" t="s">
        <v>166</v>
      </c>
      <c r="CC374" s="14" t="s">
        <v>166</v>
      </c>
      <c r="CD374" s="14" t="s">
        <v>166</v>
      </c>
      <c r="CE374" s="18" t="s">
        <v>166</v>
      </c>
      <c r="CF374" s="16" t="s">
        <v>166</v>
      </c>
      <c r="CG374" s="17" t="s">
        <v>166</v>
      </c>
      <c r="CH374" s="16" t="s">
        <v>166</v>
      </c>
      <c r="CI374" s="16" t="s">
        <v>166</v>
      </c>
      <c r="CJ374" s="16" t="s">
        <v>166</v>
      </c>
      <c r="CK374" s="16" t="s">
        <v>166</v>
      </c>
      <c r="CL374" s="16" t="s">
        <v>166</v>
      </c>
      <c r="CM374" s="20" t="s">
        <v>166</v>
      </c>
      <c r="CN374" s="16" t="s">
        <v>166</v>
      </c>
      <c r="CO374" s="16" t="s">
        <v>166</v>
      </c>
      <c r="CP374" s="16" t="s">
        <v>166</v>
      </c>
      <c r="CQ374" s="16" t="s">
        <v>166</v>
      </c>
      <c r="CR374" s="16" t="s">
        <v>166</v>
      </c>
      <c r="CS374" s="16" t="s">
        <v>166</v>
      </c>
      <c r="CT374" s="16" t="s">
        <v>166</v>
      </c>
      <c r="CU374" s="16" t="s">
        <v>166</v>
      </c>
      <c r="CV374" s="16" t="s">
        <v>166</v>
      </c>
      <c r="CW374" s="16" t="s">
        <v>166</v>
      </c>
      <c r="CX374" s="16" t="s">
        <v>166</v>
      </c>
      <c r="CY374" s="16" t="s">
        <v>166</v>
      </c>
      <c r="CZ374" s="16" t="s">
        <v>166</v>
      </c>
      <c r="DA374" s="16" t="s">
        <v>166</v>
      </c>
      <c r="DB374" s="16" t="s">
        <v>166</v>
      </c>
      <c r="DC374" s="16" t="s">
        <v>166</v>
      </c>
      <c r="DD374" s="16" t="s">
        <v>166</v>
      </c>
      <c r="DE374" s="17" t="s">
        <v>166</v>
      </c>
      <c r="DF374" s="22">
        <v>4</v>
      </c>
      <c r="DG374" s="14" t="s">
        <v>6825</v>
      </c>
      <c r="DH374" s="14" t="s">
        <v>193</v>
      </c>
      <c r="DI374" s="14" t="s">
        <v>194</v>
      </c>
      <c r="DJ374" s="14" t="s">
        <v>6826</v>
      </c>
      <c r="DK374" s="14" t="s">
        <v>1888</v>
      </c>
      <c r="DL374" s="21" t="s">
        <v>7421</v>
      </c>
      <c r="DM374" s="14" t="s">
        <v>198</v>
      </c>
      <c r="DN374" s="13" t="s">
        <v>7422</v>
      </c>
      <c r="DO374" s="20">
        <v>2019</v>
      </c>
      <c r="DP374" s="14" t="s">
        <v>166</v>
      </c>
      <c r="DQ374" s="14" t="s">
        <v>166</v>
      </c>
      <c r="DR374" s="18" t="s">
        <v>166</v>
      </c>
      <c r="DS374" s="16" t="s">
        <v>166</v>
      </c>
      <c r="DT374" s="19" t="s">
        <v>166</v>
      </c>
      <c r="DU374" s="14" t="s">
        <v>166</v>
      </c>
      <c r="DV374" s="18" t="s">
        <v>166</v>
      </c>
      <c r="DW374" s="18" t="s">
        <v>166</v>
      </c>
      <c r="DX374" s="16" t="s">
        <v>166</v>
      </c>
      <c r="DY374" s="16" t="s">
        <v>166</v>
      </c>
      <c r="DZ374" s="17" t="s">
        <v>166</v>
      </c>
      <c r="EA374" s="16" t="s">
        <v>166</v>
      </c>
      <c r="EB374" s="16" t="s">
        <v>166</v>
      </c>
      <c r="EC374" s="16" t="s">
        <v>166</v>
      </c>
      <c r="ED374" s="17" t="s">
        <v>166</v>
      </c>
      <c r="EE374" s="17" t="s">
        <v>166</v>
      </c>
      <c r="EF374" s="17" t="s">
        <v>166</v>
      </c>
      <c r="EG374" s="17" t="s">
        <v>166</v>
      </c>
      <c r="EH374" s="16" t="s">
        <v>166</v>
      </c>
      <c r="EI374" s="16" t="s">
        <v>166</v>
      </c>
      <c r="EJ374" s="16" t="s">
        <v>166</v>
      </c>
      <c r="EK374" s="16" t="s">
        <v>166</v>
      </c>
      <c r="EL374" s="16" t="s">
        <v>166</v>
      </c>
      <c r="EM374" s="16" t="s">
        <v>166</v>
      </c>
      <c r="EN374" s="16" t="s">
        <v>166</v>
      </c>
      <c r="EO374" s="16" t="s">
        <v>166</v>
      </c>
      <c r="EP374" s="16" t="s">
        <v>166</v>
      </c>
      <c r="EQ374" s="16" t="s">
        <v>166</v>
      </c>
      <c r="ER374" s="16" t="s">
        <v>166</v>
      </c>
      <c r="ES374" s="16" t="s">
        <v>166</v>
      </c>
      <c r="ET374" s="14" t="s">
        <v>166</v>
      </c>
      <c r="EU374" s="16" t="s">
        <v>166</v>
      </c>
      <c r="EV374" s="16" t="s">
        <v>166</v>
      </c>
      <c r="EW374" s="16" t="s">
        <v>166</v>
      </c>
      <c r="EX374" s="14" t="s">
        <v>190</v>
      </c>
      <c r="EY374" s="14" t="s">
        <v>166</v>
      </c>
      <c r="EZ374" s="16" t="s">
        <v>166</v>
      </c>
      <c r="FA374" s="15" t="s">
        <v>166</v>
      </c>
      <c r="FB374" s="15" t="s">
        <v>166</v>
      </c>
      <c r="FC374" s="15" t="s">
        <v>166</v>
      </c>
      <c r="FD374" s="15" t="s">
        <v>166</v>
      </c>
      <c r="FE374" s="15" t="s">
        <v>166</v>
      </c>
      <c r="FF374" s="15" t="s">
        <v>166</v>
      </c>
      <c r="FG374" s="14" t="s">
        <v>166</v>
      </c>
      <c r="FH374" s="3">
        <f>HYPERLINK("https://my.pitchbook.com?c=165751-39T","View Company Online")</f>
      </c>
    </row>
    <row r="375">
      <c r="A375" s="25" t="s">
        <v>7423</v>
      </c>
      <c r="B375" s="25" t="s">
        <v>7424</v>
      </c>
      <c r="C375" s="25" t="s">
        <v>7425</v>
      </c>
      <c r="D375" s="25" t="s">
        <v>166</v>
      </c>
      <c r="E375" s="34" t="s">
        <v>7426</v>
      </c>
      <c r="F375" s="32">
        <v>4</v>
      </c>
      <c r="G375" s="25" t="s">
        <v>7427</v>
      </c>
      <c r="H375" s="25" t="s">
        <v>166</v>
      </c>
      <c r="I375" s="25" t="s">
        <v>7428</v>
      </c>
      <c r="J375" s="25" t="s">
        <v>7429</v>
      </c>
      <c r="K375" s="25" t="s">
        <v>207</v>
      </c>
      <c r="L375" s="25" t="s">
        <v>208</v>
      </c>
      <c r="M375" s="25" t="s">
        <v>296</v>
      </c>
      <c r="N375" s="25" t="s">
        <v>1052</v>
      </c>
      <c r="O375" s="25" t="s">
        <v>1318</v>
      </c>
      <c r="P375" s="25" t="s">
        <v>7430</v>
      </c>
      <c r="Q375" s="25" t="s">
        <v>166</v>
      </c>
      <c r="R375" s="25" t="s">
        <v>177</v>
      </c>
      <c r="S375" s="25" t="s">
        <v>178</v>
      </c>
      <c r="T375" s="25" t="s">
        <v>179</v>
      </c>
      <c r="U375" s="25" t="s">
        <v>7431</v>
      </c>
      <c r="V375" s="25" t="s">
        <v>7432</v>
      </c>
      <c r="W375" s="32" t="s">
        <v>7433</v>
      </c>
      <c r="X375" s="25" t="s">
        <v>7434</v>
      </c>
      <c r="Y375" s="25" t="s">
        <v>7435</v>
      </c>
      <c r="Z375" s="25" t="s">
        <v>7436</v>
      </c>
      <c r="AA375" s="25" t="s">
        <v>166</v>
      </c>
      <c r="AB375" s="25" t="s">
        <v>166</v>
      </c>
      <c r="AC375" s="25" t="s">
        <v>166</v>
      </c>
      <c r="AD375" s="25" t="s">
        <v>166</v>
      </c>
      <c r="AE375" s="25" t="s">
        <v>166</v>
      </c>
      <c r="AF375" s="25" t="s">
        <v>166</v>
      </c>
      <c r="AG375" s="25" t="s">
        <v>166</v>
      </c>
      <c r="AH375" s="32">
        <v>3</v>
      </c>
      <c r="AI375" s="4">
        <f>HYPERLINK("https://my.pitchbook.com/?d=131543-38T","131543-38T")</f>
      </c>
      <c r="AJ375" s="30" t="s">
        <v>166</v>
      </c>
      <c r="AK375" s="30">
        <v>43862</v>
      </c>
      <c r="AL375" s="29">
        <v>0.38</v>
      </c>
      <c r="AM375" s="25" t="s">
        <v>185</v>
      </c>
      <c r="AN375" s="29" t="s">
        <v>166</v>
      </c>
      <c r="AO375" s="29" t="s">
        <v>166</v>
      </c>
      <c r="AP375" s="25" t="s">
        <v>166</v>
      </c>
      <c r="AQ375" s="32" t="s">
        <v>166</v>
      </c>
      <c r="AR375" s="32" t="s">
        <v>166</v>
      </c>
      <c r="AS375" s="28" t="s">
        <v>166</v>
      </c>
      <c r="AT375" s="29">
        <v>0.38</v>
      </c>
      <c r="AU375" s="32" t="s">
        <v>186</v>
      </c>
      <c r="AV375" s="32" t="s">
        <v>166</v>
      </c>
      <c r="AW375" s="29" t="s">
        <v>166</v>
      </c>
      <c r="AX375" s="32" t="s">
        <v>166</v>
      </c>
      <c r="AY375" s="25" t="s">
        <v>217</v>
      </c>
      <c r="AZ375" s="25" t="s">
        <v>217</v>
      </c>
      <c r="BA375" s="25" t="s">
        <v>166</v>
      </c>
      <c r="BB375" s="32" t="s">
        <v>166</v>
      </c>
      <c r="BC375" s="25" t="s">
        <v>179</v>
      </c>
      <c r="BD375" s="25" t="s">
        <v>7437</v>
      </c>
      <c r="BE375" s="25" t="s">
        <v>189</v>
      </c>
      <c r="BF375" s="29">
        <v>0.38</v>
      </c>
      <c r="BG375" s="25" t="s">
        <v>190</v>
      </c>
      <c r="BH375" s="25" t="s">
        <v>166</v>
      </c>
      <c r="BI375" s="25" t="s">
        <v>166</v>
      </c>
      <c r="BJ375" s="29" t="s">
        <v>166</v>
      </c>
      <c r="BK375" s="29" t="s">
        <v>166</v>
      </c>
      <c r="BL375" s="25" t="s">
        <v>191</v>
      </c>
      <c r="BM375" s="25" t="s">
        <v>178</v>
      </c>
      <c r="BN375" s="25" t="s">
        <v>177</v>
      </c>
      <c r="BO375" s="33" t="s">
        <v>166</v>
      </c>
      <c r="BP375" s="25" t="s">
        <v>7438</v>
      </c>
      <c r="BQ375" s="32">
        <v>4</v>
      </c>
      <c r="BR375" s="25" t="s">
        <v>166</v>
      </c>
      <c r="BS375" s="32" t="s">
        <v>166</v>
      </c>
      <c r="BT375" s="25" t="s">
        <v>166</v>
      </c>
      <c r="BU375" s="25" t="s">
        <v>166</v>
      </c>
      <c r="BV375" s="25" t="s">
        <v>166</v>
      </c>
      <c r="BW375" s="25" t="s">
        <v>166</v>
      </c>
      <c r="BX375" s="25" t="s">
        <v>166</v>
      </c>
      <c r="BY375" s="25" t="s">
        <v>166</v>
      </c>
      <c r="BZ375" s="25" t="s">
        <v>166</v>
      </c>
      <c r="CA375" s="25" t="s">
        <v>166</v>
      </c>
      <c r="CB375" s="25" t="s">
        <v>166</v>
      </c>
      <c r="CC375" s="25" t="s">
        <v>166</v>
      </c>
      <c r="CD375" s="25" t="s">
        <v>166</v>
      </c>
      <c r="CE375" s="29" t="s">
        <v>166</v>
      </c>
      <c r="CF375" s="27" t="s">
        <v>166</v>
      </c>
      <c r="CG375" s="28" t="s">
        <v>166</v>
      </c>
      <c r="CH375" s="27" t="s">
        <v>166</v>
      </c>
      <c r="CI375" s="27" t="s">
        <v>166</v>
      </c>
      <c r="CJ375" s="27" t="s">
        <v>166</v>
      </c>
      <c r="CK375" s="27" t="s">
        <v>166</v>
      </c>
      <c r="CL375" s="27" t="s">
        <v>166</v>
      </c>
      <c r="CM375" s="31" t="s">
        <v>166</v>
      </c>
      <c r="CN375" s="27" t="s">
        <v>166</v>
      </c>
      <c r="CO375" s="27" t="s">
        <v>166</v>
      </c>
      <c r="CP375" s="27" t="s">
        <v>166</v>
      </c>
      <c r="CQ375" s="27" t="s">
        <v>166</v>
      </c>
      <c r="CR375" s="27" t="s">
        <v>166</v>
      </c>
      <c r="CS375" s="27" t="s">
        <v>166</v>
      </c>
      <c r="CT375" s="27" t="s">
        <v>166</v>
      </c>
      <c r="CU375" s="27" t="s">
        <v>166</v>
      </c>
      <c r="CV375" s="27" t="s">
        <v>166</v>
      </c>
      <c r="CW375" s="27" t="s">
        <v>166</v>
      </c>
      <c r="CX375" s="27" t="s">
        <v>166</v>
      </c>
      <c r="CY375" s="27" t="s">
        <v>166</v>
      </c>
      <c r="CZ375" s="27" t="s">
        <v>166</v>
      </c>
      <c r="DA375" s="27" t="s">
        <v>166</v>
      </c>
      <c r="DB375" s="27" t="s">
        <v>166</v>
      </c>
      <c r="DC375" s="27" t="s">
        <v>166</v>
      </c>
      <c r="DD375" s="27" t="s">
        <v>166</v>
      </c>
      <c r="DE375" s="28" t="s">
        <v>166</v>
      </c>
      <c r="DF375" s="33">
        <v>12</v>
      </c>
      <c r="DG375" s="25" t="s">
        <v>309</v>
      </c>
      <c r="DH375" s="25" t="s">
        <v>193</v>
      </c>
      <c r="DI375" s="25" t="s">
        <v>194</v>
      </c>
      <c r="DJ375" s="25" t="s">
        <v>310</v>
      </c>
      <c r="DK375" s="25" t="s">
        <v>310</v>
      </c>
      <c r="DL375" s="32" t="s">
        <v>479</v>
      </c>
      <c r="DM375" s="25" t="s">
        <v>198</v>
      </c>
      <c r="DN375" s="24" t="s">
        <v>7439</v>
      </c>
      <c r="DO375" s="31">
        <v>2017</v>
      </c>
      <c r="DP375" s="25" t="s">
        <v>166</v>
      </c>
      <c r="DQ375" s="25" t="s">
        <v>166</v>
      </c>
      <c r="DR375" s="29" t="s">
        <v>166</v>
      </c>
      <c r="DS375" s="27" t="s">
        <v>166</v>
      </c>
      <c r="DT375" s="30" t="s">
        <v>166</v>
      </c>
      <c r="DU375" s="25" t="s">
        <v>166</v>
      </c>
      <c r="DV375" s="29" t="s">
        <v>166</v>
      </c>
      <c r="DW375" s="29" t="s">
        <v>166</v>
      </c>
      <c r="DX375" s="27" t="s">
        <v>166</v>
      </c>
      <c r="DY375" s="27" t="s">
        <v>166</v>
      </c>
      <c r="DZ375" s="28" t="s">
        <v>166</v>
      </c>
      <c r="EA375" s="27" t="s">
        <v>166</v>
      </c>
      <c r="EB375" s="27" t="s">
        <v>166</v>
      </c>
      <c r="EC375" s="27" t="s">
        <v>166</v>
      </c>
      <c r="ED375" s="28" t="s">
        <v>166</v>
      </c>
      <c r="EE375" s="28" t="s">
        <v>166</v>
      </c>
      <c r="EF375" s="28" t="s">
        <v>166</v>
      </c>
      <c r="EG375" s="28" t="s">
        <v>166</v>
      </c>
      <c r="EH375" s="27" t="s">
        <v>166</v>
      </c>
      <c r="EI375" s="27" t="s">
        <v>166</v>
      </c>
      <c r="EJ375" s="27" t="s">
        <v>166</v>
      </c>
      <c r="EK375" s="27" t="s">
        <v>166</v>
      </c>
      <c r="EL375" s="27" t="s">
        <v>166</v>
      </c>
      <c r="EM375" s="27" t="s">
        <v>166</v>
      </c>
      <c r="EN375" s="27" t="s">
        <v>166</v>
      </c>
      <c r="EO375" s="27" t="s">
        <v>166</v>
      </c>
      <c r="EP375" s="27" t="s">
        <v>166</v>
      </c>
      <c r="EQ375" s="27" t="s">
        <v>166</v>
      </c>
      <c r="ER375" s="27" t="s">
        <v>166</v>
      </c>
      <c r="ES375" s="27" t="s">
        <v>166</v>
      </c>
      <c r="ET375" s="25" t="s">
        <v>166</v>
      </c>
      <c r="EU375" s="27" t="s">
        <v>166</v>
      </c>
      <c r="EV375" s="27" t="s">
        <v>166</v>
      </c>
      <c r="EW375" s="27" t="s">
        <v>166</v>
      </c>
      <c r="EX375" s="25" t="s">
        <v>190</v>
      </c>
      <c r="EY375" s="25" t="s">
        <v>166</v>
      </c>
      <c r="EZ375" s="27" t="s">
        <v>166</v>
      </c>
      <c r="FA375" s="26" t="s">
        <v>166</v>
      </c>
      <c r="FB375" s="26" t="s">
        <v>166</v>
      </c>
      <c r="FC375" s="26" t="s">
        <v>166</v>
      </c>
      <c r="FD375" s="26" t="s">
        <v>166</v>
      </c>
      <c r="FE375" s="26" t="s">
        <v>166</v>
      </c>
      <c r="FF375" s="26" t="s">
        <v>166</v>
      </c>
      <c r="FG375" s="25" t="s">
        <v>166</v>
      </c>
      <c r="FH375" s="4">
        <f>HYPERLINK("https://my.pitchbook.com?c=131543-38T","View Company Online")</f>
      </c>
    </row>
    <row r="376">
      <c r="A376" s="14" t="s">
        <v>7440</v>
      </c>
      <c r="B376" s="14" t="s">
        <v>7441</v>
      </c>
      <c r="C376" s="14" t="s">
        <v>7442</v>
      </c>
      <c r="D376" s="14" t="s">
        <v>166</v>
      </c>
      <c r="E376" s="23" t="s">
        <v>7443</v>
      </c>
      <c r="F376" s="21">
        <v>2</v>
      </c>
      <c r="G376" s="14" t="s">
        <v>7444</v>
      </c>
      <c r="H376" s="14" t="s">
        <v>166</v>
      </c>
      <c r="I376" s="14" t="s">
        <v>7445</v>
      </c>
      <c r="J376" s="14" t="s">
        <v>7446</v>
      </c>
      <c r="K376" s="14" t="s">
        <v>171</v>
      </c>
      <c r="L376" s="14" t="s">
        <v>172</v>
      </c>
      <c r="M376" s="14" t="s">
        <v>173</v>
      </c>
      <c r="N376" s="14" t="s">
        <v>7447</v>
      </c>
      <c r="O376" s="14" t="s">
        <v>7448</v>
      </c>
      <c r="P376" s="14" t="s">
        <v>7449</v>
      </c>
      <c r="Q376" s="14" t="s">
        <v>166</v>
      </c>
      <c r="R376" s="14" t="s">
        <v>177</v>
      </c>
      <c r="S376" s="14" t="s">
        <v>178</v>
      </c>
      <c r="T376" s="14" t="s">
        <v>179</v>
      </c>
      <c r="U376" s="14" t="s">
        <v>7450</v>
      </c>
      <c r="V376" s="14" t="s">
        <v>7451</v>
      </c>
      <c r="W376" s="21" t="s">
        <v>7452</v>
      </c>
      <c r="X376" s="14" t="s">
        <v>7453</v>
      </c>
      <c r="Y376" s="14" t="s">
        <v>7454</v>
      </c>
      <c r="Z376" s="14" t="s">
        <v>7455</v>
      </c>
      <c r="AA376" s="14" t="s">
        <v>242</v>
      </c>
      <c r="AB376" s="14" t="s">
        <v>243</v>
      </c>
      <c r="AC376" s="14" t="s">
        <v>244</v>
      </c>
      <c r="AD376" s="14" t="s">
        <v>243</v>
      </c>
      <c r="AE376" s="14" t="s">
        <v>243</v>
      </c>
      <c r="AF376" s="14" t="s">
        <v>166</v>
      </c>
      <c r="AG376" s="14" t="s">
        <v>246</v>
      </c>
      <c r="AH376" s="21">
        <v>3</v>
      </c>
      <c r="AI376" s="3">
        <f>HYPERLINK("https://my.pitchbook.com/?d=166894-93T","166894-93T")</f>
      </c>
      <c r="AJ376" s="19">
        <v>44124</v>
      </c>
      <c r="AK376" s="19">
        <v>44552</v>
      </c>
      <c r="AL376" s="18">
        <v>14.38</v>
      </c>
      <c r="AM376" s="14" t="s">
        <v>185</v>
      </c>
      <c r="AN376" s="18">
        <v>15</v>
      </c>
      <c r="AO376" s="18">
        <v>25.42</v>
      </c>
      <c r="AP376" s="14" t="s">
        <v>185</v>
      </c>
      <c r="AQ376" s="21" t="s">
        <v>166</v>
      </c>
      <c r="AR376" s="21" t="s">
        <v>166</v>
      </c>
      <c r="AS376" s="17">
        <v>40.98</v>
      </c>
      <c r="AT376" s="18">
        <v>14.88</v>
      </c>
      <c r="AU376" s="21" t="s">
        <v>186</v>
      </c>
      <c r="AV376" s="21" t="s">
        <v>166</v>
      </c>
      <c r="AW376" s="18">
        <v>5.48</v>
      </c>
      <c r="AX376" s="21" t="s">
        <v>166</v>
      </c>
      <c r="AY376" s="14" t="s">
        <v>217</v>
      </c>
      <c r="AZ376" s="14" t="s">
        <v>217</v>
      </c>
      <c r="BA376" s="14" t="s">
        <v>166</v>
      </c>
      <c r="BB376" s="21" t="s">
        <v>166</v>
      </c>
      <c r="BC376" s="14" t="s">
        <v>179</v>
      </c>
      <c r="BD376" s="14" t="s">
        <v>7456</v>
      </c>
      <c r="BE376" s="14" t="s">
        <v>189</v>
      </c>
      <c r="BF376" s="18">
        <v>10.42</v>
      </c>
      <c r="BG376" s="14" t="s">
        <v>190</v>
      </c>
      <c r="BH376" s="14" t="s">
        <v>166</v>
      </c>
      <c r="BI376" s="14" t="s">
        <v>166</v>
      </c>
      <c r="BJ376" s="18">
        <v>3.97</v>
      </c>
      <c r="BK376" s="18" t="s">
        <v>166</v>
      </c>
      <c r="BL376" s="14" t="s">
        <v>191</v>
      </c>
      <c r="BM376" s="14" t="s">
        <v>178</v>
      </c>
      <c r="BN376" s="14" t="s">
        <v>177</v>
      </c>
      <c r="BO376" s="22" t="s">
        <v>166</v>
      </c>
      <c r="BP376" s="14" t="s">
        <v>7457</v>
      </c>
      <c r="BQ376" s="21">
        <v>2</v>
      </c>
      <c r="BR376" s="14" t="s">
        <v>166</v>
      </c>
      <c r="BS376" s="21" t="s">
        <v>166</v>
      </c>
      <c r="BT376" s="14" t="s">
        <v>166</v>
      </c>
      <c r="BU376" s="14" t="s">
        <v>166</v>
      </c>
      <c r="BV376" s="14" t="s">
        <v>7458</v>
      </c>
      <c r="BW376" s="14" t="s">
        <v>166</v>
      </c>
      <c r="BX376" s="14" t="s">
        <v>166</v>
      </c>
      <c r="BY376" s="14" t="s">
        <v>166</v>
      </c>
      <c r="BZ376" s="14" t="s">
        <v>166</v>
      </c>
      <c r="CA376" s="14" t="s">
        <v>166</v>
      </c>
      <c r="CB376" s="14" t="s">
        <v>166</v>
      </c>
      <c r="CC376" s="14" t="s">
        <v>166</v>
      </c>
      <c r="CD376" s="14" t="s">
        <v>166</v>
      </c>
      <c r="CE376" s="18" t="s">
        <v>166</v>
      </c>
      <c r="CF376" s="16" t="s">
        <v>166</v>
      </c>
      <c r="CG376" s="17" t="s">
        <v>166</v>
      </c>
      <c r="CH376" s="16" t="s">
        <v>166</v>
      </c>
      <c r="CI376" s="16" t="s">
        <v>166</v>
      </c>
      <c r="CJ376" s="16" t="s">
        <v>166</v>
      </c>
      <c r="CK376" s="16" t="s">
        <v>166</v>
      </c>
      <c r="CL376" s="16" t="s">
        <v>166</v>
      </c>
      <c r="CM376" s="20" t="s">
        <v>166</v>
      </c>
      <c r="CN376" s="16" t="s">
        <v>166</v>
      </c>
      <c r="CO376" s="16" t="s">
        <v>166</v>
      </c>
      <c r="CP376" s="16" t="s">
        <v>166</v>
      </c>
      <c r="CQ376" s="16" t="s">
        <v>166</v>
      </c>
      <c r="CR376" s="16" t="s">
        <v>166</v>
      </c>
      <c r="CS376" s="16" t="s">
        <v>166</v>
      </c>
      <c r="CT376" s="16" t="s">
        <v>166</v>
      </c>
      <c r="CU376" s="16" t="s">
        <v>166</v>
      </c>
      <c r="CV376" s="16" t="s">
        <v>166</v>
      </c>
      <c r="CW376" s="16" t="s">
        <v>166</v>
      </c>
      <c r="CX376" s="16" t="s">
        <v>166</v>
      </c>
      <c r="CY376" s="16">
        <v>0.38</v>
      </c>
      <c r="CZ376" s="16" t="s">
        <v>166</v>
      </c>
      <c r="DA376" s="16" t="s">
        <v>166</v>
      </c>
      <c r="DB376" s="16" t="s">
        <v>166</v>
      </c>
      <c r="DC376" s="16" t="s">
        <v>166</v>
      </c>
      <c r="DD376" s="16" t="s">
        <v>166</v>
      </c>
      <c r="DE376" s="17" t="s">
        <v>166</v>
      </c>
      <c r="DF376" s="22">
        <v>42</v>
      </c>
      <c r="DG376" s="14" t="s">
        <v>429</v>
      </c>
      <c r="DH376" s="14" t="s">
        <v>193</v>
      </c>
      <c r="DI376" s="14" t="s">
        <v>194</v>
      </c>
      <c r="DJ376" s="14" t="s">
        <v>430</v>
      </c>
      <c r="DK376" s="14" t="s">
        <v>431</v>
      </c>
      <c r="DL376" s="21" t="s">
        <v>7459</v>
      </c>
      <c r="DM376" s="14" t="s">
        <v>198</v>
      </c>
      <c r="DN376" s="13" t="s">
        <v>7460</v>
      </c>
      <c r="DO376" s="20">
        <v>2013</v>
      </c>
      <c r="DP376" s="14" t="s">
        <v>166</v>
      </c>
      <c r="DQ376" s="14" t="s">
        <v>7461</v>
      </c>
      <c r="DR376" s="18">
        <v>3.97</v>
      </c>
      <c r="DS376" s="16" t="s">
        <v>166</v>
      </c>
      <c r="DT376" s="19" t="s">
        <v>166</v>
      </c>
      <c r="DU376" s="14" t="s">
        <v>166</v>
      </c>
      <c r="DV376" s="18" t="s">
        <v>166</v>
      </c>
      <c r="DW376" s="18" t="s">
        <v>166</v>
      </c>
      <c r="DX376" s="16" t="s">
        <v>166</v>
      </c>
      <c r="DY376" s="16" t="s">
        <v>166</v>
      </c>
      <c r="DZ376" s="17" t="s">
        <v>166</v>
      </c>
      <c r="EA376" s="16" t="s">
        <v>166</v>
      </c>
      <c r="EB376" s="16" t="s">
        <v>166</v>
      </c>
      <c r="EC376" s="16" t="s">
        <v>166</v>
      </c>
      <c r="ED376" s="17" t="s">
        <v>166</v>
      </c>
      <c r="EE376" s="17" t="s">
        <v>166</v>
      </c>
      <c r="EF376" s="17" t="s">
        <v>166</v>
      </c>
      <c r="EG376" s="17" t="s">
        <v>166</v>
      </c>
      <c r="EH376" s="16" t="s">
        <v>166</v>
      </c>
      <c r="EI376" s="16" t="s">
        <v>166</v>
      </c>
      <c r="EJ376" s="16" t="s">
        <v>166</v>
      </c>
      <c r="EK376" s="16" t="s">
        <v>166</v>
      </c>
      <c r="EL376" s="16" t="s">
        <v>166</v>
      </c>
      <c r="EM376" s="16" t="s">
        <v>166</v>
      </c>
      <c r="EN376" s="16" t="s">
        <v>166</v>
      </c>
      <c r="EO376" s="16" t="s">
        <v>166</v>
      </c>
      <c r="EP376" s="16" t="s">
        <v>166</v>
      </c>
      <c r="EQ376" s="16" t="s">
        <v>166</v>
      </c>
      <c r="ER376" s="16" t="s">
        <v>166</v>
      </c>
      <c r="ES376" s="16" t="s">
        <v>166</v>
      </c>
      <c r="ET376" s="14" t="s">
        <v>166</v>
      </c>
      <c r="EU376" s="16" t="s">
        <v>166</v>
      </c>
      <c r="EV376" s="16" t="s">
        <v>166</v>
      </c>
      <c r="EW376" s="16" t="s">
        <v>166</v>
      </c>
      <c r="EX376" s="14" t="s">
        <v>190</v>
      </c>
      <c r="EY376" s="14" t="s">
        <v>190</v>
      </c>
      <c r="EZ376" s="16" t="s">
        <v>166</v>
      </c>
      <c r="FA376" s="15" t="s">
        <v>166</v>
      </c>
      <c r="FB376" s="15" t="s">
        <v>166</v>
      </c>
      <c r="FC376" s="15" t="s">
        <v>166</v>
      </c>
      <c r="FD376" s="15" t="s">
        <v>166</v>
      </c>
      <c r="FE376" s="15" t="s">
        <v>166</v>
      </c>
      <c r="FF376" s="15" t="s">
        <v>166</v>
      </c>
      <c r="FG376" s="14" t="s">
        <v>166</v>
      </c>
      <c r="FH376" s="3">
        <f>HYPERLINK("https://my.pitchbook.com?c=166894-93T","View Company Online")</f>
      </c>
    </row>
    <row r="377">
      <c r="A377" s="25" t="s">
        <v>7462</v>
      </c>
      <c r="B377" s="25" t="s">
        <v>7463</v>
      </c>
      <c r="C377" s="25" t="s">
        <v>7464</v>
      </c>
      <c r="D377" s="25" t="s">
        <v>166</v>
      </c>
      <c r="E377" s="34" t="s">
        <v>7465</v>
      </c>
      <c r="F377" s="32">
        <v>12</v>
      </c>
      <c r="G377" s="25" t="s">
        <v>7466</v>
      </c>
      <c r="H377" s="25" t="s">
        <v>166</v>
      </c>
      <c r="I377" s="25" t="s">
        <v>7467</v>
      </c>
      <c r="J377" s="25" t="s">
        <v>7468</v>
      </c>
      <c r="K377" s="25" t="s">
        <v>1500</v>
      </c>
      <c r="L377" s="25" t="s">
        <v>2334</v>
      </c>
      <c r="M377" s="25" t="s">
        <v>7469</v>
      </c>
      <c r="N377" s="25" t="s">
        <v>7470</v>
      </c>
      <c r="O377" s="25" t="s">
        <v>7471</v>
      </c>
      <c r="P377" s="25" t="s">
        <v>7472</v>
      </c>
      <c r="Q377" s="25" t="s">
        <v>166</v>
      </c>
      <c r="R377" s="25" t="s">
        <v>177</v>
      </c>
      <c r="S377" s="25" t="s">
        <v>178</v>
      </c>
      <c r="T377" s="25" t="s">
        <v>1401</v>
      </c>
      <c r="U377" s="25" t="s">
        <v>7473</v>
      </c>
      <c r="V377" s="25" t="s">
        <v>7474</v>
      </c>
      <c r="W377" s="32" t="s">
        <v>166</v>
      </c>
      <c r="X377" s="25" t="s">
        <v>7475</v>
      </c>
      <c r="Y377" s="25" t="s">
        <v>7476</v>
      </c>
      <c r="Z377" s="25" t="s">
        <v>166</v>
      </c>
      <c r="AA377" s="25" t="s">
        <v>242</v>
      </c>
      <c r="AB377" s="25" t="s">
        <v>243</v>
      </c>
      <c r="AC377" s="25" t="s">
        <v>244</v>
      </c>
      <c r="AD377" s="25" t="s">
        <v>243</v>
      </c>
      <c r="AE377" s="25" t="s">
        <v>243</v>
      </c>
      <c r="AF377" s="25" t="s">
        <v>245</v>
      </c>
      <c r="AG377" s="25" t="s">
        <v>246</v>
      </c>
      <c r="AH377" s="32">
        <v>1</v>
      </c>
      <c r="AI377" s="4">
        <f>HYPERLINK("https://my.pitchbook.com/?d=156214-81T","156214-81T")</f>
      </c>
      <c r="AJ377" s="30" t="s">
        <v>166</v>
      </c>
      <c r="AK377" s="30">
        <v>43991</v>
      </c>
      <c r="AL377" s="29">
        <v>3.4</v>
      </c>
      <c r="AM377" s="25" t="s">
        <v>185</v>
      </c>
      <c r="AN377" s="29">
        <v>7.5</v>
      </c>
      <c r="AO377" s="29">
        <v>10.9</v>
      </c>
      <c r="AP377" s="25" t="s">
        <v>185</v>
      </c>
      <c r="AQ377" s="32" t="s">
        <v>166</v>
      </c>
      <c r="AR377" s="32" t="s">
        <v>166</v>
      </c>
      <c r="AS377" s="28">
        <v>32.11</v>
      </c>
      <c r="AT377" s="29">
        <v>3.4</v>
      </c>
      <c r="AU377" s="32" t="s">
        <v>186</v>
      </c>
      <c r="AV377" s="32" t="s">
        <v>166</v>
      </c>
      <c r="AW377" s="29">
        <v>0.91</v>
      </c>
      <c r="AX377" s="32" t="s">
        <v>166</v>
      </c>
      <c r="AY377" s="25" t="s">
        <v>217</v>
      </c>
      <c r="AZ377" s="25" t="s">
        <v>217</v>
      </c>
      <c r="BA377" s="25" t="s">
        <v>166</v>
      </c>
      <c r="BB377" s="32" t="s">
        <v>166</v>
      </c>
      <c r="BC377" s="25" t="s">
        <v>179</v>
      </c>
      <c r="BD377" s="25" t="s">
        <v>7477</v>
      </c>
      <c r="BE377" s="25" t="s">
        <v>189</v>
      </c>
      <c r="BF377" s="29">
        <v>3.4</v>
      </c>
      <c r="BG377" s="25" t="s">
        <v>190</v>
      </c>
      <c r="BH377" s="25" t="s">
        <v>166</v>
      </c>
      <c r="BI377" s="25" t="s">
        <v>166</v>
      </c>
      <c r="BJ377" s="29" t="s">
        <v>166</v>
      </c>
      <c r="BK377" s="29" t="s">
        <v>166</v>
      </c>
      <c r="BL377" s="25" t="s">
        <v>191</v>
      </c>
      <c r="BM377" s="25" t="s">
        <v>178</v>
      </c>
      <c r="BN377" s="25" t="s">
        <v>177</v>
      </c>
      <c r="BO377" s="33" t="s">
        <v>166</v>
      </c>
      <c r="BP377" s="25" t="s">
        <v>7478</v>
      </c>
      <c r="BQ377" s="32">
        <v>12</v>
      </c>
      <c r="BR377" s="25" t="s">
        <v>166</v>
      </c>
      <c r="BS377" s="32" t="s">
        <v>166</v>
      </c>
      <c r="BT377" s="25" t="s">
        <v>7479</v>
      </c>
      <c r="BU377" s="25" t="s">
        <v>166</v>
      </c>
      <c r="BV377" s="25" t="s">
        <v>7480</v>
      </c>
      <c r="BW377" s="25" t="s">
        <v>166</v>
      </c>
      <c r="BX377" s="25" t="s">
        <v>166</v>
      </c>
      <c r="BY377" s="25" t="s">
        <v>166</v>
      </c>
      <c r="BZ377" s="25" t="s">
        <v>7481</v>
      </c>
      <c r="CA377" s="25" t="s">
        <v>996</v>
      </c>
      <c r="CB377" s="25" t="s">
        <v>166</v>
      </c>
      <c r="CC377" s="25" t="s">
        <v>7482</v>
      </c>
      <c r="CD377" s="25" t="s">
        <v>166</v>
      </c>
      <c r="CE377" s="29" t="s">
        <v>166</v>
      </c>
      <c r="CF377" s="27" t="s">
        <v>166</v>
      </c>
      <c r="CG377" s="28" t="s">
        <v>166</v>
      </c>
      <c r="CH377" s="27" t="s">
        <v>166</v>
      </c>
      <c r="CI377" s="27" t="s">
        <v>166</v>
      </c>
      <c r="CJ377" s="27" t="s">
        <v>166</v>
      </c>
      <c r="CK377" s="27" t="s">
        <v>166</v>
      </c>
      <c r="CL377" s="27" t="s">
        <v>166</v>
      </c>
      <c r="CM377" s="31" t="s">
        <v>166</v>
      </c>
      <c r="CN377" s="27" t="s">
        <v>166</v>
      </c>
      <c r="CO377" s="27" t="s">
        <v>166</v>
      </c>
      <c r="CP377" s="27" t="s">
        <v>166</v>
      </c>
      <c r="CQ377" s="27" t="s">
        <v>166</v>
      </c>
      <c r="CR377" s="27" t="s">
        <v>166</v>
      </c>
      <c r="CS377" s="27" t="s">
        <v>166</v>
      </c>
      <c r="CT377" s="27" t="s">
        <v>166</v>
      </c>
      <c r="CU377" s="27" t="s">
        <v>166</v>
      </c>
      <c r="CV377" s="27" t="s">
        <v>166</v>
      </c>
      <c r="CW377" s="27" t="s">
        <v>166</v>
      </c>
      <c r="CX377" s="27" t="s">
        <v>166</v>
      </c>
      <c r="CY377" s="27" t="s">
        <v>166</v>
      </c>
      <c r="CZ377" s="27" t="s">
        <v>166</v>
      </c>
      <c r="DA377" s="27" t="s">
        <v>166</v>
      </c>
      <c r="DB377" s="27" t="s">
        <v>166</v>
      </c>
      <c r="DC377" s="27" t="s">
        <v>166</v>
      </c>
      <c r="DD377" s="27" t="s">
        <v>166</v>
      </c>
      <c r="DE377" s="28" t="s">
        <v>166</v>
      </c>
      <c r="DF377" s="33">
        <v>44</v>
      </c>
      <c r="DG377" s="25" t="s">
        <v>673</v>
      </c>
      <c r="DH377" s="25" t="s">
        <v>193</v>
      </c>
      <c r="DI377" s="25" t="s">
        <v>194</v>
      </c>
      <c r="DJ377" s="25" t="s">
        <v>674</v>
      </c>
      <c r="DK377" s="25" t="s">
        <v>257</v>
      </c>
      <c r="DL377" s="32" t="s">
        <v>1866</v>
      </c>
      <c r="DM377" s="25" t="s">
        <v>198</v>
      </c>
      <c r="DN377" s="24" t="s">
        <v>7483</v>
      </c>
      <c r="DO377" s="31">
        <v>2019</v>
      </c>
      <c r="DP377" s="25" t="s">
        <v>166</v>
      </c>
      <c r="DQ377" s="25" t="s">
        <v>166</v>
      </c>
      <c r="DR377" s="29" t="s">
        <v>166</v>
      </c>
      <c r="DS377" s="27" t="s">
        <v>166</v>
      </c>
      <c r="DT377" s="30" t="s">
        <v>166</v>
      </c>
      <c r="DU377" s="25" t="s">
        <v>166</v>
      </c>
      <c r="DV377" s="29" t="s">
        <v>166</v>
      </c>
      <c r="DW377" s="29" t="s">
        <v>166</v>
      </c>
      <c r="DX377" s="27" t="s">
        <v>166</v>
      </c>
      <c r="DY377" s="27" t="s">
        <v>166</v>
      </c>
      <c r="DZ377" s="28" t="s">
        <v>166</v>
      </c>
      <c r="EA377" s="27" t="s">
        <v>166</v>
      </c>
      <c r="EB377" s="27" t="s">
        <v>166</v>
      </c>
      <c r="EC377" s="27" t="s">
        <v>166</v>
      </c>
      <c r="ED377" s="28" t="s">
        <v>166</v>
      </c>
      <c r="EE377" s="28" t="s">
        <v>166</v>
      </c>
      <c r="EF377" s="28" t="s">
        <v>166</v>
      </c>
      <c r="EG377" s="28" t="s">
        <v>166</v>
      </c>
      <c r="EH377" s="27" t="s">
        <v>166</v>
      </c>
      <c r="EI377" s="27" t="s">
        <v>166</v>
      </c>
      <c r="EJ377" s="27" t="s">
        <v>166</v>
      </c>
      <c r="EK377" s="27" t="s">
        <v>166</v>
      </c>
      <c r="EL377" s="27" t="s">
        <v>166</v>
      </c>
      <c r="EM377" s="27" t="s">
        <v>166</v>
      </c>
      <c r="EN377" s="27" t="s">
        <v>166</v>
      </c>
      <c r="EO377" s="27" t="s">
        <v>166</v>
      </c>
      <c r="EP377" s="27" t="s">
        <v>166</v>
      </c>
      <c r="EQ377" s="27" t="s">
        <v>166</v>
      </c>
      <c r="ER377" s="27" t="s">
        <v>166</v>
      </c>
      <c r="ES377" s="27" t="s">
        <v>166</v>
      </c>
      <c r="ET377" s="25" t="s">
        <v>166</v>
      </c>
      <c r="EU377" s="27" t="s">
        <v>166</v>
      </c>
      <c r="EV377" s="27" t="s">
        <v>166</v>
      </c>
      <c r="EW377" s="27" t="s">
        <v>166</v>
      </c>
      <c r="EX377" s="25" t="s">
        <v>190</v>
      </c>
      <c r="EY377" s="25" t="s">
        <v>166</v>
      </c>
      <c r="EZ377" s="27" t="s">
        <v>166</v>
      </c>
      <c r="FA377" s="26" t="s">
        <v>166</v>
      </c>
      <c r="FB377" s="26" t="s">
        <v>166</v>
      </c>
      <c r="FC377" s="26" t="s">
        <v>166</v>
      </c>
      <c r="FD377" s="26" t="s">
        <v>166</v>
      </c>
      <c r="FE377" s="26" t="s">
        <v>166</v>
      </c>
      <c r="FF377" s="26" t="s">
        <v>166</v>
      </c>
      <c r="FG377" s="25" t="s">
        <v>166</v>
      </c>
      <c r="FH377" s="4">
        <f>HYPERLINK("https://my.pitchbook.com?c=156214-81T","View Company Online")</f>
      </c>
    </row>
    <row r="378">
      <c r="A378" s="14" t="s">
        <v>7484</v>
      </c>
      <c r="B378" s="14" t="s">
        <v>7485</v>
      </c>
      <c r="C378" s="14" t="s">
        <v>7486</v>
      </c>
      <c r="D378" s="14" t="s">
        <v>166</v>
      </c>
      <c r="E378" s="23" t="s">
        <v>7487</v>
      </c>
      <c r="F378" s="21">
        <v>17</v>
      </c>
      <c r="G378" s="14" t="s">
        <v>7488</v>
      </c>
      <c r="H378" s="14" t="s">
        <v>166</v>
      </c>
      <c r="I378" s="14" t="s">
        <v>7489</v>
      </c>
      <c r="J378" s="14" t="s">
        <v>7490</v>
      </c>
      <c r="K378" s="14" t="s">
        <v>207</v>
      </c>
      <c r="L378" s="14" t="s">
        <v>208</v>
      </c>
      <c r="M378" s="14" t="s">
        <v>209</v>
      </c>
      <c r="N378" s="14" t="s">
        <v>7491</v>
      </c>
      <c r="O378" s="14" t="s">
        <v>6509</v>
      </c>
      <c r="P378" s="14" t="s">
        <v>7492</v>
      </c>
      <c r="Q378" s="14" t="s">
        <v>166</v>
      </c>
      <c r="R378" s="14" t="s">
        <v>177</v>
      </c>
      <c r="S378" s="14" t="s">
        <v>178</v>
      </c>
      <c r="T378" s="14" t="s">
        <v>179</v>
      </c>
      <c r="U378" s="14" t="s">
        <v>7493</v>
      </c>
      <c r="V378" s="14" t="s">
        <v>7494</v>
      </c>
      <c r="W378" s="21" t="s">
        <v>166</v>
      </c>
      <c r="X378" s="14" t="s">
        <v>166</v>
      </c>
      <c r="Y378" s="14" t="s">
        <v>7495</v>
      </c>
      <c r="Z378" s="14" t="s">
        <v>7496</v>
      </c>
      <c r="AA378" s="14" t="s">
        <v>166</v>
      </c>
      <c r="AB378" s="14" t="s">
        <v>166</v>
      </c>
      <c r="AC378" s="14" t="s">
        <v>166</v>
      </c>
      <c r="AD378" s="14" t="s">
        <v>166</v>
      </c>
      <c r="AE378" s="14" t="s">
        <v>166</v>
      </c>
      <c r="AF378" s="14" t="s">
        <v>166</v>
      </c>
      <c r="AG378" s="14" t="s">
        <v>166</v>
      </c>
      <c r="AH378" s="21">
        <v>3</v>
      </c>
      <c r="AI378" s="3">
        <f>HYPERLINK("https://my.pitchbook.com/?d=190742-95T","190742-95T")</f>
      </c>
      <c r="AJ378" s="19" t="s">
        <v>166</v>
      </c>
      <c r="AK378" s="19">
        <v>44629</v>
      </c>
      <c r="AL378" s="18">
        <v>1.1</v>
      </c>
      <c r="AM378" s="14" t="s">
        <v>185</v>
      </c>
      <c r="AN378" s="18">
        <v>5</v>
      </c>
      <c r="AO378" s="18">
        <v>6</v>
      </c>
      <c r="AP378" s="14" t="s">
        <v>185</v>
      </c>
      <c r="AQ378" s="21" t="s">
        <v>166</v>
      </c>
      <c r="AR378" s="21" t="s">
        <v>166</v>
      </c>
      <c r="AS378" s="17" t="s">
        <v>166</v>
      </c>
      <c r="AT378" s="18">
        <v>1.15</v>
      </c>
      <c r="AU378" s="21" t="s">
        <v>186</v>
      </c>
      <c r="AV378" s="21" t="s">
        <v>166</v>
      </c>
      <c r="AW378" s="18" t="s">
        <v>166</v>
      </c>
      <c r="AX378" s="21" t="s">
        <v>166</v>
      </c>
      <c r="AY378" s="14" t="s">
        <v>217</v>
      </c>
      <c r="AZ378" s="14" t="s">
        <v>217</v>
      </c>
      <c r="BA378" s="14" t="s">
        <v>166</v>
      </c>
      <c r="BB378" s="21" t="s">
        <v>166</v>
      </c>
      <c r="BC378" s="14" t="s">
        <v>179</v>
      </c>
      <c r="BD378" s="14" t="s">
        <v>7497</v>
      </c>
      <c r="BE378" s="14" t="s">
        <v>189</v>
      </c>
      <c r="BF378" s="18">
        <v>1</v>
      </c>
      <c r="BG378" s="14" t="s">
        <v>190</v>
      </c>
      <c r="BH378" s="14" t="s">
        <v>166</v>
      </c>
      <c r="BI378" s="14" t="s">
        <v>166</v>
      </c>
      <c r="BJ378" s="18">
        <v>0.1</v>
      </c>
      <c r="BK378" s="18" t="s">
        <v>166</v>
      </c>
      <c r="BL378" s="14" t="s">
        <v>191</v>
      </c>
      <c r="BM378" s="14" t="s">
        <v>178</v>
      </c>
      <c r="BN378" s="14" t="s">
        <v>177</v>
      </c>
      <c r="BO378" s="22">
        <v>3</v>
      </c>
      <c r="BP378" s="14" t="s">
        <v>7498</v>
      </c>
      <c r="BQ378" s="21">
        <v>16</v>
      </c>
      <c r="BR378" s="14" t="s">
        <v>252</v>
      </c>
      <c r="BS378" s="21">
        <v>1</v>
      </c>
      <c r="BT378" s="14" t="s">
        <v>166</v>
      </c>
      <c r="BU378" s="14" t="s">
        <v>166</v>
      </c>
      <c r="BV378" s="14" t="s">
        <v>7499</v>
      </c>
      <c r="BW378" s="14" t="s">
        <v>166</v>
      </c>
      <c r="BX378" s="14" t="s">
        <v>166</v>
      </c>
      <c r="BY378" s="14" t="s">
        <v>166</v>
      </c>
      <c r="BZ378" s="14" t="s">
        <v>166</v>
      </c>
      <c r="CA378" s="14" t="s">
        <v>166</v>
      </c>
      <c r="CB378" s="14" t="s">
        <v>166</v>
      </c>
      <c r="CC378" s="14" t="s">
        <v>166</v>
      </c>
      <c r="CD378" s="14" t="s">
        <v>166</v>
      </c>
      <c r="CE378" s="18" t="s">
        <v>166</v>
      </c>
      <c r="CF378" s="16" t="s">
        <v>166</v>
      </c>
      <c r="CG378" s="17" t="s">
        <v>166</v>
      </c>
      <c r="CH378" s="16" t="s">
        <v>166</v>
      </c>
      <c r="CI378" s="16" t="s">
        <v>166</v>
      </c>
      <c r="CJ378" s="16" t="s">
        <v>166</v>
      </c>
      <c r="CK378" s="16" t="s">
        <v>166</v>
      </c>
      <c r="CL378" s="16" t="s">
        <v>166</v>
      </c>
      <c r="CM378" s="20" t="s">
        <v>166</v>
      </c>
      <c r="CN378" s="16" t="s">
        <v>166</v>
      </c>
      <c r="CO378" s="16" t="s">
        <v>166</v>
      </c>
      <c r="CP378" s="16" t="s">
        <v>166</v>
      </c>
      <c r="CQ378" s="16" t="s">
        <v>166</v>
      </c>
      <c r="CR378" s="16" t="s">
        <v>166</v>
      </c>
      <c r="CS378" s="16" t="s">
        <v>166</v>
      </c>
      <c r="CT378" s="16" t="s">
        <v>166</v>
      </c>
      <c r="CU378" s="16" t="s">
        <v>166</v>
      </c>
      <c r="CV378" s="16" t="s">
        <v>166</v>
      </c>
      <c r="CW378" s="16" t="s">
        <v>166</v>
      </c>
      <c r="CX378" s="16" t="s">
        <v>166</v>
      </c>
      <c r="CY378" s="16">
        <v>0.1</v>
      </c>
      <c r="CZ378" s="16" t="s">
        <v>166</v>
      </c>
      <c r="DA378" s="16" t="s">
        <v>166</v>
      </c>
      <c r="DB378" s="16" t="s">
        <v>166</v>
      </c>
      <c r="DC378" s="16" t="s">
        <v>166</v>
      </c>
      <c r="DD378" s="16" t="s">
        <v>166</v>
      </c>
      <c r="DE378" s="17" t="s">
        <v>166</v>
      </c>
      <c r="DF378" s="22">
        <v>8</v>
      </c>
      <c r="DG378" s="14" t="s">
        <v>706</v>
      </c>
      <c r="DH378" s="14" t="s">
        <v>193</v>
      </c>
      <c r="DI378" s="14" t="s">
        <v>194</v>
      </c>
      <c r="DJ378" s="14" t="s">
        <v>707</v>
      </c>
      <c r="DK378" s="14" t="s">
        <v>386</v>
      </c>
      <c r="DL378" s="21" t="s">
        <v>7500</v>
      </c>
      <c r="DM378" s="14" t="s">
        <v>198</v>
      </c>
      <c r="DN378" s="13" t="s">
        <v>7501</v>
      </c>
      <c r="DO378" s="20">
        <v>2021</v>
      </c>
      <c r="DP378" s="14" t="s">
        <v>166</v>
      </c>
      <c r="DQ378" s="14" t="s">
        <v>2906</v>
      </c>
      <c r="DR378" s="18">
        <v>0.1</v>
      </c>
      <c r="DS378" s="16" t="s">
        <v>166</v>
      </c>
      <c r="DT378" s="19" t="s">
        <v>166</v>
      </c>
      <c r="DU378" s="14" t="s">
        <v>166</v>
      </c>
      <c r="DV378" s="18" t="s">
        <v>166</v>
      </c>
      <c r="DW378" s="18" t="s">
        <v>166</v>
      </c>
      <c r="DX378" s="16" t="s">
        <v>166</v>
      </c>
      <c r="DY378" s="16" t="s">
        <v>166</v>
      </c>
      <c r="DZ378" s="17" t="s">
        <v>166</v>
      </c>
      <c r="EA378" s="16" t="s">
        <v>166</v>
      </c>
      <c r="EB378" s="16" t="s">
        <v>166</v>
      </c>
      <c r="EC378" s="16" t="s">
        <v>166</v>
      </c>
      <c r="ED378" s="17" t="s">
        <v>166</v>
      </c>
      <c r="EE378" s="17" t="s">
        <v>166</v>
      </c>
      <c r="EF378" s="17" t="s">
        <v>166</v>
      </c>
      <c r="EG378" s="17" t="s">
        <v>166</v>
      </c>
      <c r="EH378" s="16" t="s">
        <v>166</v>
      </c>
      <c r="EI378" s="16" t="s">
        <v>166</v>
      </c>
      <c r="EJ378" s="16" t="s">
        <v>166</v>
      </c>
      <c r="EK378" s="16" t="s">
        <v>166</v>
      </c>
      <c r="EL378" s="16" t="s">
        <v>166</v>
      </c>
      <c r="EM378" s="16" t="s">
        <v>166</v>
      </c>
      <c r="EN378" s="16" t="s">
        <v>166</v>
      </c>
      <c r="EO378" s="16" t="s">
        <v>166</v>
      </c>
      <c r="EP378" s="16" t="s">
        <v>166</v>
      </c>
      <c r="EQ378" s="16" t="s">
        <v>166</v>
      </c>
      <c r="ER378" s="16" t="s">
        <v>166</v>
      </c>
      <c r="ES378" s="16" t="s">
        <v>166</v>
      </c>
      <c r="ET378" s="14" t="s">
        <v>166</v>
      </c>
      <c r="EU378" s="16" t="s">
        <v>166</v>
      </c>
      <c r="EV378" s="16" t="s">
        <v>166</v>
      </c>
      <c r="EW378" s="16" t="s">
        <v>166</v>
      </c>
      <c r="EX378" s="14" t="s">
        <v>190</v>
      </c>
      <c r="EY378" s="14" t="s">
        <v>190</v>
      </c>
      <c r="EZ378" s="16" t="s">
        <v>166</v>
      </c>
      <c r="FA378" s="15">
        <v>2</v>
      </c>
      <c r="FB378" s="15">
        <v>1</v>
      </c>
      <c r="FC378" s="15" t="s">
        <v>166</v>
      </c>
      <c r="FD378" s="15" t="s">
        <v>166</v>
      </c>
      <c r="FE378" s="15" t="s">
        <v>166</v>
      </c>
      <c r="FF378" s="15">
        <v>2</v>
      </c>
      <c r="FG378" s="14" t="s">
        <v>166</v>
      </c>
      <c r="FH378" s="3">
        <f>HYPERLINK("https://my.pitchbook.com?c=190742-95T","View Company Online")</f>
      </c>
    </row>
    <row r="379">
      <c r="A379" s="25" t="s">
        <v>7502</v>
      </c>
      <c r="B379" s="25" t="s">
        <v>7503</v>
      </c>
      <c r="C379" s="25" t="s">
        <v>7504</v>
      </c>
      <c r="D379" s="25" t="s">
        <v>166</v>
      </c>
      <c r="E379" s="34" t="s">
        <v>7505</v>
      </c>
      <c r="F379" s="32">
        <v>11</v>
      </c>
      <c r="G379" s="25" t="s">
        <v>7506</v>
      </c>
      <c r="H379" s="25" t="s">
        <v>166</v>
      </c>
      <c r="I379" s="25" t="s">
        <v>7507</v>
      </c>
      <c r="J379" s="25" t="s">
        <v>7508</v>
      </c>
      <c r="K379" s="25" t="s">
        <v>171</v>
      </c>
      <c r="L379" s="25" t="s">
        <v>172</v>
      </c>
      <c r="M379" s="25" t="s">
        <v>818</v>
      </c>
      <c r="N379" s="25" t="s">
        <v>819</v>
      </c>
      <c r="O379" s="25" t="s">
        <v>7509</v>
      </c>
      <c r="P379" s="25" t="s">
        <v>7510</v>
      </c>
      <c r="Q379" s="25" t="s">
        <v>166</v>
      </c>
      <c r="R379" s="25" t="s">
        <v>177</v>
      </c>
      <c r="S379" s="25" t="s">
        <v>178</v>
      </c>
      <c r="T379" s="25" t="s">
        <v>179</v>
      </c>
      <c r="U379" s="25" t="s">
        <v>7511</v>
      </c>
      <c r="V379" s="25" t="s">
        <v>7512</v>
      </c>
      <c r="W379" s="32" t="s">
        <v>166</v>
      </c>
      <c r="X379" s="25" t="s">
        <v>7513</v>
      </c>
      <c r="Y379" s="25" t="s">
        <v>7514</v>
      </c>
      <c r="Z379" s="25" t="s">
        <v>166</v>
      </c>
      <c r="AA379" s="25" t="s">
        <v>242</v>
      </c>
      <c r="AB379" s="25" t="s">
        <v>243</v>
      </c>
      <c r="AC379" s="25" t="s">
        <v>244</v>
      </c>
      <c r="AD379" s="25" t="s">
        <v>243</v>
      </c>
      <c r="AE379" s="25" t="s">
        <v>243</v>
      </c>
      <c r="AF379" s="25" t="s">
        <v>245</v>
      </c>
      <c r="AG379" s="25" t="s">
        <v>246</v>
      </c>
      <c r="AH379" s="32">
        <v>1</v>
      </c>
      <c r="AI379" s="4">
        <f>HYPERLINK("https://my.pitchbook.com/?d=188972-02T","188972-02T")</f>
      </c>
      <c r="AJ379" s="30" t="s">
        <v>166</v>
      </c>
      <c r="AK379" s="30">
        <v>44609</v>
      </c>
      <c r="AL379" s="29">
        <v>5.79</v>
      </c>
      <c r="AM379" s="25" t="s">
        <v>185</v>
      </c>
      <c r="AN379" s="29">
        <v>7.71</v>
      </c>
      <c r="AO379" s="29">
        <v>13.5</v>
      </c>
      <c r="AP379" s="25" t="s">
        <v>185</v>
      </c>
      <c r="AQ379" s="32" t="s">
        <v>166</v>
      </c>
      <c r="AR379" s="32" t="s">
        <v>166</v>
      </c>
      <c r="AS379" s="28">
        <v>42.9</v>
      </c>
      <c r="AT379" s="29">
        <v>5.79</v>
      </c>
      <c r="AU379" s="32" t="s">
        <v>186</v>
      </c>
      <c r="AV379" s="32" t="s">
        <v>166</v>
      </c>
      <c r="AW379" s="29">
        <v>0.82</v>
      </c>
      <c r="AX379" s="32" t="s">
        <v>166</v>
      </c>
      <c r="AY379" s="25" t="s">
        <v>217</v>
      </c>
      <c r="AZ379" s="25" t="s">
        <v>217</v>
      </c>
      <c r="BA379" s="25" t="s">
        <v>166</v>
      </c>
      <c r="BB379" s="32" t="s">
        <v>166</v>
      </c>
      <c r="BC379" s="25" t="s">
        <v>179</v>
      </c>
      <c r="BD379" s="25" t="s">
        <v>7515</v>
      </c>
      <c r="BE379" s="25" t="s">
        <v>189</v>
      </c>
      <c r="BF379" s="29">
        <v>5.79</v>
      </c>
      <c r="BG379" s="25" t="s">
        <v>190</v>
      </c>
      <c r="BH379" s="25" t="s">
        <v>166</v>
      </c>
      <c r="BI379" s="25" t="s">
        <v>166</v>
      </c>
      <c r="BJ379" s="29" t="s">
        <v>166</v>
      </c>
      <c r="BK379" s="29" t="s">
        <v>166</v>
      </c>
      <c r="BL379" s="25" t="s">
        <v>191</v>
      </c>
      <c r="BM379" s="25" t="s">
        <v>178</v>
      </c>
      <c r="BN379" s="25" t="s">
        <v>177</v>
      </c>
      <c r="BO379" s="33">
        <v>22</v>
      </c>
      <c r="BP379" s="25" t="s">
        <v>7516</v>
      </c>
      <c r="BQ379" s="32">
        <v>11</v>
      </c>
      <c r="BR379" s="25" t="s">
        <v>166</v>
      </c>
      <c r="BS379" s="32" t="s">
        <v>166</v>
      </c>
      <c r="BT379" s="25" t="s">
        <v>7517</v>
      </c>
      <c r="BU379" s="25" t="s">
        <v>166</v>
      </c>
      <c r="BV379" s="25" t="s">
        <v>7518</v>
      </c>
      <c r="BW379" s="25" t="s">
        <v>166</v>
      </c>
      <c r="BX379" s="25" t="s">
        <v>166</v>
      </c>
      <c r="BY379" s="25" t="s">
        <v>166</v>
      </c>
      <c r="BZ379" s="25" t="s">
        <v>7519</v>
      </c>
      <c r="CA379" s="25" t="s">
        <v>166</v>
      </c>
      <c r="CB379" s="25" t="s">
        <v>166</v>
      </c>
      <c r="CC379" s="25" t="s">
        <v>7519</v>
      </c>
      <c r="CD379" s="25" t="s">
        <v>166</v>
      </c>
      <c r="CE379" s="29" t="s">
        <v>166</v>
      </c>
      <c r="CF379" s="27" t="s">
        <v>166</v>
      </c>
      <c r="CG379" s="28" t="s">
        <v>166</v>
      </c>
      <c r="CH379" s="27" t="s">
        <v>166</v>
      </c>
      <c r="CI379" s="27" t="s">
        <v>166</v>
      </c>
      <c r="CJ379" s="27" t="s">
        <v>166</v>
      </c>
      <c r="CK379" s="27" t="s">
        <v>166</v>
      </c>
      <c r="CL379" s="27" t="s">
        <v>166</v>
      </c>
      <c r="CM379" s="31" t="s">
        <v>166</v>
      </c>
      <c r="CN379" s="27" t="s">
        <v>166</v>
      </c>
      <c r="CO379" s="27" t="s">
        <v>166</v>
      </c>
      <c r="CP379" s="27" t="s">
        <v>166</v>
      </c>
      <c r="CQ379" s="27" t="s">
        <v>166</v>
      </c>
      <c r="CR379" s="27" t="s">
        <v>166</v>
      </c>
      <c r="CS379" s="27" t="s">
        <v>166</v>
      </c>
      <c r="CT379" s="27" t="s">
        <v>166</v>
      </c>
      <c r="CU379" s="27" t="s">
        <v>166</v>
      </c>
      <c r="CV379" s="27" t="s">
        <v>166</v>
      </c>
      <c r="CW379" s="27" t="s">
        <v>166</v>
      </c>
      <c r="CX379" s="27" t="s">
        <v>166</v>
      </c>
      <c r="CY379" s="27" t="s">
        <v>166</v>
      </c>
      <c r="CZ379" s="27" t="s">
        <v>166</v>
      </c>
      <c r="DA379" s="27" t="s">
        <v>166</v>
      </c>
      <c r="DB379" s="27" t="s">
        <v>166</v>
      </c>
      <c r="DC379" s="27" t="s">
        <v>166</v>
      </c>
      <c r="DD379" s="27" t="s">
        <v>166</v>
      </c>
      <c r="DE379" s="28" t="s">
        <v>166</v>
      </c>
      <c r="DF379" s="33">
        <v>46</v>
      </c>
      <c r="DG379" s="25" t="s">
        <v>7520</v>
      </c>
      <c r="DH379" s="25" t="s">
        <v>193</v>
      </c>
      <c r="DI379" s="25" t="s">
        <v>194</v>
      </c>
      <c r="DJ379" s="25" t="s">
        <v>7521</v>
      </c>
      <c r="DK379" s="25" t="s">
        <v>196</v>
      </c>
      <c r="DL379" s="32" t="s">
        <v>7522</v>
      </c>
      <c r="DM379" s="25" t="s">
        <v>198</v>
      </c>
      <c r="DN379" s="24" t="s">
        <v>7523</v>
      </c>
      <c r="DO379" s="31">
        <v>2020</v>
      </c>
      <c r="DP379" s="25" t="s">
        <v>166</v>
      </c>
      <c r="DQ379" s="25" t="s">
        <v>166</v>
      </c>
      <c r="DR379" s="29" t="s">
        <v>166</v>
      </c>
      <c r="DS379" s="27" t="s">
        <v>166</v>
      </c>
      <c r="DT379" s="30" t="s">
        <v>166</v>
      </c>
      <c r="DU379" s="25" t="s">
        <v>166</v>
      </c>
      <c r="DV379" s="29" t="s">
        <v>166</v>
      </c>
      <c r="DW379" s="29" t="s">
        <v>166</v>
      </c>
      <c r="DX379" s="27" t="s">
        <v>166</v>
      </c>
      <c r="DY379" s="27" t="s">
        <v>166</v>
      </c>
      <c r="DZ379" s="28" t="s">
        <v>166</v>
      </c>
      <c r="EA379" s="27" t="s">
        <v>166</v>
      </c>
      <c r="EB379" s="27" t="s">
        <v>166</v>
      </c>
      <c r="EC379" s="27" t="s">
        <v>166</v>
      </c>
      <c r="ED379" s="28" t="s">
        <v>166</v>
      </c>
      <c r="EE379" s="28" t="s">
        <v>166</v>
      </c>
      <c r="EF379" s="28" t="s">
        <v>166</v>
      </c>
      <c r="EG379" s="28" t="s">
        <v>166</v>
      </c>
      <c r="EH379" s="27" t="s">
        <v>166</v>
      </c>
      <c r="EI379" s="27" t="s">
        <v>166</v>
      </c>
      <c r="EJ379" s="27" t="s">
        <v>166</v>
      </c>
      <c r="EK379" s="27" t="s">
        <v>166</v>
      </c>
      <c r="EL379" s="27" t="s">
        <v>166</v>
      </c>
      <c r="EM379" s="27" t="s">
        <v>166</v>
      </c>
      <c r="EN379" s="27" t="s">
        <v>166</v>
      </c>
      <c r="EO379" s="27" t="s">
        <v>166</v>
      </c>
      <c r="EP379" s="27" t="s">
        <v>166</v>
      </c>
      <c r="EQ379" s="27" t="s">
        <v>166</v>
      </c>
      <c r="ER379" s="27" t="s">
        <v>166</v>
      </c>
      <c r="ES379" s="27" t="s">
        <v>166</v>
      </c>
      <c r="ET379" s="25" t="s">
        <v>166</v>
      </c>
      <c r="EU379" s="27" t="s">
        <v>166</v>
      </c>
      <c r="EV379" s="27" t="s">
        <v>166</v>
      </c>
      <c r="EW379" s="27" t="s">
        <v>166</v>
      </c>
      <c r="EX379" s="25" t="s">
        <v>190</v>
      </c>
      <c r="EY379" s="25" t="s">
        <v>166</v>
      </c>
      <c r="EZ379" s="27" t="s">
        <v>166</v>
      </c>
      <c r="FA379" s="26" t="s">
        <v>166</v>
      </c>
      <c r="FB379" s="26" t="s">
        <v>166</v>
      </c>
      <c r="FC379" s="26" t="s">
        <v>166</v>
      </c>
      <c r="FD379" s="26" t="s">
        <v>166</v>
      </c>
      <c r="FE379" s="26" t="s">
        <v>166</v>
      </c>
      <c r="FF379" s="26" t="s">
        <v>166</v>
      </c>
      <c r="FG379" s="25" t="s">
        <v>166</v>
      </c>
      <c r="FH379" s="4">
        <f>HYPERLINK("https://my.pitchbook.com?c=188972-02T","View Company Online")</f>
      </c>
    </row>
    <row r="380">
      <c r="A380" s="14" t="s">
        <v>7524</v>
      </c>
      <c r="B380" s="14" t="s">
        <v>7525</v>
      </c>
      <c r="C380" s="14" t="s">
        <v>7526</v>
      </c>
      <c r="D380" s="14" t="s">
        <v>166</v>
      </c>
      <c r="E380" s="23" t="s">
        <v>7527</v>
      </c>
      <c r="F380" s="21">
        <v>3</v>
      </c>
      <c r="G380" s="14" t="s">
        <v>7528</v>
      </c>
      <c r="H380" s="14" t="s">
        <v>166</v>
      </c>
      <c r="I380" s="14" t="s">
        <v>7529</v>
      </c>
      <c r="J380" s="14" t="s">
        <v>7530</v>
      </c>
      <c r="K380" s="14" t="s">
        <v>207</v>
      </c>
      <c r="L380" s="14" t="s">
        <v>208</v>
      </c>
      <c r="M380" s="14" t="s">
        <v>1220</v>
      </c>
      <c r="N380" s="14" t="s">
        <v>7531</v>
      </c>
      <c r="O380" s="14" t="s">
        <v>3837</v>
      </c>
      <c r="P380" s="14" t="s">
        <v>7532</v>
      </c>
      <c r="Q380" s="14" t="s">
        <v>166</v>
      </c>
      <c r="R380" s="14" t="s">
        <v>177</v>
      </c>
      <c r="S380" s="14" t="s">
        <v>178</v>
      </c>
      <c r="T380" s="14" t="s">
        <v>179</v>
      </c>
      <c r="U380" s="14" t="s">
        <v>7533</v>
      </c>
      <c r="V380" s="14" t="s">
        <v>7534</v>
      </c>
      <c r="W380" s="21" t="s">
        <v>166</v>
      </c>
      <c r="X380" s="14" t="s">
        <v>166</v>
      </c>
      <c r="Y380" s="14" t="s">
        <v>7535</v>
      </c>
      <c r="Z380" s="14" t="s">
        <v>7536</v>
      </c>
      <c r="AA380" s="14" t="s">
        <v>166</v>
      </c>
      <c r="AB380" s="14" t="s">
        <v>166</v>
      </c>
      <c r="AC380" s="14" t="s">
        <v>166</v>
      </c>
      <c r="AD380" s="14" t="s">
        <v>166</v>
      </c>
      <c r="AE380" s="14" t="s">
        <v>166</v>
      </c>
      <c r="AF380" s="14" t="s">
        <v>166</v>
      </c>
      <c r="AG380" s="14" t="s">
        <v>166</v>
      </c>
      <c r="AH380" s="21">
        <v>1</v>
      </c>
      <c r="AI380" s="3">
        <f>HYPERLINK("https://my.pitchbook.com/?d=203526-64T","203526-64T")</f>
      </c>
      <c r="AJ380" s="19" t="s">
        <v>166</v>
      </c>
      <c r="AK380" s="19">
        <v>44658</v>
      </c>
      <c r="AL380" s="18">
        <v>5</v>
      </c>
      <c r="AM380" s="14" t="s">
        <v>185</v>
      </c>
      <c r="AN380" s="18" t="s">
        <v>166</v>
      </c>
      <c r="AO380" s="18" t="s">
        <v>166</v>
      </c>
      <c r="AP380" s="14" t="s">
        <v>166</v>
      </c>
      <c r="AQ380" s="21" t="s">
        <v>166</v>
      </c>
      <c r="AR380" s="21" t="s">
        <v>166</v>
      </c>
      <c r="AS380" s="17" t="s">
        <v>166</v>
      </c>
      <c r="AT380" s="18">
        <v>5</v>
      </c>
      <c r="AU380" s="21" t="s">
        <v>186</v>
      </c>
      <c r="AV380" s="21" t="s">
        <v>166</v>
      </c>
      <c r="AW380" s="18" t="s">
        <v>166</v>
      </c>
      <c r="AX380" s="21" t="s">
        <v>166</v>
      </c>
      <c r="AY380" s="14" t="s">
        <v>187</v>
      </c>
      <c r="AZ380" s="14" t="s">
        <v>166</v>
      </c>
      <c r="BA380" s="14" t="s">
        <v>166</v>
      </c>
      <c r="BB380" s="21" t="s">
        <v>166</v>
      </c>
      <c r="BC380" s="14" t="s">
        <v>179</v>
      </c>
      <c r="BD380" s="14" t="s">
        <v>7530</v>
      </c>
      <c r="BE380" s="14" t="s">
        <v>189</v>
      </c>
      <c r="BF380" s="18">
        <v>5</v>
      </c>
      <c r="BG380" s="14" t="s">
        <v>190</v>
      </c>
      <c r="BH380" s="14" t="s">
        <v>166</v>
      </c>
      <c r="BI380" s="14" t="s">
        <v>166</v>
      </c>
      <c r="BJ380" s="18" t="s">
        <v>166</v>
      </c>
      <c r="BK380" s="18" t="s">
        <v>166</v>
      </c>
      <c r="BL380" s="14" t="s">
        <v>191</v>
      </c>
      <c r="BM380" s="14" t="s">
        <v>178</v>
      </c>
      <c r="BN380" s="14" t="s">
        <v>177</v>
      </c>
      <c r="BO380" s="22" t="s">
        <v>166</v>
      </c>
      <c r="BP380" s="14" t="s">
        <v>7537</v>
      </c>
      <c r="BQ380" s="21">
        <v>3</v>
      </c>
      <c r="BR380" s="14" t="s">
        <v>166</v>
      </c>
      <c r="BS380" s="21" t="s">
        <v>166</v>
      </c>
      <c r="BT380" s="14" t="s">
        <v>166</v>
      </c>
      <c r="BU380" s="14" t="s">
        <v>166</v>
      </c>
      <c r="BV380" s="14" t="s">
        <v>7538</v>
      </c>
      <c r="BW380" s="14" t="s">
        <v>166</v>
      </c>
      <c r="BX380" s="14" t="s">
        <v>166</v>
      </c>
      <c r="BY380" s="14" t="s">
        <v>166</v>
      </c>
      <c r="BZ380" s="14" t="s">
        <v>166</v>
      </c>
      <c r="CA380" s="14" t="s">
        <v>166</v>
      </c>
      <c r="CB380" s="14" t="s">
        <v>166</v>
      </c>
      <c r="CC380" s="14" t="s">
        <v>166</v>
      </c>
      <c r="CD380" s="14" t="s">
        <v>166</v>
      </c>
      <c r="CE380" s="18" t="s">
        <v>166</v>
      </c>
      <c r="CF380" s="16" t="s">
        <v>166</v>
      </c>
      <c r="CG380" s="17" t="s">
        <v>166</v>
      </c>
      <c r="CH380" s="16" t="s">
        <v>166</v>
      </c>
      <c r="CI380" s="16" t="s">
        <v>166</v>
      </c>
      <c r="CJ380" s="16" t="s">
        <v>166</v>
      </c>
      <c r="CK380" s="16" t="s">
        <v>166</v>
      </c>
      <c r="CL380" s="16" t="s">
        <v>166</v>
      </c>
      <c r="CM380" s="20" t="s">
        <v>166</v>
      </c>
      <c r="CN380" s="16" t="s">
        <v>166</v>
      </c>
      <c r="CO380" s="16" t="s">
        <v>166</v>
      </c>
      <c r="CP380" s="16" t="s">
        <v>166</v>
      </c>
      <c r="CQ380" s="16" t="s">
        <v>166</v>
      </c>
      <c r="CR380" s="16" t="s">
        <v>166</v>
      </c>
      <c r="CS380" s="16" t="s">
        <v>166</v>
      </c>
      <c r="CT380" s="16" t="s">
        <v>166</v>
      </c>
      <c r="CU380" s="16" t="s">
        <v>166</v>
      </c>
      <c r="CV380" s="16" t="s">
        <v>166</v>
      </c>
      <c r="CW380" s="16" t="s">
        <v>166</v>
      </c>
      <c r="CX380" s="16" t="s">
        <v>166</v>
      </c>
      <c r="CY380" s="16" t="s">
        <v>166</v>
      </c>
      <c r="CZ380" s="16" t="s">
        <v>166</v>
      </c>
      <c r="DA380" s="16" t="s">
        <v>166</v>
      </c>
      <c r="DB380" s="16" t="s">
        <v>166</v>
      </c>
      <c r="DC380" s="16" t="s">
        <v>166</v>
      </c>
      <c r="DD380" s="16" t="s">
        <v>166</v>
      </c>
      <c r="DE380" s="17" t="s">
        <v>166</v>
      </c>
      <c r="DF380" s="22">
        <v>14</v>
      </c>
      <c r="DG380" s="14" t="s">
        <v>7539</v>
      </c>
      <c r="DH380" s="14" t="s">
        <v>193</v>
      </c>
      <c r="DI380" s="14" t="s">
        <v>194</v>
      </c>
      <c r="DJ380" s="14" t="s">
        <v>7540</v>
      </c>
      <c r="DK380" s="14" t="s">
        <v>1251</v>
      </c>
      <c r="DL380" s="21" t="s">
        <v>7541</v>
      </c>
      <c r="DM380" s="14" t="s">
        <v>198</v>
      </c>
      <c r="DN380" s="13" t="s">
        <v>7542</v>
      </c>
      <c r="DO380" s="20">
        <v>2020</v>
      </c>
      <c r="DP380" s="14" t="s">
        <v>166</v>
      </c>
      <c r="DQ380" s="14" t="s">
        <v>2906</v>
      </c>
      <c r="DR380" s="18" t="s">
        <v>166</v>
      </c>
      <c r="DS380" s="16" t="s">
        <v>166</v>
      </c>
      <c r="DT380" s="19" t="s">
        <v>166</v>
      </c>
      <c r="DU380" s="14" t="s">
        <v>166</v>
      </c>
      <c r="DV380" s="18" t="s">
        <v>166</v>
      </c>
      <c r="DW380" s="18" t="s">
        <v>166</v>
      </c>
      <c r="DX380" s="16" t="s">
        <v>166</v>
      </c>
      <c r="DY380" s="16" t="s">
        <v>166</v>
      </c>
      <c r="DZ380" s="17" t="s">
        <v>166</v>
      </c>
      <c r="EA380" s="16" t="s">
        <v>166</v>
      </c>
      <c r="EB380" s="16" t="s">
        <v>166</v>
      </c>
      <c r="EC380" s="16" t="s">
        <v>166</v>
      </c>
      <c r="ED380" s="17" t="s">
        <v>166</v>
      </c>
      <c r="EE380" s="17" t="s">
        <v>166</v>
      </c>
      <c r="EF380" s="17" t="s">
        <v>166</v>
      </c>
      <c r="EG380" s="17" t="s">
        <v>166</v>
      </c>
      <c r="EH380" s="16" t="s">
        <v>166</v>
      </c>
      <c r="EI380" s="16" t="s">
        <v>166</v>
      </c>
      <c r="EJ380" s="16" t="s">
        <v>166</v>
      </c>
      <c r="EK380" s="16" t="s">
        <v>166</v>
      </c>
      <c r="EL380" s="16" t="s">
        <v>166</v>
      </c>
      <c r="EM380" s="16" t="s">
        <v>166</v>
      </c>
      <c r="EN380" s="16" t="s">
        <v>166</v>
      </c>
      <c r="EO380" s="16" t="s">
        <v>166</v>
      </c>
      <c r="EP380" s="16" t="s">
        <v>166</v>
      </c>
      <c r="EQ380" s="16" t="s">
        <v>166</v>
      </c>
      <c r="ER380" s="16" t="s">
        <v>166</v>
      </c>
      <c r="ES380" s="16" t="s">
        <v>166</v>
      </c>
      <c r="ET380" s="14" t="s">
        <v>166</v>
      </c>
      <c r="EU380" s="16" t="s">
        <v>166</v>
      </c>
      <c r="EV380" s="16" t="s">
        <v>166</v>
      </c>
      <c r="EW380" s="16" t="s">
        <v>166</v>
      </c>
      <c r="EX380" s="14" t="s">
        <v>190</v>
      </c>
      <c r="EY380" s="14" t="s">
        <v>190</v>
      </c>
      <c r="EZ380" s="16" t="s">
        <v>166</v>
      </c>
      <c r="FA380" s="15" t="s">
        <v>166</v>
      </c>
      <c r="FB380" s="15" t="s">
        <v>166</v>
      </c>
      <c r="FC380" s="15" t="s">
        <v>166</v>
      </c>
      <c r="FD380" s="15" t="s">
        <v>166</v>
      </c>
      <c r="FE380" s="15" t="s">
        <v>166</v>
      </c>
      <c r="FF380" s="15" t="s">
        <v>166</v>
      </c>
      <c r="FG380" s="14" t="s">
        <v>166</v>
      </c>
      <c r="FH380" s="3">
        <f>HYPERLINK("https://my.pitchbook.com?c=203526-64T","View Company Online")</f>
      </c>
    </row>
    <row r="381">
      <c r="A381" s="25" t="s">
        <v>7543</v>
      </c>
      <c r="B381" s="25" t="s">
        <v>7544</v>
      </c>
      <c r="C381" s="25" t="s">
        <v>7545</v>
      </c>
      <c r="D381" s="25" t="s">
        <v>166</v>
      </c>
      <c r="E381" s="34" t="s">
        <v>7546</v>
      </c>
      <c r="F381" s="32">
        <v>5</v>
      </c>
      <c r="G381" s="25" t="s">
        <v>7547</v>
      </c>
      <c r="H381" s="25" t="s">
        <v>166</v>
      </c>
      <c r="I381" s="25" t="s">
        <v>7548</v>
      </c>
      <c r="J381" s="25" t="s">
        <v>7549</v>
      </c>
      <c r="K381" s="25" t="s">
        <v>1455</v>
      </c>
      <c r="L381" s="25" t="s">
        <v>1456</v>
      </c>
      <c r="M381" s="25" t="s">
        <v>3445</v>
      </c>
      <c r="N381" s="25" t="s">
        <v>7550</v>
      </c>
      <c r="O381" s="25" t="s">
        <v>7551</v>
      </c>
      <c r="P381" s="25" t="s">
        <v>7552</v>
      </c>
      <c r="Q381" s="25" t="s">
        <v>166</v>
      </c>
      <c r="R381" s="25" t="s">
        <v>177</v>
      </c>
      <c r="S381" s="25" t="s">
        <v>2947</v>
      </c>
      <c r="T381" s="25" t="s">
        <v>179</v>
      </c>
      <c r="U381" s="25" t="s">
        <v>7553</v>
      </c>
      <c r="V381" s="25" t="s">
        <v>7554</v>
      </c>
      <c r="W381" s="32" t="s">
        <v>7555</v>
      </c>
      <c r="X381" s="25" t="s">
        <v>7556</v>
      </c>
      <c r="Y381" s="25" t="s">
        <v>7557</v>
      </c>
      <c r="Z381" s="25" t="s">
        <v>166</v>
      </c>
      <c r="AA381" s="25" t="s">
        <v>166</v>
      </c>
      <c r="AB381" s="25" t="s">
        <v>166</v>
      </c>
      <c r="AC381" s="25" t="s">
        <v>166</v>
      </c>
      <c r="AD381" s="25" t="s">
        <v>166</v>
      </c>
      <c r="AE381" s="25" t="s">
        <v>166</v>
      </c>
      <c r="AF381" s="25" t="s">
        <v>166</v>
      </c>
      <c r="AG381" s="25" t="s">
        <v>166</v>
      </c>
      <c r="AH381" s="32">
        <v>3</v>
      </c>
      <c r="AI381" s="4">
        <f>HYPERLINK("https://my.pitchbook.com/?d=193978-18T","193978-18T")</f>
      </c>
      <c r="AJ381" s="30">
        <v>44859</v>
      </c>
      <c r="AK381" s="30">
        <v>44859</v>
      </c>
      <c r="AL381" s="29">
        <v>1</v>
      </c>
      <c r="AM381" s="25" t="s">
        <v>185</v>
      </c>
      <c r="AN381" s="29">
        <v>5</v>
      </c>
      <c r="AO381" s="29">
        <v>6</v>
      </c>
      <c r="AP381" s="25" t="s">
        <v>185</v>
      </c>
      <c r="AQ381" s="32" t="s">
        <v>166</v>
      </c>
      <c r="AR381" s="32" t="s">
        <v>166</v>
      </c>
      <c r="AS381" s="28">
        <v>16.67</v>
      </c>
      <c r="AT381" s="29">
        <v>1</v>
      </c>
      <c r="AU381" s="32" t="s">
        <v>186</v>
      </c>
      <c r="AV381" s="32" t="s">
        <v>166</v>
      </c>
      <c r="AW381" s="29" t="s">
        <v>166</v>
      </c>
      <c r="AX381" s="32" t="s">
        <v>166</v>
      </c>
      <c r="AY381" s="25" t="s">
        <v>217</v>
      </c>
      <c r="AZ381" s="25" t="s">
        <v>217</v>
      </c>
      <c r="BA381" s="25" t="s">
        <v>166</v>
      </c>
      <c r="BB381" s="32" t="s">
        <v>166</v>
      </c>
      <c r="BC381" s="25" t="s">
        <v>179</v>
      </c>
      <c r="BD381" s="25" t="s">
        <v>7558</v>
      </c>
      <c r="BE381" s="25" t="s">
        <v>189</v>
      </c>
      <c r="BF381" s="29">
        <v>1</v>
      </c>
      <c r="BG381" s="25" t="s">
        <v>190</v>
      </c>
      <c r="BH381" s="25" t="s">
        <v>166</v>
      </c>
      <c r="BI381" s="25" t="s">
        <v>166</v>
      </c>
      <c r="BJ381" s="29" t="s">
        <v>166</v>
      </c>
      <c r="BK381" s="29" t="s">
        <v>166</v>
      </c>
      <c r="BL381" s="25" t="s">
        <v>191</v>
      </c>
      <c r="BM381" s="25" t="s">
        <v>2947</v>
      </c>
      <c r="BN381" s="25" t="s">
        <v>177</v>
      </c>
      <c r="BO381" s="33">
        <v>1</v>
      </c>
      <c r="BP381" s="25" t="s">
        <v>7559</v>
      </c>
      <c r="BQ381" s="32">
        <v>3</v>
      </c>
      <c r="BR381" s="25" t="s">
        <v>7560</v>
      </c>
      <c r="BS381" s="32">
        <v>2</v>
      </c>
      <c r="BT381" s="25" t="s">
        <v>7561</v>
      </c>
      <c r="BU381" s="25" t="s">
        <v>166</v>
      </c>
      <c r="BV381" s="25" t="s">
        <v>166</v>
      </c>
      <c r="BW381" s="25" t="s">
        <v>166</v>
      </c>
      <c r="BX381" s="25" t="s">
        <v>166</v>
      </c>
      <c r="BY381" s="25" t="s">
        <v>166</v>
      </c>
      <c r="BZ381" s="25" t="s">
        <v>166</v>
      </c>
      <c r="CA381" s="25" t="s">
        <v>166</v>
      </c>
      <c r="CB381" s="25" t="s">
        <v>166</v>
      </c>
      <c r="CC381" s="25" t="s">
        <v>166</v>
      </c>
      <c r="CD381" s="25" t="s">
        <v>166</v>
      </c>
      <c r="CE381" s="29" t="s">
        <v>166</v>
      </c>
      <c r="CF381" s="27" t="s">
        <v>166</v>
      </c>
      <c r="CG381" s="28" t="s">
        <v>166</v>
      </c>
      <c r="CH381" s="27" t="s">
        <v>166</v>
      </c>
      <c r="CI381" s="27" t="s">
        <v>166</v>
      </c>
      <c r="CJ381" s="27" t="s">
        <v>166</v>
      </c>
      <c r="CK381" s="27" t="s">
        <v>166</v>
      </c>
      <c r="CL381" s="27" t="s">
        <v>166</v>
      </c>
      <c r="CM381" s="31" t="s">
        <v>166</v>
      </c>
      <c r="CN381" s="27" t="s">
        <v>166</v>
      </c>
      <c r="CO381" s="27" t="s">
        <v>166</v>
      </c>
      <c r="CP381" s="27" t="s">
        <v>166</v>
      </c>
      <c r="CQ381" s="27" t="s">
        <v>166</v>
      </c>
      <c r="CR381" s="27" t="s">
        <v>166</v>
      </c>
      <c r="CS381" s="27" t="s">
        <v>166</v>
      </c>
      <c r="CT381" s="27" t="s">
        <v>166</v>
      </c>
      <c r="CU381" s="27" t="s">
        <v>166</v>
      </c>
      <c r="CV381" s="27" t="s">
        <v>166</v>
      </c>
      <c r="CW381" s="27" t="s">
        <v>166</v>
      </c>
      <c r="CX381" s="27" t="s">
        <v>166</v>
      </c>
      <c r="CY381" s="27" t="s">
        <v>166</v>
      </c>
      <c r="CZ381" s="27" t="s">
        <v>166</v>
      </c>
      <c r="DA381" s="27" t="s">
        <v>166</v>
      </c>
      <c r="DB381" s="27" t="s">
        <v>166</v>
      </c>
      <c r="DC381" s="27" t="s">
        <v>166</v>
      </c>
      <c r="DD381" s="27" t="s">
        <v>166</v>
      </c>
      <c r="DE381" s="28" t="s">
        <v>166</v>
      </c>
      <c r="DF381" s="33">
        <v>8</v>
      </c>
      <c r="DG381" s="25" t="s">
        <v>7562</v>
      </c>
      <c r="DH381" s="25" t="s">
        <v>193</v>
      </c>
      <c r="DI381" s="25" t="s">
        <v>194</v>
      </c>
      <c r="DJ381" s="25" t="s">
        <v>7563</v>
      </c>
      <c r="DK381" s="25" t="s">
        <v>257</v>
      </c>
      <c r="DL381" s="32" t="s">
        <v>7564</v>
      </c>
      <c r="DM381" s="25" t="s">
        <v>198</v>
      </c>
      <c r="DN381" s="24" t="s">
        <v>7565</v>
      </c>
      <c r="DO381" s="31">
        <v>2021</v>
      </c>
      <c r="DP381" s="25" t="s">
        <v>166</v>
      </c>
      <c r="DQ381" s="25" t="s">
        <v>166</v>
      </c>
      <c r="DR381" s="29" t="s">
        <v>166</v>
      </c>
      <c r="DS381" s="27" t="s">
        <v>166</v>
      </c>
      <c r="DT381" s="30" t="s">
        <v>166</v>
      </c>
      <c r="DU381" s="25" t="s">
        <v>166</v>
      </c>
      <c r="DV381" s="29" t="s">
        <v>166</v>
      </c>
      <c r="DW381" s="29" t="s">
        <v>166</v>
      </c>
      <c r="DX381" s="27" t="s">
        <v>166</v>
      </c>
      <c r="DY381" s="27" t="s">
        <v>166</v>
      </c>
      <c r="DZ381" s="28" t="s">
        <v>166</v>
      </c>
      <c r="EA381" s="27" t="s">
        <v>166</v>
      </c>
      <c r="EB381" s="27" t="s">
        <v>166</v>
      </c>
      <c r="EC381" s="27" t="s">
        <v>166</v>
      </c>
      <c r="ED381" s="28" t="s">
        <v>166</v>
      </c>
      <c r="EE381" s="28" t="s">
        <v>166</v>
      </c>
      <c r="EF381" s="28" t="s">
        <v>166</v>
      </c>
      <c r="EG381" s="28" t="s">
        <v>166</v>
      </c>
      <c r="EH381" s="27" t="s">
        <v>166</v>
      </c>
      <c r="EI381" s="27" t="s">
        <v>166</v>
      </c>
      <c r="EJ381" s="27" t="s">
        <v>166</v>
      </c>
      <c r="EK381" s="27" t="s">
        <v>166</v>
      </c>
      <c r="EL381" s="27" t="s">
        <v>166</v>
      </c>
      <c r="EM381" s="27" t="s">
        <v>166</v>
      </c>
      <c r="EN381" s="27" t="s">
        <v>166</v>
      </c>
      <c r="EO381" s="27" t="s">
        <v>166</v>
      </c>
      <c r="EP381" s="27" t="s">
        <v>166</v>
      </c>
      <c r="EQ381" s="27" t="s">
        <v>166</v>
      </c>
      <c r="ER381" s="27" t="s">
        <v>166</v>
      </c>
      <c r="ES381" s="27" t="s">
        <v>166</v>
      </c>
      <c r="ET381" s="25" t="s">
        <v>166</v>
      </c>
      <c r="EU381" s="27" t="s">
        <v>166</v>
      </c>
      <c r="EV381" s="27" t="s">
        <v>166</v>
      </c>
      <c r="EW381" s="27" t="s">
        <v>166</v>
      </c>
      <c r="EX381" s="25" t="s">
        <v>190</v>
      </c>
      <c r="EY381" s="25" t="s">
        <v>166</v>
      </c>
      <c r="EZ381" s="27" t="s">
        <v>166</v>
      </c>
      <c r="FA381" s="26" t="s">
        <v>166</v>
      </c>
      <c r="FB381" s="26" t="s">
        <v>166</v>
      </c>
      <c r="FC381" s="26" t="s">
        <v>166</v>
      </c>
      <c r="FD381" s="26" t="s">
        <v>166</v>
      </c>
      <c r="FE381" s="26" t="s">
        <v>166</v>
      </c>
      <c r="FF381" s="26" t="s">
        <v>166</v>
      </c>
      <c r="FG381" s="25" t="s">
        <v>166</v>
      </c>
      <c r="FH381" s="4">
        <f>HYPERLINK("https://my.pitchbook.com?c=193978-18T","View Company Online")</f>
      </c>
    </row>
    <row r="382">
      <c r="A382" s="14" t="s">
        <v>7566</v>
      </c>
      <c r="B382" s="14" t="s">
        <v>7567</v>
      </c>
      <c r="C382" s="14" t="s">
        <v>7568</v>
      </c>
      <c r="D382" s="14" t="s">
        <v>166</v>
      </c>
      <c r="E382" s="23" t="s">
        <v>7569</v>
      </c>
      <c r="F382" s="21">
        <v>1</v>
      </c>
      <c r="G382" s="14" t="s">
        <v>7570</v>
      </c>
      <c r="H382" s="14" t="s">
        <v>166</v>
      </c>
      <c r="I382" s="14" t="s">
        <v>7571</v>
      </c>
      <c r="J382" s="14" t="s">
        <v>7572</v>
      </c>
      <c r="K382" s="14" t="s">
        <v>207</v>
      </c>
      <c r="L382" s="14" t="s">
        <v>208</v>
      </c>
      <c r="M382" s="14" t="s">
        <v>621</v>
      </c>
      <c r="N382" s="14" t="s">
        <v>622</v>
      </c>
      <c r="O382" s="14" t="s">
        <v>7573</v>
      </c>
      <c r="P382" s="14" t="s">
        <v>7574</v>
      </c>
      <c r="Q382" s="14" t="s">
        <v>166</v>
      </c>
      <c r="R382" s="14" t="s">
        <v>177</v>
      </c>
      <c r="S382" s="14" t="s">
        <v>178</v>
      </c>
      <c r="T382" s="14" t="s">
        <v>179</v>
      </c>
      <c r="U382" s="14" t="s">
        <v>7575</v>
      </c>
      <c r="V382" s="14" t="s">
        <v>7576</v>
      </c>
      <c r="W382" s="21" t="s">
        <v>7577</v>
      </c>
      <c r="X382" s="14" t="s">
        <v>166</v>
      </c>
      <c r="Y382" s="14" t="s">
        <v>7578</v>
      </c>
      <c r="Z382" s="14" t="s">
        <v>7579</v>
      </c>
      <c r="AA382" s="14" t="s">
        <v>166</v>
      </c>
      <c r="AB382" s="14" t="s">
        <v>166</v>
      </c>
      <c r="AC382" s="14" t="s">
        <v>166</v>
      </c>
      <c r="AD382" s="14" t="s">
        <v>166</v>
      </c>
      <c r="AE382" s="14" t="s">
        <v>166</v>
      </c>
      <c r="AF382" s="14" t="s">
        <v>166</v>
      </c>
      <c r="AG382" s="14" t="s">
        <v>166</v>
      </c>
      <c r="AH382" s="21">
        <v>2</v>
      </c>
      <c r="AI382" s="3">
        <f>HYPERLINK("https://my.pitchbook.com/?d=194024-98T","194024-98T")</f>
      </c>
      <c r="AJ382" s="19" t="s">
        <v>166</v>
      </c>
      <c r="AK382" s="19">
        <v>44687</v>
      </c>
      <c r="AL382" s="18">
        <v>1.31</v>
      </c>
      <c r="AM382" s="14" t="s">
        <v>185</v>
      </c>
      <c r="AN382" s="18" t="s">
        <v>166</v>
      </c>
      <c r="AO382" s="18" t="s">
        <v>166</v>
      </c>
      <c r="AP382" s="14" t="s">
        <v>166</v>
      </c>
      <c r="AQ382" s="21" t="s">
        <v>166</v>
      </c>
      <c r="AR382" s="21" t="s">
        <v>166</v>
      </c>
      <c r="AS382" s="17" t="s">
        <v>166</v>
      </c>
      <c r="AT382" s="18">
        <v>1.31</v>
      </c>
      <c r="AU382" s="21" t="s">
        <v>186</v>
      </c>
      <c r="AV382" s="21" t="s">
        <v>166</v>
      </c>
      <c r="AW382" s="18" t="s">
        <v>166</v>
      </c>
      <c r="AX382" s="21" t="s">
        <v>166</v>
      </c>
      <c r="AY382" s="14" t="s">
        <v>217</v>
      </c>
      <c r="AZ382" s="14" t="s">
        <v>217</v>
      </c>
      <c r="BA382" s="14" t="s">
        <v>166</v>
      </c>
      <c r="BB382" s="21" t="s">
        <v>166</v>
      </c>
      <c r="BC382" s="14" t="s">
        <v>179</v>
      </c>
      <c r="BD382" s="14" t="s">
        <v>7572</v>
      </c>
      <c r="BE382" s="14" t="s">
        <v>189</v>
      </c>
      <c r="BF382" s="18" t="s">
        <v>166</v>
      </c>
      <c r="BG382" s="14" t="s">
        <v>190</v>
      </c>
      <c r="BH382" s="14" t="s">
        <v>166</v>
      </c>
      <c r="BI382" s="14" t="s">
        <v>166</v>
      </c>
      <c r="BJ382" s="18" t="s">
        <v>166</v>
      </c>
      <c r="BK382" s="18" t="s">
        <v>166</v>
      </c>
      <c r="BL382" s="14" t="s">
        <v>191</v>
      </c>
      <c r="BM382" s="14" t="s">
        <v>178</v>
      </c>
      <c r="BN382" s="14" t="s">
        <v>177</v>
      </c>
      <c r="BO382" s="22" t="s">
        <v>166</v>
      </c>
      <c r="BP382" s="14" t="s">
        <v>7569</v>
      </c>
      <c r="BQ382" s="21">
        <v>1</v>
      </c>
      <c r="BR382" s="14" t="s">
        <v>166</v>
      </c>
      <c r="BS382" s="21" t="s">
        <v>166</v>
      </c>
      <c r="BT382" s="14" t="s">
        <v>166</v>
      </c>
      <c r="BU382" s="14" t="s">
        <v>166</v>
      </c>
      <c r="BV382" s="14" t="s">
        <v>166</v>
      </c>
      <c r="BW382" s="14" t="s">
        <v>166</v>
      </c>
      <c r="BX382" s="14" t="s">
        <v>166</v>
      </c>
      <c r="BY382" s="14" t="s">
        <v>166</v>
      </c>
      <c r="BZ382" s="14" t="s">
        <v>166</v>
      </c>
      <c r="CA382" s="14" t="s">
        <v>166</v>
      </c>
      <c r="CB382" s="14" t="s">
        <v>166</v>
      </c>
      <c r="CC382" s="14" t="s">
        <v>166</v>
      </c>
      <c r="CD382" s="14" t="s">
        <v>166</v>
      </c>
      <c r="CE382" s="18" t="s">
        <v>166</v>
      </c>
      <c r="CF382" s="16" t="s">
        <v>166</v>
      </c>
      <c r="CG382" s="17" t="s">
        <v>166</v>
      </c>
      <c r="CH382" s="16" t="s">
        <v>166</v>
      </c>
      <c r="CI382" s="16" t="s">
        <v>166</v>
      </c>
      <c r="CJ382" s="16" t="s">
        <v>166</v>
      </c>
      <c r="CK382" s="16" t="s">
        <v>166</v>
      </c>
      <c r="CL382" s="16" t="s">
        <v>166</v>
      </c>
      <c r="CM382" s="20" t="s">
        <v>166</v>
      </c>
      <c r="CN382" s="16" t="s">
        <v>166</v>
      </c>
      <c r="CO382" s="16" t="s">
        <v>166</v>
      </c>
      <c r="CP382" s="16" t="s">
        <v>166</v>
      </c>
      <c r="CQ382" s="16" t="s">
        <v>166</v>
      </c>
      <c r="CR382" s="16" t="s">
        <v>166</v>
      </c>
      <c r="CS382" s="16" t="s">
        <v>166</v>
      </c>
      <c r="CT382" s="16" t="s">
        <v>166</v>
      </c>
      <c r="CU382" s="16" t="s">
        <v>166</v>
      </c>
      <c r="CV382" s="16" t="s">
        <v>166</v>
      </c>
      <c r="CW382" s="16" t="s">
        <v>166</v>
      </c>
      <c r="CX382" s="16" t="s">
        <v>166</v>
      </c>
      <c r="CY382" s="16" t="s">
        <v>166</v>
      </c>
      <c r="CZ382" s="16" t="s">
        <v>166</v>
      </c>
      <c r="DA382" s="16" t="s">
        <v>166</v>
      </c>
      <c r="DB382" s="16" t="s">
        <v>166</v>
      </c>
      <c r="DC382" s="16" t="s">
        <v>166</v>
      </c>
      <c r="DD382" s="16" t="s">
        <v>166</v>
      </c>
      <c r="DE382" s="17" t="s">
        <v>166</v>
      </c>
      <c r="DF382" s="22">
        <v>7</v>
      </c>
      <c r="DG382" s="14" t="s">
        <v>673</v>
      </c>
      <c r="DH382" s="14" t="s">
        <v>193</v>
      </c>
      <c r="DI382" s="14" t="s">
        <v>194</v>
      </c>
      <c r="DJ382" s="14" t="s">
        <v>674</v>
      </c>
      <c r="DK382" s="14" t="s">
        <v>257</v>
      </c>
      <c r="DL382" s="21" t="s">
        <v>7580</v>
      </c>
      <c r="DM382" s="14" t="s">
        <v>198</v>
      </c>
      <c r="DN382" s="13" t="s">
        <v>7581</v>
      </c>
      <c r="DO382" s="20">
        <v>2021</v>
      </c>
      <c r="DP382" s="14" t="s">
        <v>166</v>
      </c>
      <c r="DQ382" s="14" t="s">
        <v>166</v>
      </c>
      <c r="DR382" s="18" t="s">
        <v>166</v>
      </c>
      <c r="DS382" s="16" t="s">
        <v>166</v>
      </c>
      <c r="DT382" s="19" t="s">
        <v>166</v>
      </c>
      <c r="DU382" s="14" t="s">
        <v>166</v>
      </c>
      <c r="DV382" s="18" t="s">
        <v>166</v>
      </c>
      <c r="DW382" s="18" t="s">
        <v>166</v>
      </c>
      <c r="DX382" s="16" t="s">
        <v>166</v>
      </c>
      <c r="DY382" s="16" t="s">
        <v>166</v>
      </c>
      <c r="DZ382" s="17" t="s">
        <v>166</v>
      </c>
      <c r="EA382" s="16" t="s">
        <v>166</v>
      </c>
      <c r="EB382" s="16" t="s">
        <v>166</v>
      </c>
      <c r="EC382" s="16" t="s">
        <v>166</v>
      </c>
      <c r="ED382" s="17" t="s">
        <v>166</v>
      </c>
      <c r="EE382" s="17" t="s">
        <v>166</v>
      </c>
      <c r="EF382" s="17" t="s">
        <v>166</v>
      </c>
      <c r="EG382" s="17" t="s">
        <v>166</v>
      </c>
      <c r="EH382" s="16" t="s">
        <v>166</v>
      </c>
      <c r="EI382" s="16" t="s">
        <v>166</v>
      </c>
      <c r="EJ382" s="16" t="s">
        <v>166</v>
      </c>
      <c r="EK382" s="16" t="s">
        <v>166</v>
      </c>
      <c r="EL382" s="16" t="s">
        <v>166</v>
      </c>
      <c r="EM382" s="16" t="s">
        <v>166</v>
      </c>
      <c r="EN382" s="16" t="s">
        <v>166</v>
      </c>
      <c r="EO382" s="16" t="s">
        <v>166</v>
      </c>
      <c r="EP382" s="16" t="s">
        <v>166</v>
      </c>
      <c r="EQ382" s="16" t="s">
        <v>166</v>
      </c>
      <c r="ER382" s="16" t="s">
        <v>166</v>
      </c>
      <c r="ES382" s="16" t="s">
        <v>166</v>
      </c>
      <c r="ET382" s="14" t="s">
        <v>166</v>
      </c>
      <c r="EU382" s="16" t="s">
        <v>166</v>
      </c>
      <c r="EV382" s="16" t="s">
        <v>166</v>
      </c>
      <c r="EW382" s="16" t="s">
        <v>166</v>
      </c>
      <c r="EX382" s="14" t="s">
        <v>190</v>
      </c>
      <c r="EY382" s="14" t="s">
        <v>166</v>
      </c>
      <c r="EZ382" s="16" t="s">
        <v>166</v>
      </c>
      <c r="FA382" s="15">
        <v>2</v>
      </c>
      <c r="FB382" s="15">
        <v>2</v>
      </c>
      <c r="FC382" s="15" t="s">
        <v>166</v>
      </c>
      <c r="FD382" s="15">
        <v>1</v>
      </c>
      <c r="FE382" s="15" t="s">
        <v>166</v>
      </c>
      <c r="FF382" s="15">
        <v>1</v>
      </c>
      <c r="FG382" s="14" t="s">
        <v>7582</v>
      </c>
      <c r="FH382" s="3">
        <f>HYPERLINK("https://my.pitchbook.com?c=194024-98T","View Company Online")</f>
      </c>
    </row>
    <row r="383">
      <c r="A383" s="25" t="s">
        <v>7583</v>
      </c>
      <c r="B383" s="25" t="s">
        <v>7584</v>
      </c>
      <c r="C383" s="25" t="s">
        <v>7585</v>
      </c>
      <c r="D383" s="25" t="s">
        <v>166</v>
      </c>
      <c r="E383" s="34" t="s">
        <v>7586</v>
      </c>
      <c r="F383" s="32">
        <v>5</v>
      </c>
      <c r="G383" s="25" t="s">
        <v>7587</v>
      </c>
      <c r="H383" s="25" t="s">
        <v>166</v>
      </c>
      <c r="I383" s="25" t="s">
        <v>7588</v>
      </c>
      <c r="J383" s="25" t="s">
        <v>7589</v>
      </c>
      <c r="K383" s="25" t="s">
        <v>171</v>
      </c>
      <c r="L383" s="25" t="s">
        <v>172</v>
      </c>
      <c r="M383" s="25" t="s">
        <v>173</v>
      </c>
      <c r="N383" s="25" t="s">
        <v>2890</v>
      </c>
      <c r="O383" s="25" t="s">
        <v>7590</v>
      </c>
      <c r="P383" s="25" t="s">
        <v>7591</v>
      </c>
      <c r="Q383" s="25" t="s">
        <v>926</v>
      </c>
      <c r="R383" s="25" t="s">
        <v>177</v>
      </c>
      <c r="S383" s="25" t="s">
        <v>178</v>
      </c>
      <c r="T383" s="25" t="s">
        <v>179</v>
      </c>
      <c r="U383" s="25" t="s">
        <v>7592</v>
      </c>
      <c r="V383" s="25" t="s">
        <v>7593</v>
      </c>
      <c r="W383" s="32" t="s">
        <v>7594</v>
      </c>
      <c r="X383" s="25" t="s">
        <v>7595</v>
      </c>
      <c r="Y383" s="25" t="s">
        <v>7596</v>
      </c>
      <c r="Z383" s="25" t="s">
        <v>166</v>
      </c>
      <c r="AA383" s="25" t="s">
        <v>166</v>
      </c>
      <c r="AB383" s="25" t="s">
        <v>166</v>
      </c>
      <c r="AC383" s="25" t="s">
        <v>166</v>
      </c>
      <c r="AD383" s="25" t="s">
        <v>166</v>
      </c>
      <c r="AE383" s="25" t="s">
        <v>166</v>
      </c>
      <c r="AF383" s="25" t="s">
        <v>166</v>
      </c>
      <c r="AG383" s="25" t="s">
        <v>166</v>
      </c>
      <c r="AH383" s="32">
        <v>2</v>
      </c>
      <c r="AI383" s="4">
        <f>HYPERLINK("https://my.pitchbook.com/?d=232550-56T","232550-56T")</f>
      </c>
      <c r="AJ383" s="30" t="s">
        <v>166</v>
      </c>
      <c r="AK383" s="30">
        <v>45108</v>
      </c>
      <c r="AL383" s="29">
        <v>0.26</v>
      </c>
      <c r="AM383" s="25" t="s">
        <v>185</v>
      </c>
      <c r="AN383" s="29">
        <v>9.74</v>
      </c>
      <c r="AO383" s="29">
        <v>10</v>
      </c>
      <c r="AP383" s="25" t="s">
        <v>185</v>
      </c>
      <c r="AQ383" s="32" t="s">
        <v>166</v>
      </c>
      <c r="AR383" s="32" t="s">
        <v>166</v>
      </c>
      <c r="AS383" s="28">
        <v>2.55</v>
      </c>
      <c r="AT383" s="29">
        <v>0.55</v>
      </c>
      <c r="AU383" s="32" t="s">
        <v>186</v>
      </c>
      <c r="AV383" s="32" t="s">
        <v>166</v>
      </c>
      <c r="AW383" s="29">
        <v>1</v>
      </c>
      <c r="AX383" s="32" t="s">
        <v>166</v>
      </c>
      <c r="AY383" s="25" t="s">
        <v>217</v>
      </c>
      <c r="AZ383" s="25" t="s">
        <v>217</v>
      </c>
      <c r="BA383" s="25" t="s">
        <v>166</v>
      </c>
      <c r="BB383" s="32" t="s">
        <v>166</v>
      </c>
      <c r="BC383" s="25" t="s">
        <v>179</v>
      </c>
      <c r="BD383" s="25" t="s">
        <v>7597</v>
      </c>
      <c r="BE383" s="25" t="s">
        <v>189</v>
      </c>
      <c r="BF383" s="29">
        <v>0.26</v>
      </c>
      <c r="BG383" s="25" t="s">
        <v>190</v>
      </c>
      <c r="BH383" s="25" t="s">
        <v>166</v>
      </c>
      <c r="BI383" s="25" t="s">
        <v>166</v>
      </c>
      <c r="BJ383" s="29" t="s">
        <v>166</v>
      </c>
      <c r="BK383" s="29" t="s">
        <v>166</v>
      </c>
      <c r="BL383" s="25" t="s">
        <v>191</v>
      </c>
      <c r="BM383" s="25" t="s">
        <v>178</v>
      </c>
      <c r="BN383" s="25" t="s">
        <v>177</v>
      </c>
      <c r="BO383" s="33">
        <v>15</v>
      </c>
      <c r="BP383" s="25" t="s">
        <v>7598</v>
      </c>
      <c r="BQ383" s="32">
        <v>4</v>
      </c>
      <c r="BR383" s="25" t="s">
        <v>7599</v>
      </c>
      <c r="BS383" s="32">
        <v>1</v>
      </c>
      <c r="BT383" s="25" t="s">
        <v>166</v>
      </c>
      <c r="BU383" s="25" t="s">
        <v>166</v>
      </c>
      <c r="BV383" s="25" t="s">
        <v>166</v>
      </c>
      <c r="BW383" s="25" t="s">
        <v>166</v>
      </c>
      <c r="BX383" s="25" t="s">
        <v>166</v>
      </c>
      <c r="BY383" s="25" t="s">
        <v>166</v>
      </c>
      <c r="BZ383" s="25" t="s">
        <v>7600</v>
      </c>
      <c r="CA383" s="25" t="s">
        <v>7600</v>
      </c>
      <c r="CB383" s="25" t="s">
        <v>166</v>
      </c>
      <c r="CC383" s="25" t="s">
        <v>166</v>
      </c>
      <c r="CD383" s="25" t="s">
        <v>166</v>
      </c>
      <c r="CE383" s="29" t="s">
        <v>166</v>
      </c>
      <c r="CF383" s="27" t="s">
        <v>166</v>
      </c>
      <c r="CG383" s="28" t="s">
        <v>166</v>
      </c>
      <c r="CH383" s="27" t="s">
        <v>166</v>
      </c>
      <c r="CI383" s="27" t="s">
        <v>166</v>
      </c>
      <c r="CJ383" s="27" t="s">
        <v>166</v>
      </c>
      <c r="CK383" s="27" t="s">
        <v>166</v>
      </c>
      <c r="CL383" s="27" t="s">
        <v>166</v>
      </c>
      <c r="CM383" s="31" t="s">
        <v>166</v>
      </c>
      <c r="CN383" s="27" t="s">
        <v>166</v>
      </c>
      <c r="CO383" s="27" t="s">
        <v>166</v>
      </c>
      <c r="CP383" s="27" t="s">
        <v>166</v>
      </c>
      <c r="CQ383" s="27" t="s">
        <v>166</v>
      </c>
      <c r="CR383" s="27" t="s">
        <v>166</v>
      </c>
      <c r="CS383" s="27" t="s">
        <v>166</v>
      </c>
      <c r="CT383" s="27" t="s">
        <v>166</v>
      </c>
      <c r="CU383" s="27" t="s">
        <v>166</v>
      </c>
      <c r="CV383" s="27" t="s">
        <v>166</v>
      </c>
      <c r="CW383" s="27" t="s">
        <v>166</v>
      </c>
      <c r="CX383" s="27" t="s">
        <v>166</v>
      </c>
      <c r="CY383" s="27" t="s">
        <v>166</v>
      </c>
      <c r="CZ383" s="27" t="s">
        <v>166</v>
      </c>
      <c r="DA383" s="27" t="s">
        <v>166</v>
      </c>
      <c r="DB383" s="27" t="s">
        <v>166</v>
      </c>
      <c r="DC383" s="27" t="s">
        <v>166</v>
      </c>
      <c r="DD383" s="27" t="s">
        <v>166</v>
      </c>
      <c r="DE383" s="28" t="s">
        <v>166</v>
      </c>
      <c r="DF383" s="33">
        <v>20</v>
      </c>
      <c r="DG383" s="25" t="s">
        <v>384</v>
      </c>
      <c r="DH383" s="25" t="s">
        <v>193</v>
      </c>
      <c r="DI383" s="25" t="s">
        <v>194</v>
      </c>
      <c r="DJ383" s="25" t="s">
        <v>385</v>
      </c>
      <c r="DK383" s="25" t="s">
        <v>386</v>
      </c>
      <c r="DL383" s="32" t="s">
        <v>387</v>
      </c>
      <c r="DM383" s="25" t="s">
        <v>198</v>
      </c>
      <c r="DN383" s="24" t="s">
        <v>7601</v>
      </c>
      <c r="DO383" s="31">
        <v>2017</v>
      </c>
      <c r="DP383" s="25" t="s">
        <v>166</v>
      </c>
      <c r="DQ383" s="25" t="s">
        <v>166</v>
      </c>
      <c r="DR383" s="29" t="s">
        <v>166</v>
      </c>
      <c r="DS383" s="27" t="s">
        <v>166</v>
      </c>
      <c r="DT383" s="30" t="s">
        <v>166</v>
      </c>
      <c r="DU383" s="25" t="s">
        <v>166</v>
      </c>
      <c r="DV383" s="29" t="s">
        <v>166</v>
      </c>
      <c r="DW383" s="29" t="s">
        <v>166</v>
      </c>
      <c r="DX383" s="27" t="s">
        <v>166</v>
      </c>
      <c r="DY383" s="27" t="s">
        <v>166</v>
      </c>
      <c r="DZ383" s="28" t="s">
        <v>166</v>
      </c>
      <c r="EA383" s="27" t="s">
        <v>166</v>
      </c>
      <c r="EB383" s="27" t="s">
        <v>166</v>
      </c>
      <c r="EC383" s="27" t="s">
        <v>166</v>
      </c>
      <c r="ED383" s="28" t="s">
        <v>166</v>
      </c>
      <c r="EE383" s="28" t="s">
        <v>166</v>
      </c>
      <c r="EF383" s="28" t="s">
        <v>166</v>
      </c>
      <c r="EG383" s="28" t="s">
        <v>166</v>
      </c>
      <c r="EH383" s="27" t="s">
        <v>166</v>
      </c>
      <c r="EI383" s="27" t="s">
        <v>166</v>
      </c>
      <c r="EJ383" s="27" t="s">
        <v>166</v>
      </c>
      <c r="EK383" s="27" t="s">
        <v>166</v>
      </c>
      <c r="EL383" s="27" t="s">
        <v>166</v>
      </c>
      <c r="EM383" s="27" t="s">
        <v>166</v>
      </c>
      <c r="EN383" s="27" t="s">
        <v>166</v>
      </c>
      <c r="EO383" s="27" t="s">
        <v>166</v>
      </c>
      <c r="EP383" s="27" t="s">
        <v>166</v>
      </c>
      <c r="EQ383" s="27" t="s">
        <v>166</v>
      </c>
      <c r="ER383" s="27" t="s">
        <v>166</v>
      </c>
      <c r="ES383" s="27" t="s">
        <v>166</v>
      </c>
      <c r="ET383" s="25" t="s">
        <v>166</v>
      </c>
      <c r="EU383" s="27" t="s">
        <v>166</v>
      </c>
      <c r="EV383" s="27" t="s">
        <v>166</v>
      </c>
      <c r="EW383" s="27" t="s">
        <v>166</v>
      </c>
      <c r="EX383" s="25" t="s">
        <v>190</v>
      </c>
      <c r="EY383" s="25" t="s">
        <v>166</v>
      </c>
      <c r="EZ383" s="27" t="s">
        <v>166</v>
      </c>
      <c r="FA383" s="26" t="s">
        <v>166</v>
      </c>
      <c r="FB383" s="26" t="s">
        <v>166</v>
      </c>
      <c r="FC383" s="26" t="s">
        <v>166</v>
      </c>
      <c r="FD383" s="26" t="s">
        <v>166</v>
      </c>
      <c r="FE383" s="26" t="s">
        <v>166</v>
      </c>
      <c r="FF383" s="26" t="s">
        <v>166</v>
      </c>
      <c r="FG383" s="25" t="s">
        <v>166</v>
      </c>
      <c r="FH383" s="4">
        <f>HYPERLINK("https://my.pitchbook.com?c=232550-56T","View Company Online")</f>
      </c>
    </row>
    <row r="384">
      <c r="A384" s="14" t="s">
        <v>7602</v>
      </c>
      <c r="B384" s="14" t="s">
        <v>7603</v>
      </c>
      <c r="C384" s="14" t="s">
        <v>7604</v>
      </c>
      <c r="D384" s="14" t="s">
        <v>166</v>
      </c>
      <c r="E384" s="23" t="s">
        <v>7605</v>
      </c>
      <c r="F384" s="21">
        <v>12</v>
      </c>
      <c r="G384" s="14" t="s">
        <v>7606</v>
      </c>
      <c r="H384" s="14" t="s">
        <v>166</v>
      </c>
      <c r="I384" s="14" t="s">
        <v>7607</v>
      </c>
      <c r="J384" s="14" t="s">
        <v>7608</v>
      </c>
      <c r="K384" s="14" t="s">
        <v>207</v>
      </c>
      <c r="L384" s="14" t="s">
        <v>208</v>
      </c>
      <c r="M384" s="14" t="s">
        <v>209</v>
      </c>
      <c r="N384" s="14" t="s">
        <v>7609</v>
      </c>
      <c r="O384" s="14" t="s">
        <v>3311</v>
      </c>
      <c r="P384" s="14" t="s">
        <v>7610</v>
      </c>
      <c r="Q384" s="14" t="s">
        <v>166</v>
      </c>
      <c r="R384" s="14" t="s">
        <v>177</v>
      </c>
      <c r="S384" s="14" t="s">
        <v>178</v>
      </c>
      <c r="T384" s="14" t="s">
        <v>179</v>
      </c>
      <c r="U384" s="14" t="s">
        <v>7611</v>
      </c>
      <c r="V384" s="14" t="s">
        <v>7612</v>
      </c>
      <c r="W384" s="21" t="s">
        <v>7613</v>
      </c>
      <c r="X384" s="14" t="s">
        <v>7614</v>
      </c>
      <c r="Y384" s="14" t="s">
        <v>7615</v>
      </c>
      <c r="Z384" s="14" t="s">
        <v>166</v>
      </c>
      <c r="AA384" s="14" t="s">
        <v>242</v>
      </c>
      <c r="AB384" s="14" t="s">
        <v>243</v>
      </c>
      <c r="AC384" s="14" t="s">
        <v>244</v>
      </c>
      <c r="AD384" s="14" t="s">
        <v>243</v>
      </c>
      <c r="AE384" s="14" t="s">
        <v>243</v>
      </c>
      <c r="AF384" s="14" t="s">
        <v>166</v>
      </c>
      <c r="AG384" s="14" t="s">
        <v>246</v>
      </c>
      <c r="AH384" s="21">
        <v>1</v>
      </c>
      <c r="AI384" s="3">
        <f>HYPERLINK("https://my.pitchbook.com/?d=165614-77T","165614-77T")</f>
      </c>
      <c r="AJ384" s="19">
        <v>44200</v>
      </c>
      <c r="AK384" s="19">
        <v>44231</v>
      </c>
      <c r="AL384" s="18">
        <v>1.5</v>
      </c>
      <c r="AM384" s="14" t="s">
        <v>185</v>
      </c>
      <c r="AN384" s="18">
        <v>4.5</v>
      </c>
      <c r="AO384" s="18">
        <v>6</v>
      </c>
      <c r="AP384" s="14" t="s">
        <v>185</v>
      </c>
      <c r="AQ384" s="21" t="s">
        <v>166</v>
      </c>
      <c r="AR384" s="21" t="s">
        <v>166</v>
      </c>
      <c r="AS384" s="17">
        <v>29.74</v>
      </c>
      <c r="AT384" s="18">
        <v>1.5</v>
      </c>
      <c r="AU384" s="21" t="s">
        <v>186</v>
      </c>
      <c r="AV384" s="21" t="s">
        <v>166</v>
      </c>
      <c r="AW384" s="18">
        <v>0.77</v>
      </c>
      <c r="AX384" s="21" t="s">
        <v>166</v>
      </c>
      <c r="AY384" s="14" t="s">
        <v>217</v>
      </c>
      <c r="AZ384" s="14" t="s">
        <v>217</v>
      </c>
      <c r="BA384" s="14" t="s">
        <v>166</v>
      </c>
      <c r="BB384" s="21" t="s">
        <v>166</v>
      </c>
      <c r="BC384" s="14" t="s">
        <v>179</v>
      </c>
      <c r="BD384" s="14" t="s">
        <v>7616</v>
      </c>
      <c r="BE384" s="14" t="s">
        <v>189</v>
      </c>
      <c r="BF384" s="18">
        <v>1.5</v>
      </c>
      <c r="BG384" s="14" t="s">
        <v>190</v>
      </c>
      <c r="BH384" s="14" t="s">
        <v>166</v>
      </c>
      <c r="BI384" s="14" t="s">
        <v>166</v>
      </c>
      <c r="BJ384" s="18" t="s">
        <v>166</v>
      </c>
      <c r="BK384" s="18" t="s">
        <v>166</v>
      </c>
      <c r="BL384" s="14" t="s">
        <v>191</v>
      </c>
      <c r="BM384" s="14" t="s">
        <v>178</v>
      </c>
      <c r="BN384" s="14" t="s">
        <v>177</v>
      </c>
      <c r="BO384" s="22" t="s">
        <v>166</v>
      </c>
      <c r="BP384" s="14" t="s">
        <v>7617</v>
      </c>
      <c r="BQ384" s="21">
        <v>12</v>
      </c>
      <c r="BR384" s="14" t="s">
        <v>166</v>
      </c>
      <c r="BS384" s="21" t="s">
        <v>166</v>
      </c>
      <c r="BT384" s="14" t="s">
        <v>7618</v>
      </c>
      <c r="BU384" s="14" t="s">
        <v>166</v>
      </c>
      <c r="BV384" s="14" t="s">
        <v>7619</v>
      </c>
      <c r="BW384" s="14" t="s">
        <v>166</v>
      </c>
      <c r="BX384" s="14" t="s">
        <v>166</v>
      </c>
      <c r="BY384" s="14" t="s">
        <v>166</v>
      </c>
      <c r="BZ384" s="14" t="s">
        <v>7620</v>
      </c>
      <c r="CA384" s="14" t="s">
        <v>1232</v>
      </c>
      <c r="CB384" s="14" t="s">
        <v>166</v>
      </c>
      <c r="CC384" s="14" t="s">
        <v>7621</v>
      </c>
      <c r="CD384" s="14" t="s">
        <v>166</v>
      </c>
      <c r="CE384" s="18" t="s">
        <v>166</v>
      </c>
      <c r="CF384" s="16" t="s">
        <v>166</v>
      </c>
      <c r="CG384" s="17" t="s">
        <v>166</v>
      </c>
      <c r="CH384" s="16" t="s">
        <v>166</v>
      </c>
      <c r="CI384" s="16" t="s">
        <v>166</v>
      </c>
      <c r="CJ384" s="16" t="s">
        <v>166</v>
      </c>
      <c r="CK384" s="16" t="s">
        <v>166</v>
      </c>
      <c r="CL384" s="16" t="s">
        <v>166</v>
      </c>
      <c r="CM384" s="20" t="s">
        <v>166</v>
      </c>
      <c r="CN384" s="16" t="s">
        <v>166</v>
      </c>
      <c r="CO384" s="16" t="s">
        <v>166</v>
      </c>
      <c r="CP384" s="16" t="s">
        <v>166</v>
      </c>
      <c r="CQ384" s="16" t="s">
        <v>166</v>
      </c>
      <c r="CR384" s="16" t="s">
        <v>166</v>
      </c>
      <c r="CS384" s="16" t="s">
        <v>166</v>
      </c>
      <c r="CT384" s="16" t="s">
        <v>166</v>
      </c>
      <c r="CU384" s="16" t="s">
        <v>166</v>
      </c>
      <c r="CV384" s="16" t="s">
        <v>166</v>
      </c>
      <c r="CW384" s="16" t="s">
        <v>166</v>
      </c>
      <c r="CX384" s="16" t="s">
        <v>166</v>
      </c>
      <c r="CY384" s="16" t="s">
        <v>166</v>
      </c>
      <c r="CZ384" s="16" t="s">
        <v>166</v>
      </c>
      <c r="DA384" s="16" t="s">
        <v>166</v>
      </c>
      <c r="DB384" s="16" t="s">
        <v>166</v>
      </c>
      <c r="DC384" s="16" t="s">
        <v>166</v>
      </c>
      <c r="DD384" s="16" t="s">
        <v>166</v>
      </c>
      <c r="DE384" s="17" t="s">
        <v>166</v>
      </c>
      <c r="DF384" s="22">
        <v>21</v>
      </c>
      <c r="DG384" s="14" t="s">
        <v>309</v>
      </c>
      <c r="DH384" s="14" t="s">
        <v>193</v>
      </c>
      <c r="DI384" s="14" t="s">
        <v>194</v>
      </c>
      <c r="DJ384" s="14" t="s">
        <v>310</v>
      </c>
      <c r="DK384" s="14" t="s">
        <v>310</v>
      </c>
      <c r="DL384" s="21" t="s">
        <v>7622</v>
      </c>
      <c r="DM384" s="14" t="s">
        <v>198</v>
      </c>
      <c r="DN384" s="13" t="s">
        <v>7623</v>
      </c>
      <c r="DO384" s="20">
        <v>2019</v>
      </c>
      <c r="DP384" s="14" t="s">
        <v>166</v>
      </c>
      <c r="DQ384" s="14" t="s">
        <v>166</v>
      </c>
      <c r="DR384" s="18" t="s">
        <v>166</v>
      </c>
      <c r="DS384" s="16" t="s">
        <v>166</v>
      </c>
      <c r="DT384" s="19" t="s">
        <v>166</v>
      </c>
      <c r="DU384" s="14" t="s">
        <v>166</v>
      </c>
      <c r="DV384" s="18" t="s">
        <v>166</v>
      </c>
      <c r="DW384" s="18" t="s">
        <v>166</v>
      </c>
      <c r="DX384" s="16" t="s">
        <v>166</v>
      </c>
      <c r="DY384" s="16" t="s">
        <v>166</v>
      </c>
      <c r="DZ384" s="17" t="s">
        <v>166</v>
      </c>
      <c r="EA384" s="16" t="s">
        <v>166</v>
      </c>
      <c r="EB384" s="16" t="s">
        <v>166</v>
      </c>
      <c r="EC384" s="16" t="s">
        <v>166</v>
      </c>
      <c r="ED384" s="17" t="s">
        <v>166</v>
      </c>
      <c r="EE384" s="17" t="s">
        <v>166</v>
      </c>
      <c r="EF384" s="17" t="s">
        <v>166</v>
      </c>
      <c r="EG384" s="17" t="s">
        <v>166</v>
      </c>
      <c r="EH384" s="16" t="s">
        <v>166</v>
      </c>
      <c r="EI384" s="16" t="s">
        <v>166</v>
      </c>
      <c r="EJ384" s="16" t="s">
        <v>166</v>
      </c>
      <c r="EK384" s="16" t="s">
        <v>166</v>
      </c>
      <c r="EL384" s="16" t="s">
        <v>166</v>
      </c>
      <c r="EM384" s="16" t="s">
        <v>166</v>
      </c>
      <c r="EN384" s="16" t="s">
        <v>166</v>
      </c>
      <c r="EO384" s="16" t="s">
        <v>166</v>
      </c>
      <c r="EP384" s="16" t="s">
        <v>166</v>
      </c>
      <c r="EQ384" s="16" t="s">
        <v>166</v>
      </c>
      <c r="ER384" s="16" t="s">
        <v>166</v>
      </c>
      <c r="ES384" s="16" t="s">
        <v>166</v>
      </c>
      <c r="ET384" s="14" t="s">
        <v>166</v>
      </c>
      <c r="EU384" s="16" t="s">
        <v>166</v>
      </c>
      <c r="EV384" s="16" t="s">
        <v>166</v>
      </c>
      <c r="EW384" s="16" t="s">
        <v>166</v>
      </c>
      <c r="EX384" s="14" t="s">
        <v>190</v>
      </c>
      <c r="EY384" s="14" t="s">
        <v>166</v>
      </c>
      <c r="EZ384" s="16" t="s">
        <v>166</v>
      </c>
      <c r="FA384" s="15" t="s">
        <v>166</v>
      </c>
      <c r="FB384" s="15" t="s">
        <v>166</v>
      </c>
      <c r="FC384" s="15" t="s">
        <v>166</v>
      </c>
      <c r="FD384" s="15" t="s">
        <v>166</v>
      </c>
      <c r="FE384" s="15" t="s">
        <v>166</v>
      </c>
      <c r="FF384" s="15" t="s">
        <v>166</v>
      </c>
      <c r="FG384" s="14" t="s">
        <v>166</v>
      </c>
      <c r="FH384" s="3">
        <f>HYPERLINK("https://my.pitchbook.com?c=165614-77T","View Company Online")</f>
      </c>
    </row>
    <row r="385">
      <c r="A385" s="25" t="s">
        <v>7624</v>
      </c>
      <c r="B385" s="25" t="s">
        <v>7625</v>
      </c>
      <c r="C385" s="25" t="s">
        <v>7626</v>
      </c>
      <c r="D385" s="25" t="s">
        <v>166</v>
      </c>
      <c r="E385" s="34" t="s">
        <v>7627</v>
      </c>
      <c r="F385" s="32">
        <v>2</v>
      </c>
      <c r="G385" s="25" t="s">
        <v>7628</v>
      </c>
      <c r="H385" s="25" t="s">
        <v>166</v>
      </c>
      <c r="I385" s="25" t="s">
        <v>7629</v>
      </c>
      <c r="J385" s="25" t="s">
        <v>7630</v>
      </c>
      <c r="K385" s="25" t="s">
        <v>207</v>
      </c>
      <c r="L385" s="25" t="s">
        <v>208</v>
      </c>
      <c r="M385" s="25" t="s">
        <v>882</v>
      </c>
      <c r="N385" s="25" t="s">
        <v>6571</v>
      </c>
      <c r="O385" s="25" t="s">
        <v>580</v>
      </c>
      <c r="P385" s="25" t="s">
        <v>7631</v>
      </c>
      <c r="Q385" s="25" t="s">
        <v>926</v>
      </c>
      <c r="R385" s="25" t="s">
        <v>177</v>
      </c>
      <c r="S385" s="25" t="s">
        <v>178</v>
      </c>
      <c r="T385" s="25" t="s">
        <v>179</v>
      </c>
      <c r="U385" s="25" t="s">
        <v>7632</v>
      </c>
      <c r="V385" s="25" t="s">
        <v>7633</v>
      </c>
      <c r="W385" s="32" t="s">
        <v>166</v>
      </c>
      <c r="X385" s="25" t="s">
        <v>7634</v>
      </c>
      <c r="Y385" s="25" t="s">
        <v>7635</v>
      </c>
      <c r="Z385" s="25" t="s">
        <v>166</v>
      </c>
      <c r="AA385" s="25" t="s">
        <v>242</v>
      </c>
      <c r="AB385" s="25" t="s">
        <v>243</v>
      </c>
      <c r="AC385" s="25" t="s">
        <v>244</v>
      </c>
      <c r="AD385" s="25" t="s">
        <v>243</v>
      </c>
      <c r="AE385" s="25" t="s">
        <v>243</v>
      </c>
      <c r="AF385" s="25" t="s">
        <v>166</v>
      </c>
      <c r="AG385" s="25" t="s">
        <v>246</v>
      </c>
      <c r="AH385" s="32">
        <v>1</v>
      </c>
      <c r="AI385" s="4">
        <f>HYPERLINK("https://my.pitchbook.com/?d=247448-08T","247448-08T")</f>
      </c>
      <c r="AJ385" s="30">
        <v>45225</v>
      </c>
      <c r="AK385" s="30">
        <v>45236</v>
      </c>
      <c r="AL385" s="29">
        <v>0.01</v>
      </c>
      <c r="AM385" s="25" t="s">
        <v>185</v>
      </c>
      <c r="AN385" s="29">
        <v>34.99</v>
      </c>
      <c r="AO385" s="29">
        <v>35</v>
      </c>
      <c r="AP385" s="25" t="s">
        <v>247</v>
      </c>
      <c r="AQ385" s="32" t="s">
        <v>166</v>
      </c>
      <c r="AR385" s="32" t="s">
        <v>166</v>
      </c>
      <c r="AS385" s="28">
        <v>30.26</v>
      </c>
      <c r="AT385" s="29">
        <v>0.01</v>
      </c>
      <c r="AU385" s="32" t="s">
        <v>186</v>
      </c>
      <c r="AV385" s="32" t="s">
        <v>166</v>
      </c>
      <c r="AW385" s="29">
        <v>1.84</v>
      </c>
      <c r="AX385" s="32" t="s">
        <v>166</v>
      </c>
      <c r="AY385" s="25" t="s">
        <v>217</v>
      </c>
      <c r="AZ385" s="25" t="s">
        <v>217</v>
      </c>
      <c r="BA385" s="25" t="s">
        <v>166</v>
      </c>
      <c r="BB385" s="32" t="s">
        <v>166</v>
      </c>
      <c r="BC385" s="25" t="s">
        <v>179</v>
      </c>
      <c r="BD385" s="25" t="s">
        <v>7636</v>
      </c>
      <c r="BE385" s="25" t="s">
        <v>189</v>
      </c>
      <c r="BF385" s="29">
        <v>0.01</v>
      </c>
      <c r="BG385" s="25" t="s">
        <v>190</v>
      </c>
      <c r="BH385" s="25" t="s">
        <v>166</v>
      </c>
      <c r="BI385" s="25" t="s">
        <v>166</v>
      </c>
      <c r="BJ385" s="29" t="s">
        <v>166</v>
      </c>
      <c r="BK385" s="29" t="s">
        <v>166</v>
      </c>
      <c r="BL385" s="25" t="s">
        <v>191</v>
      </c>
      <c r="BM385" s="25" t="s">
        <v>178</v>
      </c>
      <c r="BN385" s="25" t="s">
        <v>177</v>
      </c>
      <c r="BO385" s="33" t="s">
        <v>166</v>
      </c>
      <c r="BP385" s="25" t="s">
        <v>7637</v>
      </c>
      <c r="BQ385" s="32">
        <v>2</v>
      </c>
      <c r="BR385" s="25" t="s">
        <v>166</v>
      </c>
      <c r="BS385" s="32" t="s">
        <v>166</v>
      </c>
      <c r="BT385" s="25" t="s">
        <v>166</v>
      </c>
      <c r="BU385" s="25" t="s">
        <v>166</v>
      </c>
      <c r="BV385" s="25" t="s">
        <v>166</v>
      </c>
      <c r="BW385" s="25" t="s">
        <v>166</v>
      </c>
      <c r="BX385" s="25" t="s">
        <v>166</v>
      </c>
      <c r="BY385" s="25" t="s">
        <v>166</v>
      </c>
      <c r="BZ385" s="25" t="s">
        <v>7638</v>
      </c>
      <c r="CA385" s="25" t="s">
        <v>166</v>
      </c>
      <c r="CB385" s="25" t="s">
        <v>166</v>
      </c>
      <c r="CC385" s="25" t="s">
        <v>7638</v>
      </c>
      <c r="CD385" s="25" t="s">
        <v>166</v>
      </c>
      <c r="CE385" s="29" t="s">
        <v>166</v>
      </c>
      <c r="CF385" s="27" t="s">
        <v>166</v>
      </c>
      <c r="CG385" s="28" t="s">
        <v>166</v>
      </c>
      <c r="CH385" s="27" t="s">
        <v>166</v>
      </c>
      <c r="CI385" s="27" t="s">
        <v>166</v>
      </c>
      <c r="CJ385" s="27" t="s">
        <v>166</v>
      </c>
      <c r="CK385" s="27" t="s">
        <v>166</v>
      </c>
      <c r="CL385" s="27" t="s">
        <v>166</v>
      </c>
      <c r="CM385" s="31" t="s">
        <v>166</v>
      </c>
      <c r="CN385" s="27" t="s">
        <v>166</v>
      </c>
      <c r="CO385" s="27" t="s">
        <v>166</v>
      </c>
      <c r="CP385" s="27" t="s">
        <v>166</v>
      </c>
      <c r="CQ385" s="27" t="s">
        <v>166</v>
      </c>
      <c r="CR385" s="27" t="s">
        <v>166</v>
      </c>
      <c r="CS385" s="27" t="s">
        <v>166</v>
      </c>
      <c r="CT385" s="27" t="s">
        <v>166</v>
      </c>
      <c r="CU385" s="27" t="s">
        <v>166</v>
      </c>
      <c r="CV385" s="27" t="s">
        <v>166</v>
      </c>
      <c r="CW385" s="27" t="s">
        <v>166</v>
      </c>
      <c r="CX385" s="27" t="s">
        <v>166</v>
      </c>
      <c r="CY385" s="27" t="s">
        <v>166</v>
      </c>
      <c r="CZ385" s="27" t="s">
        <v>166</v>
      </c>
      <c r="DA385" s="27" t="s">
        <v>166</v>
      </c>
      <c r="DB385" s="27" t="s">
        <v>166</v>
      </c>
      <c r="DC385" s="27" t="s">
        <v>166</v>
      </c>
      <c r="DD385" s="27" t="s">
        <v>166</v>
      </c>
      <c r="DE385" s="28" t="s">
        <v>166</v>
      </c>
      <c r="DF385" s="33">
        <v>10</v>
      </c>
      <c r="DG385" s="25" t="s">
        <v>4289</v>
      </c>
      <c r="DH385" s="25" t="s">
        <v>193</v>
      </c>
      <c r="DI385" s="25" t="s">
        <v>194</v>
      </c>
      <c r="DJ385" s="25" t="s">
        <v>4290</v>
      </c>
      <c r="DK385" s="25" t="s">
        <v>257</v>
      </c>
      <c r="DL385" s="32" t="s">
        <v>7639</v>
      </c>
      <c r="DM385" s="25" t="s">
        <v>198</v>
      </c>
      <c r="DN385" s="24" t="s">
        <v>7640</v>
      </c>
      <c r="DO385" s="31">
        <v>2023</v>
      </c>
      <c r="DP385" s="25" t="s">
        <v>166</v>
      </c>
      <c r="DQ385" s="25" t="s">
        <v>166</v>
      </c>
      <c r="DR385" s="29" t="s">
        <v>166</v>
      </c>
      <c r="DS385" s="27" t="s">
        <v>166</v>
      </c>
      <c r="DT385" s="30" t="s">
        <v>166</v>
      </c>
      <c r="DU385" s="25" t="s">
        <v>166</v>
      </c>
      <c r="DV385" s="29" t="s">
        <v>166</v>
      </c>
      <c r="DW385" s="29" t="s">
        <v>166</v>
      </c>
      <c r="DX385" s="27" t="s">
        <v>166</v>
      </c>
      <c r="DY385" s="27" t="s">
        <v>166</v>
      </c>
      <c r="DZ385" s="28" t="s">
        <v>166</v>
      </c>
      <c r="EA385" s="27" t="s">
        <v>166</v>
      </c>
      <c r="EB385" s="27" t="s">
        <v>166</v>
      </c>
      <c r="EC385" s="27" t="s">
        <v>166</v>
      </c>
      <c r="ED385" s="28" t="s">
        <v>166</v>
      </c>
      <c r="EE385" s="28" t="s">
        <v>166</v>
      </c>
      <c r="EF385" s="28" t="s">
        <v>166</v>
      </c>
      <c r="EG385" s="28" t="s">
        <v>166</v>
      </c>
      <c r="EH385" s="27" t="s">
        <v>166</v>
      </c>
      <c r="EI385" s="27" t="s">
        <v>166</v>
      </c>
      <c r="EJ385" s="27" t="s">
        <v>166</v>
      </c>
      <c r="EK385" s="27" t="s">
        <v>166</v>
      </c>
      <c r="EL385" s="27" t="s">
        <v>166</v>
      </c>
      <c r="EM385" s="27" t="s">
        <v>166</v>
      </c>
      <c r="EN385" s="27" t="s">
        <v>166</v>
      </c>
      <c r="EO385" s="27" t="s">
        <v>166</v>
      </c>
      <c r="EP385" s="27" t="s">
        <v>166</v>
      </c>
      <c r="EQ385" s="27" t="s">
        <v>166</v>
      </c>
      <c r="ER385" s="27" t="s">
        <v>166</v>
      </c>
      <c r="ES385" s="27" t="s">
        <v>166</v>
      </c>
      <c r="ET385" s="25" t="s">
        <v>166</v>
      </c>
      <c r="EU385" s="27" t="s">
        <v>166</v>
      </c>
      <c r="EV385" s="27" t="s">
        <v>166</v>
      </c>
      <c r="EW385" s="27" t="s">
        <v>166</v>
      </c>
      <c r="EX385" s="25" t="s">
        <v>190</v>
      </c>
      <c r="EY385" s="25" t="s">
        <v>166</v>
      </c>
      <c r="EZ385" s="27" t="s">
        <v>166</v>
      </c>
      <c r="FA385" s="26" t="s">
        <v>166</v>
      </c>
      <c r="FB385" s="26" t="s">
        <v>166</v>
      </c>
      <c r="FC385" s="26" t="s">
        <v>166</v>
      </c>
      <c r="FD385" s="26" t="s">
        <v>166</v>
      </c>
      <c r="FE385" s="26" t="s">
        <v>166</v>
      </c>
      <c r="FF385" s="26" t="s">
        <v>166</v>
      </c>
      <c r="FG385" s="25" t="s">
        <v>166</v>
      </c>
      <c r="FH385" s="4">
        <f>HYPERLINK("https://my.pitchbook.com?c=247448-08T","View Company Online")</f>
      </c>
    </row>
    <row r="386">
      <c r="A386" s="14" t="s">
        <v>7641</v>
      </c>
      <c r="B386" s="14" t="s">
        <v>7642</v>
      </c>
      <c r="C386" s="14" t="s">
        <v>7643</v>
      </c>
      <c r="D386" s="14" t="s">
        <v>166</v>
      </c>
      <c r="E386" s="23" t="s">
        <v>7644</v>
      </c>
      <c r="F386" s="21">
        <v>2</v>
      </c>
      <c r="G386" s="14" t="s">
        <v>7645</v>
      </c>
      <c r="H386" s="14" t="s">
        <v>166</v>
      </c>
      <c r="I386" s="14" t="s">
        <v>7646</v>
      </c>
      <c r="J386" s="14" t="s">
        <v>7647</v>
      </c>
      <c r="K386" s="14" t="s">
        <v>207</v>
      </c>
      <c r="L386" s="14" t="s">
        <v>208</v>
      </c>
      <c r="M386" s="14" t="s">
        <v>296</v>
      </c>
      <c r="N386" s="14" t="s">
        <v>1052</v>
      </c>
      <c r="O386" s="14" t="s">
        <v>4042</v>
      </c>
      <c r="P386" s="14" t="s">
        <v>7648</v>
      </c>
      <c r="Q386" s="14" t="s">
        <v>166</v>
      </c>
      <c r="R386" s="14" t="s">
        <v>177</v>
      </c>
      <c r="S386" s="14" t="s">
        <v>178</v>
      </c>
      <c r="T386" s="14" t="s">
        <v>179</v>
      </c>
      <c r="U386" s="14" t="s">
        <v>7649</v>
      </c>
      <c r="V386" s="14" t="s">
        <v>7650</v>
      </c>
      <c r="W386" s="21" t="s">
        <v>7651</v>
      </c>
      <c r="X386" s="14" t="s">
        <v>7652</v>
      </c>
      <c r="Y386" s="14" t="s">
        <v>7653</v>
      </c>
      <c r="Z386" s="14" t="s">
        <v>166</v>
      </c>
      <c r="AA386" s="14" t="s">
        <v>242</v>
      </c>
      <c r="AB386" s="14" t="s">
        <v>243</v>
      </c>
      <c r="AC386" s="14" t="s">
        <v>244</v>
      </c>
      <c r="AD386" s="14" t="s">
        <v>243</v>
      </c>
      <c r="AE386" s="14" t="s">
        <v>243</v>
      </c>
      <c r="AF386" s="14" t="s">
        <v>166</v>
      </c>
      <c r="AG386" s="14" t="s">
        <v>246</v>
      </c>
      <c r="AH386" s="21">
        <v>1</v>
      </c>
      <c r="AI386" s="3">
        <f>HYPERLINK("https://my.pitchbook.com/?d=174460-60T","174460-60T")</f>
      </c>
      <c r="AJ386" s="19" t="s">
        <v>166</v>
      </c>
      <c r="AK386" s="19">
        <v>44348</v>
      </c>
      <c r="AL386" s="18">
        <v>0.5</v>
      </c>
      <c r="AM386" s="14" t="s">
        <v>185</v>
      </c>
      <c r="AN386" s="18">
        <v>2.5</v>
      </c>
      <c r="AO386" s="18">
        <v>3</v>
      </c>
      <c r="AP386" s="14" t="s">
        <v>185</v>
      </c>
      <c r="AQ386" s="21" t="s">
        <v>166</v>
      </c>
      <c r="AR386" s="21" t="s">
        <v>166</v>
      </c>
      <c r="AS386" s="17">
        <v>16.67</v>
      </c>
      <c r="AT386" s="18">
        <v>0.5</v>
      </c>
      <c r="AU386" s="21" t="s">
        <v>186</v>
      </c>
      <c r="AV386" s="21" t="s">
        <v>166</v>
      </c>
      <c r="AW386" s="18">
        <v>4.04</v>
      </c>
      <c r="AX386" s="21" t="s">
        <v>166</v>
      </c>
      <c r="AY386" s="14" t="s">
        <v>217</v>
      </c>
      <c r="AZ386" s="14" t="s">
        <v>217</v>
      </c>
      <c r="BA386" s="14" t="s">
        <v>166</v>
      </c>
      <c r="BB386" s="21" t="s">
        <v>166</v>
      </c>
      <c r="BC386" s="14" t="s">
        <v>179</v>
      </c>
      <c r="BD386" s="14" t="s">
        <v>7654</v>
      </c>
      <c r="BE386" s="14" t="s">
        <v>189</v>
      </c>
      <c r="BF386" s="18">
        <v>0.5</v>
      </c>
      <c r="BG386" s="14" t="s">
        <v>190</v>
      </c>
      <c r="BH386" s="14" t="s">
        <v>166</v>
      </c>
      <c r="BI386" s="14" t="s">
        <v>166</v>
      </c>
      <c r="BJ386" s="18" t="s">
        <v>166</v>
      </c>
      <c r="BK386" s="18" t="s">
        <v>166</v>
      </c>
      <c r="BL386" s="14" t="s">
        <v>191</v>
      </c>
      <c r="BM386" s="14" t="s">
        <v>358</v>
      </c>
      <c r="BN386" s="14" t="s">
        <v>177</v>
      </c>
      <c r="BO386" s="22" t="s">
        <v>166</v>
      </c>
      <c r="BP386" s="14" t="s">
        <v>7644</v>
      </c>
      <c r="BQ386" s="21">
        <v>2</v>
      </c>
      <c r="BR386" s="14" t="s">
        <v>166</v>
      </c>
      <c r="BS386" s="21" t="s">
        <v>166</v>
      </c>
      <c r="BT386" s="14" t="s">
        <v>166</v>
      </c>
      <c r="BU386" s="14" t="s">
        <v>166</v>
      </c>
      <c r="BV386" s="14" t="s">
        <v>7655</v>
      </c>
      <c r="BW386" s="14" t="s">
        <v>166</v>
      </c>
      <c r="BX386" s="14" t="s">
        <v>166</v>
      </c>
      <c r="BY386" s="14" t="s">
        <v>166</v>
      </c>
      <c r="BZ386" s="14" t="s">
        <v>166</v>
      </c>
      <c r="CA386" s="14" t="s">
        <v>166</v>
      </c>
      <c r="CB386" s="14" t="s">
        <v>166</v>
      </c>
      <c r="CC386" s="14" t="s">
        <v>166</v>
      </c>
      <c r="CD386" s="14" t="s">
        <v>166</v>
      </c>
      <c r="CE386" s="18" t="s">
        <v>166</v>
      </c>
      <c r="CF386" s="16" t="s">
        <v>166</v>
      </c>
      <c r="CG386" s="17" t="s">
        <v>166</v>
      </c>
      <c r="CH386" s="16" t="s">
        <v>166</v>
      </c>
      <c r="CI386" s="16" t="s">
        <v>166</v>
      </c>
      <c r="CJ386" s="16" t="s">
        <v>166</v>
      </c>
      <c r="CK386" s="16" t="s">
        <v>166</v>
      </c>
      <c r="CL386" s="16" t="s">
        <v>166</v>
      </c>
      <c r="CM386" s="20" t="s">
        <v>166</v>
      </c>
      <c r="CN386" s="16" t="s">
        <v>166</v>
      </c>
      <c r="CO386" s="16" t="s">
        <v>166</v>
      </c>
      <c r="CP386" s="16" t="s">
        <v>166</v>
      </c>
      <c r="CQ386" s="16" t="s">
        <v>166</v>
      </c>
      <c r="CR386" s="16" t="s">
        <v>166</v>
      </c>
      <c r="CS386" s="16" t="s">
        <v>166</v>
      </c>
      <c r="CT386" s="16" t="s">
        <v>166</v>
      </c>
      <c r="CU386" s="16" t="s">
        <v>166</v>
      </c>
      <c r="CV386" s="16" t="s">
        <v>166</v>
      </c>
      <c r="CW386" s="16" t="s">
        <v>166</v>
      </c>
      <c r="CX386" s="16" t="s">
        <v>166</v>
      </c>
      <c r="CY386" s="16" t="s">
        <v>166</v>
      </c>
      <c r="CZ386" s="16" t="s">
        <v>166</v>
      </c>
      <c r="DA386" s="16" t="s">
        <v>166</v>
      </c>
      <c r="DB386" s="16" t="s">
        <v>166</v>
      </c>
      <c r="DC386" s="16" t="s">
        <v>166</v>
      </c>
      <c r="DD386" s="16" t="s">
        <v>166</v>
      </c>
      <c r="DE386" s="17" t="s">
        <v>166</v>
      </c>
      <c r="DF386" s="22">
        <v>10</v>
      </c>
      <c r="DG386" s="14" t="s">
        <v>309</v>
      </c>
      <c r="DH386" s="14" t="s">
        <v>193</v>
      </c>
      <c r="DI386" s="14" t="s">
        <v>194</v>
      </c>
      <c r="DJ386" s="14" t="s">
        <v>310</v>
      </c>
      <c r="DK386" s="14" t="s">
        <v>310</v>
      </c>
      <c r="DL386" s="21" t="s">
        <v>166</v>
      </c>
      <c r="DM386" s="14" t="s">
        <v>198</v>
      </c>
      <c r="DN386" s="13" t="s">
        <v>7656</v>
      </c>
      <c r="DO386" s="20">
        <v>2020</v>
      </c>
      <c r="DP386" s="14" t="s">
        <v>166</v>
      </c>
      <c r="DQ386" s="14" t="s">
        <v>166</v>
      </c>
      <c r="DR386" s="18" t="s">
        <v>166</v>
      </c>
      <c r="DS386" s="16" t="s">
        <v>166</v>
      </c>
      <c r="DT386" s="19" t="s">
        <v>166</v>
      </c>
      <c r="DU386" s="14" t="s">
        <v>166</v>
      </c>
      <c r="DV386" s="18" t="s">
        <v>166</v>
      </c>
      <c r="DW386" s="18" t="s">
        <v>166</v>
      </c>
      <c r="DX386" s="16" t="s">
        <v>166</v>
      </c>
      <c r="DY386" s="16" t="s">
        <v>166</v>
      </c>
      <c r="DZ386" s="17" t="s">
        <v>166</v>
      </c>
      <c r="EA386" s="16" t="s">
        <v>166</v>
      </c>
      <c r="EB386" s="16" t="s">
        <v>166</v>
      </c>
      <c r="EC386" s="16" t="s">
        <v>166</v>
      </c>
      <c r="ED386" s="17" t="s">
        <v>166</v>
      </c>
      <c r="EE386" s="17" t="s">
        <v>166</v>
      </c>
      <c r="EF386" s="17" t="s">
        <v>166</v>
      </c>
      <c r="EG386" s="17" t="s">
        <v>166</v>
      </c>
      <c r="EH386" s="16" t="s">
        <v>166</v>
      </c>
      <c r="EI386" s="16" t="s">
        <v>166</v>
      </c>
      <c r="EJ386" s="16" t="s">
        <v>166</v>
      </c>
      <c r="EK386" s="16" t="s">
        <v>166</v>
      </c>
      <c r="EL386" s="16" t="s">
        <v>166</v>
      </c>
      <c r="EM386" s="16" t="s">
        <v>166</v>
      </c>
      <c r="EN386" s="16" t="s">
        <v>166</v>
      </c>
      <c r="EO386" s="16" t="s">
        <v>166</v>
      </c>
      <c r="EP386" s="16" t="s">
        <v>166</v>
      </c>
      <c r="EQ386" s="16" t="s">
        <v>166</v>
      </c>
      <c r="ER386" s="16" t="s">
        <v>166</v>
      </c>
      <c r="ES386" s="16" t="s">
        <v>166</v>
      </c>
      <c r="ET386" s="14" t="s">
        <v>166</v>
      </c>
      <c r="EU386" s="16" t="s">
        <v>166</v>
      </c>
      <c r="EV386" s="16" t="s">
        <v>166</v>
      </c>
      <c r="EW386" s="16" t="s">
        <v>166</v>
      </c>
      <c r="EX386" s="14" t="s">
        <v>190</v>
      </c>
      <c r="EY386" s="14" t="s">
        <v>166</v>
      </c>
      <c r="EZ386" s="16" t="s">
        <v>166</v>
      </c>
      <c r="FA386" s="15" t="s">
        <v>166</v>
      </c>
      <c r="FB386" s="15" t="s">
        <v>166</v>
      </c>
      <c r="FC386" s="15" t="s">
        <v>166</v>
      </c>
      <c r="FD386" s="15" t="s">
        <v>166</v>
      </c>
      <c r="FE386" s="15" t="s">
        <v>166</v>
      </c>
      <c r="FF386" s="15" t="s">
        <v>166</v>
      </c>
      <c r="FG386" s="14" t="s">
        <v>166</v>
      </c>
      <c r="FH386" s="3">
        <f>HYPERLINK("https://my.pitchbook.com?c=174460-60T","View Company Online")</f>
      </c>
    </row>
    <row r="387">
      <c r="A387" s="25" t="s">
        <v>7657</v>
      </c>
      <c r="B387" s="25" t="s">
        <v>7658</v>
      </c>
      <c r="C387" s="25" t="s">
        <v>7659</v>
      </c>
      <c r="D387" s="25" t="s">
        <v>166</v>
      </c>
      <c r="E387" s="34" t="s">
        <v>7660</v>
      </c>
      <c r="F387" s="32">
        <v>6</v>
      </c>
      <c r="G387" s="25" t="s">
        <v>7661</v>
      </c>
      <c r="H387" s="25" t="s">
        <v>166</v>
      </c>
      <c r="I387" s="25" t="s">
        <v>7662</v>
      </c>
      <c r="J387" s="25" t="s">
        <v>7663</v>
      </c>
      <c r="K387" s="25" t="s">
        <v>207</v>
      </c>
      <c r="L387" s="25" t="s">
        <v>208</v>
      </c>
      <c r="M387" s="25" t="s">
        <v>839</v>
      </c>
      <c r="N387" s="25" t="s">
        <v>7664</v>
      </c>
      <c r="O387" s="25" t="s">
        <v>7665</v>
      </c>
      <c r="P387" s="25" t="s">
        <v>7666</v>
      </c>
      <c r="Q387" s="25" t="s">
        <v>166</v>
      </c>
      <c r="R387" s="25" t="s">
        <v>177</v>
      </c>
      <c r="S387" s="25" t="s">
        <v>178</v>
      </c>
      <c r="T387" s="25" t="s">
        <v>179</v>
      </c>
      <c r="U387" s="25" t="s">
        <v>7667</v>
      </c>
      <c r="V387" s="25" t="s">
        <v>7668</v>
      </c>
      <c r="W387" s="32" t="s">
        <v>166</v>
      </c>
      <c r="X387" s="25" t="s">
        <v>7669</v>
      </c>
      <c r="Y387" s="25" t="s">
        <v>7670</v>
      </c>
      <c r="Z387" s="25" t="s">
        <v>166</v>
      </c>
      <c r="AA387" s="25" t="s">
        <v>242</v>
      </c>
      <c r="AB387" s="25" t="s">
        <v>243</v>
      </c>
      <c r="AC387" s="25" t="s">
        <v>244</v>
      </c>
      <c r="AD387" s="25" t="s">
        <v>243</v>
      </c>
      <c r="AE387" s="25" t="s">
        <v>243</v>
      </c>
      <c r="AF387" s="25" t="s">
        <v>245</v>
      </c>
      <c r="AG387" s="25" t="s">
        <v>246</v>
      </c>
      <c r="AH387" s="32">
        <v>4</v>
      </c>
      <c r="AI387" s="4">
        <f>HYPERLINK("https://my.pitchbook.com/?d=188439-76T","188439-76T")</f>
      </c>
      <c r="AJ387" s="30">
        <v>44601</v>
      </c>
      <c r="AK387" s="30">
        <v>44662</v>
      </c>
      <c r="AL387" s="29">
        <v>2.3</v>
      </c>
      <c r="AM387" s="25" t="s">
        <v>185</v>
      </c>
      <c r="AN387" s="29">
        <v>5</v>
      </c>
      <c r="AO387" s="29">
        <v>7.3</v>
      </c>
      <c r="AP387" s="25" t="s">
        <v>185</v>
      </c>
      <c r="AQ387" s="32" t="s">
        <v>166</v>
      </c>
      <c r="AR387" s="32" t="s">
        <v>166</v>
      </c>
      <c r="AS387" s="28">
        <v>31.5</v>
      </c>
      <c r="AT387" s="29">
        <v>2.34</v>
      </c>
      <c r="AU387" s="32" t="s">
        <v>186</v>
      </c>
      <c r="AV387" s="32" t="s">
        <v>166</v>
      </c>
      <c r="AW387" s="29">
        <v>0.75</v>
      </c>
      <c r="AX387" s="32" t="s">
        <v>166</v>
      </c>
      <c r="AY387" s="25" t="s">
        <v>217</v>
      </c>
      <c r="AZ387" s="25" t="s">
        <v>217</v>
      </c>
      <c r="BA387" s="25" t="s">
        <v>166</v>
      </c>
      <c r="BB387" s="32" t="s">
        <v>166</v>
      </c>
      <c r="BC387" s="25" t="s">
        <v>179</v>
      </c>
      <c r="BD387" s="25" t="s">
        <v>7671</v>
      </c>
      <c r="BE387" s="25" t="s">
        <v>189</v>
      </c>
      <c r="BF387" s="29">
        <v>2.3</v>
      </c>
      <c r="BG387" s="25" t="s">
        <v>190</v>
      </c>
      <c r="BH387" s="25" t="s">
        <v>166</v>
      </c>
      <c r="BI387" s="25" t="s">
        <v>166</v>
      </c>
      <c r="BJ387" s="29" t="s">
        <v>166</v>
      </c>
      <c r="BK387" s="29" t="s">
        <v>166</v>
      </c>
      <c r="BL387" s="25" t="s">
        <v>191</v>
      </c>
      <c r="BM387" s="25" t="s">
        <v>178</v>
      </c>
      <c r="BN387" s="25" t="s">
        <v>177</v>
      </c>
      <c r="BO387" s="33" t="s">
        <v>166</v>
      </c>
      <c r="BP387" s="25" t="s">
        <v>7672</v>
      </c>
      <c r="BQ387" s="32">
        <v>6</v>
      </c>
      <c r="BR387" s="25" t="s">
        <v>166</v>
      </c>
      <c r="BS387" s="32" t="s">
        <v>166</v>
      </c>
      <c r="BT387" s="25" t="s">
        <v>7673</v>
      </c>
      <c r="BU387" s="25" t="s">
        <v>166</v>
      </c>
      <c r="BV387" s="25" t="s">
        <v>7674</v>
      </c>
      <c r="BW387" s="25" t="s">
        <v>166</v>
      </c>
      <c r="BX387" s="25" t="s">
        <v>166</v>
      </c>
      <c r="BY387" s="25" t="s">
        <v>166</v>
      </c>
      <c r="BZ387" s="25" t="s">
        <v>166</v>
      </c>
      <c r="CA387" s="25" t="s">
        <v>166</v>
      </c>
      <c r="CB387" s="25" t="s">
        <v>166</v>
      </c>
      <c r="CC387" s="25" t="s">
        <v>166</v>
      </c>
      <c r="CD387" s="25" t="s">
        <v>166</v>
      </c>
      <c r="CE387" s="29" t="s">
        <v>166</v>
      </c>
      <c r="CF387" s="27" t="s">
        <v>166</v>
      </c>
      <c r="CG387" s="28" t="s">
        <v>166</v>
      </c>
      <c r="CH387" s="27" t="s">
        <v>166</v>
      </c>
      <c r="CI387" s="27" t="s">
        <v>166</v>
      </c>
      <c r="CJ387" s="27" t="s">
        <v>166</v>
      </c>
      <c r="CK387" s="27" t="s">
        <v>166</v>
      </c>
      <c r="CL387" s="27" t="s">
        <v>166</v>
      </c>
      <c r="CM387" s="31" t="s">
        <v>166</v>
      </c>
      <c r="CN387" s="27" t="s">
        <v>166</v>
      </c>
      <c r="CO387" s="27" t="s">
        <v>166</v>
      </c>
      <c r="CP387" s="27" t="s">
        <v>166</v>
      </c>
      <c r="CQ387" s="27" t="s">
        <v>166</v>
      </c>
      <c r="CR387" s="27" t="s">
        <v>166</v>
      </c>
      <c r="CS387" s="27" t="s">
        <v>166</v>
      </c>
      <c r="CT387" s="27" t="s">
        <v>166</v>
      </c>
      <c r="CU387" s="27" t="s">
        <v>166</v>
      </c>
      <c r="CV387" s="27" t="s">
        <v>166</v>
      </c>
      <c r="CW387" s="27" t="s">
        <v>166</v>
      </c>
      <c r="CX387" s="27" t="s">
        <v>166</v>
      </c>
      <c r="CY387" s="27" t="s">
        <v>166</v>
      </c>
      <c r="CZ387" s="27" t="s">
        <v>166</v>
      </c>
      <c r="DA387" s="27" t="s">
        <v>166</v>
      </c>
      <c r="DB387" s="27" t="s">
        <v>166</v>
      </c>
      <c r="DC387" s="27" t="s">
        <v>166</v>
      </c>
      <c r="DD387" s="27" t="s">
        <v>166</v>
      </c>
      <c r="DE387" s="28" t="s">
        <v>166</v>
      </c>
      <c r="DF387" s="33">
        <v>12</v>
      </c>
      <c r="DG387" s="25" t="s">
        <v>309</v>
      </c>
      <c r="DH387" s="25" t="s">
        <v>193</v>
      </c>
      <c r="DI387" s="25" t="s">
        <v>194</v>
      </c>
      <c r="DJ387" s="25" t="s">
        <v>310</v>
      </c>
      <c r="DK387" s="25" t="s">
        <v>310</v>
      </c>
      <c r="DL387" s="32" t="s">
        <v>6722</v>
      </c>
      <c r="DM387" s="25" t="s">
        <v>198</v>
      </c>
      <c r="DN387" s="24" t="s">
        <v>7675</v>
      </c>
      <c r="DO387" s="31">
        <v>2019</v>
      </c>
      <c r="DP387" s="25" t="s">
        <v>166</v>
      </c>
      <c r="DQ387" s="25" t="s">
        <v>166</v>
      </c>
      <c r="DR387" s="29" t="s">
        <v>166</v>
      </c>
      <c r="DS387" s="27" t="s">
        <v>166</v>
      </c>
      <c r="DT387" s="30" t="s">
        <v>166</v>
      </c>
      <c r="DU387" s="25" t="s">
        <v>166</v>
      </c>
      <c r="DV387" s="29" t="s">
        <v>166</v>
      </c>
      <c r="DW387" s="29" t="s">
        <v>166</v>
      </c>
      <c r="DX387" s="27" t="s">
        <v>166</v>
      </c>
      <c r="DY387" s="27" t="s">
        <v>166</v>
      </c>
      <c r="DZ387" s="28" t="s">
        <v>166</v>
      </c>
      <c r="EA387" s="27" t="s">
        <v>166</v>
      </c>
      <c r="EB387" s="27" t="s">
        <v>166</v>
      </c>
      <c r="EC387" s="27" t="s">
        <v>166</v>
      </c>
      <c r="ED387" s="28" t="s">
        <v>166</v>
      </c>
      <c r="EE387" s="28" t="s">
        <v>166</v>
      </c>
      <c r="EF387" s="28" t="s">
        <v>166</v>
      </c>
      <c r="EG387" s="28" t="s">
        <v>166</v>
      </c>
      <c r="EH387" s="27" t="s">
        <v>166</v>
      </c>
      <c r="EI387" s="27" t="s">
        <v>166</v>
      </c>
      <c r="EJ387" s="27" t="s">
        <v>166</v>
      </c>
      <c r="EK387" s="27" t="s">
        <v>166</v>
      </c>
      <c r="EL387" s="27" t="s">
        <v>166</v>
      </c>
      <c r="EM387" s="27" t="s">
        <v>166</v>
      </c>
      <c r="EN387" s="27" t="s">
        <v>166</v>
      </c>
      <c r="EO387" s="27" t="s">
        <v>166</v>
      </c>
      <c r="EP387" s="27" t="s">
        <v>166</v>
      </c>
      <c r="EQ387" s="27" t="s">
        <v>166</v>
      </c>
      <c r="ER387" s="27" t="s">
        <v>166</v>
      </c>
      <c r="ES387" s="27" t="s">
        <v>166</v>
      </c>
      <c r="ET387" s="25" t="s">
        <v>166</v>
      </c>
      <c r="EU387" s="27" t="s">
        <v>166</v>
      </c>
      <c r="EV387" s="27" t="s">
        <v>166</v>
      </c>
      <c r="EW387" s="27" t="s">
        <v>166</v>
      </c>
      <c r="EX387" s="25" t="s">
        <v>190</v>
      </c>
      <c r="EY387" s="25" t="s">
        <v>166</v>
      </c>
      <c r="EZ387" s="27" t="s">
        <v>166</v>
      </c>
      <c r="FA387" s="26" t="s">
        <v>166</v>
      </c>
      <c r="FB387" s="26" t="s">
        <v>166</v>
      </c>
      <c r="FC387" s="26" t="s">
        <v>166</v>
      </c>
      <c r="FD387" s="26" t="s">
        <v>166</v>
      </c>
      <c r="FE387" s="26" t="s">
        <v>166</v>
      </c>
      <c r="FF387" s="26" t="s">
        <v>166</v>
      </c>
      <c r="FG387" s="25" t="s">
        <v>166</v>
      </c>
      <c r="FH387" s="4">
        <f>HYPERLINK("https://my.pitchbook.com?c=188439-76T","View Company Online")</f>
      </c>
    </row>
    <row r="388">
      <c r="A388" s="14" t="s">
        <v>7676</v>
      </c>
      <c r="B388" s="14" t="s">
        <v>7677</v>
      </c>
      <c r="C388" s="14" t="s">
        <v>7678</v>
      </c>
      <c r="D388" s="14" t="s">
        <v>166</v>
      </c>
      <c r="E388" s="23" t="s">
        <v>7679</v>
      </c>
      <c r="F388" s="21">
        <v>7</v>
      </c>
      <c r="G388" s="14" t="s">
        <v>7680</v>
      </c>
      <c r="H388" s="14" t="s">
        <v>166</v>
      </c>
      <c r="I388" s="14" t="s">
        <v>7681</v>
      </c>
      <c r="J388" s="14" t="s">
        <v>7682</v>
      </c>
      <c r="K388" s="14" t="s">
        <v>1500</v>
      </c>
      <c r="L388" s="14" t="s">
        <v>2334</v>
      </c>
      <c r="M388" s="14" t="s">
        <v>7683</v>
      </c>
      <c r="N388" s="14" t="s">
        <v>7684</v>
      </c>
      <c r="O388" s="14" t="s">
        <v>7685</v>
      </c>
      <c r="P388" s="14" t="s">
        <v>7686</v>
      </c>
      <c r="Q388" s="14" t="s">
        <v>166</v>
      </c>
      <c r="R388" s="14" t="s">
        <v>177</v>
      </c>
      <c r="S388" s="14" t="s">
        <v>178</v>
      </c>
      <c r="T388" s="14" t="s">
        <v>179</v>
      </c>
      <c r="U388" s="14" t="s">
        <v>7687</v>
      </c>
      <c r="V388" s="14" t="s">
        <v>7688</v>
      </c>
      <c r="W388" s="21" t="s">
        <v>7689</v>
      </c>
      <c r="X388" s="14" t="s">
        <v>7690</v>
      </c>
      <c r="Y388" s="14" t="s">
        <v>7691</v>
      </c>
      <c r="Z388" s="14" t="s">
        <v>166</v>
      </c>
      <c r="AA388" s="14" t="s">
        <v>166</v>
      </c>
      <c r="AB388" s="14" t="s">
        <v>166</v>
      </c>
      <c r="AC388" s="14" t="s">
        <v>166</v>
      </c>
      <c r="AD388" s="14" t="s">
        <v>166</v>
      </c>
      <c r="AE388" s="14" t="s">
        <v>166</v>
      </c>
      <c r="AF388" s="14" t="s">
        <v>166</v>
      </c>
      <c r="AG388" s="14" t="s">
        <v>166</v>
      </c>
      <c r="AH388" s="21">
        <v>1</v>
      </c>
      <c r="AI388" s="3">
        <f>HYPERLINK("https://my.pitchbook.com/?d=178532-29T","178532-29T")</f>
      </c>
      <c r="AJ388" s="19" t="s">
        <v>166</v>
      </c>
      <c r="AK388" s="19">
        <v>44652</v>
      </c>
      <c r="AL388" s="18">
        <v>0.01</v>
      </c>
      <c r="AM388" s="14" t="s">
        <v>185</v>
      </c>
      <c r="AN388" s="18" t="s">
        <v>166</v>
      </c>
      <c r="AO388" s="18" t="s">
        <v>166</v>
      </c>
      <c r="AP388" s="14" t="s">
        <v>166</v>
      </c>
      <c r="AQ388" s="21" t="s">
        <v>166</v>
      </c>
      <c r="AR388" s="21" t="s">
        <v>166</v>
      </c>
      <c r="AS388" s="17" t="s">
        <v>166</v>
      </c>
      <c r="AT388" s="18">
        <v>0.01</v>
      </c>
      <c r="AU388" s="21" t="s">
        <v>186</v>
      </c>
      <c r="AV388" s="21" t="s">
        <v>166</v>
      </c>
      <c r="AW388" s="18" t="s">
        <v>166</v>
      </c>
      <c r="AX388" s="21" t="s">
        <v>166</v>
      </c>
      <c r="AY388" s="14" t="s">
        <v>217</v>
      </c>
      <c r="AZ388" s="14" t="s">
        <v>217</v>
      </c>
      <c r="BA388" s="14" t="s">
        <v>166</v>
      </c>
      <c r="BB388" s="21" t="s">
        <v>166</v>
      </c>
      <c r="BC388" s="14" t="s">
        <v>179</v>
      </c>
      <c r="BD388" s="14" t="s">
        <v>7682</v>
      </c>
      <c r="BE388" s="14" t="s">
        <v>189</v>
      </c>
      <c r="BF388" s="18">
        <v>0.01</v>
      </c>
      <c r="BG388" s="14" t="s">
        <v>190</v>
      </c>
      <c r="BH388" s="14" t="s">
        <v>166</v>
      </c>
      <c r="BI388" s="14" t="s">
        <v>166</v>
      </c>
      <c r="BJ388" s="18" t="s">
        <v>166</v>
      </c>
      <c r="BK388" s="18" t="s">
        <v>166</v>
      </c>
      <c r="BL388" s="14" t="s">
        <v>191</v>
      </c>
      <c r="BM388" s="14" t="s">
        <v>358</v>
      </c>
      <c r="BN388" s="14" t="s">
        <v>177</v>
      </c>
      <c r="BO388" s="22" t="s">
        <v>166</v>
      </c>
      <c r="BP388" s="14" t="s">
        <v>7679</v>
      </c>
      <c r="BQ388" s="21">
        <v>7</v>
      </c>
      <c r="BR388" s="14" t="s">
        <v>166</v>
      </c>
      <c r="BS388" s="21" t="s">
        <v>166</v>
      </c>
      <c r="BT388" s="14" t="s">
        <v>166</v>
      </c>
      <c r="BU388" s="14" t="s">
        <v>166</v>
      </c>
      <c r="BV388" s="14" t="s">
        <v>166</v>
      </c>
      <c r="BW388" s="14" t="s">
        <v>166</v>
      </c>
      <c r="BX388" s="14" t="s">
        <v>166</v>
      </c>
      <c r="BY388" s="14" t="s">
        <v>166</v>
      </c>
      <c r="BZ388" s="14" t="s">
        <v>166</v>
      </c>
      <c r="CA388" s="14" t="s">
        <v>166</v>
      </c>
      <c r="CB388" s="14" t="s">
        <v>166</v>
      </c>
      <c r="CC388" s="14" t="s">
        <v>166</v>
      </c>
      <c r="CD388" s="14" t="s">
        <v>166</v>
      </c>
      <c r="CE388" s="18" t="s">
        <v>166</v>
      </c>
      <c r="CF388" s="16" t="s">
        <v>166</v>
      </c>
      <c r="CG388" s="17" t="s">
        <v>166</v>
      </c>
      <c r="CH388" s="16" t="s">
        <v>166</v>
      </c>
      <c r="CI388" s="16" t="s">
        <v>166</v>
      </c>
      <c r="CJ388" s="16" t="s">
        <v>166</v>
      </c>
      <c r="CK388" s="16" t="s">
        <v>166</v>
      </c>
      <c r="CL388" s="16" t="s">
        <v>166</v>
      </c>
      <c r="CM388" s="20" t="s">
        <v>166</v>
      </c>
      <c r="CN388" s="16" t="s">
        <v>166</v>
      </c>
      <c r="CO388" s="16" t="s">
        <v>166</v>
      </c>
      <c r="CP388" s="16" t="s">
        <v>166</v>
      </c>
      <c r="CQ388" s="16" t="s">
        <v>166</v>
      </c>
      <c r="CR388" s="16" t="s">
        <v>166</v>
      </c>
      <c r="CS388" s="16" t="s">
        <v>166</v>
      </c>
      <c r="CT388" s="16" t="s">
        <v>166</v>
      </c>
      <c r="CU388" s="16" t="s">
        <v>166</v>
      </c>
      <c r="CV388" s="16" t="s">
        <v>166</v>
      </c>
      <c r="CW388" s="16" t="s">
        <v>166</v>
      </c>
      <c r="CX388" s="16" t="s">
        <v>166</v>
      </c>
      <c r="CY388" s="16" t="s">
        <v>166</v>
      </c>
      <c r="CZ388" s="16" t="s">
        <v>166</v>
      </c>
      <c r="DA388" s="16" t="s">
        <v>166</v>
      </c>
      <c r="DB388" s="16" t="s">
        <v>166</v>
      </c>
      <c r="DC388" s="16" t="s">
        <v>166</v>
      </c>
      <c r="DD388" s="16" t="s">
        <v>166</v>
      </c>
      <c r="DE388" s="17" t="s">
        <v>166</v>
      </c>
      <c r="DF388" s="22">
        <v>9</v>
      </c>
      <c r="DG388" s="14" t="s">
        <v>673</v>
      </c>
      <c r="DH388" s="14" t="s">
        <v>193</v>
      </c>
      <c r="DI388" s="14" t="s">
        <v>194</v>
      </c>
      <c r="DJ388" s="14" t="s">
        <v>674</v>
      </c>
      <c r="DK388" s="14" t="s">
        <v>257</v>
      </c>
      <c r="DL388" s="21" t="s">
        <v>675</v>
      </c>
      <c r="DM388" s="14" t="s">
        <v>198</v>
      </c>
      <c r="DN388" s="13" t="s">
        <v>7692</v>
      </c>
      <c r="DO388" s="20">
        <v>2018</v>
      </c>
      <c r="DP388" s="14" t="s">
        <v>166</v>
      </c>
      <c r="DQ388" s="14" t="s">
        <v>166</v>
      </c>
      <c r="DR388" s="18" t="s">
        <v>166</v>
      </c>
      <c r="DS388" s="16" t="s">
        <v>166</v>
      </c>
      <c r="DT388" s="19" t="s">
        <v>166</v>
      </c>
      <c r="DU388" s="14" t="s">
        <v>166</v>
      </c>
      <c r="DV388" s="18" t="s">
        <v>166</v>
      </c>
      <c r="DW388" s="18" t="s">
        <v>166</v>
      </c>
      <c r="DX388" s="16" t="s">
        <v>166</v>
      </c>
      <c r="DY388" s="16" t="s">
        <v>166</v>
      </c>
      <c r="DZ388" s="17" t="s">
        <v>166</v>
      </c>
      <c r="EA388" s="16" t="s">
        <v>166</v>
      </c>
      <c r="EB388" s="16" t="s">
        <v>166</v>
      </c>
      <c r="EC388" s="16" t="s">
        <v>166</v>
      </c>
      <c r="ED388" s="17" t="s">
        <v>166</v>
      </c>
      <c r="EE388" s="17" t="s">
        <v>166</v>
      </c>
      <c r="EF388" s="17" t="s">
        <v>166</v>
      </c>
      <c r="EG388" s="17" t="s">
        <v>166</v>
      </c>
      <c r="EH388" s="16" t="s">
        <v>166</v>
      </c>
      <c r="EI388" s="16" t="s">
        <v>166</v>
      </c>
      <c r="EJ388" s="16" t="s">
        <v>166</v>
      </c>
      <c r="EK388" s="16" t="s">
        <v>166</v>
      </c>
      <c r="EL388" s="16" t="s">
        <v>166</v>
      </c>
      <c r="EM388" s="16" t="s">
        <v>166</v>
      </c>
      <c r="EN388" s="16" t="s">
        <v>166</v>
      </c>
      <c r="EO388" s="16" t="s">
        <v>166</v>
      </c>
      <c r="EP388" s="16" t="s">
        <v>166</v>
      </c>
      <c r="EQ388" s="16" t="s">
        <v>166</v>
      </c>
      <c r="ER388" s="16" t="s">
        <v>166</v>
      </c>
      <c r="ES388" s="16" t="s">
        <v>166</v>
      </c>
      <c r="ET388" s="14" t="s">
        <v>166</v>
      </c>
      <c r="EU388" s="16" t="s">
        <v>166</v>
      </c>
      <c r="EV388" s="16" t="s">
        <v>166</v>
      </c>
      <c r="EW388" s="16" t="s">
        <v>166</v>
      </c>
      <c r="EX388" s="14" t="s">
        <v>190</v>
      </c>
      <c r="EY388" s="14" t="s">
        <v>166</v>
      </c>
      <c r="EZ388" s="16" t="s">
        <v>166</v>
      </c>
      <c r="FA388" s="15" t="s">
        <v>166</v>
      </c>
      <c r="FB388" s="15" t="s">
        <v>166</v>
      </c>
      <c r="FC388" s="15" t="s">
        <v>166</v>
      </c>
      <c r="FD388" s="15" t="s">
        <v>166</v>
      </c>
      <c r="FE388" s="15" t="s">
        <v>166</v>
      </c>
      <c r="FF388" s="15" t="s">
        <v>166</v>
      </c>
      <c r="FG388" s="14" t="s">
        <v>166</v>
      </c>
      <c r="FH388" s="3">
        <f>HYPERLINK("https://my.pitchbook.com?c=178532-29T","View Company Online")</f>
      </c>
    </row>
    <row r="389">
      <c r="A389" s="25" t="s">
        <v>7693</v>
      </c>
      <c r="B389" s="25" t="s">
        <v>7694</v>
      </c>
      <c r="C389" s="25" t="s">
        <v>7695</v>
      </c>
      <c r="D389" s="25" t="s">
        <v>166</v>
      </c>
      <c r="E389" s="34" t="s">
        <v>7696</v>
      </c>
      <c r="F389" s="32">
        <v>1</v>
      </c>
      <c r="G389" s="25" t="s">
        <v>7697</v>
      </c>
      <c r="H389" s="25" t="s">
        <v>166</v>
      </c>
      <c r="I389" s="25" t="s">
        <v>7698</v>
      </c>
      <c r="J389" s="25" t="s">
        <v>7699</v>
      </c>
      <c r="K389" s="25" t="s">
        <v>207</v>
      </c>
      <c r="L389" s="25" t="s">
        <v>208</v>
      </c>
      <c r="M389" s="25" t="s">
        <v>639</v>
      </c>
      <c r="N389" s="25" t="s">
        <v>3553</v>
      </c>
      <c r="O389" s="25" t="s">
        <v>166</v>
      </c>
      <c r="P389" s="25" t="s">
        <v>7700</v>
      </c>
      <c r="Q389" s="25" t="s">
        <v>166</v>
      </c>
      <c r="R389" s="25" t="s">
        <v>177</v>
      </c>
      <c r="S389" s="25" t="s">
        <v>178</v>
      </c>
      <c r="T389" s="25" t="s">
        <v>179</v>
      </c>
      <c r="U389" s="25" t="s">
        <v>7701</v>
      </c>
      <c r="V389" s="25" t="s">
        <v>7702</v>
      </c>
      <c r="W389" s="32" t="s">
        <v>166</v>
      </c>
      <c r="X389" s="25" t="s">
        <v>166</v>
      </c>
      <c r="Y389" s="25" t="s">
        <v>7703</v>
      </c>
      <c r="Z389" s="25" t="s">
        <v>166</v>
      </c>
      <c r="AA389" s="25" t="s">
        <v>166</v>
      </c>
      <c r="AB389" s="25" t="s">
        <v>166</v>
      </c>
      <c r="AC389" s="25" t="s">
        <v>166</v>
      </c>
      <c r="AD389" s="25" t="s">
        <v>166</v>
      </c>
      <c r="AE389" s="25" t="s">
        <v>166</v>
      </c>
      <c r="AF389" s="25" t="s">
        <v>166</v>
      </c>
      <c r="AG389" s="25" t="s">
        <v>166</v>
      </c>
      <c r="AH389" s="32">
        <v>1</v>
      </c>
      <c r="AI389" s="4">
        <f>HYPERLINK("https://my.pitchbook.com/?d=185550-58T","185550-58T")</f>
      </c>
      <c r="AJ389" s="30" t="s">
        <v>166</v>
      </c>
      <c r="AK389" s="30">
        <v>44550</v>
      </c>
      <c r="AL389" s="29">
        <v>0.19</v>
      </c>
      <c r="AM389" s="25" t="s">
        <v>185</v>
      </c>
      <c r="AN389" s="29">
        <v>5</v>
      </c>
      <c r="AO389" s="29">
        <v>5.19</v>
      </c>
      <c r="AP389" s="25" t="s">
        <v>185</v>
      </c>
      <c r="AQ389" s="32" t="s">
        <v>166</v>
      </c>
      <c r="AR389" s="32" t="s">
        <v>166</v>
      </c>
      <c r="AS389" s="28">
        <v>3.68</v>
      </c>
      <c r="AT389" s="29">
        <v>0.19</v>
      </c>
      <c r="AU389" s="32" t="s">
        <v>186</v>
      </c>
      <c r="AV389" s="32" t="s">
        <v>166</v>
      </c>
      <c r="AW389" s="29" t="s">
        <v>166</v>
      </c>
      <c r="AX389" s="32" t="s">
        <v>166</v>
      </c>
      <c r="AY389" s="25" t="s">
        <v>187</v>
      </c>
      <c r="AZ389" s="25" t="s">
        <v>166</v>
      </c>
      <c r="BA389" s="25" t="s">
        <v>166</v>
      </c>
      <c r="BB389" s="32" t="s">
        <v>166</v>
      </c>
      <c r="BC389" s="25" t="s">
        <v>179</v>
      </c>
      <c r="BD389" s="25" t="s">
        <v>7704</v>
      </c>
      <c r="BE389" s="25" t="s">
        <v>189</v>
      </c>
      <c r="BF389" s="29">
        <v>0.19</v>
      </c>
      <c r="BG389" s="25" t="s">
        <v>190</v>
      </c>
      <c r="BH389" s="25" t="s">
        <v>166</v>
      </c>
      <c r="BI389" s="25" t="s">
        <v>166</v>
      </c>
      <c r="BJ389" s="29" t="s">
        <v>166</v>
      </c>
      <c r="BK389" s="29" t="s">
        <v>166</v>
      </c>
      <c r="BL389" s="25" t="s">
        <v>191</v>
      </c>
      <c r="BM389" s="25" t="s">
        <v>358</v>
      </c>
      <c r="BN389" s="25" t="s">
        <v>177</v>
      </c>
      <c r="BO389" s="33">
        <v>1</v>
      </c>
      <c r="BP389" s="25" t="s">
        <v>7696</v>
      </c>
      <c r="BQ389" s="32">
        <v>1</v>
      </c>
      <c r="BR389" s="25" t="s">
        <v>166</v>
      </c>
      <c r="BS389" s="32" t="s">
        <v>166</v>
      </c>
      <c r="BT389" s="25" t="s">
        <v>166</v>
      </c>
      <c r="BU389" s="25" t="s">
        <v>166</v>
      </c>
      <c r="BV389" s="25" t="s">
        <v>166</v>
      </c>
      <c r="BW389" s="25" t="s">
        <v>166</v>
      </c>
      <c r="BX389" s="25" t="s">
        <v>166</v>
      </c>
      <c r="BY389" s="25" t="s">
        <v>166</v>
      </c>
      <c r="BZ389" s="25" t="s">
        <v>166</v>
      </c>
      <c r="CA389" s="25" t="s">
        <v>166</v>
      </c>
      <c r="CB389" s="25" t="s">
        <v>166</v>
      </c>
      <c r="CC389" s="25" t="s">
        <v>166</v>
      </c>
      <c r="CD389" s="25" t="s">
        <v>166</v>
      </c>
      <c r="CE389" s="29" t="s">
        <v>166</v>
      </c>
      <c r="CF389" s="27" t="s">
        <v>166</v>
      </c>
      <c r="CG389" s="28" t="s">
        <v>166</v>
      </c>
      <c r="CH389" s="27" t="s">
        <v>166</v>
      </c>
      <c r="CI389" s="27" t="s">
        <v>166</v>
      </c>
      <c r="CJ389" s="27" t="s">
        <v>166</v>
      </c>
      <c r="CK389" s="27" t="s">
        <v>166</v>
      </c>
      <c r="CL389" s="27" t="s">
        <v>166</v>
      </c>
      <c r="CM389" s="31" t="s">
        <v>166</v>
      </c>
      <c r="CN389" s="27" t="s">
        <v>166</v>
      </c>
      <c r="CO389" s="27" t="s">
        <v>166</v>
      </c>
      <c r="CP389" s="27" t="s">
        <v>166</v>
      </c>
      <c r="CQ389" s="27" t="s">
        <v>166</v>
      </c>
      <c r="CR389" s="27" t="s">
        <v>166</v>
      </c>
      <c r="CS389" s="27" t="s">
        <v>166</v>
      </c>
      <c r="CT389" s="27" t="s">
        <v>166</v>
      </c>
      <c r="CU389" s="27" t="s">
        <v>166</v>
      </c>
      <c r="CV389" s="27" t="s">
        <v>166</v>
      </c>
      <c r="CW389" s="27" t="s">
        <v>166</v>
      </c>
      <c r="CX389" s="27" t="s">
        <v>166</v>
      </c>
      <c r="CY389" s="27" t="s">
        <v>166</v>
      </c>
      <c r="CZ389" s="27" t="s">
        <v>166</v>
      </c>
      <c r="DA389" s="27" t="s">
        <v>166</v>
      </c>
      <c r="DB389" s="27" t="s">
        <v>166</v>
      </c>
      <c r="DC389" s="27" t="s">
        <v>166</v>
      </c>
      <c r="DD389" s="27" t="s">
        <v>166</v>
      </c>
      <c r="DE389" s="28" t="s">
        <v>166</v>
      </c>
      <c r="DF389" s="33">
        <v>4</v>
      </c>
      <c r="DG389" s="25" t="s">
        <v>7705</v>
      </c>
      <c r="DH389" s="25" t="s">
        <v>193</v>
      </c>
      <c r="DI389" s="25" t="s">
        <v>194</v>
      </c>
      <c r="DJ389" s="25" t="s">
        <v>5730</v>
      </c>
      <c r="DK389" s="25" t="s">
        <v>7706</v>
      </c>
      <c r="DL389" s="32" t="s">
        <v>7707</v>
      </c>
      <c r="DM389" s="25" t="s">
        <v>198</v>
      </c>
      <c r="DN389" s="24" t="s">
        <v>7708</v>
      </c>
      <c r="DO389" s="31">
        <v>2021</v>
      </c>
      <c r="DP389" s="25" t="s">
        <v>166</v>
      </c>
      <c r="DQ389" s="25" t="s">
        <v>166</v>
      </c>
      <c r="DR389" s="29" t="s">
        <v>166</v>
      </c>
      <c r="DS389" s="27" t="s">
        <v>166</v>
      </c>
      <c r="DT389" s="30" t="s">
        <v>166</v>
      </c>
      <c r="DU389" s="25" t="s">
        <v>166</v>
      </c>
      <c r="DV389" s="29" t="s">
        <v>166</v>
      </c>
      <c r="DW389" s="29" t="s">
        <v>166</v>
      </c>
      <c r="DX389" s="27" t="s">
        <v>166</v>
      </c>
      <c r="DY389" s="27" t="s">
        <v>166</v>
      </c>
      <c r="DZ389" s="28" t="s">
        <v>166</v>
      </c>
      <c r="EA389" s="27" t="s">
        <v>166</v>
      </c>
      <c r="EB389" s="27" t="s">
        <v>166</v>
      </c>
      <c r="EC389" s="27" t="s">
        <v>166</v>
      </c>
      <c r="ED389" s="28" t="s">
        <v>166</v>
      </c>
      <c r="EE389" s="28" t="s">
        <v>166</v>
      </c>
      <c r="EF389" s="28" t="s">
        <v>166</v>
      </c>
      <c r="EG389" s="28" t="s">
        <v>166</v>
      </c>
      <c r="EH389" s="27" t="s">
        <v>166</v>
      </c>
      <c r="EI389" s="27" t="s">
        <v>166</v>
      </c>
      <c r="EJ389" s="27" t="s">
        <v>166</v>
      </c>
      <c r="EK389" s="27" t="s">
        <v>166</v>
      </c>
      <c r="EL389" s="27" t="s">
        <v>166</v>
      </c>
      <c r="EM389" s="27" t="s">
        <v>166</v>
      </c>
      <c r="EN389" s="27" t="s">
        <v>166</v>
      </c>
      <c r="EO389" s="27" t="s">
        <v>166</v>
      </c>
      <c r="EP389" s="27" t="s">
        <v>166</v>
      </c>
      <c r="EQ389" s="27" t="s">
        <v>166</v>
      </c>
      <c r="ER389" s="27" t="s">
        <v>166</v>
      </c>
      <c r="ES389" s="27" t="s">
        <v>166</v>
      </c>
      <c r="ET389" s="25" t="s">
        <v>166</v>
      </c>
      <c r="EU389" s="27" t="s">
        <v>166</v>
      </c>
      <c r="EV389" s="27" t="s">
        <v>166</v>
      </c>
      <c r="EW389" s="27" t="s">
        <v>166</v>
      </c>
      <c r="EX389" s="25" t="s">
        <v>190</v>
      </c>
      <c r="EY389" s="25" t="s">
        <v>166</v>
      </c>
      <c r="EZ389" s="27" t="s">
        <v>166</v>
      </c>
      <c r="FA389" s="26" t="s">
        <v>166</v>
      </c>
      <c r="FB389" s="26" t="s">
        <v>166</v>
      </c>
      <c r="FC389" s="26" t="s">
        <v>166</v>
      </c>
      <c r="FD389" s="26" t="s">
        <v>166</v>
      </c>
      <c r="FE389" s="26" t="s">
        <v>166</v>
      </c>
      <c r="FF389" s="26" t="s">
        <v>166</v>
      </c>
      <c r="FG389" s="25" t="s">
        <v>166</v>
      </c>
      <c r="FH389" s="4">
        <f>HYPERLINK("https://my.pitchbook.com?c=185550-58T","View Company Online")</f>
      </c>
    </row>
    <row r="390">
      <c r="A390" s="14" t="s">
        <v>7709</v>
      </c>
      <c r="B390" s="14" t="s">
        <v>7710</v>
      </c>
      <c r="C390" s="14" t="s">
        <v>7711</v>
      </c>
      <c r="D390" s="14" t="s">
        <v>166</v>
      </c>
      <c r="E390" s="23" t="s">
        <v>7712</v>
      </c>
      <c r="F390" s="21">
        <v>9</v>
      </c>
      <c r="G390" s="14" t="s">
        <v>7713</v>
      </c>
      <c r="H390" s="14" t="s">
        <v>166</v>
      </c>
      <c r="I390" s="14" t="s">
        <v>7714</v>
      </c>
      <c r="J390" s="14" t="s">
        <v>4256</v>
      </c>
      <c r="K390" s="14" t="s">
        <v>207</v>
      </c>
      <c r="L390" s="14" t="s">
        <v>208</v>
      </c>
      <c r="M390" s="14" t="s">
        <v>639</v>
      </c>
      <c r="N390" s="14" t="s">
        <v>7715</v>
      </c>
      <c r="O390" s="14" t="s">
        <v>7716</v>
      </c>
      <c r="P390" s="14" t="s">
        <v>7717</v>
      </c>
      <c r="Q390" s="14" t="s">
        <v>166</v>
      </c>
      <c r="R390" s="14" t="s">
        <v>177</v>
      </c>
      <c r="S390" s="14" t="s">
        <v>178</v>
      </c>
      <c r="T390" s="14" t="s">
        <v>179</v>
      </c>
      <c r="U390" s="14" t="s">
        <v>7718</v>
      </c>
      <c r="V390" s="14" t="s">
        <v>7719</v>
      </c>
      <c r="W390" s="21" t="s">
        <v>166</v>
      </c>
      <c r="X390" s="14" t="s">
        <v>7720</v>
      </c>
      <c r="Y390" s="14" t="s">
        <v>7721</v>
      </c>
      <c r="Z390" s="14" t="s">
        <v>166</v>
      </c>
      <c r="AA390" s="14" t="s">
        <v>166</v>
      </c>
      <c r="AB390" s="14" t="s">
        <v>166</v>
      </c>
      <c r="AC390" s="14" t="s">
        <v>166</v>
      </c>
      <c r="AD390" s="14" t="s">
        <v>166</v>
      </c>
      <c r="AE390" s="14" t="s">
        <v>166</v>
      </c>
      <c r="AF390" s="14" t="s">
        <v>166</v>
      </c>
      <c r="AG390" s="14" t="s">
        <v>166</v>
      </c>
      <c r="AH390" s="21">
        <v>3</v>
      </c>
      <c r="AI390" s="3">
        <f>HYPERLINK("https://my.pitchbook.com/?d=200243-62T","200243-62T")</f>
      </c>
      <c r="AJ390" s="19">
        <v>44699</v>
      </c>
      <c r="AK390" s="19">
        <v>44777</v>
      </c>
      <c r="AL390" s="18">
        <v>1.6</v>
      </c>
      <c r="AM390" s="14" t="s">
        <v>185</v>
      </c>
      <c r="AN390" s="18" t="s">
        <v>166</v>
      </c>
      <c r="AO390" s="18" t="s">
        <v>166</v>
      </c>
      <c r="AP390" s="14" t="s">
        <v>166</v>
      </c>
      <c r="AQ390" s="21" t="s">
        <v>166</v>
      </c>
      <c r="AR390" s="21" t="s">
        <v>166</v>
      </c>
      <c r="AS390" s="17" t="s">
        <v>166</v>
      </c>
      <c r="AT390" s="18">
        <v>1.72</v>
      </c>
      <c r="AU390" s="21" t="s">
        <v>186</v>
      </c>
      <c r="AV390" s="21" t="s">
        <v>166</v>
      </c>
      <c r="AW390" s="18" t="s">
        <v>166</v>
      </c>
      <c r="AX390" s="21" t="s">
        <v>166</v>
      </c>
      <c r="AY390" s="14" t="s">
        <v>217</v>
      </c>
      <c r="AZ390" s="14" t="s">
        <v>217</v>
      </c>
      <c r="BA390" s="14" t="s">
        <v>166</v>
      </c>
      <c r="BB390" s="21" t="s">
        <v>166</v>
      </c>
      <c r="BC390" s="14" t="s">
        <v>179</v>
      </c>
      <c r="BD390" s="14" t="s">
        <v>7722</v>
      </c>
      <c r="BE390" s="14" t="s">
        <v>189</v>
      </c>
      <c r="BF390" s="18" t="s">
        <v>166</v>
      </c>
      <c r="BG390" s="14" t="s">
        <v>190</v>
      </c>
      <c r="BH390" s="14" t="s">
        <v>166</v>
      </c>
      <c r="BI390" s="14" t="s">
        <v>166</v>
      </c>
      <c r="BJ390" s="18" t="s">
        <v>166</v>
      </c>
      <c r="BK390" s="18" t="s">
        <v>166</v>
      </c>
      <c r="BL390" s="14" t="s">
        <v>191</v>
      </c>
      <c r="BM390" s="14" t="s">
        <v>178</v>
      </c>
      <c r="BN390" s="14" t="s">
        <v>177</v>
      </c>
      <c r="BO390" s="22" t="s">
        <v>166</v>
      </c>
      <c r="BP390" s="14" t="s">
        <v>7723</v>
      </c>
      <c r="BQ390" s="21">
        <v>9</v>
      </c>
      <c r="BR390" s="14" t="s">
        <v>166</v>
      </c>
      <c r="BS390" s="21" t="s">
        <v>166</v>
      </c>
      <c r="BT390" s="14" t="s">
        <v>166</v>
      </c>
      <c r="BU390" s="14" t="s">
        <v>166</v>
      </c>
      <c r="BV390" s="14" t="s">
        <v>7724</v>
      </c>
      <c r="BW390" s="14" t="s">
        <v>166</v>
      </c>
      <c r="BX390" s="14" t="s">
        <v>166</v>
      </c>
      <c r="BY390" s="14" t="s">
        <v>166</v>
      </c>
      <c r="BZ390" s="14" t="s">
        <v>166</v>
      </c>
      <c r="CA390" s="14" t="s">
        <v>166</v>
      </c>
      <c r="CB390" s="14" t="s">
        <v>166</v>
      </c>
      <c r="CC390" s="14" t="s">
        <v>166</v>
      </c>
      <c r="CD390" s="14" t="s">
        <v>166</v>
      </c>
      <c r="CE390" s="18" t="s">
        <v>166</v>
      </c>
      <c r="CF390" s="16" t="s">
        <v>166</v>
      </c>
      <c r="CG390" s="17" t="s">
        <v>166</v>
      </c>
      <c r="CH390" s="16" t="s">
        <v>166</v>
      </c>
      <c r="CI390" s="16" t="s">
        <v>166</v>
      </c>
      <c r="CJ390" s="16" t="s">
        <v>166</v>
      </c>
      <c r="CK390" s="16" t="s">
        <v>166</v>
      </c>
      <c r="CL390" s="16" t="s">
        <v>166</v>
      </c>
      <c r="CM390" s="20" t="s">
        <v>166</v>
      </c>
      <c r="CN390" s="16" t="s">
        <v>166</v>
      </c>
      <c r="CO390" s="16" t="s">
        <v>166</v>
      </c>
      <c r="CP390" s="16" t="s">
        <v>166</v>
      </c>
      <c r="CQ390" s="16" t="s">
        <v>166</v>
      </c>
      <c r="CR390" s="16" t="s">
        <v>166</v>
      </c>
      <c r="CS390" s="16" t="s">
        <v>166</v>
      </c>
      <c r="CT390" s="16" t="s">
        <v>166</v>
      </c>
      <c r="CU390" s="16" t="s">
        <v>166</v>
      </c>
      <c r="CV390" s="16" t="s">
        <v>166</v>
      </c>
      <c r="CW390" s="16" t="s">
        <v>166</v>
      </c>
      <c r="CX390" s="16" t="s">
        <v>166</v>
      </c>
      <c r="CY390" s="16" t="s">
        <v>166</v>
      </c>
      <c r="CZ390" s="16" t="s">
        <v>166</v>
      </c>
      <c r="DA390" s="16" t="s">
        <v>166</v>
      </c>
      <c r="DB390" s="16" t="s">
        <v>166</v>
      </c>
      <c r="DC390" s="16" t="s">
        <v>166</v>
      </c>
      <c r="DD390" s="16" t="s">
        <v>166</v>
      </c>
      <c r="DE390" s="17" t="s">
        <v>166</v>
      </c>
      <c r="DF390" s="22">
        <v>11</v>
      </c>
      <c r="DG390" s="14" t="s">
        <v>1974</v>
      </c>
      <c r="DH390" s="14" t="s">
        <v>193</v>
      </c>
      <c r="DI390" s="14" t="s">
        <v>194</v>
      </c>
      <c r="DJ390" s="14" t="s">
        <v>408</v>
      </c>
      <c r="DK390" s="14" t="s">
        <v>1975</v>
      </c>
      <c r="DL390" s="21" t="s">
        <v>2058</v>
      </c>
      <c r="DM390" s="14" t="s">
        <v>198</v>
      </c>
      <c r="DN390" s="13" t="s">
        <v>7725</v>
      </c>
      <c r="DO390" s="20">
        <v>2016</v>
      </c>
      <c r="DP390" s="14" t="s">
        <v>166</v>
      </c>
      <c r="DQ390" s="14" t="s">
        <v>2906</v>
      </c>
      <c r="DR390" s="18" t="s">
        <v>166</v>
      </c>
      <c r="DS390" s="16" t="s">
        <v>166</v>
      </c>
      <c r="DT390" s="19" t="s">
        <v>166</v>
      </c>
      <c r="DU390" s="14" t="s">
        <v>166</v>
      </c>
      <c r="DV390" s="18" t="s">
        <v>166</v>
      </c>
      <c r="DW390" s="18" t="s">
        <v>166</v>
      </c>
      <c r="DX390" s="16" t="s">
        <v>166</v>
      </c>
      <c r="DY390" s="16" t="s">
        <v>166</v>
      </c>
      <c r="DZ390" s="17" t="s">
        <v>166</v>
      </c>
      <c r="EA390" s="16" t="s">
        <v>166</v>
      </c>
      <c r="EB390" s="16" t="s">
        <v>166</v>
      </c>
      <c r="EC390" s="16" t="s">
        <v>166</v>
      </c>
      <c r="ED390" s="17" t="s">
        <v>166</v>
      </c>
      <c r="EE390" s="17" t="s">
        <v>166</v>
      </c>
      <c r="EF390" s="17" t="s">
        <v>166</v>
      </c>
      <c r="EG390" s="17" t="s">
        <v>166</v>
      </c>
      <c r="EH390" s="16" t="s">
        <v>166</v>
      </c>
      <c r="EI390" s="16" t="s">
        <v>166</v>
      </c>
      <c r="EJ390" s="16" t="s">
        <v>166</v>
      </c>
      <c r="EK390" s="16" t="s">
        <v>166</v>
      </c>
      <c r="EL390" s="16" t="s">
        <v>166</v>
      </c>
      <c r="EM390" s="16" t="s">
        <v>166</v>
      </c>
      <c r="EN390" s="16" t="s">
        <v>166</v>
      </c>
      <c r="EO390" s="16" t="s">
        <v>166</v>
      </c>
      <c r="EP390" s="16" t="s">
        <v>166</v>
      </c>
      <c r="EQ390" s="16" t="s">
        <v>166</v>
      </c>
      <c r="ER390" s="16" t="s">
        <v>166</v>
      </c>
      <c r="ES390" s="16" t="s">
        <v>166</v>
      </c>
      <c r="ET390" s="14" t="s">
        <v>166</v>
      </c>
      <c r="EU390" s="16" t="s">
        <v>166</v>
      </c>
      <c r="EV390" s="16" t="s">
        <v>166</v>
      </c>
      <c r="EW390" s="16" t="s">
        <v>166</v>
      </c>
      <c r="EX390" s="14" t="s">
        <v>190</v>
      </c>
      <c r="EY390" s="14" t="s">
        <v>190</v>
      </c>
      <c r="EZ390" s="16" t="s">
        <v>166</v>
      </c>
      <c r="FA390" s="15" t="s">
        <v>166</v>
      </c>
      <c r="FB390" s="15" t="s">
        <v>166</v>
      </c>
      <c r="FC390" s="15" t="s">
        <v>166</v>
      </c>
      <c r="FD390" s="15" t="s">
        <v>166</v>
      </c>
      <c r="FE390" s="15" t="s">
        <v>166</v>
      </c>
      <c r="FF390" s="15" t="s">
        <v>166</v>
      </c>
      <c r="FG390" s="14" t="s">
        <v>166</v>
      </c>
      <c r="FH390" s="3">
        <f>HYPERLINK("https://my.pitchbook.com?c=200243-62T","View Company Online")</f>
      </c>
    </row>
    <row r="391">
      <c r="A391" s="25" t="s">
        <v>7726</v>
      </c>
      <c r="B391" s="25" t="s">
        <v>7727</v>
      </c>
      <c r="C391" s="25" t="s">
        <v>7728</v>
      </c>
      <c r="D391" s="25" t="s">
        <v>166</v>
      </c>
      <c r="E391" s="34" t="s">
        <v>7729</v>
      </c>
      <c r="F391" s="32">
        <v>3</v>
      </c>
      <c r="G391" s="25" t="s">
        <v>7730</v>
      </c>
      <c r="H391" s="25" t="s">
        <v>166</v>
      </c>
      <c r="I391" s="25" t="s">
        <v>7731</v>
      </c>
      <c r="J391" s="25" t="s">
        <v>7732</v>
      </c>
      <c r="K391" s="25" t="s">
        <v>207</v>
      </c>
      <c r="L391" s="25" t="s">
        <v>208</v>
      </c>
      <c r="M391" s="25" t="s">
        <v>209</v>
      </c>
      <c r="N391" s="25" t="s">
        <v>7733</v>
      </c>
      <c r="O391" s="25" t="s">
        <v>7734</v>
      </c>
      <c r="P391" s="25" t="s">
        <v>7735</v>
      </c>
      <c r="Q391" s="25" t="s">
        <v>166</v>
      </c>
      <c r="R391" s="25" t="s">
        <v>177</v>
      </c>
      <c r="S391" s="25" t="s">
        <v>178</v>
      </c>
      <c r="T391" s="25" t="s">
        <v>179</v>
      </c>
      <c r="U391" s="25" t="s">
        <v>7736</v>
      </c>
      <c r="V391" s="25" t="s">
        <v>7737</v>
      </c>
      <c r="W391" s="32" t="s">
        <v>7738</v>
      </c>
      <c r="X391" s="25" t="s">
        <v>7739</v>
      </c>
      <c r="Y391" s="25" t="s">
        <v>7740</v>
      </c>
      <c r="Z391" s="25" t="s">
        <v>7741</v>
      </c>
      <c r="AA391" s="25" t="s">
        <v>166</v>
      </c>
      <c r="AB391" s="25" t="s">
        <v>166</v>
      </c>
      <c r="AC391" s="25" t="s">
        <v>166</v>
      </c>
      <c r="AD391" s="25" t="s">
        <v>166</v>
      </c>
      <c r="AE391" s="25" t="s">
        <v>166</v>
      </c>
      <c r="AF391" s="25" t="s">
        <v>166</v>
      </c>
      <c r="AG391" s="25" t="s">
        <v>166</v>
      </c>
      <c r="AH391" s="32">
        <v>3</v>
      </c>
      <c r="AI391" s="4">
        <f>HYPERLINK("https://my.pitchbook.com/?d=188659-45T","188659-45T")</f>
      </c>
      <c r="AJ391" s="30">
        <v>44468</v>
      </c>
      <c r="AK391" s="30">
        <v>44852</v>
      </c>
      <c r="AL391" s="29">
        <v>2</v>
      </c>
      <c r="AM391" s="25" t="s">
        <v>185</v>
      </c>
      <c r="AN391" s="29" t="s">
        <v>166</v>
      </c>
      <c r="AO391" s="29" t="s">
        <v>166</v>
      </c>
      <c r="AP391" s="25" t="s">
        <v>166</v>
      </c>
      <c r="AQ391" s="32" t="s">
        <v>166</v>
      </c>
      <c r="AR391" s="32" t="s">
        <v>166</v>
      </c>
      <c r="AS391" s="28" t="s">
        <v>166</v>
      </c>
      <c r="AT391" s="29">
        <v>2.02</v>
      </c>
      <c r="AU391" s="32" t="s">
        <v>186</v>
      </c>
      <c r="AV391" s="32" t="s">
        <v>166</v>
      </c>
      <c r="AW391" s="29" t="s">
        <v>166</v>
      </c>
      <c r="AX391" s="32" t="s">
        <v>166</v>
      </c>
      <c r="AY391" s="25" t="s">
        <v>217</v>
      </c>
      <c r="AZ391" s="25" t="s">
        <v>217</v>
      </c>
      <c r="BA391" s="25" t="s">
        <v>166</v>
      </c>
      <c r="BB391" s="32" t="s">
        <v>166</v>
      </c>
      <c r="BC391" s="25" t="s">
        <v>179</v>
      </c>
      <c r="BD391" s="25" t="s">
        <v>7732</v>
      </c>
      <c r="BE391" s="25" t="s">
        <v>189</v>
      </c>
      <c r="BF391" s="29">
        <v>2</v>
      </c>
      <c r="BG391" s="25" t="s">
        <v>190</v>
      </c>
      <c r="BH391" s="25" t="s">
        <v>166</v>
      </c>
      <c r="BI391" s="25" t="s">
        <v>166</v>
      </c>
      <c r="BJ391" s="29" t="s">
        <v>166</v>
      </c>
      <c r="BK391" s="29" t="s">
        <v>166</v>
      </c>
      <c r="BL391" s="25" t="s">
        <v>191</v>
      </c>
      <c r="BM391" s="25" t="s">
        <v>178</v>
      </c>
      <c r="BN391" s="25" t="s">
        <v>177</v>
      </c>
      <c r="BO391" s="33" t="s">
        <v>166</v>
      </c>
      <c r="BP391" s="25" t="s">
        <v>7742</v>
      </c>
      <c r="BQ391" s="32">
        <v>3</v>
      </c>
      <c r="BR391" s="25" t="s">
        <v>166</v>
      </c>
      <c r="BS391" s="32" t="s">
        <v>166</v>
      </c>
      <c r="BT391" s="25" t="s">
        <v>7743</v>
      </c>
      <c r="BU391" s="25" t="s">
        <v>166</v>
      </c>
      <c r="BV391" s="25" t="s">
        <v>7744</v>
      </c>
      <c r="BW391" s="25" t="s">
        <v>166</v>
      </c>
      <c r="BX391" s="25" t="s">
        <v>166</v>
      </c>
      <c r="BY391" s="25" t="s">
        <v>166</v>
      </c>
      <c r="BZ391" s="25" t="s">
        <v>166</v>
      </c>
      <c r="CA391" s="25" t="s">
        <v>166</v>
      </c>
      <c r="CB391" s="25" t="s">
        <v>166</v>
      </c>
      <c r="CC391" s="25" t="s">
        <v>166</v>
      </c>
      <c r="CD391" s="25" t="s">
        <v>166</v>
      </c>
      <c r="CE391" s="29" t="s">
        <v>166</v>
      </c>
      <c r="CF391" s="27" t="s">
        <v>166</v>
      </c>
      <c r="CG391" s="28" t="s">
        <v>166</v>
      </c>
      <c r="CH391" s="27" t="s">
        <v>166</v>
      </c>
      <c r="CI391" s="27" t="s">
        <v>166</v>
      </c>
      <c r="CJ391" s="27" t="s">
        <v>166</v>
      </c>
      <c r="CK391" s="27" t="s">
        <v>166</v>
      </c>
      <c r="CL391" s="27" t="s">
        <v>166</v>
      </c>
      <c r="CM391" s="31" t="s">
        <v>166</v>
      </c>
      <c r="CN391" s="27" t="s">
        <v>166</v>
      </c>
      <c r="CO391" s="27" t="s">
        <v>166</v>
      </c>
      <c r="CP391" s="27" t="s">
        <v>166</v>
      </c>
      <c r="CQ391" s="27" t="s">
        <v>166</v>
      </c>
      <c r="CR391" s="27" t="s">
        <v>166</v>
      </c>
      <c r="CS391" s="27" t="s">
        <v>166</v>
      </c>
      <c r="CT391" s="27" t="s">
        <v>166</v>
      </c>
      <c r="CU391" s="27" t="s">
        <v>166</v>
      </c>
      <c r="CV391" s="27" t="s">
        <v>166</v>
      </c>
      <c r="CW391" s="27" t="s">
        <v>166</v>
      </c>
      <c r="CX391" s="27" t="s">
        <v>166</v>
      </c>
      <c r="CY391" s="27" t="s">
        <v>166</v>
      </c>
      <c r="CZ391" s="27" t="s">
        <v>166</v>
      </c>
      <c r="DA391" s="27" t="s">
        <v>166</v>
      </c>
      <c r="DB391" s="27" t="s">
        <v>166</v>
      </c>
      <c r="DC391" s="27" t="s">
        <v>166</v>
      </c>
      <c r="DD391" s="27" t="s">
        <v>166</v>
      </c>
      <c r="DE391" s="28" t="s">
        <v>166</v>
      </c>
      <c r="DF391" s="33">
        <v>27</v>
      </c>
      <c r="DG391" s="25" t="s">
        <v>1517</v>
      </c>
      <c r="DH391" s="25" t="s">
        <v>193</v>
      </c>
      <c r="DI391" s="25" t="s">
        <v>194</v>
      </c>
      <c r="DJ391" s="25" t="s">
        <v>1518</v>
      </c>
      <c r="DK391" s="25" t="s">
        <v>1251</v>
      </c>
      <c r="DL391" s="32" t="s">
        <v>7745</v>
      </c>
      <c r="DM391" s="25" t="s">
        <v>198</v>
      </c>
      <c r="DN391" s="24" t="s">
        <v>7746</v>
      </c>
      <c r="DO391" s="31">
        <v>2019</v>
      </c>
      <c r="DP391" s="25" t="s">
        <v>166</v>
      </c>
      <c r="DQ391" s="25" t="s">
        <v>166</v>
      </c>
      <c r="DR391" s="29" t="s">
        <v>166</v>
      </c>
      <c r="DS391" s="27" t="s">
        <v>166</v>
      </c>
      <c r="DT391" s="30" t="s">
        <v>166</v>
      </c>
      <c r="DU391" s="25" t="s">
        <v>166</v>
      </c>
      <c r="DV391" s="29" t="s">
        <v>166</v>
      </c>
      <c r="DW391" s="29" t="s">
        <v>166</v>
      </c>
      <c r="DX391" s="27" t="s">
        <v>166</v>
      </c>
      <c r="DY391" s="27" t="s">
        <v>166</v>
      </c>
      <c r="DZ391" s="28" t="s">
        <v>166</v>
      </c>
      <c r="EA391" s="27" t="s">
        <v>166</v>
      </c>
      <c r="EB391" s="27" t="s">
        <v>166</v>
      </c>
      <c r="EC391" s="27" t="s">
        <v>166</v>
      </c>
      <c r="ED391" s="28" t="s">
        <v>166</v>
      </c>
      <c r="EE391" s="28" t="s">
        <v>166</v>
      </c>
      <c r="EF391" s="28" t="s">
        <v>166</v>
      </c>
      <c r="EG391" s="28" t="s">
        <v>166</v>
      </c>
      <c r="EH391" s="27" t="s">
        <v>166</v>
      </c>
      <c r="EI391" s="27" t="s">
        <v>166</v>
      </c>
      <c r="EJ391" s="27" t="s">
        <v>166</v>
      </c>
      <c r="EK391" s="27" t="s">
        <v>166</v>
      </c>
      <c r="EL391" s="27" t="s">
        <v>166</v>
      </c>
      <c r="EM391" s="27" t="s">
        <v>166</v>
      </c>
      <c r="EN391" s="27" t="s">
        <v>166</v>
      </c>
      <c r="EO391" s="27" t="s">
        <v>166</v>
      </c>
      <c r="EP391" s="27" t="s">
        <v>166</v>
      </c>
      <c r="EQ391" s="27" t="s">
        <v>166</v>
      </c>
      <c r="ER391" s="27" t="s">
        <v>166</v>
      </c>
      <c r="ES391" s="27" t="s">
        <v>166</v>
      </c>
      <c r="ET391" s="25" t="s">
        <v>166</v>
      </c>
      <c r="EU391" s="27" t="s">
        <v>166</v>
      </c>
      <c r="EV391" s="27" t="s">
        <v>166</v>
      </c>
      <c r="EW391" s="27" t="s">
        <v>166</v>
      </c>
      <c r="EX391" s="25" t="s">
        <v>190</v>
      </c>
      <c r="EY391" s="25" t="s">
        <v>166</v>
      </c>
      <c r="EZ391" s="27" t="s">
        <v>166</v>
      </c>
      <c r="FA391" s="26" t="s">
        <v>166</v>
      </c>
      <c r="FB391" s="26" t="s">
        <v>166</v>
      </c>
      <c r="FC391" s="26" t="s">
        <v>166</v>
      </c>
      <c r="FD391" s="26" t="s">
        <v>166</v>
      </c>
      <c r="FE391" s="26" t="s">
        <v>166</v>
      </c>
      <c r="FF391" s="26" t="s">
        <v>166</v>
      </c>
      <c r="FG391" s="25" t="s">
        <v>166</v>
      </c>
      <c r="FH391" s="4">
        <f>HYPERLINK("https://my.pitchbook.com?c=188659-45T","View Company Online")</f>
      </c>
    </row>
    <row r="392">
      <c r="A392" s="14" t="s">
        <v>7747</v>
      </c>
      <c r="B392" s="14" t="s">
        <v>7748</v>
      </c>
      <c r="C392" s="14" t="s">
        <v>7749</v>
      </c>
      <c r="D392" s="14" t="s">
        <v>166</v>
      </c>
      <c r="E392" s="23" t="s">
        <v>7750</v>
      </c>
      <c r="F392" s="21">
        <v>1</v>
      </c>
      <c r="G392" s="14" t="s">
        <v>7751</v>
      </c>
      <c r="H392" s="14" t="s">
        <v>166</v>
      </c>
      <c r="I392" s="14" t="s">
        <v>7752</v>
      </c>
      <c r="J392" s="14" t="s">
        <v>7753</v>
      </c>
      <c r="K392" s="14" t="s">
        <v>207</v>
      </c>
      <c r="L392" s="14" t="s">
        <v>208</v>
      </c>
      <c r="M392" s="14" t="s">
        <v>839</v>
      </c>
      <c r="N392" s="14" t="s">
        <v>6472</v>
      </c>
      <c r="O392" s="14" t="s">
        <v>580</v>
      </c>
      <c r="P392" s="14" t="s">
        <v>7754</v>
      </c>
      <c r="Q392" s="14" t="s">
        <v>166</v>
      </c>
      <c r="R392" s="14" t="s">
        <v>177</v>
      </c>
      <c r="S392" s="14" t="s">
        <v>178</v>
      </c>
      <c r="T392" s="14" t="s">
        <v>179</v>
      </c>
      <c r="U392" s="14" t="s">
        <v>7755</v>
      </c>
      <c r="V392" s="14" t="s">
        <v>7756</v>
      </c>
      <c r="W392" s="21" t="s">
        <v>166</v>
      </c>
      <c r="X392" s="14" t="s">
        <v>7757</v>
      </c>
      <c r="Y392" s="14" t="s">
        <v>7758</v>
      </c>
      <c r="Z392" s="14" t="s">
        <v>166</v>
      </c>
      <c r="AA392" s="14" t="s">
        <v>166</v>
      </c>
      <c r="AB392" s="14" t="s">
        <v>166</v>
      </c>
      <c r="AC392" s="14" t="s">
        <v>166</v>
      </c>
      <c r="AD392" s="14" t="s">
        <v>166</v>
      </c>
      <c r="AE392" s="14" t="s">
        <v>166</v>
      </c>
      <c r="AF392" s="14" t="s">
        <v>166</v>
      </c>
      <c r="AG392" s="14" t="s">
        <v>166</v>
      </c>
      <c r="AH392" s="21">
        <v>3</v>
      </c>
      <c r="AI392" s="3">
        <f>HYPERLINK("https://my.pitchbook.com/?d=241088-86T","241088-86T")</f>
      </c>
      <c r="AJ392" s="19">
        <v>43865</v>
      </c>
      <c r="AK392" s="19">
        <v>44056</v>
      </c>
      <c r="AL392" s="18">
        <v>0.02</v>
      </c>
      <c r="AM392" s="14" t="s">
        <v>185</v>
      </c>
      <c r="AN392" s="18">
        <v>1.98</v>
      </c>
      <c r="AO392" s="18">
        <v>2</v>
      </c>
      <c r="AP392" s="14" t="s">
        <v>185</v>
      </c>
      <c r="AQ392" s="21" t="s">
        <v>166</v>
      </c>
      <c r="AR392" s="21" t="s">
        <v>166</v>
      </c>
      <c r="AS392" s="17" t="s">
        <v>166</v>
      </c>
      <c r="AT392" s="18">
        <v>0.12</v>
      </c>
      <c r="AU392" s="21" t="s">
        <v>186</v>
      </c>
      <c r="AV392" s="21" t="s">
        <v>166</v>
      </c>
      <c r="AW392" s="18" t="s">
        <v>166</v>
      </c>
      <c r="AX392" s="21" t="s">
        <v>166</v>
      </c>
      <c r="AY392" s="14" t="s">
        <v>187</v>
      </c>
      <c r="AZ392" s="14" t="s">
        <v>166</v>
      </c>
      <c r="BA392" s="14" t="s">
        <v>166</v>
      </c>
      <c r="BB392" s="21" t="s">
        <v>166</v>
      </c>
      <c r="BC392" s="14" t="s">
        <v>179</v>
      </c>
      <c r="BD392" s="14" t="s">
        <v>7759</v>
      </c>
      <c r="BE392" s="14" t="s">
        <v>189</v>
      </c>
      <c r="BF392" s="18">
        <v>0.02</v>
      </c>
      <c r="BG392" s="14" t="s">
        <v>190</v>
      </c>
      <c r="BH392" s="14" t="s">
        <v>166</v>
      </c>
      <c r="BI392" s="14" t="s">
        <v>166</v>
      </c>
      <c r="BJ392" s="18" t="s">
        <v>166</v>
      </c>
      <c r="BK392" s="18" t="s">
        <v>166</v>
      </c>
      <c r="BL392" s="14" t="s">
        <v>191</v>
      </c>
      <c r="BM392" s="14" t="s">
        <v>358</v>
      </c>
      <c r="BN392" s="14" t="s">
        <v>177</v>
      </c>
      <c r="BO392" s="22" t="s">
        <v>166</v>
      </c>
      <c r="BP392" s="14" t="s">
        <v>166</v>
      </c>
      <c r="BQ392" s="21" t="s">
        <v>166</v>
      </c>
      <c r="BR392" s="14" t="s">
        <v>7750</v>
      </c>
      <c r="BS392" s="21">
        <v>1</v>
      </c>
      <c r="BT392" s="14" t="s">
        <v>166</v>
      </c>
      <c r="BU392" s="14" t="s">
        <v>166</v>
      </c>
      <c r="BV392" s="14" t="s">
        <v>166</v>
      </c>
      <c r="BW392" s="14" t="s">
        <v>166</v>
      </c>
      <c r="BX392" s="14" t="s">
        <v>166</v>
      </c>
      <c r="BY392" s="14" t="s">
        <v>166</v>
      </c>
      <c r="BZ392" s="14" t="s">
        <v>166</v>
      </c>
      <c r="CA392" s="14" t="s">
        <v>166</v>
      </c>
      <c r="CB392" s="14" t="s">
        <v>166</v>
      </c>
      <c r="CC392" s="14" t="s">
        <v>166</v>
      </c>
      <c r="CD392" s="14" t="s">
        <v>166</v>
      </c>
      <c r="CE392" s="18" t="s">
        <v>166</v>
      </c>
      <c r="CF392" s="16" t="s">
        <v>166</v>
      </c>
      <c r="CG392" s="17" t="s">
        <v>166</v>
      </c>
      <c r="CH392" s="16" t="s">
        <v>166</v>
      </c>
      <c r="CI392" s="16" t="s">
        <v>166</v>
      </c>
      <c r="CJ392" s="16" t="s">
        <v>166</v>
      </c>
      <c r="CK392" s="16" t="s">
        <v>166</v>
      </c>
      <c r="CL392" s="16" t="s">
        <v>166</v>
      </c>
      <c r="CM392" s="20" t="s">
        <v>166</v>
      </c>
      <c r="CN392" s="16" t="s">
        <v>166</v>
      </c>
      <c r="CO392" s="16" t="s">
        <v>166</v>
      </c>
      <c r="CP392" s="16" t="s">
        <v>166</v>
      </c>
      <c r="CQ392" s="16" t="s">
        <v>166</v>
      </c>
      <c r="CR392" s="16" t="s">
        <v>166</v>
      </c>
      <c r="CS392" s="16" t="s">
        <v>166</v>
      </c>
      <c r="CT392" s="16" t="s">
        <v>166</v>
      </c>
      <c r="CU392" s="16" t="s">
        <v>166</v>
      </c>
      <c r="CV392" s="16" t="s">
        <v>166</v>
      </c>
      <c r="CW392" s="16" t="s">
        <v>166</v>
      </c>
      <c r="CX392" s="16" t="s">
        <v>166</v>
      </c>
      <c r="CY392" s="16" t="s">
        <v>166</v>
      </c>
      <c r="CZ392" s="16" t="s">
        <v>166</v>
      </c>
      <c r="DA392" s="16" t="s">
        <v>166</v>
      </c>
      <c r="DB392" s="16" t="s">
        <v>166</v>
      </c>
      <c r="DC392" s="16" t="s">
        <v>166</v>
      </c>
      <c r="DD392" s="16" t="s">
        <v>166</v>
      </c>
      <c r="DE392" s="17" t="s">
        <v>166</v>
      </c>
      <c r="DF392" s="22">
        <v>2</v>
      </c>
      <c r="DG392" s="14" t="s">
        <v>654</v>
      </c>
      <c r="DH392" s="14" t="s">
        <v>193</v>
      </c>
      <c r="DI392" s="14" t="s">
        <v>194</v>
      </c>
      <c r="DJ392" s="14" t="s">
        <v>655</v>
      </c>
      <c r="DK392" s="14" t="s">
        <v>310</v>
      </c>
      <c r="DL392" s="21" t="s">
        <v>166</v>
      </c>
      <c r="DM392" s="14" t="s">
        <v>198</v>
      </c>
      <c r="DN392" s="13" t="s">
        <v>7760</v>
      </c>
      <c r="DO392" s="20">
        <v>2020</v>
      </c>
      <c r="DP392" s="14" t="s">
        <v>166</v>
      </c>
      <c r="DQ392" s="14" t="s">
        <v>166</v>
      </c>
      <c r="DR392" s="18" t="s">
        <v>166</v>
      </c>
      <c r="DS392" s="16" t="s">
        <v>166</v>
      </c>
      <c r="DT392" s="19" t="s">
        <v>166</v>
      </c>
      <c r="DU392" s="14" t="s">
        <v>166</v>
      </c>
      <c r="DV392" s="18" t="s">
        <v>166</v>
      </c>
      <c r="DW392" s="18" t="s">
        <v>166</v>
      </c>
      <c r="DX392" s="16" t="s">
        <v>166</v>
      </c>
      <c r="DY392" s="16" t="s">
        <v>166</v>
      </c>
      <c r="DZ392" s="17" t="s">
        <v>166</v>
      </c>
      <c r="EA392" s="16" t="s">
        <v>166</v>
      </c>
      <c r="EB392" s="16" t="s">
        <v>166</v>
      </c>
      <c r="EC392" s="16" t="s">
        <v>166</v>
      </c>
      <c r="ED392" s="17" t="s">
        <v>166</v>
      </c>
      <c r="EE392" s="17" t="s">
        <v>166</v>
      </c>
      <c r="EF392" s="17" t="s">
        <v>166</v>
      </c>
      <c r="EG392" s="17" t="s">
        <v>166</v>
      </c>
      <c r="EH392" s="16" t="s">
        <v>166</v>
      </c>
      <c r="EI392" s="16" t="s">
        <v>166</v>
      </c>
      <c r="EJ392" s="16" t="s">
        <v>166</v>
      </c>
      <c r="EK392" s="16" t="s">
        <v>166</v>
      </c>
      <c r="EL392" s="16" t="s">
        <v>166</v>
      </c>
      <c r="EM392" s="16" t="s">
        <v>166</v>
      </c>
      <c r="EN392" s="16" t="s">
        <v>166</v>
      </c>
      <c r="EO392" s="16" t="s">
        <v>166</v>
      </c>
      <c r="EP392" s="16" t="s">
        <v>166</v>
      </c>
      <c r="EQ392" s="16" t="s">
        <v>166</v>
      </c>
      <c r="ER392" s="16" t="s">
        <v>166</v>
      </c>
      <c r="ES392" s="16" t="s">
        <v>166</v>
      </c>
      <c r="ET392" s="14" t="s">
        <v>166</v>
      </c>
      <c r="EU392" s="16" t="s">
        <v>166</v>
      </c>
      <c r="EV392" s="16" t="s">
        <v>166</v>
      </c>
      <c r="EW392" s="16" t="s">
        <v>166</v>
      </c>
      <c r="EX392" s="14" t="s">
        <v>190</v>
      </c>
      <c r="EY392" s="14" t="s">
        <v>166</v>
      </c>
      <c r="EZ392" s="16" t="s">
        <v>166</v>
      </c>
      <c r="FA392" s="15" t="s">
        <v>166</v>
      </c>
      <c r="FB392" s="15" t="s">
        <v>166</v>
      </c>
      <c r="FC392" s="15" t="s">
        <v>166</v>
      </c>
      <c r="FD392" s="15" t="s">
        <v>166</v>
      </c>
      <c r="FE392" s="15" t="s">
        <v>166</v>
      </c>
      <c r="FF392" s="15" t="s">
        <v>166</v>
      </c>
      <c r="FG392" s="14" t="s">
        <v>166</v>
      </c>
      <c r="FH392" s="3">
        <f>HYPERLINK("https://my.pitchbook.com?c=241088-86T","View Company Online")</f>
      </c>
    </row>
    <row r="393">
      <c r="A393" s="25" t="s">
        <v>7761</v>
      </c>
      <c r="B393" s="25" t="s">
        <v>7762</v>
      </c>
      <c r="C393" s="25" t="s">
        <v>7763</v>
      </c>
      <c r="D393" s="25" t="s">
        <v>166</v>
      </c>
      <c r="E393" s="34" t="s">
        <v>7764</v>
      </c>
      <c r="F393" s="32">
        <v>1</v>
      </c>
      <c r="G393" s="25" t="s">
        <v>7765</v>
      </c>
      <c r="H393" s="25" t="s">
        <v>166</v>
      </c>
      <c r="I393" s="25" t="s">
        <v>7766</v>
      </c>
      <c r="J393" s="25" t="s">
        <v>7767</v>
      </c>
      <c r="K393" s="25" t="s">
        <v>207</v>
      </c>
      <c r="L393" s="25" t="s">
        <v>208</v>
      </c>
      <c r="M393" s="25" t="s">
        <v>209</v>
      </c>
      <c r="N393" s="25" t="s">
        <v>7768</v>
      </c>
      <c r="O393" s="25" t="s">
        <v>7769</v>
      </c>
      <c r="P393" s="25" t="s">
        <v>7770</v>
      </c>
      <c r="Q393" s="25" t="s">
        <v>166</v>
      </c>
      <c r="R393" s="25" t="s">
        <v>177</v>
      </c>
      <c r="S393" s="25" t="s">
        <v>178</v>
      </c>
      <c r="T393" s="25" t="s">
        <v>179</v>
      </c>
      <c r="U393" s="25" t="s">
        <v>7771</v>
      </c>
      <c r="V393" s="25" t="s">
        <v>7772</v>
      </c>
      <c r="W393" s="32" t="s">
        <v>7773</v>
      </c>
      <c r="X393" s="25" t="s">
        <v>7774</v>
      </c>
      <c r="Y393" s="25" t="s">
        <v>7775</v>
      </c>
      <c r="Z393" s="25" t="s">
        <v>7776</v>
      </c>
      <c r="AA393" s="25" t="s">
        <v>166</v>
      </c>
      <c r="AB393" s="25" t="s">
        <v>166</v>
      </c>
      <c r="AC393" s="25" t="s">
        <v>166</v>
      </c>
      <c r="AD393" s="25" t="s">
        <v>166</v>
      </c>
      <c r="AE393" s="25" t="s">
        <v>166</v>
      </c>
      <c r="AF393" s="25" t="s">
        <v>166</v>
      </c>
      <c r="AG393" s="25" t="s">
        <v>166</v>
      </c>
      <c r="AH393" s="32">
        <v>2</v>
      </c>
      <c r="AI393" s="4">
        <f>HYPERLINK("https://my.pitchbook.com/?d=270481-87T","270481-87T")</f>
      </c>
      <c r="AJ393" s="30" t="s">
        <v>166</v>
      </c>
      <c r="AK393" s="30">
        <v>44740</v>
      </c>
      <c r="AL393" s="29">
        <v>0.25</v>
      </c>
      <c r="AM393" s="25" t="s">
        <v>185</v>
      </c>
      <c r="AN393" s="29" t="s">
        <v>166</v>
      </c>
      <c r="AO393" s="29" t="s">
        <v>166</v>
      </c>
      <c r="AP393" s="25" t="s">
        <v>166</v>
      </c>
      <c r="AQ393" s="32" t="s">
        <v>166</v>
      </c>
      <c r="AR393" s="32" t="s">
        <v>166</v>
      </c>
      <c r="AS393" s="28" t="s">
        <v>166</v>
      </c>
      <c r="AT393" s="29">
        <v>0.28</v>
      </c>
      <c r="AU393" s="32" t="s">
        <v>186</v>
      </c>
      <c r="AV393" s="32" t="s">
        <v>166</v>
      </c>
      <c r="AW393" s="29" t="s">
        <v>166</v>
      </c>
      <c r="AX393" s="32" t="s">
        <v>166</v>
      </c>
      <c r="AY393" s="25" t="s">
        <v>217</v>
      </c>
      <c r="AZ393" s="25" t="s">
        <v>217</v>
      </c>
      <c r="BA393" s="25" t="s">
        <v>166</v>
      </c>
      <c r="BB393" s="32" t="s">
        <v>166</v>
      </c>
      <c r="BC393" s="25" t="s">
        <v>179</v>
      </c>
      <c r="BD393" s="25" t="s">
        <v>7767</v>
      </c>
      <c r="BE393" s="25" t="s">
        <v>189</v>
      </c>
      <c r="BF393" s="29">
        <v>0.25</v>
      </c>
      <c r="BG393" s="25" t="s">
        <v>190</v>
      </c>
      <c r="BH393" s="25" t="s">
        <v>166</v>
      </c>
      <c r="BI393" s="25" t="s">
        <v>166</v>
      </c>
      <c r="BJ393" s="29" t="s">
        <v>166</v>
      </c>
      <c r="BK393" s="29" t="s">
        <v>166</v>
      </c>
      <c r="BL393" s="25" t="s">
        <v>191</v>
      </c>
      <c r="BM393" s="25" t="s">
        <v>178</v>
      </c>
      <c r="BN393" s="25" t="s">
        <v>177</v>
      </c>
      <c r="BO393" s="33">
        <v>2</v>
      </c>
      <c r="BP393" s="25" t="s">
        <v>7764</v>
      </c>
      <c r="BQ393" s="32">
        <v>1</v>
      </c>
      <c r="BR393" s="25" t="s">
        <v>166</v>
      </c>
      <c r="BS393" s="32" t="s">
        <v>166</v>
      </c>
      <c r="BT393" s="25" t="s">
        <v>166</v>
      </c>
      <c r="BU393" s="25" t="s">
        <v>166</v>
      </c>
      <c r="BV393" s="25" t="s">
        <v>166</v>
      </c>
      <c r="BW393" s="25" t="s">
        <v>166</v>
      </c>
      <c r="BX393" s="25" t="s">
        <v>166</v>
      </c>
      <c r="BY393" s="25" t="s">
        <v>166</v>
      </c>
      <c r="BZ393" s="25" t="s">
        <v>7777</v>
      </c>
      <c r="CA393" s="25" t="s">
        <v>7777</v>
      </c>
      <c r="CB393" s="25" t="s">
        <v>166</v>
      </c>
      <c r="CC393" s="25" t="s">
        <v>166</v>
      </c>
      <c r="CD393" s="25" t="s">
        <v>166</v>
      </c>
      <c r="CE393" s="29" t="s">
        <v>166</v>
      </c>
      <c r="CF393" s="27" t="s">
        <v>166</v>
      </c>
      <c r="CG393" s="28" t="s">
        <v>166</v>
      </c>
      <c r="CH393" s="27" t="s">
        <v>166</v>
      </c>
      <c r="CI393" s="27" t="s">
        <v>166</v>
      </c>
      <c r="CJ393" s="27" t="s">
        <v>166</v>
      </c>
      <c r="CK393" s="27" t="s">
        <v>166</v>
      </c>
      <c r="CL393" s="27" t="s">
        <v>166</v>
      </c>
      <c r="CM393" s="31" t="s">
        <v>166</v>
      </c>
      <c r="CN393" s="27" t="s">
        <v>166</v>
      </c>
      <c r="CO393" s="27" t="s">
        <v>166</v>
      </c>
      <c r="CP393" s="27" t="s">
        <v>166</v>
      </c>
      <c r="CQ393" s="27" t="s">
        <v>166</v>
      </c>
      <c r="CR393" s="27" t="s">
        <v>166</v>
      </c>
      <c r="CS393" s="27" t="s">
        <v>166</v>
      </c>
      <c r="CT393" s="27" t="s">
        <v>166</v>
      </c>
      <c r="CU393" s="27" t="s">
        <v>166</v>
      </c>
      <c r="CV393" s="27" t="s">
        <v>166</v>
      </c>
      <c r="CW393" s="27" t="s">
        <v>166</v>
      </c>
      <c r="CX393" s="27" t="s">
        <v>166</v>
      </c>
      <c r="CY393" s="27" t="s">
        <v>166</v>
      </c>
      <c r="CZ393" s="27" t="s">
        <v>166</v>
      </c>
      <c r="DA393" s="27" t="s">
        <v>166</v>
      </c>
      <c r="DB393" s="27" t="s">
        <v>166</v>
      </c>
      <c r="DC393" s="27" t="s">
        <v>166</v>
      </c>
      <c r="DD393" s="27" t="s">
        <v>166</v>
      </c>
      <c r="DE393" s="28" t="s">
        <v>166</v>
      </c>
      <c r="DF393" s="33">
        <v>4</v>
      </c>
      <c r="DG393" s="25" t="s">
        <v>543</v>
      </c>
      <c r="DH393" s="25" t="s">
        <v>193</v>
      </c>
      <c r="DI393" s="25" t="s">
        <v>194</v>
      </c>
      <c r="DJ393" s="25" t="s">
        <v>544</v>
      </c>
      <c r="DK393" s="25" t="s">
        <v>545</v>
      </c>
      <c r="DL393" s="32" t="s">
        <v>7778</v>
      </c>
      <c r="DM393" s="25" t="s">
        <v>198</v>
      </c>
      <c r="DN393" s="24" t="s">
        <v>7779</v>
      </c>
      <c r="DO393" s="31">
        <v>2020</v>
      </c>
      <c r="DP393" s="25" t="s">
        <v>166</v>
      </c>
      <c r="DQ393" s="25" t="s">
        <v>166</v>
      </c>
      <c r="DR393" s="29" t="s">
        <v>166</v>
      </c>
      <c r="DS393" s="27" t="s">
        <v>166</v>
      </c>
      <c r="DT393" s="30" t="s">
        <v>166</v>
      </c>
      <c r="DU393" s="25" t="s">
        <v>166</v>
      </c>
      <c r="DV393" s="29" t="s">
        <v>166</v>
      </c>
      <c r="DW393" s="29" t="s">
        <v>166</v>
      </c>
      <c r="DX393" s="27" t="s">
        <v>166</v>
      </c>
      <c r="DY393" s="27" t="s">
        <v>166</v>
      </c>
      <c r="DZ393" s="28" t="s">
        <v>166</v>
      </c>
      <c r="EA393" s="27" t="s">
        <v>166</v>
      </c>
      <c r="EB393" s="27" t="s">
        <v>166</v>
      </c>
      <c r="EC393" s="27" t="s">
        <v>166</v>
      </c>
      <c r="ED393" s="28" t="s">
        <v>166</v>
      </c>
      <c r="EE393" s="28" t="s">
        <v>166</v>
      </c>
      <c r="EF393" s="28" t="s">
        <v>166</v>
      </c>
      <c r="EG393" s="28" t="s">
        <v>166</v>
      </c>
      <c r="EH393" s="27" t="s">
        <v>166</v>
      </c>
      <c r="EI393" s="27" t="s">
        <v>166</v>
      </c>
      <c r="EJ393" s="27" t="s">
        <v>166</v>
      </c>
      <c r="EK393" s="27" t="s">
        <v>166</v>
      </c>
      <c r="EL393" s="27" t="s">
        <v>166</v>
      </c>
      <c r="EM393" s="27" t="s">
        <v>166</v>
      </c>
      <c r="EN393" s="27" t="s">
        <v>166</v>
      </c>
      <c r="EO393" s="27" t="s">
        <v>166</v>
      </c>
      <c r="EP393" s="27" t="s">
        <v>166</v>
      </c>
      <c r="EQ393" s="27" t="s">
        <v>166</v>
      </c>
      <c r="ER393" s="27" t="s">
        <v>166</v>
      </c>
      <c r="ES393" s="27" t="s">
        <v>166</v>
      </c>
      <c r="ET393" s="25" t="s">
        <v>166</v>
      </c>
      <c r="EU393" s="27" t="s">
        <v>166</v>
      </c>
      <c r="EV393" s="27" t="s">
        <v>166</v>
      </c>
      <c r="EW393" s="27" t="s">
        <v>166</v>
      </c>
      <c r="EX393" s="25" t="s">
        <v>190</v>
      </c>
      <c r="EY393" s="25" t="s">
        <v>166</v>
      </c>
      <c r="EZ393" s="27" t="s">
        <v>166</v>
      </c>
      <c r="FA393" s="26" t="s">
        <v>166</v>
      </c>
      <c r="FB393" s="26" t="s">
        <v>166</v>
      </c>
      <c r="FC393" s="26" t="s">
        <v>166</v>
      </c>
      <c r="FD393" s="26" t="s">
        <v>166</v>
      </c>
      <c r="FE393" s="26" t="s">
        <v>166</v>
      </c>
      <c r="FF393" s="26" t="s">
        <v>166</v>
      </c>
      <c r="FG393" s="25" t="s">
        <v>166</v>
      </c>
      <c r="FH393" s="4">
        <f>HYPERLINK("https://my.pitchbook.com?c=270481-87T","View Company Online")</f>
      </c>
    </row>
    <row r="394">
      <c r="A394" s="14" t="s">
        <v>7780</v>
      </c>
      <c r="B394" s="14" t="s">
        <v>7781</v>
      </c>
      <c r="C394" s="14" t="s">
        <v>7782</v>
      </c>
      <c r="D394" s="14" t="s">
        <v>166</v>
      </c>
      <c r="E394" s="23" t="s">
        <v>7783</v>
      </c>
      <c r="F394" s="21">
        <v>7</v>
      </c>
      <c r="G394" s="14" t="s">
        <v>7784</v>
      </c>
      <c r="H394" s="14" t="s">
        <v>166</v>
      </c>
      <c r="I394" s="14" t="s">
        <v>7785</v>
      </c>
      <c r="J394" s="14" t="s">
        <v>7786</v>
      </c>
      <c r="K394" s="14" t="s">
        <v>1455</v>
      </c>
      <c r="L394" s="14" t="s">
        <v>5912</v>
      </c>
      <c r="M394" s="14" t="s">
        <v>7112</v>
      </c>
      <c r="N394" s="14" t="s">
        <v>7787</v>
      </c>
      <c r="O394" s="14" t="s">
        <v>166</v>
      </c>
      <c r="P394" s="14" t="s">
        <v>7788</v>
      </c>
      <c r="Q394" s="14" t="s">
        <v>166</v>
      </c>
      <c r="R394" s="14" t="s">
        <v>177</v>
      </c>
      <c r="S394" s="14" t="s">
        <v>178</v>
      </c>
      <c r="T394" s="14" t="s">
        <v>179</v>
      </c>
      <c r="U394" s="14" t="s">
        <v>7789</v>
      </c>
      <c r="V394" s="14" t="s">
        <v>7790</v>
      </c>
      <c r="W394" s="21" t="s">
        <v>7791</v>
      </c>
      <c r="X394" s="14" t="s">
        <v>7792</v>
      </c>
      <c r="Y394" s="14" t="s">
        <v>7793</v>
      </c>
      <c r="Z394" s="14" t="s">
        <v>166</v>
      </c>
      <c r="AA394" s="14" t="s">
        <v>242</v>
      </c>
      <c r="AB394" s="14" t="s">
        <v>243</v>
      </c>
      <c r="AC394" s="14" t="s">
        <v>244</v>
      </c>
      <c r="AD394" s="14" t="s">
        <v>243</v>
      </c>
      <c r="AE394" s="14" t="s">
        <v>243</v>
      </c>
      <c r="AF394" s="14" t="s">
        <v>166</v>
      </c>
      <c r="AG394" s="14" t="s">
        <v>246</v>
      </c>
      <c r="AH394" s="21">
        <v>1</v>
      </c>
      <c r="AI394" s="3">
        <f>HYPERLINK("https://my.pitchbook.com/?d=187968-79T","187968-79T")</f>
      </c>
      <c r="AJ394" s="19">
        <v>44574</v>
      </c>
      <c r="AK394" s="19">
        <v>44754</v>
      </c>
      <c r="AL394" s="18">
        <v>2.67</v>
      </c>
      <c r="AM394" s="14" t="s">
        <v>185</v>
      </c>
      <c r="AN394" s="18">
        <v>8</v>
      </c>
      <c r="AO394" s="18">
        <v>10.67</v>
      </c>
      <c r="AP394" s="14" t="s">
        <v>185</v>
      </c>
      <c r="AQ394" s="21" t="s">
        <v>166</v>
      </c>
      <c r="AR394" s="21" t="s">
        <v>166</v>
      </c>
      <c r="AS394" s="17">
        <v>26.8</v>
      </c>
      <c r="AT394" s="18">
        <v>2.67</v>
      </c>
      <c r="AU394" s="21" t="s">
        <v>186</v>
      </c>
      <c r="AV394" s="21" t="s">
        <v>166</v>
      </c>
      <c r="AW394" s="18">
        <v>0.69</v>
      </c>
      <c r="AX394" s="21" t="s">
        <v>166</v>
      </c>
      <c r="AY394" s="14" t="s">
        <v>217</v>
      </c>
      <c r="AZ394" s="14" t="s">
        <v>217</v>
      </c>
      <c r="BA394" s="14" t="s">
        <v>166</v>
      </c>
      <c r="BB394" s="21" t="s">
        <v>166</v>
      </c>
      <c r="BC394" s="14" t="s">
        <v>179</v>
      </c>
      <c r="BD394" s="14" t="s">
        <v>7794</v>
      </c>
      <c r="BE394" s="14" t="s">
        <v>189</v>
      </c>
      <c r="BF394" s="18">
        <v>2.67</v>
      </c>
      <c r="BG394" s="14" t="s">
        <v>190</v>
      </c>
      <c r="BH394" s="14" t="s">
        <v>166</v>
      </c>
      <c r="BI394" s="14" t="s">
        <v>166</v>
      </c>
      <c r="BJ394" s="18" t="s">
        <v>166</v>
      </c>
      <c r="BK394" s="18" t="s">
        <v>166</v>
      </c>
      <c r="BL394" s="14" t="s">
        <v>191</v>
      </c>
      <c r="BM394" s="14" t="s">
        <v>178</v>
      </c>
      <c r="BN394" s="14" t="s">
        <v>177</v>
      </c>
      <c r="BO394" s="22" t="s">
        <v>166</v>
      </c>
      <c r="BP394" s="14" t="s">
        <v>7795</v>
      </c>
      <c r="BQ394" s="21">
        <v>7</v>
      </c>
      <c r="BR394" s="14" t="s">
        <v>166</v>
      </c>
      <c r="BS394" s="21" t="s">
        <v>166</v>
      </c>
      <c r="BT394" s="14" t="s">
        <v>166</v>
      </c>
      <c r="BU394" s="14" t="s">
        <v>166</v>
      </c>
      <c r="BV394" s="14" t="s">
        <v>7796</v>
      </c>
      <c r="BW394" s="14" t="s">
        <v>166</v>
      </c>
      <c r="BX394" s="14" t="s">
        <v>166</v>
      </c>
      <c r="BY394" s="14" t="s">
        <v>166</v>
      </c>
      <c r="BZ394" s="14" t="s">
        <v>7797</v>
      </c>
      <c r="CA394" s="14" t="s">
        <v>7798</v>
      </c>
      <c r="CB394" s="14" t="s">
        <v>166</v>
      </c>
      <c r="CC394" s="14" t="s">
        <v>7799</v>
      </c>
      <c r="CD394" s="14" t="s">
        <v>166</v>
      </c>
      <c r="CE394" s="18" t="s">
        <v>166</v>
      </c>
      <c r="CF394" s="16" t="s">
        <v>166</v>
      </c>
      <c r="CG394" s="17" t="s">
        <v>166</v>
      </c>
      <c r="CH394" s="16" t="s">
        <v>166</v>
      </c>
      <c r="CI394" s="16" t="s">
        <v>166</v>
      </c>
      <c r="CJ394" s="16" t="s">
        <v>166</v>
      </c>
      <c r="CK394" s="16" t="s">
        <v>166</v>
      </c>
      <c r="CL394" s="16" t="s">
        <v>166</v>
      </c>
      <c r="CM394" s="20" t="s">
        <v>166</v>
      </c>
      <c r="CN394" s="16" t="s">
        <v>166</v>
      </c>
      <c r="CO394" s="16" t="s">
        <v>166</v>
      </c>
      <c r="CP394" s="16" t="s">
        <v>166</v>
      </c>
      <c r="CQ394" s="16" t="s">
        <v>166</v>
      </c>
      <c r="CR394" s="16" t="s">
        <v>166</v>
      </c>
      <c r="CS394" s="16" t="s">
        <v>166</v>
      </c>
      <c r="CT394" s="16" t="s">
        <v>166</v>
      </c>
      <c r="CU394" s="16" t="s">
        <v>166</v>
      </c>
      <c r="CV394" s="16" t="s">
        <v>166</v>
      </c>
      <c r="CW394" s="16" t="s">
        <v>166</v>
      </c>
      <c r="CX394" s="16" t="s">
        <v>166</v>
      </c>
      <c r="CY394" s="16" t="s">
        <v>166</v>
      </c>
      <c r="CZ394" s="16" t="s">
        <v>166</v>
      </c>
      <c r="DA394" s="16" t="s">
        <v>166</v>
      </c>
      <c r="DB394" s="16" t="s">
        <v>166</v>
      </c>
      <c r="DC394" s="16" t="s">
        <v>166</v>
      </c>
      <c r="DD394" s="16" t="s">
        <v>166</v>
      </c>
      <c r="DE394" s="17" t="s">
        <v>166</v>
      </c>
      <c r="DF394" s="22">
        <v>33</v>
      </c>
      <c r="DG394" s="14" t="s">
        <v>309</v>
      </c>
      <c r="DH394" s="14" t="s">
        <v>193</v>
      </c>
      <c r="DI394" s="14" t="s">
        <v>194</v>
      </c>
      <c r="DJ394" s="14" t="s">
        <v>310</v>
      </c>
      <c r="DK394" s="14" t="s">
        <v>310</v>
      </c>
      <c r="DL394" s="21" t="s">
        <v>1848</v>
      </c>
      <c r="DM394" s="14" t="s">
        <v>198</v>
      </c>
      <c r="DN394" s="13" t="s">
        <v>7800</v>
      </c>
      <c r="DO394" s="20">
        <v>2020</v>
      </c>
      <c r="DP394" s="14" t="s">
        <v>166</v>
      </c>
      <c r="DQ394" s="14" t="s">
        <v>166</v>
      </c>
      <c r="DR394" s="18" t="s">
        <v>166</v>
      </c>
      <c r="DS394" s="16" t="s">
        <v>166</v>
      </c>
      <c r="DT394" s="19" t="s">
        <v>166</v>
      </c>
      <c r="DU394" s="14" t="s">
        <v>166</v>
      </c>
      <c r="DV394" s="18" t="s">
        <v>166</v>
      </c>
      <c r="DW394" s="18" t="s">
        <v>166</v>
      </c>
      <c r="DX394" s="16" t="s">
        <v>166</v>
      </c>
      <c r="DY394" s="16" t="s">
        <v>166</v>
      </c>
      <c r="DZ394" s="17" t="s">
        <v>166</v>
      </c>
      <c r="EA394" s="16" t="s">
        <v>166</v>
      </c>
      <c r="EB394" s="16" t="s">
        <v>166</v>
      </c>
      <c r="EC394" s="16" t="s">
        <v>166</v>
      </c>
      <c r="ED394" s="17" t="s">
        <v>166</v>
      </c>
      <c r="EE394" s="17" t="s">
        <v>166</v>
      </c>
      <c r="EF394" s="17" t="s">
        <v>166</v>
      </c>
      <c r="EG394" s="17" t="s">
        <v>166</v>
      </c>
      <c r="EH394" s="16" t="s">
        <v>166</v>
      </c>
      <c r="EI394" s="16" t="s">
        <v>166</v>
      </c>
      <c r="EJ394" s="16" t="s">
        <v>166</v>
      </c>
      <c r="EK394" s="16" t="s">
        <v>166</v>
      </c>
      <c r="EL394" s="16" t="s">
        <v>166</v>
      </c>
      <c r="EM394" s="16" t="s">
        <v>166</v>
      </c>
      <c r="EN394" s="16" t="s">
        <v>166</v>
      </c>
      <c r="EO394" s="16" t="s">
        <v>166</v>
      </c>
      <c r="EP394" s="16" t="s">
        <v>166</v>
      </c>
      <c r="EQ394" s="16" t="s">
        <v>166</v>
      </c>
      <c r="ER394" s="16" t="s">
        <v>166</v>
      </c>
      <c r="ES394" s="16" t="s">
        <v>166</v>
      </c>
      <c r="ET394" s="14" t="s">
        <v>166</v>
      </c>
      <c r="EU394" s="16" t="s">
        <v>166</v>
      </c>
      <c r="EV394" s="16" t="s">
        <v>166</v>
      </c>
      <c r="EW394" s="16" t="s">
        <v>166</v>
      </c>
      <c r="EX394" s="14" t="s">
        <v>190</v>
      </c>
      <c r="EY394" s="14" t="s">
        <v>166</v>
      </c>
      <c r="EZ394" s="16" t="s">
        <v>166</v>
      </c>
      <c r="FA394" s="15" t="s">
        <v>166</v>
      </c>
      <c r="FB394" s="15" t="s">
        <v>166</v>
      </c>
      <c r="FC394" s="15" t="s">
        <v>166</v>
      </c>
      <c r="FD394" s="15" t="s">
        <v>166</v>
      </c>
      <c r="FE394" s="15" t="s">
        <v>166</v>
      </c>
      <c r="FF394" s="15" t="s">
        <v>166</v>
      </c>
      <c r="FG394" s="14" t="s">
        <v>166</v>
      </c>
      <c r="FH394" s="3">
        <f>HYPERLINK("https://my.pitchbook.com?c=187968-79T","View Company Online")</f>
      </c>
    </row>
    <row r="395">
      <c r="A395" s="25" t="s">
        <v>7801</v>
      </c>
      <c r="B395" s="25" t="s">
        <v>7802</v>
      </c>
      <c r="C395" s="25" t="s">
        <v>7803</v>
      </c>
      <c r="D395" s="25" t="s">
        <v>166</v>
      </c>
      <c r="E395" s="34" t="s">
        <v>7804</v>
      </c>
      <c r="F395" s="32">
        <v>4</v>
      </c>
      <c r="G395" s="25" t="s">
        <v>7805</v>
      </c>
      <c r="H395" s="25" t="s">
        <v>166</v>
      </c>
      <c r="I395" s="25" t="s">
        <v>7806</v>
      </c>
      <c r="J395" s="25" t="s">
        <v>7807</v>
      </c>
      <c r="K395" s="25" t="s">
        <v>171</v>
      </c>
      <c r="L395" s="25" t="s">
        <v>172</v>
      </c>
      <c r="M395" s="25" t="s">
        <v>173</v>
      </c>
      <c r="N395" s="25" t="s">
        <v>2890</v>
      </c>
      <c r="O395" s="25" t="s">
        <v>580</v>
      </c>
      <c r="P395" s="25" t="s">
        <v>7808</v>
      </c>
      <c r="Q395" s="25" t="s">
        <v>166</v>
      </c>
      <c r="R395" s="25" t="s">
        <v>177</v>
      </c>
      <c r="S395" s="25" t="s">
        <v>178</v>
      </c>
      <c r="T395" s="25" t="s">
        <v>179</v>
      </c>
      <c r="U395" s="25" t="s">
        <v>7809</v>
      </c>
      <c r="V395" s="25" t="s">
        <v>7810</v>
      </c>
      <c r="W395" s="32" t="s">
        <v>166</v>
      </c>
      <c r="X395" s="25" t="s">
        <v>7811</v>
      </c>
      <c r="Y395" s="25" t="s">
        <v>7812</v>
      </c>
      <c r="Z395" s="25" t="s">
        <v>7813</v>
      </c>
      <c r="AA395" s="25" t="s">
        <v>242</v>
      </c>
      <c r="AB395" s="25" t="s">
        <v>243</v>
      </c>
      <c r="AC395" s="25" t="s">
        <v>244</v>
      </c>
      <c r="AD395" s="25" t="s">
        <v>243</v>
      </c>
      <c r="AE395" s="25" t="s">
        <v>243</v>
      </c>
      <c r="AF395" s="25" t="s">
        <v>166</v>
      </c>
      <c r="AG395" s="25" t="s">
        <v>246</v>
      </c>
      <c r="AH395" s="32">
        <v>1</v>
      </c>
      <c r="AI395" s="4">
        <f>HYPERLINK("https://my.pitchbook.com/?d=207109-00T","207109-00T")</f>
      </c>
      <c r="AJ395" s="30" t="s">
        <v>166</v>
      </c>
      <c r="AK395" s="30">
        <v>44931</v>
      </c>
      <c r="AL395" s="29">
        <v>3.75</v>
      </c>
      <c r="AM395" s="25" t="s">
        <v>247</v>
      </c>
      <c r="AN395" s="29">
        <v>10</v>
      </c>
      <c r="AO395" s="29">
        <v>13.75</v>
      </c>
      <c r="AP395" s="25" t="s">
        <v>185</v>
      </c>
      <c r="AQ395" s="32" t="s">
        <v>166</v>
      </c>
      <c r="AR395" s="32" t="s">
        <v>166</v>
      </c>
      <c r="AS395" s="28">
        <v>28.37</v>
      </c>
      <c r="AT395" s="29">
        <v>3.75</v>
      </c>
      <c r="AU395" s="32" t="s">
        <v>186</v>
      </c>
      <c r="AV395" s="32" t="s">
        <v>166</v>
      </c>
      <c r="AW395" s="29">
        <v>1.07</v>
      </c>
      <c r="AX395" s="32" t="s">
        <v>166</v>
      </c>
      <c r="AY395" s="25" t="s">
        <v>217</v>
      </c>
      <c r="AZ395" s="25" t="s">
        <v>217</v>
      </c>
      <c r="BA395" s="25" t="s">
        <v>166</v>
      </c>
      <c r="BB395" s="32" t="s">
        <v>166</v>
      </c>
      <c r="BC395" s="25" t="s">
        <v>179</v>
      </c>
      <c r="BD395" s="25" t="s">
        <v>7807</v>
      </c>
      <c r="BE395" s="25" t="s">
        <v>189</v>
      </c>
      <c r="BF395" s="29">
        <v>3.75</v>
      </c>
      <c r="BG395" s="25" t="s">
        <v>190</v>
      </c>
      <c r="BH395" s="25" t="s">
        <v>166</v>
      </c>
      <c r="BI395" s="25" t="s">
        <v>166</v>
      </c>
      <c r="BJ395" s="29" t="s">
        <v>166</v>
      </c>
      <c r="BK395" s="29" t="s">
        <v>166</v>
      </c>
      <c r="BL395" s="25" t="s">
        <v>191</v>
      </c>
      <c r="BM395" s="25" t="s">
        <v>178</v>
      </c>
      <c r="BN395" s="25" t="s">
        <v>177</v>
      </c>
      <c r="BO395" s="33" t="s">
        <v>166</v>
      </c>
      <c r="BP395" s="25" t="s">
        <v>7804</v>
      </c>
      <c r="BQ395" s="32">
        <v>4</v>
      </c>
      <c r="BR395" s="25" t="s">
        <v>166</v>
      </c>
      <c r="BS395" s="32" t="s">
        <v>166</v>
      </c>
      <c r="BT395" s="25" t="s">
        <v>166</v>
      </c>
      <c r="BU395" s="25" t="s">
        <v>166</v>
      </c>
      <c r="BV395" s="25" t="s">
        <v>7814</v>
      </c>
      <c r="BW395" s="25" t="s">
        <v>166</v>
      </c>
      <c r="BX395" s="25" t="s">
        <v>166</v>
      </c>
      <c r="BY395" s="25" t="s">
        <v>166</v>
      </c>
      <c r="BZ395" s="25" t="s">
        <v>1232</v>
      </c>
      <c r="CA395" s="25" t="s">
        <v>1232</v>
      </c>
      <c r="CB395" s="25" t="s">
        <v>166</v>
      </c>
      <c r="CC395" s="25" t="s">
        <v>166</v>
      </c>
      <c r="CD395" s="25" t="s">
        <v>166</v>
      </c>
      <c r="CE395" s="29" t="s">
        <v>166</v>
      </c>
      <c r="CF395" s="27" t="s">
        <v>166</v>
      </c>
      <c r="CG395" s="28" t="s">
        <v>166</v>
      </c>
      <c r="CH395" s="27" t="s">
        <v>166</v>
      </c>
      <c r="CI395" s="27" t="s">
        <v>166</v>
      </c>
      <c r="CJ395" s="27" t="s">
        <v>166</v>
      </c>
      <c r="CK395" s="27" t="s">
        <v>166</v>
      </c>
      <c r="CL395" s="27" t="s">
        <v>166</v>
      </c>
      <c r="CM395" s="31" t="s">
        <v>166</v>
      </c>
      <c r="CN395" s="27" t="s">
        <v>166</v>
      </c>
      <c r="CO395" s="27" t="s">
        <v>166</v>
      </c>
      <c r="CP395" s="27" t="s">
        <v>166</v>
      </c>
      <c r="CQ395" s="27" t="s">
        <v>166</v>
      </c>
      <c r="CR395" s="27" t="s">
        <v>166</v>
      </c>
      <c r="CS395" s="27" t="s">
        <v>166</v>
      </c>
      <c r="CT395" s="27" t="s">
        <v>166</v>
      </c>
      <c r="CU395" s="27" t="s">
        <v>166</v>
      </c>
      <c r="CV395" s="27" t="s">
        <v>166</v>
      </c>
      <c r="CW395" s="27" t="s">
        <v>166</v>
      </c>
      <c r="CX395" s="27" t="s">
        <v>166</v>
      </c>
      <c r="CY395" s="27" t="s">
        <v>166</v>
      </c>
      <c r="CZ395" s="27" t="s">
        <v>166</v>
      </c>
      <c r="DA395" s="27" t="s">
        <v>166</v>
      </c>
      <c r="DB395" s="27" t="s">
        <v>166</v>
      </c>
      <c r="DC395" s="27" t="s">
        <v>166</v>
      </c>
      <c r="DD395" s="27" t="s">
        <v>166</v>
      </c>
      <c r="DE395" s="28" t="s">
        <v>166</v>
      </c>
      <c r="DF395" s="33">
        <v>8</v>
      </c>
      <c r="DG395" s="25" t="s">
        <v>309</v>
      </c>
      <c r="DH395" s="25" t="s">
        <v>193</v>
      </c>
      <c r="DI395" s="25" t="s">
        <v>194</v>
      </c>
      <c r="DJ395" s="25" t="s">
        <v>310</v>
      </c>
      <c r="DK395" s="25" t="s">
        <v>310</v>
      </c>
      <c r="DL395" s="32" t="s">
        <v>873</v>
      </c>
      <c r="DM395" s="25" t="s">
        <v>198</v>
      </c>
      <c r="DN395" s="24" t="s">
        <v>7815</v>
      </c>
      <c r="DO395" s="31">
        <v>2022</v>
      </c>
      <c r="DP395" s="25" t="s">
        <v>166</v>
      </c>
      <c r="DQ395" s="25" t="s">
        <v>166</v>
      </c>
      <c r="DR395" s="29" t="s">
        <v>166</v>
      </c>
      <c r="DS395" s="27" t="s">
        <v>166</v>
      </c>
      <c r="DT395" s="30" t="s">
        <v>166</v>
      </c>
      <c r="DU395" s="25" t="s">
        <v>166</v>
      </c>
      <c r="DV395" s="29" t="s">
        <v>166</v>
      </c>
      <c r="DW395" s="29" t="s">
        <v>166</v>
      </c>
      <c r="DX395" s="27" t="s">
        <v>166</v>
      </c>
      <c r="DY395" s="27" t="s">
        <v>166</v>
      </c>
      <c r="DZ395" s="28" t="s">
        <v>166</v>
      </c>
      <c r="EA395" s="27" t="s">
        <v>166</v>
      </c>
      <c r="EB395" s="27" t="s">
        <v>166</v>
      </c>
      <c r="EC395" s="27" t="s">
        <v>166</v>
      </c>
      <c r="ED395" s="28" t="s">
        <v>166</v>
      </c>
      <c r="EE395" s="28" t="s">
        <v>166</v>
      </c>
      <c r="EF395" s="28" t="s">
        <v>166</v>
      </c>
      <c r="EG395" s="28" t="s">
        <v>166</v>
      </c>
      <c r="EH395" s="27" t="s">
        <v>166</v>
      </c>
      <c r="EI395" s="27" t="s">
        <v>166</v>
      </c>
      <c r="EJ395" s="27" t="s">
        <v>166</v>
      </c>
      <c r="EK395" s="27" t="s">
        <v>166</v>
      </c>
      <c r="EL395" s="27" t="s">
        <v>166</v>
      </c>
      <c r="EM395" s="27" t="s">
        <v>166</v>
      </c>
      <c r="EN395" s="27" t="s">
        <v>166</v>
      </c>
      <c r="EO395" s="27" t="s">
        <v>166</v>
      </c>
      <c r="EP395" s="27" t="s">
        <v>166</v>
      </c>
      <c r="EQ395" s="27" t="s">
        <v>166</v>
      </c>
      <c r="ER395" s="27" t="s">
        <v>166</v>
      </c>
      <c r="ES395" s="27" t="s">
        <v>166</v>
      </c>
      <c r="ET395" s="25" t="s">
        <v>166</v>
      </c>
      <c r="EU395" s="27" t="s">
        <v>166</v>
      </c>
      <c r="EV395" s="27" t="s">
        <v>166</v>
      </c>
      <c r="EW395" s="27" t="s">
        <v>166</v>
      </c>
      <c r="EX395" s="25" t="s">
        <v>190</v>
      </c>
      <c r="EY395" s="25" t="s">
        <v>166</v>
      </c>
      <c r="EZ395" s="27" t="s">
        <v>166</v>
      </c>
      <c r="FA395" s="26" t="s">
        <v>166</v>
      </c>
      <c r="FB395" s="26" t="s">
        <v>166</v>
      </c>
      <c r="FC395" s="26" t="s">
        <v>166</v>
      </c>
      <c r="FD395" s="26" t="s">
        <v>166</v>
      </c>
      <c r="FE395" s="26" t="s">
        <v>166</v>
      </c>
      <c r="FF395" s="26" t="s">
        <v>166</v>
      </c>
      <c r="FG395" s="25" t="s">
        <v>166</v>
      </c>
      <c r="FH395" s="4">
        <f>HYPERLINK("https://my.pitchbook.com?c=207109-00T","View Company Online")</f>
      </c>
    </row>
    <row r="396">
      <c r="A396" s="14" t="s">
        <v>7816</v>
      </c>
      <c r="B396" s="14" t="s">
        <v>7817</v>
      </c>
      <c r="C396" s="14" t="s">
        <v>7818</v>
      </c>
      <c r="D396" s="14" t="s">
        <v>166</v>
      </c>
      <c r="E396" s="23" t="s">
        <v>7819</v>
      </c>
      <c r="F396" s="21">
        <v>6</v>
      </c>
      <c r="G396" s="14" t="s">
        <v>7820</v>
      </c>
      <c r="H396" s="14" t="s">
        <v>166</v>
      </c>
      <c r="I396" s="14" t="s">
        <v>7821</v>
      </c>
      <c r="J396" s="14" t="s">
        <v>7822</v>
      </c>
      <c r="K396" s="14" t="s">
        <v>207</v>
      </c>
      <c r="L396" s="14" t="s">
        <v>208</v>
      </c>
      <c r="M396" s="14" t="s">
        <v>1766</v>
      </c>
      <c r="N396" s="14" t="s">
        <v>2089</v>
      </c>
      <c r="O396" s="14" t="s">
        <v>7823</v>
      </c>
      <c r="P396" s="14" t="s">
        <v>7824</v>
      </c>
      <c r="Q396" s="14" t="s">
        <v>166</v>
      </c>
      <c r="R396" s="14" t="s">
        <v>177</v>
      </c>
      <c r="S396" s="14" t="s">
        <v>178</v>
      </c>
      <c r="T396" s="14" t="s">
        <v>179</v>
      </c>
      <c r="U396" s="14" t="s">
        <v>7825</v>
      </c>
      <c r="V396" s="14" t="s">
        <v>7826</v>
      </c>
      <c r="W396" s="21" t="s">
        <v>166</v>
      </c>
      <c r="X396" s="14" t="s">
        <v>166</v>
      </c>
      <c r="Y396" s="14" t="s">
        <v>7827</v>
      </c>
      <c r="Z396" s="14" t="s">
        <v>166</v>
      </c>
      <c r="AA396" s="14" t="s">
        <v>166</v>
      </c>
      <c r="AB396" s="14" t="s">
        <v>166</v>
      </c>
      <c r="AC396" s="14" t="s">
        <v>166</v>
      </c>
      <c r="AD396" s="14" t="s">
        <v>166</v>
      </c>
      <c r="AE396" s="14" t="s">
        <v>166</v>
      </c>
      <c r="AF396" s="14" t="s">
        <v>166</v>
      </c>
      <c r="AG396" s="14" t="s">
        <v>166</v>
      </c>
      <c r="AH396" s="21">
        <v>1</v>
      </c>
      <c r="AI396" s="3">
        <f>HYPERLINK("https://my.pitchbook.com/?d=248648-50T","248648-50T")</f>
      </c>
      <c r="AJ396" s="19">
        <v>45309</v>
      </c>
      <c r="AK396" s="19">
        <v>45505</v>
      </c>
      <c r="AL396" s="18">
        <v>3.5</v>
      </c>
      <c r="AM396" s="14" t="s">
        <v>185</v>
      </c>
      <c r="AN396" s="18" t="s">
        <v>166</v>
      </c>
      <c r="AO396" s="18" t="s">
        <v>166</v>
      </c>
      <c r="AP396" s="14" t="s">
        <v>166</v>
      </c>
      <c r="AQ396" s="21" t="s">
        <v>166</v>
      </c>
      <c r="AR396" s="21" t="s">
        <v>166</v>
      </c>
      <c r="AS396" s="17" t="s">
        <v>166</v>
      </c>
      <c r="AT396" s="18">
        <v>3.5</v>
      </c>
      <c r="AU396" s="21" t="s">
        <v>186</v>
      </c>
      <c r="AV396" s="21" t="s">
        <v>166</v>
      </c>
      <c r="AW396" s="18" t="s">
        <v>166</v>
      </c>
      <c r="AX396" s="21" t="s">
        <v>166</v>
      </c>
      <c r="AY396" s="14" t="s">
        <v>217</v>
      </c>
      <c r="AZ396" s="14" t="s">
        <v>217</v>
      </c>
      <c r="BA396" s="14" t="s">
        <v>166</v>
      </c>
      <c r="BB396" s="21" t="s">
        <v>166</v>
      </c>
      <c r="BC396" s="14" t="s">
        <v>179</v>
      </c>
      <c r="BD396" s="14" t="s">
        <v>7822</v>
      </c>
      <c r="BE396" s="14" t="s">
        <v>189</v>
      </c>
      <c r="BF396" s="18">
        <v>3.5</v>
      </c>
      <c r="BG396" s="14" t="s">
        <v>190</v>
      </c>
      <c r="BH396" s="14" t="s">
        <v>166</v>
      </c>
      <c r="BI396" s="14" t="s">
        <v>166</v>
      </c>
      <c r="BJ396" s="18" t="s">
        <v>166</v>
      </c>
      <c r="BK396" s="18" t="s">
        <v>166</v>
      </c>
      <c r="BL396" s="14" t="s">
        <v>191</v>
      </c>
      <c r="BM396" s="14" t="s">
        <v>178</v>
      </c>
      <c r="BN396" s="14" t="s">
        <v>177</v>
      </c>
      <c r="BO396" s="22" t="s">
        <v>166</v>
      </c>
      <c r="BP396" s="14" t="s">
        <v>7819</v>
      </c>
      <c r="BQ396" s="21">
        <v>6</v>
      </c>
      <c r="BR396" s="14" t="s">
        <v>166</v>
      </c>
      <c r="BS396" s="21" t="s">
        <v>166</v>
      </c>
      <c r="BT396" s="14" t="s">
        <v>166</v>
      </c>
      <c r="BU396" s="14" t="s">
        <v>166</v>
      </c>
      <c r="BV396" s="14" t="s">
        <v>166</v>
      </c>
      <c r="BW396" s="14" t="s">
        <v>166</v>
      </c>
      <c r="BX396" s="14" t="s">
        <v>166</v>
      </c>
      <c r="BY396" s="14" t="s">
        <v>166</v>
      </c>
      <c r="BZ396" s="14" t="s">
        <v>7828</v>
      </c>
      <c r="CA396" s="14" t="s">
        <v>7828</v>
      </c>
      <c r="CB396" s="14" t="s">
        <v>166</v>
      </c>
      <c r="CC396" s="14" t="s">
        <v>166</v>
      </c>
      <c r="CD396" s="14" t="s">
        <v>166</v>
      </c>
      <c r="CE396" s="18" t="s">
        <v>166</v>
      </c>
      <c r="CF396" s="16" t="s">
        <v>166</v>
      </c>
      <c r="CG396" s="17" t="s">
        <v>166</v>
      </c>
      <c r="CH396" s="16" t="s">
        <v>166</v>
      </c>
      <c r="CI396" s="16" t="s">
        <v>166</v>
      </c>
      <c r="CJ396" s="16" t="s">
        <v>166</v>
      </c>
      <c r="CK396" s="16" t="s">
        <v>166</v>
      </c>
      <c r="CL396" s="16" t="s">
        <v>166</v>
      </c>
      <c r="CM396" s="20" t="s">
        <v>166</v>
      </c>
      <c r="CN396" s="16" t="s">
        <v>166</v>
      </c>
      <c r="CO396" s="16" t="s">
        <v>166</v>
      </c>
      <c r="CP396" s="16" t="s">
        <v>166</v>
      </c>
      <c r="CQ396" s="16" t="s">
        <v>166</v>
      </c>
      <c r="CR396" s="16" t="s">
        <v>166</v>
      </c>
      <c r="CS396" s="16" t="s">
        <v>166</v>
      </c>
      <c r="CT396" s="16" t="s">
        <v>166</v>
      </c>
      <c r="CU396" s="16" t="s">
        <v>166</v>
      </c>
      <c r="CV396" s="16" t="s">
        <v>166</v>
      </c>
      <c r="CW396" s="16" t="s">
        <v>166</v>
      </c>
      <c r="CX396" s="16" t="s">
        <v>166</v>
      </c>
      <c r="CY396" s="16" t="s">
        <v>166</v>
      </c>
      <c r="CZ396" s="16" t="s">
        <v>166</v>
      </c>
      <c r="DA396" s="16" t="s">
        <v>166</v>
      </c>
      <c r="DB396" s="16" t="s">
        <v>166</v>
      </c>
      <c r="DC396" s="16" t="s">
        <v>166</v>
      </c>
      <c r="DD396" s="16" t="s">
        <v>166</v>
      </c>
      <c r="DE396" s="17" t="s">
        <v>166</v>
      </c>
      <c r="DF396" s="22">
        <v>7</v>
      </c>
      <c r="DG396" s="14" t="s">
        <v>1077</v>
      </c>
      <c r="DH396" s="14" t="s">
        <v>193</v>
      </c>
      <c r="DI396" s="14" t="s">
        <v>194</v>
      </c>
      <c r="DJ396" s="14" t="s">
        <v>1078</v>
      </c>
      <c r="DK396" s="14" t="s">
        <v>257</v>
      </c>
      <c r="DL396" s="21" t="s">
        <v>1079</v>
      </c>
      <c r="DM396" s="14" t="s">
        <v>198</v>
      </c>
      <c r="DN396" s="13" t="s">
        <v>7829</v>
      </c>
      <c r="DO396" s="20">
        <v>2024</v>
      </c>
      <c r="DP396" s="14" t="s">
        <v>166</v>
      </c>
      <c r="DQ396" s="14" t="s">
        <v>166</v>
      </c>
      <c r="DR396" s="18" t="s">
        <v>166</v>
      </c>
      <c r="DS396" s="16" t="s">
        <v>166</v>
      </c>
      <c r="DT396" s="19" t="s">
        <v>166</v>
      </c>
      <c r="DU396" s="14" t="s">
        <v>166</v>
      </c>
      <c r="DV396" s="18" t="s">
        <v>166</v>
      </c>
      <c r="DW396" s="18" t="s">
        <v>166</v>
      </c>
      <c r="DX396" s="16" t="s">
        <v>166</v>
      </c>
      <c r="DY396" s="16" t="s">
        <v>166</v>
      </c>
      <c r="DZ396" s="17" t="s">
        <v>166</v>
      </c>
      <c r="EA396" s="16" t="s">
        <v>166</v>
      </c>
      <c r="EB396" s="16" t="s">
        <v>166</v>
      </c>
      <c r="EC396" s="16" t="s">
        <v>166</v>
      </c>
      <c r="ED396" s="17" t="s">
        <v>166</v>
      </c>
      <c r="EE396" s="17" t="s">
        <v>166</v>
      </c>
      <c r="EF396" s="17" t="s">
        <v>166</v>
      </c>
      <c r="EG396" s="17" t="s">
        <v>166</v>
      </c>
      <c r="EH396" s="16" t="s">
        <v>166</v>
      </c>
      <c r="EI396" s="16" t="s">
        <v>166</v>
      </c>
      <c r="EJ396" s="16" t="s">
        <v>166</v>
      </c>
      <c r="EK396" s="16" t="s">
        <v>166</v>
      </c>
      <c r="EL396" s="16" t="s">
        <v>166</v>
      </c>
      <c r="EM396" s="16" t="s">
        <v>166</v>
      </c>
      <c r="EN396" s="16" t="s">
        <v>166</v>
      </c>
      <c r="EO396" s="16" t="s">
        <v>166</v>
      </c>
      <c r="EP396" s="16" t="s">
        <v>166</v>
      </c>
      <c r="EQ396" s="16" t="s">
        <v>166</v>
      </c>
      <c r="ER396" s="16" t="s">
        <v>166</v>
      </c>
      <c r="ES396" s="16" t="s">
        <v>166</v>
      </c>
      <c r="ET396" s="14" t="s">
        <v>166</v>
      </c>
      <c r="EU396" s="16" t="s">
        <v>166</v>
      </c>
      <c r="EV396" s="16" t="s">
        <v>166</v>
      </c>
      <c r="EW396" s="16" t="s">
        <v>166</v>
      </c>
      <c r="EX396" s="14" t="s">
        <v>190</v>
      </c>
      <c r="EY396" s="14" t="s">
        <v>166</v>
      </c>
      <c r="EZ396" s="16" t="s">
        <v>166</v>
      </c>
      <c r="FA396" s="15" t="s">
        <v>166</v>
      </c>
      <c r="FB396" s="15" t="s">
        <v>166</v>
      </c>
      <c r="FC396" s="15" t="s">
        <v>166</v>
      </c>
      <c r="FD396" s="15" t="s">
        <v>166</v>
      </c>
      <c r="FE396" s="15" t="s">
        <v>166</v>
      </c>
      <c r="FF396" s="15" t="s">
        <v>166</v>
      </c>
      <c r="FG396" s="14" t="s">
        <v>166</v>
      </c>
      <c r="FH396" s="3">
        <f>HYPERLINK("https://my.pitchbook.com?c=248648-50T","View Company Online")</f>
      </c>
    </row>
    <row r="397">
      <c r="A397" s="25" t="s">
        <v>7830</v>
      </c>
      <c r="B397" s="25" t="s">
        <v>7831</v>
      </c>
      <c r="C397" s="25" t="s">
        <v>7832</v>
      </c>
      <c r="D397" s="25" t="s">
        <v>166</v>
      </c>
      <c r="E397" s="34" t="s">
        <v>7833</v>
      </c>
      <c r="F397" s="32">
        <v>7</v>
      </c>
      <c r="G397" s="25" t="s">
        <v>7834</v>
      </c>
      <c r="H397" s="25" t="s">
        <v>166</v>
      </c>
      <c r="I397" s="25" t="s">
        <v>7835</v>
      </c>
      <c r="J397" s="25" t="s">
        <v>7836</v>
      </c>
      <c r="K397" s="25" t="s">
        <v>1455</v>
      </c>
      <c r="L397" s="25" t="s">
        <v>1984</v>
      </c>
      <c r="M397" s="25" t="s">
        <v>2112</v>
      </c>
      <c r="N397" s="25" t="s">
        <v>7837</v>
      </c>
      <c r="O397" s="25" t="s">
        <v>7838</v>
      </c>
      <c r="P397" s="25" t="s">
        <v>7839</v>
      </c>
      <c r="Q397" s="25" t="s">
        <v>166</v>
      </c>
      <c r="R397" s="25" t="s">
        <v>177</v>
      </c>
      <c r="S397" s="25" t="s">
        <v>178</v>
      </c>
      <c r="T397" s="25" t="s">
        <v>179</v>
      </c>
      <c r="U397" s="25" t="s">
        <v>7840</v>
      </c>
      <c r="V397" s="25" t="s">
        <v>7841</v>
      </c>
      <c r="W397" s="32" t="s">
        <v>7842</v>
      </c>
      <c r="X397" s="25" t="s">
        <v>7843</v>
      </c>
      <c r="Y397" s="25" t="s">
        <v>7844</v>
      </c>
      <c r="Z397" s="25" t="s">
        <v>7845</v>
      </c>
      <c r="AA397" s="25" t="s">
        <v>242</v>
      </c>
      <c r="AB397" s="25" t="s">
        <v>243</v>
      </c>
      <c r="AC397" s="25" t="s">
        <v>244</v>
      </c>
      <c r="AD397" s="25" t="s">
        <v>243</v>
      </c>
      <c r="AE397" s="25" t="s">
        <v>243</v>
      </c>
      <c r="AF397" s="25" t="s">
        <v>166</v>
      </c>
      <c r="AG397" s="25" t="s">
        <v>246</v>
      </c>
      <c r="AH397" s="32">
        <v>2</v>
      </c>
      <c r="AI397" s="4">
        <f>HYPERLINK("https://my.pitchbook.com/?d=173191-33T","173191-33T")</f>
      </c>
      <c r="AJ397" s="30">
        <v>44327</v>
      </c>
      <c r="AK397" s="30">
        <v>44400</v>
      </c>
      <c r="AL397" s="29">
        <v>2</v>
      </c>
      <c r="AM397" s="25" t="s">
        <v>185</v>
      </c>
      <c r="AN397" s="29">
        <v>8</v>
      </c>
      <c r="AO397" s="29">
        <v>10</v>
      </c>
      <c r="AP397" s="25" t="s">
        <v>185</v>
      </c>
      <c r="AQ397" s="32" t="s">
        <v>166</v>
      </c>
      <c r="AR397" s="32" t="s">
        <v>166</v>
      </c>
      <c r="AS397" s="28" t="s">
        <v>166</v>
      </c>
      <c r="AT397" s="29">
        <v>2.01</v>
      </c>
      <c r="AU397" s="32" t="s">
        <v>186</v>
      </c>
      <c r="AV397" s="32" t="s">
        <v>166</v>
      </c>
      <c r="AW397" s="29">
        <v>0.57</v>
      </c>
      <c r="AX397" s="32" t="s">
        <v>166</v>
      </c>
      <c r="AY397" s="25" t="s">
        <v>217</v>
      </c>
      <c r="AZ397" s="25" t="s">
        <v>217</v>
      </c>
      <c r="BA397" s="25" t="s">
        <v>166</v>
      </c>
      <c r="BB397" s="32" t="s">
        <v>166</v>
      </c>
      <c r="BC397" s="25" t="s">
        <v>179</v>
      </c>
      <c r="BD397" s="25" t="s">
        <v>7846</v>
      </c>
      <c r="BE397" s="25" t="s">
        <v>189</v>
      </c>
      <c r="BF397" s="29">
        <v>2</v>
      </c>
      <c r="BG397" s="25" t="s">
        <v>190</v>
      </c>
      <c r="BH397" s="25" t="s">
        <v>166</v>
      </c>
      <c r="BI397" s="25" t="s">
        <v>166</v>
      </c>
      <c r="BJ397" s="29" t="s">
        <v>166</v>
      </c>
      <c r="BK397" s="29" t="s">
        <v>166</v>
      </c>
      <c r="BL397" s="25" t="s">
        <v>191</v>
      </c>
      <c r="BM397" s="25" t="s">
        <v>178</v>
      </c>
      <c r="BN397" s="25" t="s">
        <v>177</v>
      </c>
      <c r="BO397" s="33">
        <v>5</v>
      </c>
      <c r="BP397" s="25" t="s">
        <v>7847</v>
      </c>
      <c r="BQ397" s="32">
        <v>7</v>
      </c>
      <c r="BR397" s="25" t="s">
        <v>166</v>
      </c>
      <c r="BS397" s="32" t="s">
        <v>166</v>
      </c>
      <c r="BT397" s="25" t="s">
        <v>7848</v>
      </c>
      <c r="BU397" s="25" t="s">
        <v>166</v>
      </c>
      <c r="BV397" s="25" t="s">
        <v>166</v>
      </c>
      <c r="BW397" s="25" t="s">
        <v>166</v>
      </c>
      <c r="BX397" s="25" t="s">
        <v>166</v>
      </c>
      <c r="BY397" s="25" t="s">
        <v>166</v>
      </c>
      <c r="BZ397" s="25" t="s">
        <v>166</v>
      </c>
      <c r="CA397" s="25" t="s">
        <v>166</v>
      </c>
      <c r="CB397" s="25" t="s">
        <v>166</v>
      </c>
      <c r="CC397" s="25" t="s">
        <v>166</v>
      </c>
      <c r="CD397" s="25" t="s">
        <v>166</v>
      </c>
      <c r="CE397" s="29" t="s">
        <v>166</v>
      </c>
      <c r="CF397" s="27">
        <v>0.9</v>
      </c>
      <c r="CG397" s="28">
        <v>800</v>
      </c>
      <c r="CH397" s="27" t="s">
        <v>166</v>
      </c>
      <c r="CI397" s="27" t="s">
        <v>166</v>
      </c>
      <c r="CJ397" s="27" t="s">
        <v>166</v>
      </c>
      <c r="CK397" s="27" t="s">
        <v>166</v>
      </c>
      <c r="CL397" s="27" t="s">
        <v>166</v>
      </c>
      <c r="CM397" s="31">
        <v>2021</v>
      </c>
      <c r="CN397" s="27" t="s">
        <v>166</v>
      </c>
      <c r="CO397" s="27" t="s">
        <v>166</v>
      </c>
      <c r="CP397" s="27" t="s">
        <v>166</v>
      </c>
      <c r="CQ397" s="27">
        <v>11.11</v>
      </c>
      <c r="CR397" s="27" t="s">
        <v>166</v>
      </c>
      <c r="CS397" s="27" t="s">
        <v>166</v>
      </c>
      <c r="CT397" s="27" t="s">
        <v>166</v>
      </c>
      <c r="CU397" s="27" t="s">
        <v>166</v>
      </c>
      <c r="CV397" s="27">
        <v>2.22</v>
      </c>
      <c r="CW397" s="27" t="s">
        <v>166</v>
      </c>
      <c r="CX397" s="27" t="s">
        <v>166</v>
      </c>
      <c r="CY397" s="27" t="s">
        <v>166</v>
      </c>
      <c r="CZ397" s="27" t="s">
        <v>166</v>
      </c>
      <c r="DA397" s="27" t="s">
        <v>166</v>
      </c>
      <c r="DB397" s="27" t="s">
        <v>166</v>
      </c>
      <c r="DC397" s="27" t="s">
        <v>166</v>
      </c>
      <c r="DD397" s="27" t="s">
        <v>166</v>
      </c>
      <c r="DE397" s="28" t="s">
        <v>166</v>
      </c>
      <c r="DF397" s="33">
        <v>29</v>
      </c>
      <c r="DG397" s="25" t="s">
        <v>7849</v>
      </c>
      <c r="DH397" s="25" t="s">
        <v>193</v>
      </c>
      <c r="DI397" s="25" t="s">
        <v>194</v>
      </c>
      <c r="DJ397" s="25" t="s">
        <v>7850</v>
      </c>
      <c r="DK397" s="25" t="s">
        <v>257</v>
      </c>
      <c r="DL397" s="32" t="s">
        <v>7851</v>
      </c>
      <c r="DM397" s="25" t="s">
        <v>198</v>
      </c>
      <c r="DN397" s="24" t="s">
        <v>7852</v>
      </c>
      <c r="DO397" s="31">
        <v>2018</v>
      </c>
      <c r="DP397" s="25" t="s">
        <v>166</v>
      </c>
      <c r="DQ397" s="25" t="s">
        <v>166</v>
      </c>
      <c r="DR397" s="29" t="s">
        <v>166</v>
      </c>
      <c r="DS397" s="27" t="s">
        <v>166</v>
      </c>
      <c r="DT397" s="30" t="s">
        <v>166</v>
      </c>
      <c r="DU397" s="25" t="s">
        <v>166</v>
      </c>
      <c r="DV397" s="29" t="s">
        <v>166</v>
      </c>
      <c r="DW397" s="29" t="s">
        <v>166</v>
      </c>
      <c r="DX397" s="27" t="s">
        <v>166</v>
      </c>
      <c r="DY397" s="27" t="s">
        <v>166</v>
      </c>
      <c r="DZ397" s="28" t="s">
        <v>166</v>
      </c>
      <c r="EA397" s="27" t="s">
        <v>166</v>
      </c>
      <c r="EB397" s="27" t="s">
        <v>166</v>
      </c>
      <c r="EC397" s="27" t="s">
        <v>166</v>
      </c>
      <c r="ED397" s="28" t="s">
        <v>166</v>
      </c>
      <c r="EE397" s="28" t="s">
        <v>166</v>
      </c>
      <c r="EF397" s="28" t="s">
        <v>166</v>
      </c>
      <c r="EG397" s="28" t="s">
        <v>166</v>
      </c>
      <c r="EH397" s="27" t="s">
        <v>166</v>
      </c>
      <c r="EI397" s="27" t="s">
        <v>166</v>
      </c>
      <c r="EJ397" s="27" t="s">
        <v>166</v>
      </c>
      <c r="EK397" s="27" t="s">
        <v>166</v>
      </c>
      <c r="EL397" s="27" t="s">
        <v>166</v>
      </c>
      <c r="EM397" s="27" t="s">
        <v>166</v>
      </c>
      <c r="EN397" s="27" t="s">
        <v>166</v>
      </c>
      <c r="EO397" s="27" t="s">
        <v>166</v>
      </c>
      <c r="EP397" s="27" t="s">
        <v>166</v>
      </c>
      <c r="EQ397" s="27" t="s">
        <v>166</v>
      </c>
      <c r="ER397" s="27" t="s">
        <v>166</v>
      </c>
      <c r="ES397" s="27" t="s">
        <v>166</v>
      </c>
      <c r="ET397" s="25" t="s">
        <v>166</v>
      </c>
      <c r="EU397" s="27" t="s">
        <v>166</v>
      </c>
      <c r="EV397" s="27" t="s">
        <v>166</v>
      </c>
      <c r="EW397" s="27" t="s">
        <v>166</v>
      </c>
      <c r="EX397" s="25" t="s">
        <v>190</v>
      </c>
      <c r="EY397" s="25" t="s">
        <v>166</v>
      </c>
      <c r="EZ397" s="27" t="s">
        <v>166</v>
      </c>
      <c r="FA397" s="26" t="s">
        <v>166</v>
      </c>
      <c r="FB397" s="26" t="s">
        <v>166</v>
      </c>
      <c r="FC397" s="26" t="s">
        <v>166</v>
      </c>
      <c r="FD397" s="26" t="s">
        <v>166</v>
      </c>
      <c r="FE397" s="26" t="s">
        <v>166</v>
      </c>
      <c r="FF397" s="26" t="s">
        <v>166</v>
      </c>
      <c r="FG397" s="25" t="s">
        <v>166</v>
      </c>
      <c r="FH397" s="4">
        <f>HYPERLINK("https://my.pitchbook.com?c=173191-33T","View Company Online")</f>
      </c>
    </row>
    <row r="398">
      <c r="A398" s="14" t="s">
        <v>7853</v>
      </c>
      <c r="B398" s="14" t="s">
        <v>7854</v>
      </c>
      <c r="C398" s="14" t="s">
        <v>7855</v>
      </c>
      <c r="D398" s="14" t="s">
        <v>166</v>
      </c>
      <c r="E398" s="23" t="s">
        <v>7856</v>
      </c>
      <c r="F398" s="21">
        <v>3</v>
      </c>
      <c r="G398" s="14" t="s">
        <v>7857</v>
      </c>
      <c r="H398" s="14" t="s">
        <v>166</v>
      </c>
      <c r="I398" s="14" t="s">
        <v>7858</v>
      </c>
      <c r="J398" s="14" t="s">
        <v>7859</v>
      </c>
      <c r="K398" s="14" t="s">
        <v>1500</v>
      </c>
      <c r="L398" s="14" t="s">
        <v>2334</v>
      </c>
      <c r="M398" s="14" t="s">
        <v>2335</v>
      </c>
      <c r="N398" s="14" t="s">
        <v>2358</v>
      </c>
      <c r="O398" s="14" t="s">
        <v>7860</v>
      </c>
      <c r="P398" s="14" t="s">
        <v>7861</v>
      </c>
      <c r="Q398" s="14" t="s">
        <v>166</v>
      </c>
      <c r="R398" s="14" t="s">
        <v>177</v>
      </c>
      <c r="S398" s="14" t="s">
        <v>178</v>
      </c>
      <c r="T398" s="14" t="s">
        <v>179</v>
      </c>
      <c r="U398" s="14" t="s">
        <v>7862</v>
      </c>
      <c r="V398" s="14" t="s">
        <v>7863</v>
      </c>
      <c r="W398" s="21" t="s">
        <v>7864</v>
      </c>
      <c r="X398" s="14" t="s">
        <v>166</v>
      </c>
      <c r="Y398" s="14" t="s">
        <v>7865</v>
      </c>
      <c r="Z398" s="14" t="s">
        <v>7866</v>
      </c>
      <c r="AA398" s="14" t="s">
        <v>166</v>
      </c>
      <c r="AB398" s="14" t="s">
        <v>166</v>
      </c>
      <c r="AC398" s="14" t="s">
        <v>166</v>
      </c>
      <c r="AD398" s="14" t="s">
        <v>166</v>
      </c>
      <c r="AE398" s="14" t="s">
        <v>166</v>
      </c>
      <c r="AF398" s="14" t="s">
        <v>166</v>
      </c>
      <c r="AG398" s="14" t="s">
        <v>166</v>
      </c>
      <c r="AH398" s="21">
        <v>1</v>
      </c>
      <c r="AI398" s="3">
        <f>HYPERLINK("https://my.pitchbook.com/?d=228053-35T","228053-35T")</f>
      </c>
      <c r="AJ398" s="19" t="s">
        <v>166</v>
      </c>
      <c r="AK398" s="19">
        <v>45118</v>
      </c>
      <c r="AL398" s="18">
        <v>3</v>
      </c>
      <c r="AM398" s="14" t="s">
        <v>185</v>
      </c>
      <c r="AN398" s="18" t="s">
        <v>166</v>
      </c>
      <c r="AO398" s="18" t="s">
        <v>166</v>
      </c>
      <c r="AP398" s="14" t="s">
        <v>166</v>
      </c>
      <c r="AQ398" s="21" t="s">
        <v>166</v>
      </c>
      <c r="AR398" s="21" t="s">
        <v>166</v>
      </c>
      <c r="AS398" s="17" t="s">
        <v>166</v>
      </c>
      <c r="AT398" s="18">
        <v>3</v>
      </c>
      <c r="AU398" s="21" t="s">
        <v>186</v>
      </c>
      <c r="AV398" s="21" t="s">
        <v>166</v>
      </c>
      <c r="AW398" s="18" t="s">
        <v>166</v>
      </c>
      <c r="AX398" s="21" t="s">
        <v>7867</v>
      </c>
      <c r="AY398" s="14" t="s">
        <v>187</v>
      </c>
      <c r="AZ398" s="14" t="s">
        <v>7867</v>
      </c>
      <c r="BA398" s="14" t="s">
        <v>166</v>
      </c>
      <c r="BB398" s="21" t="s">
        <v>166</v>
      </c>
      <c r="BC398" s="14" t="s">
        <v>179</v>
      </c>
      <c r="BD398" s="14" t="s">
        <v>7859</v>
      </c>
      <c r="BE398" s="14" t="s">
        <v>189</v>
      </c>
      <c r="BF398" s="18">
        <v>3</v>
      </c>
      <c r="BG398" s="14" t="s">
        <v>190</v>
      </c>
      <c r="BH398" s="14" t="s">
        <v>166</v>
      </c>
      <c r="BI398" s="14" t="s">
        <v>166</v>
      </c>
      <c r="BJ398" s="18" t="s">
        <v>166</v>
      </c>
      <c r="BK398" s="18" t="s">
        <v>166</v>
      </c>
      <c r="BL398" s="14" t="s">
        <v>191</v>
      </c>
      <c r="BM398" s="14" t="s">
        <v>178</v>
      </c>
      <c r="BN398" s="14" t="s">
        <v>177</v>
      </c>
      <c r="BO398" s="22" t="s">
        <v>166</v>
      </c>
      <c r="BP398" s="14" t="s">
        <v>7868</v>
      </c>
      <c r="BQ398" s="21">
        <v>3</v>
      </c>
      <c r="BR398" s="14" t="s">
        <v>166</v>
      </c>
      <c r="BS398" s="21" t="s">
        <v>166</v>
      </c>
      <c r="BT398" s="14" t="s">
        <v>7869</v>
      </c>
      <c r="BU398" s="14" t="s">
        <v>166</v>
      </c>
      <c r="BV398" s="14" t="s">
        <v>166</v>
      </c>
      <c r="BW398" s="14" t="s">
        <v>166</v>
      </c>
      <c r="BX398" s="14" t="s">
        <v>166</v>
      </c>
      <c r="BY398" s="14" t="s">
        <v>166</v>
      </c>
      <c r="BZ398" s="14" t="s">
        <v>166</v>
      </c>
      <c r="CA398" s="14" t="s">
        <v>166</v>
      </c>
      <c r="CB398" s="14" t="s">
        <v>166</v>
      </c>
      <c r="CC398" s="14" t="s">
        <v>166</v>
      </c>
      <c r="CD398" s="14" t="s">
        <v>166</v>
      </c>
      <c r="CE398" s="18" t="s">
        <v>166</v>
      </c>
      <c r="CF398" s="16" t="s">
        <v>166</v>
      </c>
      <c r="CG398" s="17" t="s">
        <v>166</v>
      </c>
      <c r="CH398" s="16" t="s">
        <v>166</v>
      </c>
      <c r="CI398" s="16" t="s">
        <v>166</v>
      </c>
      <c r="CJ398" s="16" t="s">
        <v>166</v>
      </c>
      <c r="CK398" s="16" t="s">
        <v>166</v>
      </c>
      <c r="CL398" s="16" t="s">
        <v>166</v>
      </c>
      <c r="CM398" s="20" t="s">
        <v>166</v>
      </c>
      <c r="CN398" s="16" t="s">
        <v>166</v>
      </c>
      <c r="CO398" s="16" t="s">
        <v>166</v>
      </c>
      <c r="CP398" s="16" t="s">
        <v>166</v>
      </c>
      <c r="CQ398" s="16" t="s">
        <v>166</v>
      </c>
      <c r="CR398" s="16" t="s">
        <v>166</v>
      </c>
      <c r="CS398" s="16" t="s">
        <v>166</v>
      </c>
      <c r="CT398" s="16" t="s">
        <v>166</v>
      </c>
      <c r="CU398" s="16" t="s">
        <v>166</v>
      </c>
      <c r="CV398" s="16" t="s">
        <v>166</v>
      </c>
      <c r="CW398" s="16" t="s">
        <v>166</v>
      </c>
      <c r="CX398" s="16" t="s">
        <v>166</v>
      </c>
      <c r="CY398" s="16" t="s">
        <v>166</v>
      </c>
      <c r="CZ398" s="16" t="s">
        <v>166</v>
      </c>
      <c r="DA398" s="16" t="s">
        <v>166</v>
      </c>
      <c r="DB398" s="16" t="s">
        <v>166</v>
      </c>
      <c r="DC398" s="16" t="s">
        <v>166</v>
      </c>
      <c r="DD398" s="16" t="s">
        <v>166</v>
      </c>
      <c r="DE398" s="17" t="s">
        <v>166</v>
      </c>
      <c r="DF398" s="22">
        <v>17</v>
      </c>
      <c r="DG398" s="14" t="s">
        <v>7870</v>
      </c>
      <c r="DH398" s="14" t="s">
        <v>193</v>
      </c>
      <c r="DI398" s="14" t="s">
        <v>194</v>
      </c>
      <c r="DJ398" s="14" t="s">
        <v>7871</v>
      </c>
      <c r="DK398" s="14" t="s">
        <v>1251</v>
      </c>
      <c r="DL398" s="21" t="s">
        <v>7872</v>
      </c>
      <c r="DM398" s="14" t="s">
        <v>198</v>
      </c>
      <c r="DN398" s="13" t="s">
        <v>7873</v>
      </c>
      <c r="DO398" s="20">
        <v>2022</v>
      </c>
      <c r="DP398" s="14" t="s">
        <v>166</v>
      </c>
      <c r="DQ398" s="14" t="s">
        <v>166</v>
      </c>
      <c r="DR398" s="18" t="s">
        <v>166</v>
      </c>
      <c r="DS398" s="16" t="s">
        <v>166</v>
      </c>
      <c r="DT398" s="19" t="s">
        <v>166</v>
      </c>
      <c r="DU398" s="14" t="s">
        <v>166</v>
      </c>
      <c r="DV398" s="18" t="s">
        <v>166</v>
      </c>
      <c r="DW398" s="18" t="s">
        <v>166</v>
      </c>
      <c r="DX398" s="16" t="s">
        <v>166</v>
      </c>
      <c r="DY398" s="16" t="s">
        <v>166</v>
      </c>
      <c r="DZ398" s="17" t="s">
        <v>166</v>
      </c>
      <c r="EA398" s="16" t="s">
        <v>166</v>
      </c>
      <c r="EB398" s="16" t="s">
        <v>166</v>
      </c>
      <c r="EC398" s="16" t="s">
        <v>166</v>
      </c>
      <c r="ED398" s="17" t="s">
        <v>166</v>
      </c>
      <c r="EE398" s="17" t="s">
        <v>166</v>
      </c>
      <c r="EF398" s="17" t="s">
        <v>166</v>
      </c>
      <c r="EG398" s="17" t="s">
        <v>166</v>
      </c>
      <c r="EH398" s="16" t="s">
        <v>166</v>
      </c>
      <c r="EI398" s="16" t="s">
        <v>166</v>
      </c>
      <c r="EJ398" s="16" t="s">
        <v>166</v>
      </c>
      <c r="EK398" s="16" t="s">
        <v>166</v>
      </c>
      <c r="EL398" s="16" t="s">
        <v>166</v>
      </c>
      <c r="EM398" s="16" t="s">
        <v>166</v>
      </c>
      <c r="EN398" s="16" t="s">
        <v>166</v>
      </c>
      <c r="EO398" s="16" t="s">
        <v>166</v>
      </c>
      <c r="EP398" s="16" t="s">
        <v>166</v>
      </c>
      <c r="EQ398" s="16" t="s">
        <v>166</v>
      </c>
      <c r="ER398" s="16" t="s">
        <v>166</v>
      </c>
      <c r="ES398" s="16" t="s">
        <v>166</v>
      </c>
      <c r="ET398" s="14" t="s">
        <v>166</v>
      </c>
      <c r="EU398" s="16" t="s">
        <v>166</v>
      </c>
      <c r="EV398" s="16" t="s">
        <v>166</v>
      </c>
      <c r="EW398" s="16" t="s">
        <v>166</v>
      </c>
      <c r="EX398" s="14" t="s">
        <v>190</v>
      </c>
      <c r="EY398" s="14" t="s">
        <v>166</v>
      </c>
      <c r="EZ398" s="16" t="s">
        <v>166</v>
      </c>
      <c r="FA398" s="15" t="s">
        <v>166</v>
      </c>
      <c r="FB398" s="15" t="s">
        <v>166</v>
      </c>
      <c r="FC398" s="15" t="s">
        <v>166</v>
      </c>
      <c r="FD398" s="15" t="s">
        <v>166</v>
      </c>
      <c r="FE398" s="15" t="s">
        <v>166</v>
      </c>
      <c r="FF398" s="15" t="s">
        <v>166</v>
      </c>
      <c r="FG398" s="14" t="s">
        <v>166</v>
      </c>
      <c r="FH398" s="3">
        <f>HYPERLINK("https://my.pitchbook.com?c=228053-35T","View Company Online")</f>
      </c>
    </row>
    <row r="399">
      <c r="A399" s="25" t="s">
        <v>7874</v>
      </c>
      <c r="B399" s="25" t="s">
        <v>7875</v>
      </c>
      <c r="C399" s="25" t="s">
        <v>7876</v>
      </c>
      <c r="D399" s="25" t="s">
        <v>166</v>
      </c>
      <c r="E399" s="34" t="s">
        <v>7877</v>
      </c>
      <c r="F399" s="32">
        <v>2</v>
      </c>
      <c r="G399" s="25" t="s">
        <v>7878</v>
      </c>
      <c r="H399" s="25" t="s">
        <v>166</v>
      </c>
      <c r="I399" s="25" t="s">
        <v>7879</v>
      </c>
      <c r="J399" s="25" t="s">
        <v>7880</v>
      </c>
      <c r="K399" s="25" t="s">
        <v>1455</v>
      </c>
      <c r="L399" s="25" t="s">
        <v>1984</v>
      </c>
      <c r="M399" s="25" t="s">
        <v>2112</v>
      </c>
      <c r="N399" s="25" t="s">
        <v>6453</v>
      </c>
      <c r="O399" s="25" t="s">
        <v>7881</v>
      </c>
      <c r="P399" s="25" t="s">
        <v>7882</v>
      </c>
      <c r="Q399" s="25" t="s">
        <v>166</v>
      </c>
      <c r="R399" s="25" t="s">
        <v>177</v>
      </c>
      <c r="S399" s="25" t="s">
        <v>178</v>
      </c>
      <c r="T399" s="25" t="s">
        <v>179</v>
      </c>
      <c r="U399" s="25" t="s">
        <v>7883</v>
      </c>
      <c r="V399" s="25" t="s">
        <v>7884</v>
      </c>
      <c r="W399" s="32" t="s">
        <v>166</v>
      </c>
      <c r="X399" s="25" t="s">
        <v>166</v>
      </c>
      <c r="Y399" s="25" t="s">
        <v>7885</v>
      </c>
      <c r="Z399" s="25" t="s">
        <v>166</v>
      </c>
      <c r="AA399" s="25" t="s">
        <v>166</v>
      </c>
      <c r="AB399" s="25" t="s">
        <v>166</v>
      </c>
      <c r="AC399" s="25" t="s">
        <v>166</v>
      </c>
      <c r="AD399" s="25" t="s">
        <v>166</v>
      </c>
      <c r="AE399" s="25" t="s">
        <v>166</v>
      </c>
      <c r="AF399" s="25" t="s">
        <v>166</v>
      </c>
      <c r="AG399" s="25" t="s">
        <v>166</v>
      </c>
      <c r="AH399" s="32">
        <v>3</v>
      </c>
      <c r="AI399" s="4">
        <f>HYPERLINK("https://my.pitchbook.com/?d=164573-02T","164573-02T")</f>
      </c>
      <c r="AJ399" s="30" t="s">
        <v>166</v>
      </c>
      <c r="AK399" s="30">
        <v>44203</v>
      </c>
      <c r="AL399" s="29">
        <v>1</v>
      </c>
      <c r="AM399" s="25" t="s">
        <v>185</v>
      </c>
      <c r="AN399" s="29" t="s">
        <v>166</v>
      </c>
      <c r="AO399" s="29" t="s">
        <v>166</v>
      </c>
      <c r="AP399" s="25" t="s">
        <v>166</v>
      </c>
      <c r="AQ399" s="32" t="s">
        <v>166</v>
      </c>
      <c r="AR399" s="32" t="s">
        <v>166</v>
      </c>
      <c r="AS399" s="28" t="s">
        <v>166</v>
      </c>
      <c r="AT399" s="29">
        <v>1</v>
      </c>
      <c r="AU399" s="32" t="s">
        <v>186</v>
      </c>
      <c r="AV399" s="32" t="s">
        <v>166</v>
      </c>
      <c r="AW399" s="29" t="s">
        <v>166</v>
      </c>
      <c r="AX399" s="32" t="s">
        <v>166</v>
      </c>
      <c r="AY399" s="25" t="s">
        <v>217</v>
      </c>
      <c r="AZ399" s="25" t="s">
        <v>217</v>
      </c>
      <c r="BA399" s="25" t="s">
        <v>166</v>
      </c>
      <c r="BB399" s="32" t="s">
        <v>166</v>
      </c>
      <c r="BC399" s="25" t="s">
        <v>179</v>
      </c>
      <c r="BD399" s="25" t="s">
        <v>7880</v>
      </c>
      <c r="BE399" s="25" t="s">
        <v>189</v>
      </c>
      <c r="BF399" s="29">
        <v>1</v>
      </c>
      <c r="BG399" s="25" t="s">
        <v>190</v>
      </c>
      <c r="BH399" s="25" t="s">
        <v>166</v>
      </c>
      <c r="BI399" s="25" t="s">
        <v>166</v>
      </c>
      <c r="BJ399" s="29" t="s">
        <v>166</v>
      </c>
      <c r="BK399" s="29" t="s">
        <v>166</v>
      </c>
      <c r="BL399" s="25" t="s">
        <v>191</v>
      </c>
      <c r="BM399" s="25" t="s">
        <v>178</v>
      </c>
      <c r="BN399" s="25" t="s">
        <v>177</v>
      </c>
      <c r="BO399" s="33" t="s">
        <v>166</v>
      </c>
      <c r="BP399" s="25" t="s">
        <v>7886</v>
      </c>
      <c r="BQ399" s="32">
        <v>2</v>
      </c>
      <c r="BR399" s="25" t="s">
        <v>166</v>
      </c>
      <c r="BS399" s="32" t="s">
        <v>166</v>
      </c>
      <c r="BT399" s="25" t="s">
        <v>166</v>
      </c>
      <c r="BU399" s="25" t="s">
        <v>166</v>
      </c>
      <c r="BV399" s="25" t="s">
        <v>166</v>
      </c>
      <c r="BW399" s="25" t="s">
        <v>166</v>
      </c>
      <c r="BX399" s="25" t="s">
        <v>166</v>
      </c>
      <c r="BY399" s="25" t="s">
        <v>166</v>
      </c>
      <c r="BZ399" s="25" t="s">
        <v>166</v>
      </c>
      <c r="CA399" s="25" t="s">
        <v>166</v>
      </c>
      <c r="CB399" s="25" t="s">
        <v>166</v>
      </c>
      <c r="CC399" s="25" t="s">
        <v>166</v>
      </c>
      <c r="CD399" s="25" t="s">
        <v>166</v>
      </c>
      <c r="CE399" s="29" t="s">
        <v>166</v>
      </c>
      <c r="CF399" s="27">
        <v>0.05</v>
      </c>
      <c r="CG399" s="28" t="s">
        <v>166</v>
      </c>
      <c r="CH399" s="27" t="s">
        <v>166</v>
      </c>
      <c r="CI399" s="27" t="s">
        <v>166</v>
      </c>
      <c r="CJ399" s="27" t="s">
        <v>166</v>
      </c>
      <c r="CK399" s="27" t="s">
        <v>166</v>
      </c>
      <c r="CL399" s="27" t="s">
        <v>166</v>
      </c>
      <c r="CM399" s="31">
        <v>2020</v>
      </c>
      <c r="CN399" s="27" t="s">
        <v>166</v>
      </c>
      <c r="CO399" s="27" t="s">
        <v>166</v>
      </c>
      <c r="CP399" s="27" t="s">
        <v>166</v>
      </c>
      <c r="CQ399" s="27" t="s">
        <v>166</v>
      </c>
      <c r="CR399" s="27" t="s">
        <v>166</v>
      </c>
      <c r="CS399" s="27" t="s">
        <v>166</v>
      </c>
      <c r="CT399" s="27" t="s">
        <v>166</v>
      </c>
      <c r="CU399" s="27" t="s">
        <v>166</v>
      </c>
      <c r="CV399" s="27">
        <v>21.66</v>
      </c>
      <c r="CW399" s="27" t="s">
        <v>166</v>
      </c>
      <c r="CX399" s="27" t="s">
        <v>166</v>
      </c>
      <c r="CY399" s="27" t="s">
        <v>166</v>
      </c>
      <c r="CZ399" s="27" t="s">
        <v>166</v>
      </c>
      <c r="DA399" s="27" t="s">
        <v>166</v>
      </c>
      <c r="DB399" s="27" t="s">
        <v>166</v>
      </c>
      <c r="DC399" s="27" t="s">
        <v>166</v>
      </c>
      <c r="DD399" s="27" t="s">
        <v>166</v>
      </c>
      <c r="DE399" s="28" t="s">
        <v>166</v>
      </c>
      <c r="DF399" s="33">
        <v>2</v>
      </c>
      <c r="DG399" s="25" t="s">
        <v>1929</v>
      </c>
      <c r="DH399" s="25" t="s">
        <v>193</v>
      </c>
      <c r="DI399" s="25" t="s">
        <v>194</v>
      </c>
      <c r="DJ399" s="25" t="s">
        <v>1930</v>
      </c>
      <c r="DK399" s="25" t="s">
        <v>545</v>
      </c>
      <c r="DL399" s="32" t="s">
        <v>7887</v>
      </c>
      <c r="DM399" s="25" t="s">
        <v>198</v>
      </c>
      <c r="DN399" s="24" t="s">
        <v>7888</v>
      </c>
      <c r="DO399" s="31">
        <v>2019</v>
      </c>
      <c r="DP399" s="25" t="s">
        <v>166</v>
      </c>
      <c r="DQ399" s="25" t="s">
        <v>166</v>
      </c>
      <c r="DR399" s="29" t="s">
        <v>166</v>
      </c>
      <c r="DS399" s="27" t="s">
        <v>166</v>
      </c>
      <c r="DT399" s="30" t="s">
        <v>166</v>
      </c>
      <c r="DU399" s="25" t="s">
        <v>166</v>
      </c>
      <c r="DV399" s="29" t="s">
        <v>166</v>
      </c>
      <c r="DW399" s="29" t="s">
        <v>166</v>
      </c>
      <c r="DX399" s="27" t="s">
        <v>166</v>
      </c>
      <c r="DY399" s="27" t="s">
        <v>166</v>
      </c>
      <c r="DZ399" s="28" t="s">
        <v>166</v>
      </c>
      <c r="EA399" s="27" t="s">
        <v>166</v>
      </c>
      <c r="EB399" s="27" t="s">
        <v>166</v>
      </c>
      <c r="EC399" s="27" t="s">
        <v>166</v>
      </c>
      <c r="ED399" s="28" t="s">
        <v>166</v>
      </c>
      <c r="EE399" s="28" t="s">
        <v>166</v>
      </c>
      <c r="EF399" s="28" t="s">
        <v>166</v>
      </c>
      <c r="EG399" s="28" t="s">
        <v>166</v>
      </c>
      <c r="EH399" s="27" t="s">
        <v>166</v>
      </c>
      <c r="EI399" s="27" t="s">
        <v>166</v>
      </c>
      <c r="EJ399" s="27" t="s">
        <v>166</v>
      </c>
      <c r="EK399" s="27" t="s">
        <v>166</v>
      </c>
      <c r="EL399" s="27" t="s">
        <v>166</v>
      </c>
      <c r="EM399" s="27" t="s">
        <v>166</v>
      </c>
      <c r="EN399" s="27" t="s">
        <v>166</v>
      </c>
      <c r="EO399" s="27" t="s">
        <v>166</v>
      </c>
      <c r="EP399" s="27" t="s">
        <v>166</v>
      </c>
      <c r="EQ399" s="27" t="s">
        <v>166</v>
      </c>
      <c r="ER399" s="27" t="s">
        <v>166</v>
      </c>
      <c r="ES399" s="27" t="s">
        <v>166</v>
      </c>
      <c r="ET399" s="25" t="s">
        <v>166</v>
      </c>
      <c r="EU399" s="27" t="s">
        <v>166</v>
      </c>
      <c r="EV399" s="27" t="s">
        <v>166</v>
      </c>
      <c r="EW399" s="27" t="s">
        <v>166</v>
      </c>
      <c r="EX399" s="25" t="s">
        <v>190</v>
      </c>
      <c r="EY399" s="25" t="s">
        <v>166</v>
      </c>
      <c r="EZ399" s="27" t="s">
        <v>166</v>
      </c>
      <c r="FA399" s="26" t="s">
        <v>166</v>
      </c>
      <c r="FB399" s="26" t="s">
        <v>166</v>
      </c>
      <c r="FC399" s="26" t="s">
        <v>166</v>
      </c>
      <c r="FD399" s="26" t="s">
        <v>166</v>
      </c>
      <c r="FE399" s="26" t="s">
        <v>166</v>
      </c>
      <c r="FF399" s="26" t="s">
        <v>166</v>
      </c>
      <c r="FG399" s="25" t="s">
        <v>166</v>
      </c>
      <c r="FH399" s="4">
        <f>HYPERLINK("https://my.pitchbook.com?c=164573-02T","View Company Online")</f>
      </c>
    </row>
    <row r="400">
      <c r="A400" s="14" t="s">
        <v>7889</v>
      </c>
      <c r="B400" s="14" t="s">
        <v>7890</v>
      </c>
      <c r="C400" s="14" t="s">
        <v>7891</v>
      </c>
      <c r="D400" s="14" t="s">
        <v>166</v>
      </c>
      <c r="E400" s="23" t="s">
        <v>7892</v>
      </c>
      <c r="F400" s="21">
        <v>1</v>
      </c>
      <c r="G400" s="14" t="s">
        <v>7893</v>
      </c>
      <c r="H400" s="14" t="s">
        <v>166</v>
      </c>
      <c r="I400" s="14" t="s">
        <v>7894</v>
      </c>
      <c r="J400" s="14" t="s">
        <v>7895</v>
      </c>
      <c r="K400" s="14" t="s">
        <v>1455</v>
      </c>
      <c r="L400" s="14" t="s">
        <v>1984</v>
      </c>
      <c r="M400" s="14" t="s">
        <v>1985</v>
      </c>
      <c r="N400" s="14" t="s">
        <v>2661</v>
      </c>
      <c r="O400" s="14" t="s">
        <v>1035</v>
      </c>
      <c r="P400" s="14" t="s">
        <v>7896</v>
      </c>
      <c r="Q400" s="14" t="s">
        <v>166</v>
      </c>
      <c r="R400" s="14" t="s">
        <v>177</v>
      </c>
      <c r="S400" s="14" t="s">
        <v>178</v>
      </c>
      <c r="T400" s="14" t="s">
        <v>179</v>
      </c>
      <c r="U400" s="14" t="s">
        <v>7897</v>
      </c>
      <c r="V400" s="14" t="s">
        <v>7898</v>
      </c>
      <c r="W400" s="21" t="s">
        <v>7899</v>
      </c>
      <c r="X400" s="14" t="s">
        <v>7900</v>
      </c>
      <c r="Y400" s="14" t="s">
        <v>7901</v>
      </c>
      <c r="Z400" s="14" t="s">
        <v>7902</v>
      </c>
      <c r="AA400" s="14" t="s">
        <v>242</v>
      </c>
      <c r="AB400" s="14" t="s">
        <v>243</v>
      </c>
      <c r="AC400" s="14" t="s">
        <v>244</v>
      </c>
      <c r="AD400" s="14" t="s">
        <v>243</v>
      </c>
      <c r="AE400" s="14" t="s">
        <v>243</v>
      </c>
      <c r="AF400" s="14" t="s">
        <v>166</v>
      </c>
      <c r="AG400" s="14" t="s">
        <v>246</v>
      </c>
      <c r="AH400" s="21">
        <v>1</v>
      </c>
      <c r="AI400" s="3">
        <f>HYPERLINK("https://my.pitchbook.com/?d=254846-26T","254846-26T")</f>
      </c>
      <c r="AJ400" s="19">
        <v>45366</v>
      </c>
      <c r="AK400" s="19">
        <v>45369</v>
      </c>
      <c r="AL400" s="18">
        <v>2.95</v>
      </c>
      <c r="AM400" s="14" t="s">
        <v>185</v>
      </c>
      <c r="AN400" s="18">
        <v>16</v>
      </c>
      <c r="AO400" s="18">
        <v>18.95</v>
      </c>
      <c r="AP400" s="14" t="s">
        <v>185</v>
      </c>
      <c r="AQ400" s="21" t="s">
        <v>166</v>
      </c>
      <c r="AR400" s="21" t="s">
        <v>166</v>
      </c>
      <c r="AS400" s="17">
        <v>18.19</v>
      </c>
      <c r="AT400" s="18">
        <v>2.95</v>
      </c>
      <c r="AU400" s="21" t="s">
        <v>186</v>
      </c>
      <c r="AV400" s="21" t="s">
        <v>166</v>
      </c>
      <c r="AW400" s="18">
        <v>0.7</v>
      </c>
      <c r="AX400" s="21" t="s">
        <v>166</v>
      </c>
      <c r="AY400" s="14" t="s">
        <v>217</v>
      </c>
      <c r="AZ400" s="14" t="s">
        <v>217</v>
      </c>
      <c r="BA400" s="14" t="s">
        <v>166</v>
      </c>
      <c r="BB400" s="21" t="s">
        <v>166</v>
      </c>
      <c r="BC400" s="14" t="s">
        <v>179</v>
      </c>
      <c r="BD400" s="14" t="s">
        <v>7895</v>
      </c>
      <c r="BE400" s="14" t="s">
        <v>189</v>
      </c>
      <c r="BF400" s="18">
        <v>2.95</v>
      </c>
      <c r="BG400" s="14" t="s">
        <v>190</v>
      </c>
      <c r="BH400" s="14" t="s">
        <v>166</v>
      </c>
      <c r="BI400" s="14" t="s">
        <v>166</v>
      </c>
      <c r="BJ400" s="18" t="s">
        <v>166</v>
      </c>
      <c r="BK400" s="18" t="s">
        <v>166</v>
      </c>
      <c r="BL400" s="14" t="s">
        <v>191</v>
      </c>
      <c r="BM400" s="14" t="s">
        <v>178</v>
      </c>
      <c r="BN400" s="14" t="s">
        <v>177</v>
      </c>
      <c r="BO400" s="22" t="s">
        <v>166</v>
      </c>
      <c r="BP400" s="14" t="s">
        <v>7892</v>
      </c>
      <c r="BQ400" s="21">
        <v>1</v>
      </c>
      <c r="BR400" s="14" t="s">
        <v>166</v>
      </c>
      <c r="BS400" s="21" t="s">
        <v>166</v>
      </c>
      <c r="BT400" s="14" t="s">
        <v>166</v>
      </c>
      <c r="BU400" s="14" t="s">
        <v>166</v>
      </c>
      <c r="BV400" s="14" t="s">
        <v>166</v>
      </c>
      <c r="BW400" s="14" t="s">
        <v>166</v>
      </c>
      <c r="BX400" s="14" t="s">
        <v>166</v>
      </c>
      <c r="BY400" s="14" t="s">
        <v>166</v>
      </c>
      <c r="BZ400" s="14" t="s">
        <v>166</v>
      </c>
      <c r="CA400" s="14" t="s">
        <v>166</v>
      </c>
      <c r="CB400" s="14" t="s">
        <v>166</v>
      </c>
      <c r="CC400" s="14" t="s">
        <v>166</v>
      </c>
      <c r="CD400" s="14" t="s">
        <v>166</v>
      </c>
      <c r="CE400" s="18" t="s">
        <v>166</v>
      </c>
      <c r="CF400" s="16" t="s">
        <v>166</v>
      </c>
      <c r="CG400" s="17" t="s">
        <v>166</v>
      </c>
      <c r="CH400" s="16" t="s">
        <v>166</v>
      </c>
      <c r="CI400" s="16" t="s">
        <v>166</v>
      </c>
      <c r="CJ400" s="16" t="s">
        <v>166</v>
      </c>
      <c r="CK400" s="16" t="s">
        <v>166</v>
      </c>
      <c r="CL400" s="16" t="s">
        <v>166</v>
      </c>
      <c r="CM400" s="20" t="s">
        <v>166</v>
      </c>
      <c r="CN400" s="16" t="s">
        <v>166</v>
      </c>
      <c r="CO400" s="16" t="s">
        <v>166</v>
      </c>
      <c r="CP400" s="16" t="s">
        <v>166</v>
      </c>
      <c r="CQ400" s="16" t="s">
        <v>166</v>
      </c>
      <c r="CR400" s="16" t="s">
        <v>166</v>
      </c>
      <c r="CS400" s="16" t="s">
        <v>166</v>
      </c>
      <c r="CT400" s="16" t="s">
        <v>166</v>
      </c>
      <c r="CU400" s="16" t="s">
        <v>166</v>
      </c>
      <c r="CV400" s="16" t="s">
        <v>166</v>
      </c>
      <c r="CW400" s="16" t="s">
        <v>166</v>
      </c>
      <c r="CX400" s="16" t="s">
        <v>166</v>
      </c>
      <c r="CY400" s="16" t="s">
        <v>166</v>
      </c>
      <c r="CZ400" s="16" t="s">
        <v>166</v>
      </c>
      <c r="DA400" s="16" t="s">
        <v>166</v>
      </c>
      <c r="DB400" s="16" t="s">
        <v>166</v>
      </c>
      <c r="DC400" s="16" t="s">
        <v>166</v>
      </c>
      <c r="DD400" s="16" t="s">
        <v>166</v>
      </c>
      <c r="DE400" s="17" t="s">
        <v>166</v>
      </c>
      <c r="DF400" s="22">
        <v>50</v>
      </c>
      <c r="DG400" s="14" t="s">
        <v>384</v>
      </c>
      <c r="DH400" s="14" t="s">
        <v>193</v>
      </c>
      <c r="DI400" s="14" t="s">
        <v>194</v>
      </c>
      <c r="DJ400" s="14" t="s">
        <v>385</v>
      </c>
      <c r="DK400" s="14" t="s">
        <v>386</v>
      </c>
      <c r="DL400" s="21" t="s">
        <v>7903</v>
      </c>
      <c r="DM400" s="14" t="s">
        <v>198</v>
      </c>
      <c r="DN400" s="13" t="s">
        <v>7904</v>
      </c>
      <c r="DO400" s="20">
        <v>2021</v>
      </c>
      <c r="DP400" s="14" t="s">
        <v>166</v>
      </c>
      <c r="DQ400" s="14" t="s">
        <v>166</v>
      </c>
      <c r="DR400" s="18" t="s">
        <v>166</v>
      </c>
      <c r="DS400" s="16" t="s">
        <v>166</v>
      </c>
      <c r="DT400" s="19" t="s">
        <v>166</v>
      </c>
      <c r="DU400" s="14" t="s">
        <v>166</v>
      </c>
      <c r="DV400" s="18" t="s">
        <v>166</v>
      </c>
      <c r="DW400" s="18" t="s">
        <v>166</v>
      </c>
      <c r="DX400" s="16" t="s">
        <v>166</v>
      </c>
      <c r="DY400" s="16" t="s">
        <v>166</v>
      </c>
      <c r="DZ400" s="17" t="s">
        <v>166</v>
      </c>
      <c r="EA400" s="16" t="s">
        <v>166</v>
      </c>
      <c r="EB400" s="16" t="s">
        <v>166</v>
      </c>
      <c r="EC400" s="16" t="s">
        <v>166</v>
      </c>
      <c r="ED400" s="17" t="s">
        <v>166</v>
      </c>
      <c r="EE400" s="17" t="s">
        <v>166</v>
      </c>
      <c r="EF400" s="17" t="s">
        <v>166</v>
      </c>
      <c r="EG400" s="17" t="s">
        <v>166</v>
      </c>
      <c r="EH400" s="16" t="s">
        <v>166</v>
      </c>
      <c r="EI400" s="16" t="s">
        <v>166</v>
      </c>
      <c r="EJ400" s="16" t="s">
        <v>166</v>
      </c>
      <c r="EK400" s="16" t="s">
        <v>166</v>
      </c>
      <c r="EL400" s="16" t="s">
        <v>166</v>
      </c>
      <c r="EM400" s="16" t="s">
        <v>166</v>
      </c>
      <c r="EN400" s="16" t="s">
        <v>166</v>
      </c>
      <c r="EO400" s="16" t="s">
        <v>166</v>
      </c>
      <c r="EP400" s="16" t="s">
        <v>166</v>
      </c>
      <c r="EQ400" s="16" t="s">
        <v>166</v>
      </c>
      <c r="ER400" s="16" t="s">
        <v>166</v>
      </c>
      <c r="ES400" s="16" t="s">
        <v>166</v>
      </c>
      <c r="ET400" s="14" t="s">
        <v>166</v>
      </c>
      <c r="EU400" s="16" t="s">
        <v>166</v>
      </c>
      <c r="EV400" s="16" t="s">
        <v>166</v>
      </c>
      <c r="EW400" s="16" t="s">
        <v>166</v>
      </c>
      <c r="EX400" s="14" t="s">
        <v>190</v>
      </c>
      <c r="EY400" s="14" t="s">
        <v>166</v>
      </c>
      <c r="EZ400" s="16" t="s">
        <v>166</v>
      </c>
      <c r="FA400" s="15" t="s">
        <v>166</v>
      </c>
      <c r="FB400" s="15" t="s">
        <v>166</v>
      </c>
      <c r="FC400" s="15" t="s">
        <v>166</v>
      </c>
      <c r="FD400" s="15" t="s">
        <v>166</v>
      </c>
      <c r="FE400" s="15" t="s">
        <v>166</v>
      </c>
      <c r="FF400" s="15" t="s">
        <v>166</v>
      </c>
      <c r="FG400" s="14" t="s">
        <v>166</v>
      </c>
      <c r="FH400" s="3">
        <f>HYPERLINK("https://my.pitchbook.com?c=254846-26T","View Company Online")</f>
      </c>
    </row>
    <row r="401">
      <c r="A401" s="25" t="s">
        <v>7905</v>
      </c>
      <c r="B401" s="25" t="s">
        <v>7906</v>
      </c>
      <c r="C401" s="25" t="s">
        <v>7907</v>
      </c>
      <c r="D401" s="25" t="s">
        <v>166</v>
      </c>
      <c r="E401" s="34" t="s">
        <v>7908</v>
      </c>
      <c r="F401" s="32">
        <v>4</v>
      </c>
      <c r="G401" s="25" t="s">
        <v>7909</v>
      </c>
      <c r="H401" s="25" t="s">
        <v>166</v>
      </c>
      <c r="I401" s="25" t="s">
        <v>7910</v>
      </c>
      <c r="J401" s="25" t="s">
        <v>7911</v>
      </c>
      <c r="K401" s="25" t="s">
        <v>321</v>
      </c>
      <c r="L401" s="25" t="s">
        <v>322</v>
      </c>
      <c r="M401" s="25" t="s">
        <v>322</v>
      </c>
      <c r="N401" s="25" t="s">
        <v>2410</v>
      </c>
      <c r="O401" s="25" t="s">
        <v>2931</v>
      </c>
      <c r="P401" s="25" t="s">
        <v>7912</v>
      </c>
      <c r="Q401" s="25" t="s">
        <v>2555</v>
      </c>
      <c r="R401" s="25" t="s">
        <v>177</v>
      </c>
      <c r="S401" s="25" t="s">
        <v>178</v>
      </c>
      <c r="T401" s="25" t="s">
        <v>179</v>
      </c>
      <c r="U401" s="25" t="s">
        <v>7913</v>
      </c>
      <c r="V401" s="25" t="s">
        <v>7914</v>
      </c>
      <c r="W401" s="32" t="s">
        <v>7915</v>
      </c>
      <c r="X401" s="25" t="s">
        <v>7916</v>
      </c>
      <c r="Y401" s="25" t="s">
        <v>7917</v>
      </c>
      <c r="Z401" s="25" t="s">
        <v>7918</v>
      </c>
      <c r="AA401" s="25" t="s">
        <v>166</v>
      </c>
      <c r="AB401" s="25" t="s">
        <v>166</v>
      </c>
      <c r="AC401" s="25" t="s">
        <v>166</v>
      </c>
      <c r="AD401" s="25" t="s">
        <v>166</v>
      </c>
      <c r="AE401" s="25" t="s">
        <v>166</v>
      </c>
      <c r="AF401" s="25" t="s">
        <v>166</v>
      </c>
      <c r="AG401" s="25" t="s">
        <v>166</v>
      </c>
      <c r="AH401" s="32">
        <v>2</v>
      </c>
      <c r="AI401" s="4">
        <f>HYPERLINK("https://my.pitchbook.com/?d=184393-63T","184393-63T")</f>
      </c>
      <c r="AJ401" s="30">
        <v>44418</v>
      </c>
      <c r="AK401" s="30">
        <v>44593</v>
      </c>
      <c r="AL401" s="29">
        <v>0.45</v>
      </c>
      <c r="AM401" s="25" t="s">
        <v>185</v>
      </c>
      <c r="AN401" s="29" t="s">
        <v>166</v>
      </c>
      <c r="AO401" s="29" t="s">
        <v>166</v>
      </c>
      <c r="AP401" s="25" t="s">
        <v>166</v>
      </c>
      <c r="AQ401" s="32" t="s">
        <v>166</v>
      </c>
      <c r="AR401" s="32" t="s">
        <v>166</v>
      </c>
      <c r="AS401" s="28" t="s">
        <v>166</v>
      </c>
      <c r="AT401" s="29">
        <v>0.45</v>
      </c>
      <c r="AU401" s="32" t="s">
        <v>186</v>
      </c>
      <c r="AV401" s="32" t="s">
        <v>166</v>
      </c>
      <c r="AW401" s="29" t="s">
        <v>166</v>
      </c>
      <c r="AX401" s="32" t="s">
        <v>166</v>
      </c>
      <c r="AY401" s="25" t="s">
        <v>217</v>
      </c>
      <c r="AZ401" s="25" t="s">
        <v>217</v>
      </c>
      <c r="BA401" s="25" t="s">
        <v>166</v>
      </c>
      <c r="BB401" s="32" t="s">
        <v>166</v>
      </c>
      <c r="BC401" s="25" t="s">
        <v>179</v>
      </c>
      <c r="BD401" s="25" t="s">
        <v>7911</v>
      </c>
      <c r="BE401" s="25" t="s">
        <v>189</v>
      </c>
      <c r="BF401" s="29">
        <v>0.45</v>
      </c>
      <c r="BG401" s="25" t="s">
        <v>190</v>
      </c>
      <c r="BH401" s="25" t="s">
        <v>166</v>
      </c>
      <c r="BI401" s="25" t="s">
        <v>166</v>
      </c>
      <c r="BJ401" s="29" t="s">
        <v>166</v>
      </c>
      <c r="BK401" s="29" t="s">
        <v>166</v>
      </c>
      <c r="BL401" s="25" t="s">
        <v>191</v>
      </c>
      <c r="BM401" s="25" t="s">
        <v>178</v>
      </c>
      <c r="BN401" s="25" t="s">
        <v>177</v>
      </c>
      <c r="BO401" s="33" t="s">
        <v>166</v>
      </c>
      <c r="BP401" s="25" t="s">
        <v>7919</v>
      </c>
      <c r="BQ401" s="32">
        <v>3</v>
      </c>
      <c r="BR401" s="25" t="s">
        <v>7920</v>
      </c>
      <c r="BS401" s="32">
        <v>1</v>
      </c>
      <c r="BT401" s="25" t="s">
        <v>166</v>
      </c>
      <c r="BU401" s="25" t="s">
        <v>166</v>
      </c>
      <c r="BV401" s="25" t="s">
        <v>166</v>
      </c>
      <c r="BW401" s="25" t="s">
        <v>166</v>
      </c>
      <c r="BX401" s="25" t="s">
        <v>166</v>
      </c>
      <c r="BY401" s="25" t="s">
        <v>166</v>
      </c>
      <c r="BZ401" s="25" t="s">
        <v>166</v>
      </c>
      <c r="CA401" s="25" t="s">
        <v>166</v>
      </c>
      <c r="CB401" s="25" t="s">
        <v>166</v>
      </c>
      <c r="CC401" s="25" t="s">
        <v>166</v>
      </c>
      <c r="CD401" s="25" t="s">
        <v>166</v>
      </c>
      <c r="CE401" s="29" t="s">
        <v>166</v>
      </c>
      <c r="CF401" s="27" t="s">
        <v>166</v>
      </c>
      <c r="CG401" s="28" t="s">
        <v>166</v>
      </c>
      <c r="CH401" s="27" t="s">
        <v>166</v>
      </c>
      <c r="CI401" s="27" t="s">
        <v>166</v>
      </c>
      <c r="CJ401" s="27" t="s">
        <v>166</v>
      </c>
      <c r="CK401" s="27" t="s">
        <v>166</v>
      </c>
      <c r="CL401" s="27" t="s">
        <v>166</v>
      </c>
      <c r="CM401" s="31" t="s">
        <v>166</v>
      </c>
      <c r="CN401" s="27" t="s">
        <v>166</v>
      </c>
      <c r="CO401" s="27" t="s">
        <v>166</v>
      </c>
      <c r="CP401" s="27" t="s">
        <v>166</v>
      </c>
      <c r="CQ401" s="27" t="s">
        <v>166</v>
      </c>
      <c r="CR401" s="27" t="s">
        <v>166</v>
      </c>
      <c r="CS401" s="27" t="s">
        <v>166</v>
      </c>
      <c r="CT401" s="27" t="s">
        <v>166</v>
      </c>
      <c r="CU401" s="27" t="s">
        <v>166</v>
      </c>
      <c r="CV401" s="27" t="s">
        <v>166</v>
      </c>
      <c r="CW401" s="27" t="s">
        <v>166</v>
      </c>
      <c r="CX401" s="27" t="s">
        <v>166</v>
      </c>
      <c r="CY401" s="27" t="s">
        <v>166</v>
      </c>
      <c r="CZ401" s="27" t="s">
        <v>166</v>
      </c>
      <c r="DA401" s="27" t="s">
        <v>166</v>
      </c>
      <c r="DB401" s="27" t="s">
        <v>166</v>
      </c>
      <c r="DC401" s="27" t="s">
        <v>166</v>
      </c>
      <c r="DD401" s="27" t="s">
        <v>166</v>
      </c>
      <c r="DE401" s="28" t="s">
        <v>166</v>
      </c>
      <c r="DF401" s="33">
        <v>3</v>
      </c>
      <c r="DG401" s="25" t="s">
        <v>309</v>
      </c>
      <c r="DH401" s="25" t="s">
        <v>193</v>
      </c>
      <c r="DI401" s="25" t="s">
        <v>194</v>
      </c>
      <c r="DJ401" s="25" t="s">
        <v>310</v>
      </c>
      <c r="DK401" s="25" t="s">
        <v>310</v>
      </c>
      <c r="DL401" s="32" t="s">
        <v>7921</v>
      </c>
      <c r="DM401" s="25" t="s">
        <v>198</v>
      </c>
      <c r="DN401" s="24" t="s">
        <v>7922</v>
      </c>
      <c r="DO401" s="31">
        <v>2020</v>
      </c>
      <c r="DP401" s="25" t="s">
        <v>166</v>
      </c>
      <c r="DQ401" s="25" t="s">
        <v>166</v>
      </c>
      <c r="DR401" s="29" t="s">
        <v>166</v>
      </c>
      <c r="DS401" s="27" t="s">
        <v>166</v>
      </c>
      <c r="DT401" s="30" t="s">
        <v>166</v>
      </c>
      <c r="DU401" s="25" t="s">
        <v>166</v>
      </c>
      <c r="DV401" s="29" t="s">
        <v>166</v>
      </c>
      <c r="DW401" s="29" t="s">
        <v>166</v>
      </c>
      <c r="DX401" s="27" t="s">
        <v>166</v>
      </c>
      <c r="DY401" s="27" t="s">
        <v>166</v>
      </c>
      <c r="DZ401" s="28" t="s">
        <v>166</v>
      </c>
      <c r="EA401" s="27" t="s">
        <v>166</v>
      </c>
      <c r="EB401" s="27" t="s">
        <v>166</v>
      </c>
      <c r="EC401" s="27" t="s">
        <v>166</v>
      </c>
      <c r="ED401" s="28" t="s">
        <v>166</v>
      </c>
      <c r="EE401" s="28" t="s">
        <v>166</v>
      </c>
      <c r="EF401" s="28" t="s">
        <v>166</v>
      </c>
      <c r="EG401" s="28" t="s">
        <v>166</v>
      </c>
      <c r="EH401" s="27" t="s">
        <v>166</v>
      </c>
      <c r="EI401" s="27" t="s">
        <v>166</v>
      </c>
      <c r="EJ401" s="27" t="s">
        <v>166</v>
      </c>
      <c r="EK401" s="27" t="s">
        <v>166</v>
      </c>
      <c r="EL401" s="27" t="s">
        <v>166</v>
      </c>
      <c r="EM401" s="27" t="s">
        <v>166</v>
      </c>
      <c r="EN401" s="27" t="s">
        <v>166</v>
      </c>
      <c r="EO401" s="27" t="s">
        <v>166</v>
      </c>
      <c r="EP401" s="27" t="s">
        <v>166</v>
      </c>
      <c r="EQ401" s="27" t="s">
        <v>166</v>
      </c>
      <c r="ER401" s="27" t="s">
        <v>166</v>
      </c>
      <c r="ES401" s="27" t="s">
        <v>166</v>
      </c>
      <c r="ET401" s="25" t="s">
        <v>166</v>
      </c>
      <c r="EU401" s="27" t="s">
        <v>166</v>
      </c>
      <c r="EV401" s="27" t="s">
        <v>166</v>
      </c>
      <c r="EW401" s="27" t="s">
        <v>166</v>
      </c>
      <c r="EX401" s="25" t="s">
        <v>190</v>
      </c>
      <c r="EY401" s="25" t="s">
        <v>166</v>
      </c>
      <c r="EZ401" s="27" t="s">
        <v>166</v>
      </c>
      <c r="FA401" s="26" t="s">
        <v>166</v>
      </c>
      <c r="FB401" s="26" t="s">
        <v>166</v>
      </c>
      <c r="FC401" s="26" t="s">
        <v>166</v>
      </c>
      <c r="FD401" s="26" t="s">
        <v>166</v>
      </c>
      <c r="FE401" s="26" t="s">
        <v>166</v>
      </c>
      <c r="FF401" s="26" t="s">
        <v>166</v>
      </c>
      <c r="FG401" s="25" t="s">
        <v>166</v>
      </c>
      <c r="FH401" s="4">
        <f>HYPERLINK("https://my.pitchbook.com?c=184393-63T","View Company Online")</f>
      </c>
    </row>
    <row r="402">
      <c r="A402" s="14" t="s">
        <v>7923</v>
      </c>
      <c r="B402" s="14" t="s">
        <v>7924</v>
      </c>
      <c r="C402" s="14" t="s">
        <v>7925</v>
      </c>
      <c r="D402" s="14" t="s">
        <v>166</v>
      </c>
      <c r="E402" s="23" t="s">
        <v>7926</v>
      </c>
      <c r="F402" s="21">
        <v>7</v>
      </c>
      <c r="G402" s="14" t="s">
        <v>7927</v>
      </c>
      <c r="H402" s="14" t="s">
        <v>166</v>
      </c>
      <c r="I402" s="14" t="s">
        <v>7928</v>
      </c>
      <c r="J402" s="14" t="s">
        <v>7929</v>
      </c>
      <c r="K402" s="14" t="s">
        <v>207</v>
      </c>
      <c r="L402" s="14" t="s">
        <v>208</v>
      </c>
      <c r="M402" s="14" t="s">
        <v>1940</v>
      </c>
      <c r="N402" s="14" t="s">
        <v>1941</v>
      </c>
      <c r="O402" s="14" t="s">
        <v>7930</v>
      </c>
      <c r="P402" s="14" t="s">
        <v>7931</v>
      </c>
      <c r="Q402" s="14" t="s">
        <v>926</v>
      </c>
      <c r="R402" s="14" t="s">
        <v>177</v>
      </c>
      <c r="S402" s="14" t="s">
        <v>178</v>
      </c>
      <c r="T402" s="14" t="s">
        <v>179</v>
      </c>
      <c r="U402" s="14" t="s">
        <v>7932</v>
      </c>
      <c r="V402" s="14" t="s">
        <v>7933</v>
      </c>
      <c r="W402" s="21" t="s">
        <v>166</v>
      </c>
      <c r="X402" s="14" t="s">
        <v>7934</v>
      </c>
      <c r="Y402" s="14" t="s">
        <v>7935</v>
      </c>
      <c r="Z402" s="14" t="s">
        <v>7936</v>
      </c>
      <c r="AA402" s="14" t="s">
        <v>242</v>
      </c>
      <c r="AB402" s="14" t="s">
        <v>243</v>
      </c>
      <c r="AC402" s="14" t="s">
        <v>244</v>
      </c>
      <c r="AD402" s="14" t="s">
        <v>243</v>
      </c>
      <c r="AE402" s="14" t="s">
        <v>243</v>
      </c>
      <c r="AF402" s="14" t="s">
        <v>245</v>
      </c>
      <c r="AG402" s="14" t="s">
        <v>246</v>
      </c>
      <c r="AH402" s="21">
        <v>1</v>
      </c>
      <c r="AI402" s="3">
        <f>HYPERLINK("https://my.pitchbook.com/?d=190404-28T","190404-28T")</f>
      </c>
      <c r="AJ402" s="19">
        <v>44636</v>
      </c>
      <c r="AK402" s="19">
        <v>44636</v>
      </c>
      <c r="AL402" s="18">
        <v>2</v>
      </c>
      <c r="AM402" s="14" t="s">
        <v>185</v>
      </c>
      <c r="AN402" s="18">
        <v>7</v>
      </c>
      <c r="AO402" s="18">
        <v>9</v>
      </c>
      <c r="AP402" s="14" t="s">
        <v>185</v>
      </c>
      <c r="AQ402" s="21" t="s">
        <v>166</v>
      </c>
      <c r="AR402" s="21" t="s">
        <v>166</v>
      </c>
      <c r="AS402" s="17">
        <v>22.22</v>
      </c>
      <c r="AT402" s="18">
        <v>2</v>
      </c>
      <c r="AU402" s="21" t="s">
        <v>186</v>
      </c>
      <c r="AV402" s="21" t="s">
        <v>166</v>
      </c>
      <c r="AW402" s="18">
        <v>1.4</v>
      </c>
      <c r="AX402" s="21" t="s">
        <v>166</v>
      </c>
      <c r="AY402" s="14" t="s">
        <v>217</v>
      </c>
      <c r="AZ402" s="14" t="s">
        <v>217</v>
      </c>
      <c r="BA402" s="14" t="s">
        <v>166</v>
      </c>
      <c r="BB402" s="21" t="s">
        <v>166</v>
      </c>
      <c r="BC402" s="14" t="s">
        <v>179</v>
      </c>
      <c r="BD402" s="14" t="s">
        <v>7937</v>
      </c>
      <c r="BE402" s="14" t="s">
        <v>189</v>
      </c>
      <c r="BF402" s="18">
        <v>2</v>
      </c>
      <c r="BG402" s="14" t="s">
        <v>190</v>
      </c>
      <c r="BH402" s="14" t="s">
        <v>166</v>
      </c>
      <c r="BI402" s="14" t="s">
        <v>166</v>
      </c>
      <c r="BJ402" s="18" t="s">
        <v>166</v>
      </c>
      <c r="BK402" s="18" t="s">
        <v>166</v>
      </c>
      <c r="BL402" s="14" t="s">
        <v>191</v>
      </c>
      <c r="BM402" s="14" t="s">
        <v>178</v>
      </c>
      <c r="BN402" s="14" t="s">
        <v>177</v>
      </c>
      <c r="BO402" s="22" t="s">
        <v>166</v>
      </c>
      <c r="BP402" s="14" t="s">
        <v>7938</v>
      </c>
      <c r="BQ402" s="21">
        <v>7</v>
      </c>
      <c r="BR402" s="14" t="s">
        <v>166</v>
      </c>
      <c r="BS402" s="21" t="s">
        <v>166</v>
      </c>
      <c r="BT402" s="14" t="s">
        <v>7939</v>
      </c>
      <c r="BU402" s="14" t="s">
        <v>166</v>
      </c>
      <c r="BV402" s="14" t="s">
        <v>7940</v>
      </c>
      <c r="BW402" s="14" t="s">
        <v>166</v>
      </c>
      <c r="BX402" s="14" t="s">
        <v>166</v>
      </c>
      <c r="BY402" s="14" t="s">
        <v>166</v>
      </c>
      <c r="BZ402" s="14" t="s">
        <v>7941</v>
      </c>
      <c r="CA402" s="14" t="s">
        <v>166</v>
      </c>
      <c r="CB402" s="14" t="s">
        <v>166</v>
      </c>
      <c r="CC402" s="14" t="s">
        <v>7941</v>
      </c>
      <c r="CD402" s="14" t="s">
        <v>166</v>
      </c>
      <c r="CE402" s="18" t="s">
        <v>166</v>
      </c>
      <c r="CF402" s="16" t="s">
        <v>166</v>
      </c>
      <c r="CG402" s="17" t="s">
        <v>166</v>
      </c>
      <c r="CH402" s="16" t="s">
        <v>166</v>
      </c>
      <c r="CI402" s="16" t="s">
        <v>166</v>
      </c>
      <c r="CJ402" s="16" t="s">
        <v>166</v>
      </c>
      <c r="CK402" s="16" t="s">
        <v>166</v>
      </c>
      <c r="CL402" s="16" t="s">
        <v>166</v>
      </c>
      <c r="CM402" s="20" t="s">
        <v>166</v>
      </c>
      <c r="CN402" s="16" t="s">
        <v>166</v>
      </c>
      <c r="CO402" s="16" t="s">
        <v>166</v>
      </c>
      <c r="CP402" s="16" t="s">
        <v>166</v>
      </c>
      <c r="CQ402" s="16" t="s">
        <v>166</v>
      </c>
      <c r="CR402" s="16" t="s">
        <v>166</v>
      </c>
      <c r="CS402" s="16" t="s">
        <v>166</v>
      </c>
      <c r="CT402" s="16" t="s">
        <v>166</v>
      </c>
      <c r="CU402" s="16" t="s">
        <v>166</v>
      </c>
      <c r="CV402" s="16" t="s">
        <v>166</v>
      </c>
      <c r="CW402" s="16" t="s">
        <v>166</v>
      </c>
      <c r="CX402" s="16" t="s">
        <v>166</v>
      </c>
      <c r="CY402" s="16" t="s">
        <v>166</v>
      </c>
      <c r="CZ402" s="16" t="s">
        <v>166</v>
      </c>
      <c r="DA402" s="16" t="s">
        <v>166</v>
      </c>
      <c r="DB402" s="16" t="s">
        <v>166</v>
      </c>
      <c r="DC402" s="16" t="s">
        <v>166</v>
      </c>
      <c r="DD402" s="16" t="s">
        <v>166</v>
      </c>
      <c r="DE402" s="17" t="s">
        <v>166</v>
      </c>
      <c r="DF402" s="22">
        <v>26</v>
      </c>
      <c r="DG402" s="14" t="s">
        <v>309</v>
      </c>
      <c r="DH402" s="14" t="s">
        <v>193</v>
      </c>
      <c r="DI402" s="14" t="s">
        <v>194</v>
      </c>
      <c r="DJ402" s="14" t="s">
        <v>310</v>
      </c>
      <c r="DK402" s="14" t="s">
        <v>310</v>
      </c>
      <c r="DL402" s="21" t="s">
        <v>1172</v>
      </c>
      <c r="DM402" s="14" t="s">
        <v>198</v>
      </c>
      <c r="DN402" s="13" t="s">
        <v>7942</v>
      </c>
      <c r="DO402" s="20">
        <v>2020</v>
      </c>
      <c r="DP402" s="14" t="s">
        <v>166</v>
      </c>
      <c r="DQ402" s="14" t="s">
        <v>166</v>
      </c>
      <c r="DR402" s="18" t="s">
        <v>166</v>
      </c>
      <c r="DS402" s="16" t="s">
        <v>166</v>
      </c>
      <c r="DT402" s="19" t="s">
        <v>166</v>
      </c>
      <c r="DU402" s="14" t="s">
        <v>166</v>
      </c>
      <c r="DV402" s="18" t="s">
        <v>166</v>
      </c>
      <c r="DW402" s="18" t="s">
        <v>166</v>
      </c>
      <c r="DX402" s="16" t="s">
        <v>166</v>
      </c>
      <c r="DY402" s="16" t="s">
        <v>166</v>
      </c>
      <c r="DZ402" s="17" t="s">
        <v>166</v>
      </c>
      <c r="EA402" s="16" t="s">
        <v>166</v>
      </c>
      <c r="EB402" s="16" t="s">
        <v>166</v>
      </c>
      <c r="EC402" s="16" t="s">
        <v>166</v>
      </c>
      <c r="ED402" s="17" t="s">
        <v>166</v>
      </c>
      <c r="EE402" s="17" t="s">
        <v>166</v>
      </c>
      <c r="EF402" s="17" t="s">
        <v>166</v>
      </c>
      <c r="EG402" s="17" t="s">
        <v>166</v>
      </c>
      <c r="EH402" s="16" t="s">
        <v>166</v>
      </c>
      <c r="EI402" s="16" t="s">
        <v>166</v>
      </c>
      <c r="EJ402" s="16" t="s">
        <v>166</v>
      </c>
      <c r="EK402" s="16" t="s">
        <v>166</v>
      </c>
      <c r="EL402" s="16" t="s">
        <v>166</v>
      </c>
      <c r="EM402" s="16" t="s">
        <v>166</v>
      </c>
      <c r="EN402" s="16" t="s">
        <v>166</v>
      </c>
      <c r="EO402" s="16" t="s">
        <v>166</v>
      </c>
      <c r="EP402" s="16" t="s">
        <v>166</v>
      </c>
      <c r="EQ402" s="16" t="s">
        <v>166</v>
      </c>
      <c r="ER402" s="16" t="s">
        <v>166</v>
      </c>
      <c r="ES402" s="16" t="s">
        <v>166</v>
      </c>
      <c r="ET402" s="14" t="s">
        <v>166</v>
      </c>
      <c r="EU402" s="16" t="s">
        <v>166</v>
      </c>
      <c r="EV402" s="16" t="s">
        <v>166</v>
      </c>
      <c r="EW402" s="16" t="s">
        <v>166</v>
      </c>
      <c r="EX402" s="14" t="s">
        <v>190</v>
      </c>
      <c r="EY402" s="14" t="s">
        <v>166</v>
      </c>
      <c r="EZ402" s="16" t="s">
        <v>166</v>
      </c>
      <c r="FA402" s="15" t="s">
        <v>166</v>
      </c>
      <c r="FB402" s="15" t="s">
        <v>166</v>
      </c>
      <c r="FC402" s="15" t="s">
        <v>166</v>
      </c>
      <c r="FD402" s="15" t="s">
        <v>166</v>
      </c>
      <c r="FE402" s="15" t="s">
        <v>166</v>
      </c>
      <c r="FF402" s="15" t="s">
        <v>166</v>
      </c>
      <c r="FG402" s="14" t="s">
        <v>166</v>
      </c>
      <c r="FH402" s="3">
        <f>HYPERLINK("https://my.pitchbook.com?c=190404-28T","View Company Online")</f>
      </c>
    </row>
    <row r="403">
      <c r="A403" s="25" t="s">
        <v>7943</v>
      </c>
      <c r="B403" s="25" t="s">
        <v>7944</v>
      </c>
      <c r="C403" s="25" t="s">
        <v>7945</v>
      </c>
      <c r="D403" s="25" t="s">
        <v>166</v>
      </c>
      <c r="E403" s="34" t="s">
        <v>7946</v>
      </c>
      <c r="F403" s="32">
        <v>18</v>
      </c>
      <c r="G403" s="25" t="s">
        <v>7947</v>
      </c>
      <c r="H403" s="25" t="s">
        <v>166</v>
      </c>
      <c r="I403" s="25" t="s">
        <v>7948</v>
      </c>
      <c r="J403" s="25" t="s">
        <v>7949</v>
      </c>
      <c r="K403" s="25" t="s">
        <v>207</v>
      </c>
      <c r="L403" s="25" t="s">
        <v>208</v>
      </c>
      <c r="M403" s="25" t="s">
        <v>209</v>
      </c>
      <c r="N403" s="25" t="s">
        <v>269</v>
      </c>
      <c r="O403" s="25" t="s">
        <v>4487</v>
      </c>
      <c r="P403" s="25" t="s">
        <v>7950</v>
      </c>
      <c r="Q403" s="25" t="s">
        <v>166</v>
      </c>
      <c r="R403" s="25" t="s">
        <v>177</v>
      </c>
      <c r="S403" s="25" t="s">
        <v>178</v>
      </c>
      <c r="T403" s="25" t="s">
        <v>179</v>
      </c>
      <c r="U403" s="25" t="s">
        <v>7951</v>
      </c>
      <c r="V403" s="25" t="s">
        <v>7952</v>
      </c>
      <c r="W403" s="32" t="s">
        <v>166</v>
      </c>
      <c r="X403" s="25" t="s">
        <v>7953</v>
      </c>
      <c r="Y403" s="25" t="s">
        <v>7954</v>
      </c>
      <c r="Z403" s="25" t="s">
        <v>166</v>
      </c>
      <c r="AA403" s="25" t="s">
        <v>242</v>
      </c>
      <c r="AB403" s="25" t="s">
        <v>243</v>
      </c>
      <c r="AC403" s="25" t="s">
        <v>244</v>
      </c>
      <c r="AD403" s="25" t="s">
        <v>243</v>
      </c>
      <c r="AE403" s="25" t="s">
        <v>243</v>
      </c>
      <c r="AF403" s="25" t="s">
        <v>166</v>
      </c>
      <c r="AG403" s="25" t="s">
        <v>246</v>
      </c>
      <c r="AH403" s="32">
        <v>2</v>
      </c>
      <c r="AI403" s="4">
        <f>HYPERLINK("https://my.pitchbook.com/?d=183147-94T","183147-94T")</f>
      </c>
      <c r="AJ403" s="30">
        <v>44138</v>
      </c>
      <c r="AK403" s="30">
        <v>44496</v>
      </c>
      <c r="AL403" s="29">
        <v>8.2</v>
      </c>
      <c r="AM403" s="25" t="s">
        <v>185</v>
      </c>
      <c r="AN403" s="29">
        <v>22</v>
      </c>
      <c r="AO403" s="29">
        <v>30.2</v>
      </c>
      <c r="AP403" s="25" t="s">
        <v>185</v>
      </c>
      <c r="AQ403" s="32" t="s">
        <v>166</v>
      </c>
      <c r="AR403" s="32" t="s">
        <v>166</v>
      </c>
      <c r="AS403" s="28">
        <v>27.15</v>
      </c>
      <c r="AT403" s="29">
        <v>8.2</v>
      </c>
      <c r="AU403" s="32" t="s">
        <v>186</v>
      </c>
      <c r="AV403" s="32" t="s">
        <v>166</v>
      </c>
      <c r="AW403" s="29">
        <v>2.85</v>
      </c>
      <c r="AX403" s="32" t="s">
        <v>166</v>
      </c>
      <c r="AY403" s="25" t="s">
        <v>217</v>
      </c>
      <c r="AZ403" s="25" t="s">
        <v>217</v>
      </c>
      <c r="BA403" s="25" t="s">
        <v>166</v>
      </c>
      <c r="BB403" s="32" t="s">
        <v>166</v>
      </c>
      <c r="BC403" s="25" t="s">
        <v>179</v>
      </c>
      <c r="BD403" s="25" t="s">
        <v>7955</v>
      </c>
      <c r="BE403" s="25" t="s">
        <v>189</v>
      </c>
      <c r="BF403" s="29">
        <v>8.2</v>
      </c>
      <c r="BG403" s="25" t="s">
        <v>190</v>
      </c>
      <c r="BH403" s="25" t="s">
        <v>166</v>
      </c>
      <c r="BI403" s="25" t="s">
        <v>166</v>
      </c>
      <c r="BJ403" s="29" t="s">
        <v>166</v>
      </c>
      <c r="BK403" s="29" t="s">
        <v>166</v>
      </c>
      <c r="BL403" s="25" t="s">
        <v>191</v>
      </c>
      <c r="BM403" s="25" t="s">
        <v>178</v>
      </c>
      <c r="BN403" s="25" t="s">
        <v>177</v>
      </c>
      <c r="BO403" s="33" t="s">
        <v>166</v>
      </c>
      <c r="BP403" s="25" t="s">
        <v>7956</v>
      </c>
      <c r="BQ403" s="32">
        <v>18</v>
      </c>
      <c r="BR403" s="25" t="s">
        <v>166</v>
      </c>
      <c r="BS403" s="32" t="s">
        <v>166</v>
      </c>
      <c r="BT403" s="25" t="s">
        <v>7957</v>
      </c>
      <c r="BU403" s="25" t="s">
        <v>166</v>
      </c>
      <c r="BV403" s="25" t="s">
        <v>7958</v>
      </c>
      <c r="BW403" s="25" t="s">
        <v>166</v>
      </c>
      <c r="BX403" s="25" t="s">
        <v>166</v>
      </c>
      <c r="BY403" s="25" t="s">
        <v>166</v>
      </c>
      <c r="BZ403" s="25" t="s">
        <v>996</v>
      </c>
      <c r="CA403" s="25" t="s">
        <v>996</v>
      </c>
      <c r="CB403" s="25" t="s">
        <v>166</v>
      </c>
      <c r="CC403" s="25" t="s">
        <v>166</v>
      </c>
      <c r="CD403" s="25" t="s">
        <v>166</v>
      </c>
      <c r="CE403" s="29" t="s">
        <v>166</v>
      </c>
      <c r="CF403" s="27" t="s">
        <v>166</v>
      </c>
      <c r="CG403" s="28" t="s">
        <v>166</v>
      </c>
      <c r="CH403" s="27" t="s">
        <v>166</v>
      </c>
      <c r="CI403" s="27" t="s">
        <v>166</v>
      </c>
      <c r="CJ403" s="27" t="s">
        <v>166</v>
      </c>
      <c r="CK403" s="27" t="s">
        <v>166</v>
      </c>
      <c r="CL403" s="27" t="s">
        <v>166</v>
      </c>
      <c r="CM403" s="31" t="s">
        <v>166</v>
      </c>
      <c r="CN403" s="27" t="s">
        <v>166</v>
      </c>
      <c r="CO403" s="27" t="s">
        <v>166</v>
      </c>
      <c r="CP403" s="27" t="s">
        <v>166</v>
      </c>
      <c r="CQ403" s="27" t="s">
        <v>166</v>
      </c>
      <c r="CR403" s="27" t="s">
        <v>166</v>
      </c>
      <c r="CS403" s="27" t="s">
        <v>166</v>
      </c>
      <c r="CT403" s="27" t="s">
        <v>166</v>
      </c>
      <c r="CU403" s="27" t="s">
        <v>166</v>
      </c>
      <c r="CV403" s="27" t="s">
        <v>166</v>
      </c>
      <c r="CW403" s="27" t="s">
        <v>166</v>
      </c>
      <c r="CX403" s="27" t="s">
        <v>166</v>
      </c>
      <c r="CY403" s="27" t="s">
        <v>166</v>
      </c>
      <c r="CZ403" s="27" t="s">
        <v>166</v>
      </c>
      <c r="DA403" s="27" t="s">
        <v>166</v>
      </c>
      <c r="DB403" s="27" t="s">
        <v>166</v>
      </c>
      <c r="DC403" s="27" t="s">
        <v>166</v>
      </c>
      <c r="DD403" s="27" t="s">
        <v>166</v>
      </c>
      <c r="DE403" s="28" t="s">
        <v>166</v>
      </c>
      <c r="DF403" s="33">
        <v>93</v>
      </c>
      <c r="DG403" s="25" t="s">
        <v>309</v>
      </c>
      <c r="DH403" s="25" t="s">
        <v>193</v>
      </c>
      <c r="DI403" s="25" t="s">
        <v>194</v>
      </c>
      <c r="DJ403" s="25" t="s">
        <v>310</v>
      </c>
      <c r="DK403" s="25" t="s">
        <v>310</v>
      </c>
      <c r="DL403" s="32" t="s">
        <v>7959</v>
      </c>
      <c r="DM403" s="25" t="s">
        <v>198</v>
      </c>
      <c r="DN403" s="24" t="s">
        <v>7960</v>
      </c>
      <c r="DO403" s="31">
        <v>2020</v>
      </c>
      <c r="DP403" s="25" t="s">
        <v>166</v>
      </c>
      <c r="DQ403" s="25" t="s">
        <v>166</v>
      </c>
      <c r="DR403" s="29" t="s">
        <v>166</v>
      </c>
      <c r="DS403" s="27" t="s">
        <v>166</v>
      </c>
      <c r="DT403" s="30" t="s">
        <v>166</v>
      </c>
      <c r="DU403" s="25" t="s">
        <v>166</v>
      </c>
      <c r="DV403" s="29" t="s">
        <v>166</v>
      </c>
      <c r="DW403" s="29" t="s">
        <v>166</v>
      </c>
      <c r="DX403" s="27" t="s">
        <v>166</v>
      </c>
      <c r="DY403" s="27" t="s">
        <v>166</v>
      </c>
      <c r="DZ403" s="28" t="s">
        <v>166</v>
      </c>
      <c r="EA403" s="27" t="s">
        <v>166</v>
      </c>
      <c r="EB403" s="27" t="s">
        <v>166</v>
      </c>
      <c r="EC403" s="27" t="s">
        <v>166</v>
      </c>
      <c r="ED403" s="28" t="s">
        <v>166</v>
      </c>
      <c r="EE403" s="28" t="s">
        <v>166</v>
      </c>
      <c r="EF403" s="28" t="s">
        <v>166</v>
      </c>
      <c r="EG403" s="28" t="s">
        <v>166</v>
      </c>
      <c r="EH403" s="27" t="s">
        <v>166</v>
      </c>
      <c r="EI403" s="27" t="s">
        <v>166</v>
      </c>
      <c r="EJ403" s="27" t="s">
        <v>166</v>
      </c>
      <c r="EK403" s="27" t="s">
        <v>166</v>
      </c>
      <c r="EL403" s="27" t="s">
        <v>166</v>
      </c>
      <c r="EM403" s="27" t="s">
        <v>166</v>
      </c>
      <c r="EN403" s="27" t="s">
        <v>166</v>
      </c>
      <c r="EO403" s="27" t="s">
        <v>166</v>
      </c>
      <c r="EP403" s="27" t="s">
        <v>166</v>
      </c>
      <c r="EQ403" s="27" t="s">
        <v>166</v>
      </c>
      <c r="ER403" s="27" t="s">
        <v>166</v>
      </c>
      <c r="ES403" s="27" t="s">
        <v>166</v>
      </c>
      <c r="ET403" s="25" t="s">
        <v>166</v>
      </c>
      <c r="EU403" s="27" t="s">
        <v>166</v>
      </c>
      <c r="EV403" s="27" t="s">
        <v>166</v>
      </c>
      <c r="EW403" s="27" t="s">
        <v>166</v>
      </c>
      <c r="EX403" s="25" t="s">
        <v>190</v>
      </c>
      <c r="EY403" s="25" t="s">
        <v>166</v>
      </c>
      <c r="EZ403" s="27" t="s">
        <v>166</v>
      </c>
      <c r="FA403" s="26" t="s">
        <v>166</v>
      </c>
      <c r="FB403" s="26" t="s">
        <v>166</v>
      </c>
      <c r="FC403" s="26" t="s">
        <v>166</v>
      </c>
      <c r="FD403" s="26" t="s">
        <v>166</v>
      </c>
      <c r="FE403" s="26" t="s">
        <v>166</v>
      </c>
      <c r="FF403" s="26" t="s">
        <v>166</v>
      </c>
      <c r="FG403" s="25" t="s">
        <v>166</v>
      </c>
      <c r="FH403" s="4">
        <f>HYPERLINK("https://my.pitchbook.com?c=183147-94T","View Company Online")</f>
      </c>
    </row>
    <row r="404">
      <c r="A404" s="14" t="s">
        <v>7961</v>
      </c>
      <c r="B404" s="14" t="s">
        <v>7962</v>
      </c>
      <c r="C404" s="14" t="s">
        <v>7963</v>
      </c>
      <c r="D404" s="14" t="s">
        <v>166</v>
      </c>
      <c r="E404" s="23" t="s">
        <v>7964</v>
      </c>
      <c r="F404" s="21">
        <v>4</v>
      </c>
      <c r="G404" s="14" t="s">
        <v>7965</v>
      </c>
      <c r="H404" s="14" t="s">
        <v>166</v>
      </c>
      <c r="I404" s="14" t="s">
        <v>7966</v>
      </c>
      <c r="J404" s="14" t="s">
        <v>7967</v>
      </c>
      <c r="K404" s="14" t="s">
        <v>207</v>
      </c>
      <c r="L404" s="14" t="s">
        <v>208</v>
      </c>
      <c r="M404" s="14" t="s">
        <v>209</v>
      </c>
      <c r="N404" s="14" t="s">
        <v>269</v>
      </c>
      <c r="O404" s="14" t="s">
        <v>7968</v>
      </c>
      <c r="P404" s="14" t="s">
        <v>7969</v>
      </c>
      <c r="Q404" s="14" t="s">
        <v>166</v>
      </c>
      <c r="R404" s="14" t="s">
        <v>177</v>
      </c>
      <c r="S404" s="14" t="s">
        <v>178</v>
      </c>
      <c r="T404" s="14" t="s">
        <v>179</v>
      </c>
      <c r="U404" s="14" t="s">
        <v>7970</v>
      </c>
      <c r="V404" s="14" t="s">
        <v>7971</v>
      </c>
      <c r="W404" s="21" t="s">
        <v>7972</v>
      </c>
      <c r="X404" s="14" t="s">
        <v>7973</v>
      </c>
      <c r="Y404" s="14" t="s">
        <v>7974</v>
      </c>
      <c r="Z404" s="14" t="s">
        <v>166</v>
      </c>
      <c r="AA404" s="14" t="s">
        <v>166</v>
      </c>
      <c r="AB404" s="14" t="s">
        <v>166</v>
      </c>
      <c r="AC404" s="14" t="s">
        <v>166</v>
      </c>
      <c r="AD404" s="14" t="s">
        <v>166</v>
      </c>
      <c r="AE404" s="14" t="s">
        <v>166</v>
      </c>
      <c r="AF404" s="14" t="s">
        <v>166</v>
      </c>
      <c r="AG404" s="14" t="s">
        <v>166</v>
      </c>
      <c r="AH404" s="21">
        <v>2</v>
      </c>
      <c r="AI404" s="3">
        <f>HYPERLINK("https://my.pitchbook.com/?d=156385-45T","156385-45T")</f>
      </c>
      <c r="AJ404" s="19">
        <v>44092</v>
      </c>
      <c r="AK404" s="19">
        <v>44768</v>
      </c>
      <c r="AL404" s="18">
        <v>1.84</v>
      </c>
      <c r="AM404" s="14" t="s">
        <v>185</v>
      </c>
      <c r="AN404" s="18" t="s">
        <v>166</v>
      </c>
      <c r="AO404" s="18" t="s">
        <v>166</v>
      </c>
      <c r="AP404" s="14" t="s">
        <v>166</v>
      </c>
      <c r="AQ404" s="21" t="s">
        <v>166</v>
      </c>
      <c r="AR404" s="21" t="s">
        <v>166</v>
      </c>
      <c r="AS404" s="17" t="s">
        <v>166</v>
      </c>
      <c r="AT404" s="18">
        <v>1.84</v>
      </c>
      <c r="AU404" s="21" t="s">
        <v>186</v>
      </c>
      <c r="AV404" s="21" t="s">
        <v>166</v>
      </c>
      <c r="AW404" s="18" t="s">
        <v>166</v>
      </c>
      <c r="AX404" s="21" t="s">
        <v>166</v>
      </c>
      <c r="AY404" s="14" t="s">
        <v>187</v>
      </c>
      <c r="AZ404" s="14" t="s">
        <v>166</v>
      </c>
      <c r="BA404" s="14" t="s">
        <v>166</v>
      </c>
      <c r="BB404" s="21" t="s">
        <v>166</v>
      </c>
      <c r="BC404" s="14" t="s">
        <v>179</v>
      </c>
      <c r="BD404" s="14" t="s">
        <v>7975</v>
      </c>
      <c r="BE404" s="14" t="s">
        <v>189</v>
      </c>
      <c r="BF404" s="18">
        <v>1.84</v>
      </c>
      <c r="BG404" s="14" t="s">
        <v>190</v>
      </c>
      <c r="BH404" s="14" t="s">
        <v>166</v>
      </c>
      <c r="BI404" s="14" t="s">
        <v>166</v>
      </c>
      <c r="BJ404" s="18" t="s">
        <v>166</v>
      </c>
      <c r="BK404" s="18" t="s">
        <v>166</v>
      </c>
      <c r="BL404" s="14" t="s">
        <v>191</v>
      </c>
      <c r="BM404" s="14" t="s">
        <v>178</v>
      </c>
      <c r="BN404" s="14" t="s">
        <v>177</v>
      </c>
      <c r="BO404" s="22" t="s">
        <v>166</v>
      </c>
      <c r="BP404" s="14" t="s">
        <v>7976</v>
      </c>
      <c r="BQ404" s="21">
        <v>4</v>
      </c>
      <c r="BR404" s="14" t="s">
        <v>166</v>
      </c>
      <c r="BS404" s="21" t="s">
        <v>166</v>
      </c>
      <c r="BT404" s="14" t="s">
        <v>7977</v>
      </c>
      <c r="BU404" s="14" t="s">
        <v>166</v>
      </c>
      <c r="BV404" s="14" t="s">
        <v>7978</v>
      </c>
      <c r="BW404" s="14" t="s">
        <v>166</v>
      </c>
      <c r="BX404" s="14" t="s">
        <v>166</v>
      </c>
      <c r="BY404" s="14" t="s">
        <v>166</v>
      </c>
      <c r="BZ404" s="14" t="s">
        <v>166</v>
      </c>
      <c r="CA404" s="14" t="s">
        <v>166</v>
      </c>
      <c r="CB404" s="14" t="s">
        <v>166</v>
      </c>
      <c r="CC404" s="14" t="s">
        <v>166</v>
      </c>
      <c r="CD404" s="14" t="s">
        <v>166</v>
      </c>
      <c r="CE404" s="18" t="s">
        <v>166</v>
      </c>
      <c r="CF404" s="16" t="s">
        <v>166</v>
      </c>
      <c r="CG404" s="17" t="s">
        <v>166</v>
      </c>
      <c r="CH404" s="16" t="s">
        <v>166</v>
      </c>
      <c r="CI404" s="16" t="s">
        <v>166</v>
      </c>
      <c r="CJ404" s="16" t="s">
        <v>166</v>
      </c>
      <c r="CK404" s="16" t="s">
        <v>166</v>
      </c>
      <c r="CL404" s="16" t="s">
        <v>166</v>
      </c>
      <c r="CM404" s="20" t="s">
        <v>166</v>
      </c>
      <c r="CN404" s="16" t="s">
        <v>166</v>
      </c>
      <c r="CO404" s="16" t="s">
        <v>166</v>
      </c>
      <c r="CP404" s="16" t="s">
        <v>166</v>
      </c>
      <c r="CQ404" s="16" t="s">
        <v>166</v>
      </c>
      <c r="CR404" s="16" t="s">
        <v>166</v>
      </c>
      <c r="CS404" s="16" t="s">
        <v>166</v>
      </c>
      <c r="CT404" s="16" t="s">
        <v>166</v>
      </c>
      <c r="CU404" s="16" t="s">
        <v>166</v>
      </c>
      <c r="CV404" s="16" t="s">
        <v>166</v>
      </c>
      <c r="CW404" s="16" t="s">
        <v>166</v>
      </c>
      <c r="CX404" s="16" t="s">
        <v>166</v>
      </c>
      <c r="CY404" s="16" t="s">
        <v>166</v>
      </c>
      <c r="CZ404" s="16" t="s">
        <v>166</v>
      </c>
      <c r="DA404" s="16" t="s">
        <v>166</v>
      </c>
      <c r="DB404" s="16" t="s">
        <v>166</v>
      </c>
      <c r="DC404" s="16" t="s">
        <v>166</v>
      </c>
      <c r="DD404" s="16" t="s">
        <v>166</v>
      </c>
      <c r="DE404" s="17" t="s">
        <v>166</v>
      </c>
      <c r="DF404" s="22">
        <v>3</v>
      </c>
      <c r="DG404" s="14" t="s">
        <v>673</v>
      </c>
      <c r="DH404" s="14" t="s">
        <v>193</v>
      </c>
      <c r="DI404" s="14" t="s">
        <v>194</v>
      </c>
      <c r="DJ404" s="14" t="s">
        <v>674</v>
      </c>
      <c r="DK404" s="14" t="s">
        <v>257</v>
      </c>
      <c r="DL404" s="21" t="s">
        <v>1866</v>
      </c>
      <c r="DM404" s="14" t="s">
        <v>198</v>
      </c>
      <c r="DN404" s="13" t="s">
        <v>7979</v>
      </c>
      <c r="DO404" s="20">
        <v>2018</v>
      </c>
      <c r="DP404" s="14" t="s">
        <v>166</v>
      </c>
      <c r="DQ404" s="14" t="s">
        <v>166</v>
      </c>
      <c r="DR404" s="18" t="s">
        <v>166</v>
      </c>
      <c r="DS404" s="16" t="s">
        <v>166</v>
      </c>
      <c r="DT404" s="19" t="s">
        <v>166</v>
      </c>
      <c r="DU404" s="14" t="s">
        <v>166</v>
      </c>
      <c r="DV404" s="18" t="s">
        <v>166</v>
      </c>
      <c r="DW404" s="18" t="s">
        <v>166</v>
      </c>
      <c r="DX404" s="16" t="s">
        <v>166</v>
      </c>
      <c r="DY404" s="16" t="s">
        <v>166</v>
      </c>
      <c r="DZ404" s="17" t="s">
        <v>166</v>
      </c>
      <c r="EA404" s="16" t="s">
        <v>166</v>
      </c>
      <c r="EB404" s="16" t="s">
        <v>166</v>
      </c>
      <c r="EC404" s="16" t="s">
        <v>166</v>
      </c>
      <c r="ED404" s="17" t="s">
        <v>166</v>
      </c>
      <c r="EE404" s="17" t="s">
        <v>166</v>
      </c>
      <c r="EF404" s="17" t="s">
        <v>166</v>
      </c>
      <c r="EG404" s="17" t="s">
        <v>166</v>
      </c>
      <c r="EH404" s="16" t="s">
        <v>166</v>
      </c>
      <c r="EI404" s="16" t="s">
        <v>166</v>
      </c>
      <c r="EJ404" s="16" t="s">
        <v>166</v>
      </c>
      <c r="EK404" s="16" t="s">
        <v>166</v>
      </c>
      <c r="EL404" s="16" t="s">
        <v>166</v>
      </c>
      <c r="EM404" s="16" t="s">
        <v>166</v>
      </c>
      <c r="EN404" s="16" t="s">
        <v>166</v>
      </c>
      <c r="EO404" s="16" t="s">
        <v>166</v>
      </c>
      <c r="EP404" s="16" t="s">
        <v>166</v>
      </c>
      <c r="EQ404" s="16" t="s">
        <v>166</v>
      </c>
      <c r="ER404" s="16" t="s">
        <v>166</v>
      </c>
      <c r="ES404" s="16" t="s">
        <v>166</v>
      </c>
      <c r="ET404" s="14" t="s">
        <v>166</v>
      </c>
      <c r="EU404" s="16" t="s">
        <v>166</v>
      </c>
      <c r="EV404" s="16" t="s">
        <v>166</v>
      </c>
      <c r="EW404" s="16" t="s">
        <v>166</v>
      </c>
      <c r="EX404" s="14" t="s">
        <v>190</v>
      </c>
      <c r="EY404" s="14" t="s">
        <v>166</v>
      </c>
      <c r="EZ404" s="16" t="s">
        <v>166</v>
      </c>
      <c r="FA404" s="15" t="s">
        <v>166</v>
      </c>
      <c r="FB404" s="15" t="s">
        <v>166</v>
      </c>
      <c r="FC404" s="15" t="s">
        <v>166</v>
      </c>
      <c r="FD404" s="15" t="s">
        <v>166</v>
      </c>
      <c r="FE404" s="15" t="s">
        <v>166</v>
      </c>
      <c r="FF404" s="15" t="s">
        <v>166</v>
      </c>
      <c r="FG404" s="14" t="s">
        <v>166</v>
      </c>
      <c r="FH404" s="3">
        <f>HYPERLINK("https://my.pitchbook.com?c=156385-45T","View Company Online")</f>
      </c>
    </row>
    <row r="405">
      <c r="A405" s="25" t="s">
        <v>7980</v>
      </c>
      <c r="B405" s="25" t="s">
        <v>7981</v>
      </c>
      <c r="C405" s="25" t="s">
        <v>7982</v>
      </c>
      <c r="D405" s="25" t="s">
        <v>166</v>
      </c>
      <c r="E405" s="34" t="s">
        <v>7983</v>
      </c>
      <c r="F405" s="32">
        <v>8</v>
      </c>
      <c r="G405" s="25" t="s">
        <v>7984</v>
      </c>
      <c r="H405" s="25" t="s">
        <v>166</v>
      </c>
      <c r="I405" s="25" t="s">
        <v>7985</v>
      </c>
      <c r="J405" s="25" t="s">
        <v>7986</v>
      </c>
      <c r="K405" s="25" t="s">
        <v>207</v>
      </c>
      <c r="L405" s="25" t="s">
        <v>208</v>
      </c>
      <c r="M405" s="25" t="s">
        <v>1181</v>
      </c>
      <c r="N405" s="25" t="s">
        <v>7987</v>
      </c>
      <c r="O405" s="25" t="s">
        <v>1842</v>
      </c>
      <c r="P405" s="25" t="s">
        <v>7988</v>
      </c>
      <c r="Q405" s="25" t="s">
        <v>166</v>
      </c>
      <c r="R405" s="25" t="s">
        <v>177</v>
      </c>
      <c r="S405" s="25" t="s">
        <v>178</v>
      </c>
      <c r="T405" s="25" t="s">
        <v>179</v>
      </c>
      <c r="U405" s="25" t="s">
        <v>7989</v>
      </c>
      <c r="V405" s="25" t="s">
        <v>7990</v>
      </c>
      <c r="W405" s="32" t="s">
        <v>7991</v>
      </c>
      <c r="X405" s="25" t="s">
        <v>7992</v>
      </c>
      <c r="Y405" s="25" t="s">
        <v>7993</v>
      </c>
      <c r="Z405" s="25" t="s">
        <v>166</v>
      </c>
      <c r="AA405" s="25" t="s">
        <v>166</v>
      </c>
      <c r="AB405" s="25" t="s">
        <v>166</v>
      </c>
      <c r="AC405" s="25" t="s">
        <v>166</v>
      </c>
      <c r="AD405" s="25" t="s">
        <v>166</v>
      </c>
      <c r="AE405" s="25" t="s">
        <v>166</v>
      </c>
      <c r="AF405" s="25" t="s">
        <v>166</v>
      </c>
      <c r="AG405" s="25" t="s">
        <v>166</v>
      </c>
      <c r="AH405" s="32">
        <v>1</v>
      </c>
      <c r="AI405" s="4">
        <f>HYPERLINK("https://my.pitchbook.com/?d=210163-15T","210163-15T")</f>
      </c>
      <c r="AJ405" s="30" t="s">
        <v>166</v>
      </c>
      <c r="AK405" s="30">
        <v>45054</v>
      </c>
      <c r="AL405" s="29">
        <v>1.9</v>
      </c>
      <c r="AM405" s="25" t="s">
        <v>185</v>
      </c>
      <c r="AN405" s="29" t="s">
        <v>166</v>
      </c>
      <c r="AO405" s="29" t="s">
        <v>166</v>
      </c>
      <c r="AP405" s="25" t="s">
        <v>166</v>
      </c>
      <c r="AQ405" s="32" t="s">
        <v>166</v>
      </c>
      <c r="AR405" s="32" t="s">
        <v>166</v>
      </c>
      <c r="AS405" s="28" t="s">
        <v>166</v>
      </c>
      <c r="AT405" s="29">
        <v>1.9</v>
      </c>
      <c r="AU405" s="32" t="s">
        <v>186</v>
      </c>
      <c r="AV405" s="32" t="s">
        <v>166</v>
      </c>
      <c r="AW405" s="29" t="s">
        <v>166</v>
      </c>
      <c r="AX405" s="32" t="s">
        <v>166</v>
      </c>
      <c r="AY405" s="25" t="s">
        <v>187</v>
      </c>
      <c r="AZ405" s="25" t="s">
        <v>166</v>
      </c>
      <c r="BA405" s="25" t="s">
        <v>166</v>
      </c>
      <c r="BB405" s="32" t="s">
        <v>166</v>
      </c>
      <c r="BC405" s="25" t="s">
        <v>179</v>
      </c>
      <c r="BD405" s="25" t="s">
        <v>7994</v>
      </c>
      <c r="BE405" s="25" t="s">
        <v>189</v>
      </c>
      <c r="BF405" s="29">
        <v>1.9</v>
      </c>
      <c r="BG405" s="25" t="s">
        <v>190</v>
      </c>
      <c r="BH405" s="25" t="s">
        <v>166</v>
      </c>
      <c r="BI405" s="25" t="s">
        <v>166</v>
      </c>
      <c r="BJ405" s="29" t="s">
        <v>166</v>
      </c>
      <c r="BK405" s="29" t="s">
        <v>166</v>
      </c>
      <c r="BL405" s="25" t="s">
        <v>191</v>
      </c>
      <c r="BM405" s="25" t="s">
        <v>178</v>
      </c>
      <c r="BN405" s="25" t="s">
        <v>177</v>
      </c>
      <c r="BO405" s="33" t="s">
        <v>166</v>
      </c>
      <c r="BP405" s="25" t="s">
        <v>7995</v>
      </c>
      <c r="BQ405" s="32">
        <v>8</v>
      </c>
      <c r="BR405" s="25" t="s">
        <v>166</v>
      </c>
      <c r="BS405" s="32" t="s">
        <v>166</v>
      </c>
      <c r="BT405" s="25" t="s">
        <v>166</v>
      </c>
      <c r="BU405" s="25" t="s">
        <v>166</v>
      </c>
      <c r="BV405" s="25" t="s">
        <v>166</v>
      </c>
      <c r="BW405" s="25" t="s">
        <v>166</v>
      </c>
      <c r="BX405" s="25" t="s">
        <v>166</v>
      </c>
      <c r="BY405" s="25" t="s">
        <v>166</v>
      </c>
      <c r="BZ405" s="25" t="s">
        <v>166</v>
      </c>
      <c r="CA405" s="25" t="s">
        <v>166</v>
      </c>
      <c r="CB405" s="25" t="s">
        <v>166</v>
      </c>
      <c r="CC405" s="25" t="s">
        <v>166</v>
      </c>
      <c r="CD405" s="25" t="s">
        <v>166</v>
      </c>
      <c r="CE405" s="29" t="s">
        <v>166</v>
      </c>
      <c r="CF405" s="27" t="s">
        <v>166</v>
      </c>
      <c r="CG405" s="28" t="s">
        <v>166</v>
      </c>
      <c r="CH405" s="27" t="s">
        <v>166</v>
      </c>
      <c r="CI405" s="27" t="s">
        <v>166</v>
      </c>
      <c r="CJ405" s="27" t="s">
        <v>166</v>
      </c>
      <c r="CK405" s="27" t="s">
        <v>166</v>
      </c>
      <c r="CL405" s="27" t="s">
        <v>166</v>
      </c>
      <c r="CM405" s="31" t="s">
        <v>166</v>
      </c>
      <c r="CN405" s="27" t="s">
        <v>166</v>
      </c>
      <c r="CO405" s="27" t="s">
        <v>166</v>
      </c>
      <c r="CP405" s="27" t="s">
        <v>166</v>
      </c>
      <c r="CQ405" s="27" t="s">
        <v>166</v>
      </c>
      <c r="CR405" s="27" t="s">
        <v>166</v>
      </c>
      <c r="CS405" s="27" t="s">
        <v>166</v>
      </c>
      <c r="CT405" s="27" t="s">
        <v>166</v>
      </c>
      <c r="CU405" s="27" t="s">
        <v>166</v>
      </c>
      <c r="CV405" s="27" t="s">
        <v>166</v>
      </c>
      <c r="CW405" s="27" t="s">
        <v>166</v>
      </c>
      <c r="CX405" s="27" t="s">
        <v>166</v>
      </c>
      <c r="CY405" s="27" t="s">
        <v>166</v>
      </c>
      <c r="CZ405" s="27" t="s">
        <v>166</v>
      </c>
      <c r="DA405" s="27" t="s">
        <v>166</v>
      </c>
      <c r="DB405" s="27" t="s">
        <v>166</v>
      </c>
      <c r="DC405" s="27" t="s">
        <v>166</v>
      </c>
      <c r="DD405" s="27" t="s">
        <v>166</v>
      </c>
      <c r="DE405" s="28" t="s">
        <v>166</v>
      </c>
      <c r="DF405" s="33">
        <v>8</v>
      </c>
      <c r="DG405" s="25" t="s">
        <v>673</v>
      </c>
      <c r="DH405" s="25" t="s">
        <v>193</v>
      </c>
      <c r="DI405" s="25" t="s">
        <v>194</v>
      </c>
      <c r="DJ405" s="25" t="s">
        <v>674</v>
      </c>
      <c r="DK405" s="25" t="s">
        <v>257</v>
      </c>
      <c r="DL405" s="32" t="s">
        <v>7048</v>
      </c>
      <c r="DM405" s="25" t="s">
        <v>198</v>
      </c>
      <c r="DN405" s="24" t="s">
        <v>7996</v>
      </c>
      <c r="DO405" s="31">
        <v>2022</v>
      </c>
      <c r="DP405" s="25" t="s">
        <v>166</v>
      </c>
      <c r="DQ405" s="25" t="s">
        <v>166</v>
      </c>
      <c r="DR405" s="29" t="s">
        <v>166</v>
      </c>
      <c r="DS405" s="27" t="s">
        <v>166</v>
      </c>
      <c r="DT405" s="30" t="s">
        <v>166</v>
      </c>
      <c r="DU405" s="25" t="s">
        <v>166</v>
      </c>
      <c r="DV405" s="29" t="s">
        <v>166</v>
      </c>
      <c r="DW405" s="29" t="s">
        <v>166</v>
      </c>
      <c r="DX405" s="27" t="s">
        <v>166</v>
      </c>
      <c r="DY405" s="27" t="s">
        <v>166</v>
      </c>
      <c r="DZ405" s="28" t="s">
        <v>166</v>
      </c>
      <c r="EA405" s="27" t="s">
        <v>166</v>
      </c>
      <c r="EB405" s="27" t="s">
        <v>166</v>
      </c>
      <c r="EC405" s="27" t="s">
        <v>166</v>
      </c>
      <c r="ED405" s="28" t="s">
        <v>166</v>
      </c>
      <c r="EE405" s="28" t="s">
        <v>166</v>
      </c>
      <c r="EF405" s="28" t="s">
        <v>166</v>
      </c>
      <c r="EG405" s="28" t="s">
        <v>166</v>
      </c>
      <c r="EH405" s="27" t="s">
        <v>166</v>
      </c>
      <c r="EI405" s="27" t="s">
        <v>166</v>
      </c>
      <c r="EJ405" s="27" t="s">
        <v>166</v>
      </c>
      <c r="EK405" s="27" t="s">
        <v>166</v>
      </c>
      <c r="EL405" s="27" t="s">
        <v>166</v>
      </c>
      <c r="EM405" s="27" t="s">
        <v>166</v>
      </c>
      <c r="EN405" s="27" t="s">
        <v>166</v>
      </c>
      <c r="EO405" s="27" t="s">
        <v>166</v>
      </c>
      <c r="EP405" s="27" t="s">
        <v>166</v>
      </c>
      <c r="EQ405" s="27" t="s">
        <v>166</v>
      </c>
      <c r="ER405" s="27" t="s">
        <v>166</v>
      </c>
      <c r="ES405" s="27" t="s">
        <v>166</v>
      </c>
      <c r="ET405" s="25" t="s">
        <v>166</v>
      </c>
      <c r="EU405" s="27" t="s">
        <v>166</v>
      </c>
      <c r="EV405" s="27" t="s">
        <v>166</v>
      </c>
      <c r="EW405" s="27" t="s">
        <v>166</v>
      </c>
      <c r="EX405" s="25" t="s">
        <v>190</v>
      </c>
      <c r="EY405" s="25" t="s">
        <v>166</v>
      </c>
      <c r="EZ405" s="27" t="s">
        <v>166</v>
      </c>
      <c r="FA405" s="26">
        <v>1</v>
      </c>
      <c r="FB405" s="26">
        <v>1</v>
      </c>
      <c r="FC405" s="26" t="s">
        <v>166</v>
      </c>
      <c r="FD405" s="26" t="s">
        <v>166</v>
      </c>
      <c r="FE405" s="26" t="s">
        <v>166</v>
      </c>
      <c r="FF405" s="26">
        <v>1</v>
      </c>
      <c r="FG405" s="25" t="s">
        <v>166</v>
      </c>
      <c r="FH405" s="4">
        <f>HYPERLINK("https://my.pitchbook.com?c=210163-15T","View Company Online")</f>
      </c>
    </row>
    <row r="406">
      <c r="A406" s="14" t="s">
        <v>7997</v>
      </c>
      <c r="B406" s="14" t="s">
        <v>7998</v>
      </c>
      <c r="C406" s="14" t="s">
        <v>7999</v>
      </c>
      <c r="D406" s="14" t="s">
        <v>166</v>
      </c>
      <c r="E406" s="23" t="s">
        <v>8000</v>
      </c>
      <c r="F406" s="21">
        <v>2</v>
      </c>
      <c r="G406" s="14" t="s">
        <v>8001</v>
      </c>
      <c r="H406" s="14" t="s">
        <v>166</v>
      </c>
      <c r="I406" s="14" t="s">
        <v>8002</v>
      </c>
      <c r="J406" s="14" t="s">
        <v>8003</v>
      </c>
      <c r="K406" s="14" t="s">
        <v>207</v>
      </c>
      <c r="L406" s="14" t="s">
        <v>208</v>
      </c>
      <c r="M406" s="14" t="s">
        <v>296</v>
      </c>
      <c r="N406" s="14" t="s">
        <v>8004</v>
      </c>
      <c r="O406" s="14" t="s">
        <v>6509</v>
      </c>
      <c r="P406" s="14" t="s">
        <v>8005</v>
      </c>
      <c r="Q406" s="14" t="s">
        <v>166</v>
      </c>
      <c r="R406" s="14" t="s">
        <v>177</v>
      </c>
      <c r="S406" s="14" t="s">
        <v>178</v>
      </c>
      <c r="T406" s="14" t="s">
        <v>179</v>
      </c>
      <c r="U406" s="14" t="s">
        <v>8006</v>
      </c>
      <c r="V406" s="14" t="s">
        <v>8007</v>
      </c>
      <c r="W406" s="21" t="s">
        <v>8008</v>
      </c>
      <c r="X406" s="14" t="s">
        <v>8009</v>
      </c>
      <c r="Y406" s="14" t="s">
        <v>8010</v>
      </c>
      <c r="Z406" s="14" t="s">
        <v>8011</v>
      </c>
      <c r="AA406" s="14" t="s">
        <v>166</v>
      </c>
      <c r="AB406" s="14" t="s">
        <v>166</v>
      </c>
      <c r="AC406" s="14" t="s">
        <v>166</v>
      </c>
      <c r="AD406" s="14" t="s">
        <v>166</v>
      </c>
      <c r="AE406" s="14" t="s">
        <v>166</v>
      </c>
      <c r="AF406" s="14" t="s">
        <v>166</v>
      </c>
      <c r="AG406" s="14" t="s">
        <v>166</v>
      </c>
      <c r="AH406" s="21">
        <v>1</v>
      </c>
      <c r="AI406" s="3">
        <f>HYPERLINK("https://my.pitchbook.com/?d=200469-07T","200469-07T")</f>
      </c>
      <c r="AJ406" s="19">
        <v>44656</v>
      </c>
      <c r="AK406" s="19">
        <v>44810</v>
      </c>
      <c r="AL406" s="18">
        <v>2.4</v>
      </c>
      <c r="AM406" s="14" t="s">
        <v>185</v>
      </c>
      <c r="AN406" s="18" t="s">
        <v>166</v>
      </c>
      <c r="AO406" s="18" t="s">
        <v>166</v>
      </c>
      <c r="AP406" s="14" t="s">
        <v>166</v>
      </c>
      <c r="AQ406" s="21" t="s">
        <v>166</v>
      </c>
      <c r="AR406" s="21" t="s">
        <v>166</v>
      </c>
      <c r="AS406" s="17" t="s">
        <v>166</v>
      </c>
      <c r="AT406" s="18">
        <v>2.4</v>
      </c>
      <c r="AU406" s="21" t="s">
        <v>186</v>
      </c>
      <c r="AV406" s="21" t="s">
        <v>166</v>
      </c>
      <c r="AW406" s="18" t="s">
        <v>166</v>
      </c>
      <c r="AX406" s="21" t="s">
        <v>166</v>
      </c>
      <c r="AY406" s="14" t="s">
        <v>217</v>
      </c>
      <c r="AZ406" s="14" t="s">
        <v>217</v>
      </c>
      <c r="BA406" s="14" t="s">
        <v>166</v>
      </c>
      <c r="BB406" s="21" t="s">
        <v>166</v>
      </c>
      <c r="BC406" s="14" t="s">
        <v>179</v>
      </c>
      <c r="BD406" s="14" t="s">
        <v>8012</v>
      </c>
      <c r="BE406" s="14" t="s">
        <v>189</v>
      </c>
      <c r="BF406" s="18">
        <v>2.4</v>
      </c>
      <c r="BG406" s="14" t="s">
        <v>190</v>
      </c>
      <c r="BH406" s="14" t="s">
        <v>166</v>
      </c>
      <c r="BI406" s="14" t="s">
        <v>166</v>
      </c>
      <c r="BJ406" s="18" t="s">
        <v>166</v>
      </c>
      <c r="BK406" s="18" t="s">
        <v>166</v>
      </c>
      <c r="BL406" s="14" t="s">
        <v>191</v>
      </c>
      <c r="BM406" s="14" t="s">
        <v>178</v>
      </c>
      <c r="BN406" s="14" t="s">
        <v>177</v>
      </c>
      <c r="BO406" s="22" t="s">
        <v>166</v>
      </c>
      <c r="BP406" s="14" t="s">
        <v>8013</v>
      </c>
      <c r="BQ406" s="21">
        <v>2</v>
      </c>
      <c r="BR406" s="14" t="s">
        <v>166</v>
      </c>
      <c r="BS406" s="21" t="s">
        <v>166</v>
      </c>
      <c r="BT406" s="14" t="s">
        <v>166</v>
      </c>
      <c r="BU406" s="14" t="s">
        <v>166</v>
      </c>
      <c r="BV406" s="14" t="s">
        <v>166</v>
      </c>
      <c r="BW406" s="14" t="s">
        <v>166</v>
      </c>
      <c r="BX406" s="14" t="s">
        <v>166</v>
      </c>
      <c r="BY406" s="14" t="s">
        <v>166</v>
      </c>
      <c r="BZ406" s="14" t="s">
        <v>166</v>
      </c>
      <c r="CA406" s="14" t="s">
        <v>166</v>
      </c>
      <c r="CB406" s="14" t="s">
        <v>166</v>
      </c>
      <c r="CC406" s="14" t="s">
        <v>166</v>
      </c>
      <c r="CD406" s="14" t="s">
        <v>166</v>
      </c>
      <c r="CE406" s="18" t="s">
        <v>166</v>
      </c>
      <c r="CF406" s="16" t="s">
        <v>166</v>
      </c>
      <c r="CG406" s="17" t="s">
        <v>166</v>
      </c>
      <c r="CH406" s="16" t="s">
        <v>166</v>
      </c>
      <c r="CI406" s="16" t="s">
        <v>166</v>
      </c>
      <c r="CJ406" s="16" t="s">
        <v>166</v>
      </c>
      <c r="CK406" s="16" t="s">
        <v>166</v>
      </c>
      <c r="CL406" s="16" t="s">
        <v>166</v>
      </c>
      <c r="CM406" s="20" t="s">
        <v>166</v>
      </c>
      <c r="CN406" s="16" t="s">
        <v>166</v>
      </c>
      <c r="CO406" s="16" t="s">
        <v>166</v>
      </c>
      <c r="CP406" s="16" t="s">
        <v>166</v>
      </c>
      <c r="CQ406" s="16" t="s">
        <v>166</v>
      </c>
      <c r="CR406" s="16" t="s">
        <v>166</v>
      </c>
      <c r="CS406" s="16" t="s">
        <v>166</v>
      </c>
      <c r="CT406" s="16" t="s">
        <v>166</v>
      </c>
      <c r="CU406" s="16" t="s">
        <v>166</v>
      </c>
      <c r="CV406" s="16" t="s">
        <v>166</v>
      </c>
      <c r="CW406" s="16" t="s">
        <v>166</v>
      </c>
      <c r="CX406" s="16" t="s">
        <v>166</v>
      </c>
      <c r="CY406" s="16" t="s">
        <v>166</v>
      </c>
      <c r="CZ406" s="16" t="s">
        <v>166</v>
      </c>
      <c r="DA406" s="16" t="s">
        <v>166</v>
      </c>
      <c r="DB406" s="16" t="s">
        <v>166</v>
      </c>
      <c r="DC406" s="16" t="s">
        <v>166</v>
      </c>
      <c r="DD406" s="16" t="s">
        <v>166</v>
      </c>
      <c r="DE406" s="17" t="s">
        <v>166</v>
      </c>
      <c r="DF406" s="22">
        <v>5</v>
      </c>
      <c r="DG406" s="14" t="s">
        <v>8014</v>
      </c>
      <c r="DH406" s="14" t="s">
        <v>193</v>
      </c>
      <c r="DI406" s="14" t="s">
        <v>194</v>
      </c>
      <c r="DJ406" s="14" t="s">
        <v>8015</v>
      </c>
      <c r="DK406" s="14" t="s">
        <v>4226</v>
      </c>
      <c r="DL406" s="21" t="s">
        <v>8016</v>
      </c>
      <c r="DM406" s="14" t="s">
        <v>198</v>
      </c>
      <c r="DN406" s="13" t="s">
        <v>8017</v>
      </c>
      <c r="DO406" s="20">
        <v>2017</v>
      </c>
      <c r="DP406" s="14" t="s">
        <v>166</v>
      </c>
      <c r="DQ406" s="14" t="s">
        <v>166</v>
      </c>
      <c r="DR406" s="18" t="s">
        <v>166</v>
      </c>
      <c r="DS406" s="16" t="s">
        <v>166</v>
      </c>
      <c r="DT406" s="19" t="s">
        <v>166</v>
      </c>
      <c r="DU406" s="14" t="s">
        <v>166</v>
      </c>
      <c r="DV406" s="18" t="s">
        <v>166</v>
      </c>
      <c r="DW406" s="18" t="s">
        <v>166</v>
      </c>
      <c r="DX406" s="16" t="s">
        <v>166</v>
      </c>
      <c r="DY406" s="16" t="s">
        <v>166</v>
      </c>
      <c r="DZ406" s="17" t="s">
        <v>166</v>
      </c>
      <c r="EA406" s="16" t="s">
        <v>166</v>
      </c>
      <c r="EB406" s="16" t="s">
        <v>166</v>
      </c>
      <c r="EC406" s="16" t="s">
        <v>166</v>
      </c>
      <c r="ED406" s="17" t="s">
        <v>166</v>
      </c>
      <c r="EE406" s="17" t="s">
        <v>166</v>
      </c>
      <c r="EF406" s="17" t="s">
        <v>166</v>
      </c>
      <c r="EG406" s="17" t="s">
        <v>166</v>
      </c>
      <c r="EH406" s="16" t="s">
        <v>166</v>
      </c>
      <c r="EI406" s="16" t="s">
        <v>166</v>
      </c>
      <c r="EJ406" s="16" t="s">
        <v>166</v>
      </c>
      <c r="EK406" s="16" t="s">
        <v>166</v>
      </c>
      <c r="EL406" s="16" t="s">
        <v>166</v>
      </c>
      <c r="EM406" s="16" t="s">
        <v>166</v>
      </c>
      <c r="EN406" s="16" t="s">
        <v>166</v>
      </c>
      <c r="EO406" s="16" t="s">
        <v>166</v>
      </c>
      <c r="EP406" s="16" t="s">
        <v>166</v>
      </c>
      <c r="EQ406" s="16" t="s">
        <v>166</v>
      </c>
      <c r="ER406" s="16" t="s">
        <v>166</v>
      </c>
      <c r="ES406" s="16" t="s">
        <v>166</v>
      </c>
      <c r="ET406" s="14" t="s">
        <v>166</v>
      </c>
      <c r="EU406" s="16" t="s">
        <v>166</v>
      </c>
      <c r="EV406" s="16" t="s">
        <v>166</v>
      </c>
      <c r="EW406" s="16" t="s">
        <v>166</v>
      </c>
      <c r="EX406" s="14" t="s">
        <v>190</v>
      </c>
      <c r="EY406" s="14" t="s">
        <v>166</v>
      </c>
      <c r="EZ406" s="16" t="s">
        <v>166</v>
      </c>
      <c r="FA406" s="15" t="s">
        <v>166</v>
      </c>
      <c r="FB406" s="15" t="s">
        <v>166</v>
      </c>
      <c r="FC406" s="15" t="s">
        <v>166</v>
      </c>
      <c r="FD406" s="15" t="s">
        <v>166</v>
      </c>
      <c r="FE406" s="15" t="s">
        <v>166</v>
      </c>
      <c r="FF406" s="15" t="s">
        <v>166</v>
      </c>
      <c r="FG406" s="14" t="s">
        <v>166</v>
      </c>
      <c r="FH406" s="3">
        <f>HYPERLINK("https://my.pitchbook.com?c=200469-07T","View Company Online")</f>
      </c>
    </row>
    <row r="407">
      <c r="A407" s="25" t="s">
        <v>8018</v>
      </c>
      <c r="B407" s="25" t="s">
        <v>8019</v>
      </c>
      <c r="C407" s="25" t="s">
        <v>8020</v>
      </c>
      <c r="D407" s="25" t="s">
        <v>166</v>
      </c>
      <c r="E407" s="34" t="s">
        <v>8021</v>
      </c>
      <c r="F407" s="32">
        <v>6</v>
      </c>
      <c r="G407" s="25" t="s">
        <v>8022</v>
      </c>
      <c r="H407" s="25" t="s">
        <v>166</v>
      </c>
      <c r="I407" s="25" t="s">
        <v>8023</v>
      </c>
      <c r="J407" s="25" t="s">
        <v>8024</v>
      </c>
      <c r="K407" s="25" t="s">
        <v>207</v>
      </c>
      <c r="L407" s="25" t="s">
        <v>208</v>
      </c>
      <c r="M407" s="25" t="s">
        <v>209</v>
      </c>
      <c r="N407" s="25" t="s">
        <v>8025</v>
      </c>
      <c r="O407" s="25" t="s">
        <v>6148</v>
      </c>
      <c r="P407" s="25" t="s">
        <v>8026</v>
      </c>
      <c r="Q407" s="25" t="s">
        <v>166</v>
      </c>
      <c r="R407" s="25" t="s">
        <v>177</v>
      </c>
      <c r="S407" s="25" t="s">
        <v>178</v>
      </c>
      <c r="T407" s="25" t="s">
        <v>179</v>
      </c>
      <c r="U407" s="25" t="s">
        <v>8027</v>
      </c>
      <c r="V407" s="25" t="s">
        <v>8028</v>
      </c>
      <c r="W407" s="32" t="s">
        <v>8029</v>
      </c>
      <c r="X407" s="25" t="s">
        <v>166</v>
      </c>
      <c r="Y407" s="25" t="s">
        <v>8030</v>
      </c>
      <c r="Z407" s="25" t="s">
        <v>166</v>
      </c>
      <c r="AA407" s="25" t="s">
        <v>242</v>
      </c>
      <c r="AB407" s="25" t="s">
        <v>243</v>
      </c>
      <c r="AC407" s="25" t="s">
        <v>244</v>
      </c>
      <c r="AD407" s="25" t="s">
        <v>243</v>
      </c>
      <c r="AE407" s="25" t="s">
        <v>243</v>
      </c>
      <c r="AF407" s="25" t="s">
        <v>166</v>
      </c>
      <c r="AG407" s="25" t="s">
        <v>166</v>
      </c>
      <c r="AH407" s="32">
        <v>1</v>
      </c>
      <c r="AI407" s="4">
        <f>HYPERLINK("https://my.pitchbook.com/?d=245647-36T","245647-36T")</f>
      </c>
      <c r="AJ407" s="30">
        <v>45355</v>
      </c>
      <c r="AK407" s="30">
        <v>45385</v>
      </c>
      <c r="AL407" s="29">
        <v>6.87</v>
      </c>
      <c r="AM407" s="25" t="s">
        <v>185</v>
      </c>
      <c r="AN407" s="29">
        <v>21.63</v>
      </c>
      <c r="AO407" s="29">
        <v>28.5</v>
      </c>
      <c r="AP407" s="25" t="s">
        <v>185</v>
      </c>
      <c r="AQ407" s="32" t="s">
        <v>166</v>
      </c>
      <c r="AR407" s="32" t="s">
        <v>166</v>
      </c>
      <c r="AS407" s="28">
        <v>30.74</v>
      </c>
      <c r="AT407" s="29">
        <v>6.87</v>
      </c>
      <c r="AU407" s="32" t="s">
        <v>186</v>
      </c>
      <c r="AV407" s="32" t="s">
        <v>166</v>
      </c>
      <c r="AW407" s="29">
        <v>2.09</v>
      </c>
      <c r="AX407" s="32" t="s">
        <v>166</v>
      </c>
      <c r="AY407" s="25" t="s">
        <v>217</v>
      </c>
      <c r="AZ407" s="25" t="s">
        <v>217</v>
      </c>
      <c r="BA407" s="25" t="s">
        <v>166</v>
      </c>
      <c r="BB407" s="32" t="s">
        <v>166</v>
      </c>
      <c r="BC407" s="25" t="s">
        <v>179</v>
      </c>
      <c r="BD407" s="25" t="s">
        <v>8024</v>
      </c>
      <c r="BE407" s="25" t="s">
        <v>189</v>
      </c>
      <c r="BF407" s="29">
        <v>6.87</v>
      </c>
      <c r="BG407" s="25" t="s">
        <v>190</v>
      </c>
      <c r="BH407" s="25" t="s">
        <v>166</v>
      </c>
      <c r="BI407" s="25" t="s">
        <v>166</v>
      </c>
      <c r="BJ407" s="29" t="s">
        <v>166</v>
      </c>
      <c r="BK407" s="29" t="s">
        <v>166</v>
      </c>
      <c r="BL407" s="25" t="s">
        <v>191</v>
      </c>
      <c r="BM407" s="25" t="s">
        <v>178</v>
      </c>
      <c r="BN407" s="25" t="s">
        <v>177</v>
      </c>
      <c r="BO407" s="33" t="s">
        <v>166</v>
      </c>
      <c r="BP407" s="25" t="s">
        <v>8031</v>
      </c>
      <c r="BQ407" s="32">
        <v>6</v>
      </c>
      <c r="BR407" s="25" t="s">
        <v>166</v>
      </c>
      <c r="BS407" s="32" t="s">
        <v>166</v>
      </c>
      <c r="BT407" s="25" t="s">
        <v>8032</v>
      </c>
      <c r="BU407" s="25" t="s">
        <v>166</v>
      </c>
      <c r="BV407" s="25" t="s">
        <v>166</v>
      </c>
      <c r="BW407" s="25" t="s">
        <v>166</v>
      </c>
      <c r="BX407" s="25" t="s">
        <v>166</v>
      </c>
      <c r="BY407" s="25" t="s">
        <v>166</v>
      </c>
      <c r="BZ407" s="25" t="s">
        <v>8033</v>
      </c>
      <c r="CA407" s="25" t="s">
        <v>166</v>
      </c>
      <c r="CB407" s="25" t="s">
        <v>166</v>
      </c>
      <c r="CC407" s="25" t="s">
        <v>8033</v>
      </c>
      <c r="CD407" s="25" t="s">
        <v>166</v>
      </c>
      <c r="CE407" s="29" t="s">
        <v>166</v>
      </c>
      <c r="CF407" s="27" t="s">
        <v>166</v>
      </c>
      <c r="CG407" s="28" t="s">
        <v>166</v>
      </c>
      <c r="CH407" s="27" t="s">
        <v>166</v>
      </c>
      <c r="CI407" s="27" t="s">
        <v>166</v>
      </c>
      <c r="CJ407" s="27" t="s">
        <v>166</v>
      </c>
      <c r="CK407" s="27" t="s">
        <v>166</v>
      </c>
      <c r="CL407" s="27" t="s">
        <v>166</v>
      </c>
      <c r="CM407" s="31" t="s">
        <v>166</v>
      </c>
      <c r="CN407" s="27" t="s">
        <v>166</v>
      </c>
      <c r="CO407" s="27" t="s">
        <v>166</v>
      </c>
      <c r="CP407" s="27" t="s">
        <v>166</v>
      </c>
      <c r="CQ407" s="27" t="s">
        <v>166</v>
      </c>
      <c r="CR407" s="27" t="s">
        <v>166</v>
      </c>
      <c r="CS407" s="27" t="s">
        <v>166</v>
      </c>
      <c r="CT407" s="27" t="s">
        <v>166</v>
      </c>
      <c r="CU407" s="27" t="s">
        <v>166</v>
      </c>
      <c r="CV407" s="27" t="s">
        <v>166</v>
      </c>
      <c r="CW407" s="27" t="s">
        <v>166</v>
      </c>
      <c r="CX407" s="27" t="s">
        <v>166</v>
      </c>
      <c r="CY407" s="27" t="s">
        <v>166</v>
      </c>
      <c r="CZ407" s="27" t="s">
        <v>166</v>
      </c>
      <c r="DA407" s="27" t="s">
        <v>166</v>
      </c>
      <c r="DB407" s="27" t="s">
        <v>166</v>
      </c>
      <c r="DC407" s="27" t="s">
        <v>166</v>
      </c>
      <c r="DD407" s="27" t="s">
        <v>166</v>
      </c>
      <c r="DE407" s="28" t="s">
        <v>166</v>
      </c>
      <c r="DF407" s="33">
        <v>48</v>
      </c>
      <c r="DG407" s="25" t="s">
        <v>8034</v>
      </c>
      <c r="DH407" s="25" t="s">
        <v>193</v>
      </c>
      <c r="DI407" s="25" t="s">
        <v>194</v>
      </c>
      <c r="DJ407" s="25" t="s">
        <v>8035</v>
      </c>
      <c r="DK407" s="25" t="s">
        <v>6539</v>
      </c>
      <c r="DL407" s="32" t="s">
        <v>8036</v>
      </c>
      <c r="DM407" s="25" t="s">
        <v>198</v>
      </c>
      <c r="DN407" s="24" t="s">
        <v>8037</v>
      </c>
      <c r="DO407" s="31">
        <v>2019</v>
      </c>
      <c r="DP407" s="25" t="s">
        <v>166</v>
      </c>
      <c r="DQ407" s="25" t="s">
        <v>166</v>
      </c>
      <c r="DR407" s="29" t="s">
        <v>166</v>
      </c>
      <c r="DS407" s="27" t="s">
        <v>166</v>
      </c>
      <c r="DT407" s="30" t="s">
        <v>166</v>
      </c>
      <c r="DU407" s="25" t="s">
        <v>166</v>
      </c>
      <c r="DV407" s="29" t="s">
        <v>166</v>
      </c>
      <c r="DW407" s="29" t="s">
        <v>166</v>
      </c>
      <c r="DX407" s="27" t="s">
        <v>166</v>
      </c>
      <c r="DY407" s="27" t="s">
        <v>166</v>
      </c>
      <c r="DZ407" s="28" t="s">
        <v>166</v>
      </c>
      <c r="EA407" s="27" t="s">
        <v>166</v>
      </c>
      <c r="EB407" s="27" t="s">
        <v>166</v>
      </c>
      <c r="EC407" s="27" t="s">
        <v>166</v>
      </c>
      <c r="ED407" s="28" t="s">
        <v>166</v>
      </c>
      <c r="EE407" s="28" t="s">
        <v>166</v>
      </c>
      <c r="EF407" s="28" t="s">
        <v>166</v>
      </c>
      <c r="EG407" s="28" t="s">
        <v>166</v>
      </c>
      <c r="EH407" s="27" t="s">
        <v>166</v>
      </c>
      <c r="EI407" s="27" t="s">
        <v>166</v>
      </c>
      <c r="EJ407" s="27" t="s">
        <v>166</v>
      </c>
      <c r="EK407" s="27" t="s">
        <v>166</v>
      </c>
      <c r="EL407" s="27" t="s">
        <v>166</v>
      </c>
      <c r="EM407" s="27" t="s">
        <v>166</v>
      </c>
      <c r="EN407" s="27" t="s">
        <v>166</v>
      </c>
      <c r="EO407" s="27" t="s">
        <v>166</v>
      </c>
      <c r="EP407" s="27" t="s">
        <v>166</v>
      </c>
      <c r="EQ407" s="27" t="s">
        <v>166</v>
      </c>
      <c r="ER407" s="27" t="s">
        <v>166</v>
      </c>
      <c r="ES407" s="27" t="s">
        <v>166</v>
      </c>
      <c r="ET407" s="25" t="s">
        <v>166</v>
      </c>
      <c r="EU407" s="27" t="s">
        <v>166</v>
      </c>
      <c r="EV407" s="27" t="s">
        <v>166</v>
      </c>
      <c r="EW407" s="27" t="s">
        <v>166</v>
      </c>
      <c r="EX407" s="25" t="s">
        <v>190</v>
      </c>
      <c r="EY407" s="25" t="s">
        <v>166</v>
      </c>
      <c r="EZ407" s="27" t="s">
        <v>166</v>
      </c>
      <c r="FA407" s="26" t="s">
        <v>166</v>
      </c>
      <c r="FB407" s="26" t="s">
        <v>166</v>
      </c>
      <c r="FC407" s="26" t="s">
        <v>166</v>
      </c>
      <c r="FD407" s="26" t="s">
        <v>166</v>
      </c>
      <c r="FE407" s="26" t="s">
        <v>166</v>
      </c>
      <c r="FF407" s="26" t="s">
        <v>166</v>
      </c>
      <c r="FG407" s="25" t="s">
        <v>166</v>
      </c>
      <c r="FH407" s="4">
        <f>HYPERLINK("https://my.pitchbook.com?c=245647-36T","View Company Online")</f>
      </c>
    </row>
    <row r="408">
      <c r="A408" s="14" t="s">
        <v>8038</v>
      </c>
      <c r="B408" s="14" t="s">
        <v>8039</v>
      </c>
      <c r="C408" s="14" t="s">
        <v>8040</v>
      </c>
      <c r="D408" s="14" t="s">
        <v>166</v>
      </c>
      <c r="E408" s="23" t="s">
        <v>8041</v>
      </c>
      <c r="F408" s="21">
        <v>3</v>
      </c>
      <c r="G408" s="14" t="s">
        <v>8042</v>
      </c>
      <c r="H408" s="14" t="s">
        <v>166</v>
      </c>
      <c r="I408" s="14" t="s">
        <v>8043</v>
      </c>
      <c r="J408" s="14" t="s">
        <v>8044</v>
      </c>
      <c r="K408" s="14" t="s">
        <v>207</v>
      </c>
      <c r="L408" s="14" t="s">
        <v>418</v>
      </c>
      <c r="M408" s="14" t="s">
        <v>7278</v>
      </c>
      <c r="N408" s="14" t="s">
        <v>8045</v>
      </c>
      <c r="O408" s="14" t="s">
        <v>8046</v>
      </c>
      <c r="P408" s="14" t="s">
        <v>8047</v>
      </c>
      <c r="Q408" s="14" t="s">
        <v>166</v>
      </c>
      <c r="R408" s="14" t="s">
        <v>177</v>
      </c>
      <c r="S408" s="14" t="s">
        <v>178</v>
      </c>
      <c r="T408" s="14" t="s">
        <v>179</v>
      </c>
      <c r="U408" s="14" t="s">
        <v>8048</v>
      </c>
      <c r="V408" s="14" t="s">
        <v>8049</v>
      </c>
      <c r="W408" s="21" t="s">
        <v>166</v>
      </c>
      <c r="X408" s="14" t="s">
        <v>8050</v>
      </c>
      <c r="Y408" s="14" t="s">
        <v>8051</v>
      </c>
      <c r="Z408" s="14" t="s">
        <v>8052</v>
      </c>
      <c r="AA408" s="14" t="s">
        <v>242</v>
      </c>
      <c r="AB408" s="14" t="s">
        <v>243</v>
      </c>
      <c r="AC408" s="14" t="s">
        <v>244</v>
      </c>
      <c r="AD408" s="14" t="s">
        <v>243</v>
      </c>
      <c r="AE408" s="14" t="s">
        <v>243</v>
      </c>
      <c r="AF408" s="14" t="s">
        <v>245</v>
      </c>
      <c r="AG408" s="14" t="s">
        <v>807</v>
      </c>
      <c r="AH408" s="21">
        <v>1</v>
      </c>
      <c r="AI408" s="3">
        <f>HYPERLINK("https://my.pitchbook.com/?d=246061-90T","246061-90T")</f>
      </c>
      <c r="AJ408" s="19" t="s">
        <v>166</v>
      </c>
      <c r="AK408" s="19">
        <v>45065</v>
      </c>
      <c r="AL408" s="18">
        <v>4.15</v>
      </c>
      <c r="AM408" s="14" t="s">
        <v>247</v>
      </c>
      <c r="AN408" s="18">
        <v>10</v>
      </c>
      <c r="AO408" s="18">
        <v>14.15</v>
      </c>
      <c r="AP408" s="14" t="s">
        <v>185</v>
      </c>
      <c r="AQ408" s="21" t="s">
        <v>166</v>
      </c>
      <c r="AR408" s="21" t="s">
        <v>166</v>
      </c>
      <c r="AS408" s="17">
        <v>29.33</v>
      </c>
      <c r="AT408" s="18">
        <v>4.15</v>
      </c>
      <c r="AU408" s="21" t="s">
        <v>186</v>
      </c>
      <c r="AV408" s="21" t="s">
        <v>166</v>
      </c>
      <c r="AW408" s="18">
        <v>1.3</v>
      </c>
      <c r="AX408" s="21" t="s">
        <v>166</v>
      </c>
      <c r="AY408" s="14" t="s">
        <v>217</v>
      </c>
      <c r="AZ408" s="14" t="s">
        <v>217</v>
      </c>
      <c r="BA408" s="14" t="s">
        <v>166</v>
      </c>
      <c r="BB408" s="21" t="s">
        <v>166</v>
      </c>
      <c r="BC408" s="14" t="s">
        <v>179</v>
      </c>
      <c r="BD408" s="14" t="s">
        <v>8053</v>
      </c>
      <c r="BE408" s="14" t="s">
        <v>189</v>
      </c>
      <c r="BF408" s="18">
        <v>4.15</v>
      </c>
      <c r="BG408" s="14" t="s">
        <v>190</v>
      </c>
      <c r="BH408" s="14" t="s">
        <v>166</v>
      </c>
      <c r="BI408" s="14" t="s">
        <v>166</v>
      </c>
      <c r="BJ408" s="18" t="s">
        <v>166</v>
      </c>
      <c r="BK408" s="18" t="s">
        <v>166</v>
      </c>
      <c r="BL408" s="14" t="s">
        <v>191</v>
      </c>
      <c r="BM408" s="14" t="s">
        <v>178</v>
      </c>
      <c r="BN408" s="14" t="s">
        <v>177</v>
      </c>
      <c r="BO408" s="22" t="s">
        <v>166</v>
      </c>
      <c r="BP408" s="14" t="s">
        <v>8041</v>
      </c>
      <c r="BQ408" s="21">
        <v>3</v>
      </c>
      <c r="BR408" s="14" t="s">
        <v>166</v>
      </c>
      <c r="BS408" s="21" t="s">
        <v>166</v>
      </c>
      <c r="BT408" s="14" t="s">
        <v>166</v>
      </c>
      <c r="BU408" s="14" t="s">
        <v>166</v>
      </c>
      <c r="BV408" s="14" t="s">
        <v>166</v>
      </c>
      <c r="BW408" s="14" t="s">
        <v>166</v>
      </c>
      <c r="BX408" s="14" t="s">
        <v>166</v>
      </c>
      <c r="BY408" s="14" t="s">
        <v>166</v>
      </c>
      <c r="BZ408" s="14" t="s">
        <v>166</v>
      </c>
      <c r="CA408" s="14" t="s">
        <v>166</v>
      </c>
      <c r="CB408" s="14" t="s">
        <v>166</v>
      </c>
      <c r="CC408" s="14" t="s">
        <v>166</v>
      </c>
      <c r="CD408" s="14" t="s">
        <v>166</v>
      </c>
      <c r="CE408" s="18" t="s">
        <v>166</v>
      </c>
      <c r="CF408" s="16" t="s">
        <v>166</v>
      </c>
      <c r="CG408" s="17" t="s">
        <v>166</v>
      </c>
      <c r="CH408" s="16" t="s">
        <v>166</v>
      </c>
      <c r="CI408" s="16" t="s">
        <v>166</v>
      </c>
      <c r="CJ408" s="16" t="s">
        <v>166</v>
      </c>
      <c r="CK408" s="16" t="s">
        <v>166</v>
      </c>
      <c r="CL408" s="16" t="s">
        <v>166</v>
      </c>
      <c r="CM408" s="20" t="s">
        <v>166</v>
      </c>
      <c r="CN408" s="16" t="s">
        <v>166</v>
      </c>
      <c r="CO408" s="16" t="s">
        <v>166</v>
      </c>
      <c r="CP408" s="16" t="s">
        <v>166</v>
      </c>
      <c r="CQ408" s="16" t="s">
        <v>166</v>
      </c>
      <c r="CR408" s="16" t="s">
        <v>166</v>
      </c>
      <c r="CS408" s="16" t="s">
        <v>166</v>
      </c>
      <c r="CT408" s="16" t="s">
        <v>166</v>
      </c>
      <c r="CU408" s="16" t="s">
        <v>166</v>
      </c>
      <c r="CV408" s="16" t="s">
        <v>166</v>
      </c>
      <c r="CW408" s="16" t="s">
        <v>166</v>
      </c>
      <c r="CX408" s="16" t="s">
        <v>166</v>
      </c>
      <c r="CY408" s="16" t="s">
        <v>166</v>
      </c>
      <c r="CZ408" s="16" t="s">
        <v>166</v>
      </c>
      <c r="DA408" s="16" t="s">
        <v>166</v>
      </c>
      <c r="DB408" s="16" t="s">
        <v>166</v>
      </c>
      <c r="DC408" s="16" t="s">
        <v>166</v>
      </c>
      <c r="DD408" s="16" t="s">
        <v>166</v>
      </c>
      <c r="DE408" s="17" t="s">
        <v>166</v>
      </c>
      <c r="DF408" s="22">
        <v>7</v>
      </c>
      <c r="DG408" s="14" t="s">
        <v>8054</v>
      </c>
      <c r="DH408" s="14" t="s">
        <v>193</v>
      </c>
      <c r="DI408" s="14" t="s">
        <v>194</v>
      </c>
      <c r="DJ408" s="14" t="s">
        <v>8055</v>
      </c>
      <c r="DK408" s="14" t="s">
        <v>257</v>
      </c>
      <c r="DL408" s="21" t="s">
        <v>8056</v>
      </c>
      <c r="DM408" s="14" t="s">
        <v>198</v>
      </c>
      <c r="DN408" s="13" t="s">
        <v>8057</v>
      </c>
      <c r="DO408" s="20">
        <v>2023</v>
      </c>
      <c r="DP408" s="14" t="s">
        <v>166</v>
      </c>
      <c r="DQ408" s="14" t="s">
        <v>166</v>
      </c>
      <c r="DR408" s="18" t="s">
        <v>166</v>
      </c>
      <c r="DS408" s="16" t="s">
        <v>166</v>
      </c>
      <c r="DT408" s="19" t="s">
        <v>166</v>
      </c>
      <c r="DU408" s="14" t="s">
        <v>166</v>
      </c>
      <c r="DV408" s="18" t="s">
        <v>166</v>
      </c>
      <c r="DW408" s="18" t="s">
        <v>166</v>
      </c>
      <c r="DX408" s="16" t="s">
        <v>166</v>
      </c>
      <c r="DY408" s="16" t="s">
        <v>166</v>
      </c>
      <c r="DZ408" s="17" t="s">
        <v>166</v>
      </c>
      <c r="EA408" s="16" t="s">
        <v>166</v>
      </c>
      <c r="EB408" s="16" t="s">
        <v>166</v>
      </c>
      <c r="EC408" s="16" t="s">
        <v>166</v>
      </c>
      <c r="ED408" s="17" t="s">
        <v>166</v>
      </c>
      <c r="EE408" s="17" t="s">
        <v>166</v>
      </c>
      <c r="EF408" s="17" t="s">
        <v>166</v>
      </c>
      <c r="EG408" s="17" t="s">
        <v>166</v>
      </c>
      <c r="EH408" s="16" t="s">
        <v>166</v>
      </c>
      <c r="EI408" s="16" t="s">
        <v>166</v>
      </c>
      <c r="EJ408" s="16" t="s">
        <v>166</v>
      </c>
      <c r="EK408" s="16" t="s">
        <v>166</v>
      </c>
      <c r="EL408" s="16" t="s">
        <v>166</v>
      </c>
      <c r="EM408" s="16" t="s">
        <v>166</v>
      </c>
      <c r="EN408" s="16" t="s">
        <v>166</v>
      </c>
      <c r="EO408" s="16" t="s">
        <v>166</v>
      </c>
      <c r="EP408" s="16" t="s">
        <v>166</v>
      </c>
      <c r="EQ408" s="16" t="s">
        <v>166</v>
      </c>
      <c r="ER408" s="16" t="s">
        <v>166</v>
      </c>
      <c r="ES408" s="16" t="s">
        <v>166</v>
      </c>
      <c r="ET408" s="14" t="s">
        <v>166</v>
      </c>
      <c r="EU408" s="16" t="s">
        <v>166</v>
      </c>
      <c r="EV408" s="16" t="s">
        <v>166</v>
      </c>
      <c r="EW408" s="16" t="s">
        <v>166</v>
      </c>
      <c r="EX408" s="14" t="s">
        <v>190</v>
      </c>
      <c r="EY408" s="14" t="s">
        <v>166</v>
      </c>
      <c r="EZ408" s="16" t="s">
        <v>166</v>
      </c>
      <c r="FA408" s="15" t="s">
        <v>166</v>
      </c>
      <c r="FB408" s="15" t="s">
        <v>166</v>
      </c>
      <c r="FC408" s="15" t="s">
        <v>166</v>
      </c>
      <c r="FD408" s="15" t="s">
        <v>166</v>
      </c>
      <c r="FE408" s="15" t="s">
        <v>166</v>
      </c>
      <c r="FF408" s="15" t="s">
        <v>166</v>
      </c>
      <c r="FG408" s="14" t="s">
        <v>166</v>
      </c>
      <c r="FH408" s="3">
        <f>HYPERLINK("https://my.pitchbook.com?c=246061-90T","View Company Online")</f>
      </c>
    </row>
    <row r="409">
      <c r="A409" s="25" t="s">
        <v>8058</v>
      </c>
      <c r="B409" s="25" t="s">
        <v>8059</v>
      </c>
      <c r="C409" s="25" t="s">
        <v>8060</v>
      </c>
      <c r="D409" s="25" t="s">
        <v>166</v>
      </c>
      <c r="E409" s="34" t="s">
        <v>8061</v>
      </c>
      <c r="F409" s="32">
        <v>1</v>
      </c>
      <c r="G409" s="25" t="s">
        <v>8062</v>
      </c>
      <c r="H409" s="25" t="s">
        <v>166</v>
      </c>
      <c r="I409" s="25" t="s">
        <v>8063</v>
      </c>
      <c r="J409" s="25" t="s">
        <v>8064</v>
      </c>
      <c r="K409" s="25" t="s">
        <v>207</v>
      </c>
      <c r="L409" s="25" t="s">
        <v>208</v>
      </c>
      <c r="M409" s="25" t="s">
        <v>209</v>
      </c>
      <c r="N409" s="25" t="s">
        <v>269</v>
      </c>
      <c r="O409" s="25" t="s">
        <v>8065</v>
      </c>
      <c r="P409" s="25" t="s">
        <v>8066</v>
      </c>
      <c r="Q409" s="25" t="s">
        <v>166</v>
      </c>
      <c r="R409" s="25" t="s">
        <v>177</v>
      </c>
      <c r="S409" s="25" t="s">
        <v>178</v>
      </c>
      <c r="T409" s="25" t="s">
        <v>179</v>
      </c>
      <c r="U409" s="25" t="s">
        <v>8067</v>
      </c>
      <c r="V409" s="25" t="s">
        <v>8068</v>
      </c>
      <c r="W409" s="32" t="s">
        <v>8069</v>
      </c>
      <c r="X409" s="25" t="s">
        <v>8070</v>
      </c>
      <c r="Y409" s="25" t="s">
        <v>8071</v>
      </c>
      <c r="Z409" s="25" t="s">
        <v>8072</v>
      </c>
      <c r="AA409" s="25" t="s">
        <v>166</v>
      </c>
      <c r="AB409" s="25" t="s">
        <v>166</v>
      </c>
      <c r="AC409" s="25" t="s">
        <v>166</v>
      </c>
      <c r="AD409" s="25" t="s">
        <v>166</v>
      </c>
      <c r="AE409" s="25" t="s">
        <v>166</v>
      </c>
      <c r="AF409" s="25" t="s">
        <v>166</v>
      </c>
      <c r="AG409" s="25" t="s">
        <v>166</v>
      </c>
      <c r="AH409" s="32">
        <v>2</v>
      </c>
      <c r="AI409" s="4">
        <f>HYPERLINK("https://my.pitchbook.com/?d=136800-28T","136800-28T")</f>
      </c>
      <c r="AJ409" s="30" t="s">
        <v>166</v>
      </c>
      <c r="AK409" s="30">
        <v>43900</v>
      </c>
      <c r="AL409" s="29">
        <v>0.05</v>
      </c>
      <c r="AM409" s="25" t="s">
        <v>185</v>
      </c>
      <c r="AN409" s="29" t="s">
        <v>166</v>
      </c>
      <c r="AO409" s="29" t="s">
        <v>166</v>
      </c>
      <c r="AP409" s="25" t="s">
        <v>166</v>
      </c>
      <c r="AQ409" s="32" t="s">
        <v>166</v>
      </c>
      <c r="AR409" s="32" t="s">
        <v>166</v>
      </c>
      <c r="AS409" s="28" t="s">
        <v>166</v>
      </c>
      <c r="AT409" s="29">
        <v>0.05</v>
      </c>
      <c r="AU409" s="32" t="s">
        <v>186</v>
      </c>
      <c r="AV409" s="32" t="s">
        <v>166</v>
      </c>
      <c r="AW409" s="29" t="s">
        <v>166</v>
      </c>
      <c r="AX409" s="32" t="s">
        <v>166</v>
      </c>
      <c r="AY409" s="25" t="s">
        <v>217</v>
      </c>
      <c r="AZ409" s="25" t="s">
        <v>217</v>
      </c>
      <c r="BA409" s="25" t="s">
        <v>166</v>
      </c>
      <c r="BB409" s="32" t="s">
        <v>166</v>
      </c>
      <c r="BC409" s="25" t="s">
        <v>179</v>
      </c>
      <c r="BD409" s="25" t="s">
        <v>8073</v>
      </c>
      <c r="BE409" s="25" t="s">
        <v>189</v>
      </c>
      <c r="BF409" s="29">
        <v>0.05</v>
      </c>
      <c r="BG409" s="25" t="s">
        <v>190</v>
      </c>
      <c r="BH409" s="25" t="s">
        <v>166</v>
      </c>
      <c r="BI409" s="25" t="s">
        <v>166</v>
      </c>
      <c r="BJ409" s="29" t="s">
        <v>166</v>
      </c>
      <c r="BK409" s="29" t="s">
        <v>166</v>
      </c>
      <c r="BL409" s="25" t="s">
        <v>191</v>
      </c>
      <c r="BM409" s="25" t="s">
        <v>178</v>
      </c>
      <c r="BN409" s="25" t="s">
        <v>177</v>
      </c>
      <c r="BO409" s="33" t="s">
        <v>166</v>
      </c>
      <c r="BP409" s="25" t="s">
        <v>8061</v>
      </c>
      <c r="BQ409" s="32">
        <v>1</v>
      </c>
      <c r="BR409" s="25" t="s">
        <v>166</v>
      </c>
      <c r="BS409" s="32" t="s">
        <v>166</v>
      </c>
      <c r="BT409" s="25" t="s">
        <v>166</v>
      </c>
      <c r="BU409" s="25" t="s">
        <v>166</v>
      </c>
      <c r="BV409" s="25" t="s">
        <v>166</v>
      </c>
      <c r="BW409" s="25" t="s">
        <v>166</v>
      </c>
      <c r="BX409" s="25" t="s">
        <v>166</v>
      </c>
      <c r="BY409" s="25" t="s">
        <v>166</v>
      </c>
      <c r="BZ409" s="25" t="s">
        <v>166</v>
      </c>
      <c r="CA409" s="25" t="s">
        <v>166</v>
      </c>
      <c r="CB409" s="25" t="s">
        <v>166</v>
      </c>
      <c r="CC409" s="25" t="s">
        <v>166</v>
      </c>
      <c r="CD409" s="25" t="s">
        <v>166</v>
      </c>
      <c r="CE409" s="29" t="s">
        <v>166</v>
      </c>
      <c r="CF409" s="27" t="s">
        <v>166</v>
      </c>
      <c r="CG409" s="28" t="s">
        <v>166</v>
      </c>
      <c r="CH409" s="27" t="s">
        <v>166</v>
      </c>
      <c r="CI409" s="27" t="s">
        <v>166</v>
      </c>
      <c r="CJ409" s="27" t="s">
        <v>166</v>
      </c>
      <c r="CK409" s="27" t="s">
        <v>166</v>
      </c>
      <c r="CL409" s="27" t="s">
        <v>166</v>
      </c>
      <c r="CM409" s="31" t="s">
        <v>166</v>
      </c>
      <c r="CN409" s="27" t="s">
        <v>166</v>
      </c>
      <c r="CO409" s="27" t="s">
        <v>166</v>
      </c>
      <c r="CP409" s="27" t="s">
        <v>166</v>
      </c>
      <c r="CQ409" s="27" t="s">
        <v>166</v>
      </c>
      <c r="CR409" s="27" t="s">
        <v>166</v>
      </c>
      <c r="CS409" s="27" t="s">
        <v>166</v>
      </c>
      <c r="CT409" s="27" t="s">
        <v>166</v>
      </c>
      <c r="CU409" s="27" t="s">
        <v>166</v>
      </c>
      <c r="CV409" s="27" t="s">
        <v>166</v>
      </c>
      <c r="CW409" s="27" t="s">
        <v>166</v>
      </c>
      <c r="CX409" s="27" t="s">
        <v>166</v>
      </c>
      <c r="CY409" s="27" t="s">
        <v>166</v>
      </c>
      <c r="CZ409" s="27" t="s">
        <v>166</v>
      </c>
      <c r="DA409" s="27" t="s">
        <v>166</v>
      </c>
      <c r="DB409" s="27" t="s">
        <v>166</v>
      </c>
      <c r="DC409" s="27" t="s">
        <v>166</v>
      </c>
      <c r="DD409" s="27" t="s">
        <v>166</v>
      </c>
      <c r="DE409" s="28" t="s">
        <v>166</v>
      </c>
      <c r="DF409" s="33">
        <v>20</v>
      </c>
      <c r="DG409" s="25" t="s">
        <v>8074</v>
      </c>
      <c r="DH409" s="25" t="s">
        <v>193</v>
      </c>
      <c r="DI409" s="25" t="s">
        <v>194</v>
      </c>
      <c r="DJ409" s="25" t="s">
        <v>8075</v>
      </c>
      <c r="DK409" s="25" t="s">
        <v>431</v>
      </c>
      <c r="DL409" s="32" t="s">
        <v>8076</v>
      </c>
      <c r="DM409" s="25" t="s">
        <v>198</v>
      </c>
      <c r="DN409" s="24" t="s">
        <v>8077</v>
      </c>
      <c r="DO409" s="31">
        <v>2019</v>
      </c>
      <c r="DP409" s="25" t="s">
        <v>166</v>
      </c>
      <c r="DQ409" s="25" t="s">
        <v>166</v>
      </c>
      <c r="DR409" s="29" t="s">
        <v>166</v>
      </c>
      <c r="DS409" s="27" t="s">
        <v>166</v>
      </c>
      <c r="DT409" s="30" t="s">
        <v>166</v>
      </c>
      <c r="DU409" s="25" t="s">
        <v>166</v>
      </c>
      <c r="DV409" s="29" t="s">
        <v>166</v>
      </c>
      <c r="DW409" s="29" t="s">
        <v>166</v>
      </c>
      <c r="DX409" s="27" t="s">
        <v>166</v>
      </c>
      <c r="DY409" s="27" t="s">
        <v>166</v>
      </c>
      <c r="DZ409" s="28" t="s">
        <v>166</v>
      </c>
      <c r="EA409" s="27" t="s">
        <v>166</v>
      </c>
      <c r="EB409" s="27" t="s">
        <v>166</v>
      </c>
      <c r="EC409" s="27" t="s">
        <v>166</v>
      </c>
      <c r="ED409" s="28" t="s">
        <v>166</v>
      </c>
      <c r="EE409" s="28" t="s">
        <v>166</v>
      </c>
      <c r="EF409" s="28" t="s">
        <v>166</v>
      </c>
      <c r="EG409" s="28" t="s">
        <v>166</v>
      </c>
      <c r="EH409" s="27" t="s">
        <v>166</v>
      </c>
      <c r="EI409" s="27" t="s">
        <v>166</v>
      </c>
      <c r="EJ409" s="27" t="s">
        <v>166</v>
      </c>
      <c r="EK409" s="27" t="s">
        <v>166</v>
      </c>
      <c r="EL409" s="27" t="s">
        <v>166</v>
      </c>
      <c r="EM409" s="27" t="s">
        <v>166</v>
      </c>
      <c r="EN409" s="27" t="s">
        <v>166</v>
      </c>
      <c r="EO409" s="27" t="s">
        <v>166</v>
      </c>
      <c r="EP409" s="27" t="s">
        <v>166</v>
      </c>
      <c r="EQ409" s="27" t="s">
        <v>166</v>
      </c>
      <c r="ER409" s="27" t="s">
        <v>166</v>
      </c>
      <c r="ES409" s="27" t="s">
        <v>166</v>
      </c>
      <c r="ET409" s="25" t="s">
        <v>166</v>
      </c>
      <c r="EU409" s="27" t="s">
        <v>166</v>
      </c>
      <c r="EV409" s="27" t="s">
        <v>166</v>
      </c>
      <c r="EW409" s="27" t="s">
        <v>166</v>
      </c>
      <c r="EX409" s="25" t="s">
        <v>190</v>
      </c>
      <c r="EY409" s="25" t="s">
        <v>166</v>
      </c>
      <c r="EZ409" s="27" t="s">
        <v>166</v>
      </c>
      <c r="FA409" s="26" t="s">
        <v>166</v>
      </c>
      <c r="FB409" s="26" t="s">
        <v>166</v>
      </c>
      <c r="FC409" s="26" t="s">
        <v>166</v>
      </c>
      <c r="FD409" s="26" t="s">
        <v>166</v>
      </c>
      <c r="FE409" s="26" t="s">
        <v>166</v>
      </c>
      <c r="FF409" s="26" t="s">
        <v>166</v>
      </c>
      <c r="FG409" s="25" t="s">
        <v>166</v>
      </c>
      <c r="FH409" s="4">
        <f>HYPERLINK("https://my.pitchbook.com?c=136800-28T","View Company Online")</f>
      </c>
    </row>
    <row r="410">
      <c r="A410" s="14" t="s">
        <v>8078</v>
      </c>
      <c r="B410" s="14" t="s">
        <v>8079</v>
      </c>
      <c r="C410" s="14" t="s">
        <v>8080</v>
      </c>
      <c r="D410" s="14" t="s">
        <v>166</v>
      </c>
      <c r="E410" s="23" t="s">
        <v>8081</v>
      </c>
      <c r="F410" s="21">
        <v>9</v>
      </c>
      <c r="G410" s="14" t="s">
        <v>8082</v>
      </c>
      <c r="H410" s="14" t="s">
        <v>166</v>
      </c>
      <c r="I410" s="14" t="s">
        <v>8083</v>
      </c>
      <c r="J410" s="14" t="s">
        <v>8084</v>
      </c>
      <c r="K410" s="14" t="s">
        <v>207</v>
      </c>
      <c r="L410" s="14" t="s">
        <v>208</v>
      </c>
      <c r="M410" s="14" t="s">
        <v>639</v>
      </c>
      <c r="N410" s="14" t="s">
        <v>8085</v>
      </c>
      <c r="O410" s="14" t="s">
        <v>641</v>
      </c>
      <c r="P410" s="14" t="s">
        <v>8086</v>
      </c>
      <c r="Q410" s="14" t="s">
        <v>166</v>
      </c>
      <c r="R410" s="14" t="s">
        <v>177</v>
      </c>
      <c r="S410" s="14" t="s">
        <v>178</v>
      </c>
      <c r="T410" s="14" t="s">
        <v>179</v>
      </c>
      <c r="U410" s="14" t="s">
        <v>8087</v>
      </c>
      <c r="V410" s="14" t="s">
        <v>8088</v>
      </c>
      <c r="W410" s="21" t="s">
        <v>8089</v>
      </c>
      <c r="X410" s="14" t="s">
        <v>8090</v>
      </c>
      <c r="Y410" s="14" t="s">
        <v>8091</v>
      </c>
      <c r="Z410" s="14" t="s">
        <v>8092</v>
      </c>
      <c r="AA410" s="14" t="s">
        <v>166</v>
      </c>
      <c r="AB410" s="14" t="s">
        <v>166</v>
      </c>
      <c r="AC410" s="14" t="s">
        <v>166</v>
      </c>
      <c r="AD410" s="14" t="s">
        <v>166</v>
      </c>
      <c r="AE410" s="14" t="s">
        <v>166</v>
      </c>
      <c r="AF410" s="14" t="s">
        <v>166</v>
      </c>
      <c r="AG410" s="14" t="s">
        <v>166</v>
      </c>
      <c r="AH410" s="21">
        <v>1</v>
      </c>
      <c r="AI410" s="3">
        <f>HYPERLINK("https://my.pitchbook.com/?d=135495-01T","135495-01T")</f>
      </c>
      <c r="AJ410" s="19" t="s">
        <v>166</v>
      </c>
      <c r="AK410" s="19">
        <v>44543</v>
      </c>
      <c r="AL410" s="18">
        <v>4</v>
      </c>
      <c r="AM410" s="14" t="s">
        <v>185</v>
      </c>
      <c r="AN410" s="18" t="s">
        <v>166</v>
      </c>
      <c r="AO410" s="18" t="s">
        <v>166</v>
      </c>
      <c r="AP410" s="14" t="s">
        <v>166</v>
      </c>
      <c r="AQ410" s="21" t="s">
        <v>166</v>
      </c>
      <c r="AR410" s="21" t="s">
        <v>166</v>
      </c>
      <c r="AS410" s="17" t="s">
        <v>166</v>
      </c>
      <c r="AT410" s="18">
        <v>4</v>
      </c>
      <c r="AU410" s="21" t="s">
        <v>186</v>
      </c>
      <c r="AV410" s="21" t="s">
        <v>166</v>
      </c>
      <c r="AW410" s="18" t="s">
        <v>166</v>
      </c>
      <c r="AX410" s="21" t="s">
        <v>166</v>
      </c>
      <c r="AY410" s="14" t="s">
        <v>217</v>
      </c>
      <c r="AZ410" s="14" t="s">
        <v>217</v>
      </c>
      <c r="BA410" s="14" t="s">
        <v>166</v>
      </c>
      <c r="BB410" s="21" t="s">
        <v>166</v>
      </c>
      <c r="BC410" s="14" t="s">
        <v>179</v>
      </c>
      <c r="BD410" s="14" t="s">
        <v>8093</v>
      </c>
      <c r="BE410" s="14" t="s">
        <v>189</v>
      </c>
      <c r="BF410" s="18">
        <v>4</v>
      </c>
      <c r="BG410" s="14" t="s">
        <v>190</v>
      </c>
      <c r="BH410" s="14" t="s">
        <v>166</v>
      </c>
      <c r="BI410" s="14" t="s">
        <v>166</v>
      </c>
      <c r="BJ410" s="18" t="s">
        <v>166</v>
      </c>
      <c r="BK410" s="18" t="s">
        <v>166</v>
      </c>
      <c r="BL410" s="14" t="s">
        <v>191</v>
      </c>
      <c r="BM410" s="14" t="s">
        <v>178</v>
      </c>
      <c r="BN410" s="14" t="s">
        <v>177</v>
      </c>
      <c r="BO410" s="22">
        <v>7</v>
      </c>
      <c r="BP410" s="14" t="s">
        <v>8094</v>
      </c>
      <c r="BQ410" s="21">
        <v>9</v>
      </c>
      <c r="BR410" s="14" t="s">
        <v>166</v>
      </c>
      <c r="BS410" s="21" t="s">
        <v>166</v>
      </c>
      <c r="BT410" s="14" t="s">
        <v>166</v>
      </c>
      <c r="BU410" s="14" t="s">
        <v>166</v>
      </c>
      <c r="BV410" s="14" t="s">
        <v>8095</v>
      </c>
      <c r="BW410" s="14" t="s">
        <v>166</v>
      </c>
      <c r="BX410" s="14" t="s">
        <v>166</v>
      </c>
      <c r="BY410" s="14" t="s">
        <v>166</v>
      </c>
      <c r="BZ410" s="14" t="s">
        <v>166</v>
      </c>
      <c r="CA410" s="14" t="s">
        <v>166</v>
      </c>
      <c r="CB410" s="14" t="s">
        <v>166</v>
      </c>
      <c r="CC410" s="14" t="s">
        <v>166</v>
      </c>
      <c r="CD410" s="14" t="s">
        <v>166</v>
      </c>
      <c r="CE410" s="18" t="s">
        <v>166</v>
      </c>
      <c r="CF410" s="16" t="s">
        <v>166</v>
      </c>
      <c r="CG410" s="17" t="s">
        <v>166</v>
      </c>
      <c r="CH410" s="16" t="s">
        <v>166</v>
      </c>
      <c r="CI410" s="16" t="s">
        <v>166</v>
      </c>
      <c r="CJ410" s="16" t="s">
        <v>166</v>
      </c>
      <c r="CK410" s="16" t="s">
        <v>166</v>
      </c>
      <c r="CL410" s="16" t="s">
        <v>166</v>
      </c>
      <c r="CM410" s="20" t="s">
        <v>166</v>
      </c>
      <c r="CN410" s="16" t="s">
        <v>166</v>
      </c>
      <c r="CO410" s="16" t="s">
        <v>166</v>
      </c>
      <c r="CP410" s="16" t="s">
        <v>166</v>
      </c>
      <c r="CQ410" s="16" t="s">
        <v>166</v>
      </c>
      <c r="CR410" s="16" t="s">
        <v>166</v>
      </c>
      <c r="CS410" s="16" t="s">
        <v>166</v>
      </c>
      <c r="CT410" s="16" t="s">
        <v>166</v>
      </c>
      <c r="CU410" s="16" t="s">
        <v>166</v>
      </c>
      <c r="CV410" s="16" t="s">
        <v>166</v>
      </c>
      <c r="CW410" s="16" t="s">
        <v>166</v>
      </c>
      <c r="CX410" s="16" t="s">
        <v>166</v>
      </c>
      <c r="CY410" s="16" t="s">
        <v>166</v>
      </c>
      <c r="CZ410" s="16" t="s">
        <v>166</v>
      </c>
      <c r="DA410" s="16" t="s">
        <v>166</v>
      </c>
      <c r="DB410" s="16" t="s">
        <v>166</v>
      </c>
      <c r="DC410" s="16" t="s">
        <v>166</v>
      </c>
      <c r="DD410" s="16" t="s">
        <v>166</v>
      </c>
      <c r="DE410" s="17" t="s">
        <v>166</v>
      </c>
      <c r="DF410" s="22">
        <v>13</v>
      </c>
      <c r="DG410" s="14" t="s">
        <v>3138</v>
      </c>
      <c r="DH410" s="14" t="s">
        <v>193</v>
      </c>
      <c r="DI410" s="14" t="s">
        <v>194</v>
      </c>
      <c r="DJ410" s="14" t="s">
        <v>3139</v>
      </c>
      <c r="DK410" s="14" t="s">
        <v>257</v>
      </c>
      <c r="DL410" s="21" t="s">
        <v>8096</v>
      </c>
      <c r="DM410" s="14" t="s">
        <v>198</v>
      </c>
      <c r="DN410" s="13" t="s">
        <v>8097</v>
      </c>
      <c r="DO410" s="20">
        <v>2018</v>
      </c>
      <c r="DP410" s="14" t="s">
        <v>166</v>
      </c>
      <c r="DQ410" s="14" t="s">
        <v>166</v>
      </c>
      <c r="DR410" s="18" t="s">
        <v>166</v>
      </c>
      <c r="DS410" s="16" t="s">
        <v>166</v>
      </c>
      <c r="DT410" s="19" t="s">
        <v>166</v>
      </c>
      <c r="DU410" s="14" t="s">
        <v>166</v>
      </c>
      <c r="DV410" s="18" t="s">
        <v>166</v>
      </c>
      <c r="DW410" s="18" t="s">
        <v>166</v>
      </c>
      <c r="DX410" s="16" t="s">
        <v>166</v>
      </c>
      <c r="DY410" s="16" t="s">
        <v>166</v>
      </c>
      <c r="DZ410" s="17" t="s">
        <v>166</v>
      </c>
      <c r="EA410" s="16" t="s">
        <v>166</v>
      </c>
      <c r="EB410" s="16" t="s">
        <v>166</v>
      </c>
      <c r="EC410" s="16" t="s">
        <v>166</v>
      </c>
      <c r="ED410" s="17" t="s">
        <v>166</v>
      </c>
      <c r="EE410" s="17" t="s">
        <v>166</v>
      </c>
      <c r="EF410" s="17" t="s">
        <v>166</v>
      </c>
      <c r="EG410" s="17" t="s">
        <v>166</v>
      </c>
      <c r="EH410" s="16" t="s">
        <v>166</v>
      </c>
      <c r="EI410" s="16" t="s">
        <v>166</v>
      </c>
      <c r="EJ410" s="16" t="s">
        <v>166</v>
      </c>
      <c r="EK410" s="16" t="s">
        <v>166</v>
      </c>
      <c r="EL410" s="16" t="s">
        <v>166</v>
      </c>
      <c r="EM410" s="16" t="s">
        <v>166</v>
      </c>
      <c r="EN410" s="16" t="s">
        <v>166</v>
      </c>
      <c r="EO410" s="16" t="s">
        <v>166</v>
      </c>
      <c r="EP410" s="16" t="s">
        <v>166</v>
      </c>
      <c r="EQ410" s="16" t="s">
        <v>166</v>
      </c>
      <c r="ER410" s="16" t="s">
        <v>166</v>
      </c>
      <c r="ES410" s="16" t="s">
        <v>166</v>
      </c>
      <c r="ET410" s="14" t="s">
        <v>166</v>
      </c>
      <c r="EU410" s="16" t="s">
        <v>166</v>
      </c>
      <c r="EV410" s="16" t="s">
        <v>166</v>
      </c>
      <c r="EW410" s="16" t="s">
        <v>166</v>
      </c>
      <c r="EX410" s="14" t="s">
        <v>190</v>
      </c>
      <c r="EY410" s="14" t="s">
        <v>166</v>
      </c>
      <c r="EZ410" s="16" t="s">
        <v>166</v>
      </c>
      <c r="FA410" s="15" t="s">
        <v>166</v>
      </c>
      <c r="FB410" s="15" t="s">
        <v>166</v>
      </c>
      <c r="FC410" s="15" t="s">
        <v>166</v>
      </c>
      <c r="FD410" s="15" t="s">
        <v>166</v>
      </c>
      <c r="FE410" s="15" t="s">
        <v>166</v>
      </c>
      <c r="FF410" s="15" t="s">
        <v>166</v>
      </c>
      <c r="FG410" s="14" t="s">
        <v>166</v>
      </c>
      <c r="FH410" s="3">
        <f>HYPERLINK("https://my.pitchbook.com?c=135495-01T","View Company Online")</f>
      </c>
    </row>
    <row r="411">
      <c r="A411" s="25" t="s">
        <v>8098</v>
      </c>
      <c r="B411" s="25" t="s">
        <v>8099</v>
      </c>
      <c r="C411" s="25" t="s">
        <v>8100</v>
      </c>
      <c r="D411" s="25" t="s">
        <v>166</v>
      </c>
      <c r="E411" s="34" t="s">
        <v>8101</v>
      </c>
      <c r="F411" s="32">
        <v>23</v>
      </c>
      <c r="G411" s="25" t="s">
        <v>8102</v>
      </c>
      <c r="H411" s="25" t="s">
        <v>166</v>
      </c>
      <c r="I411" s="25" t="s">
        <v>8103</v>
      </c>
      <c r="J411" s="25" t="s">
        <v>8104</v>
      </c>
      <c r="K411" s="25" t="s">
        <v>207</v>
      </c>
      <c r="L411" s="25" t="s">
        <v>208</v>
      </c>
      <c r="M411" s="25" t="s">
        <v>639</v>
      </c>
      <c r="N411" s="25" t="s">
        <v>3553</v>
      </c>
      <c r="O411" s="25" t="s">
        <v>3447</v>
      </c>
      <c r="P411" s="25" t="s">
        <v>8105</v>
      </c>
      <c r="Q411" s="25" t="s">
        <v>166</v>
      </c>
      <c r="R411" s="25" t="s">
        <v>177</v>
      </c>
      <c r="S411" s="25" t="s">
        <v>178</v>
      </c>
      <c r="T411" s="25" t="s">
        <v>179</v>
      </c>
      <c r="U411" s="25" t="s">
        <v>8106</v>
      </c>
      <c r="V411" s="25" t="s">
        <v>8107</v>
      </c>
      <c r="W411" s="32" t="s">
        <v>166</v>
      </c>
      <c r="X411" s="25" t="s">
        <v>8108</v>
      </c>
      <c r="Y411" s="25" t="s">
        <v>8109</v>
      </c>
      <c r="Z411" s="25" t="s">
        <v>8110</v>
      </c>
      <c r="AA411" s="25" t="s">
        <v>242</v>
      </c>
      <c r="AB411" s="25" t="s">
        <v>243</v>
      </c>
      <c r="AC411" s="25" t="s">
        <v>244</v>
      </c>
      <c r="AD411" s="25" t="s">
        <v>243</v>
      </c>
      <c r="AE411" s="25" t="s">
        <v>243</v>
      </c>
      <c r="AF411" s="25" t="s">
        <v>166</v>
      </c>
      <c r="AG411" s="25" t="s">
        <v>807</v>
      </c>
      <c r="AH411" s="32">
        <v>1</v>
      </c>
      <c r="AI411" s="4">
        <f>HYPERLINK("https://my.pitchbook.com/?d=167776-12T","167776-12T")</f>
      </c>
      <c r="AJ411" s="30" t="s">
        <v>166</v>
      </c>
      <c r="AK411" s="30">
        <v>43862</v>
      </c>
      <c r="AL411" s="29">
        <v>3.8</v>
      </c>
      <c r="AM411" s="25" t="s">
        <v>247</v>
      </c>
      <c r="AN411" s="29">
        <v>15</v>
      </c>
      <c r="AO411" s="29">
        <v>18.8</v>
      </c>
      <c r="AP411" s="25" t="s">
        <v>185</v>
      </c>
      <c r="AQ411" s="32" t="s">
        <v>166</v>
      </c>
      <c r="AR411" s="32" t="s">
        <v>166</v>
      </c>
      <c r="AS411" s="28">
        <v>20.21</v>
      </c>
      <c r="AT411" s="29">
        <v>3.8</v>
      </c>
      <c r="AU411" s="32" t="s">
        <v>186</v>
      </c>
      <c r="AV411" s="32" t="s">
        <v>166</v>
      </c>
      <c r="AW411" s="29">
        <v>1.46</v>
      </c>
      <c r="AX411" s="32" t="s">
        <v>166</v>
      </c>
      <c r="AY411" s="25" t="s">
        <v>217</v>
      </c>
      <c r="AZ411" s="25" t="s">
        <v>217</v>
      </c>
      <c r="BA411" s="25" t="s">
        <v>166</v>
      </c>
      <c r="BB411" s="32" t="s">
        <v>166</v>
      </c>
      <c r="BC411" s="25" t="s">
        <v>179</v>
      </c>
      <c r="BD411" s="25" t="s">
        <v>8111</v>
      </c>
      <c r="BE411" s="25" t="s">
        <v>189</v>
      </c>
      <c r="BF411" s="29">
        <v>3.8</v>
      </c>
      <c r="BG411" s="25" t="s">
        <v>190</v>
      </c>
      <c r="BH411" s="25" t="s">
        <v>166</v>
      </c>
      <c r="BI411" s="25" t="s">
        <v>166</v>
      </c>
      <c r="BJ411" s="29" t="s">
        <v>166</v>
      </c>
      <c r="BK411" s="29" t="s">
        <v>166</v>
      </c>
      <c r="BL411" s="25" t="s">
        <v>191</v>
      </c>
      <c r="BM411" s="25" t="s">
        <v>358</v>
      </c>
      <c r="BN411" s="25" t="s">
        <v>2727</v>
      </c>
      <c r="BO411" s="33">
        <v>2</v>
      </c>
      <c r="BP411" s="25" t="s">
        <v>8112</v>
      </c>
      <c r="BQ411" s="32">
        <v>23</v>
      </c>
      <c r="BR411" s="25" t="s">
        <v>166</v>
      </c>
      <c r="BS411" s="32" t="s">
        <v>166</v>
      </c>
      <c r="BT411" s="25" t="s">
        <v>166</v>
      </c>
      <c r="BU411" s="25" t="s">
        <v>166</v>
      </c>
      <c r="BV411" s="25" t="s">
        <v>8113</v>
      </c>
      <c r="BW411" s="25" t="s">
        <v>166</v>
      </c>
      <c r="BX411" s="25" t="s">
        <v>166</v>
      </c>
      <c r="BY411" s="25" t="s">
        <v>166</v>
      </c>
      <c r="BZ411" s="25" t="s">
        <v>166</v>
      </c>
      <c r="CA411" s="25" t="s">
        <v>166</v>
      </c>
      <c r="CB411" s="25" t="s">
        <v>166</v>
      </c>
      <c r="CC411" s="25" t="s">
        <v>166</v>
      </c>
      <c r="CD411" s="25" t="s">
        <v>166</v>
      </c>
      <c r="CE411" s="29" t="s">
        <v>166</v>
      </c>
      <c r="CF411" s="27" t="s">
        <v>166</v>
      </c>
      <c r="CG411" s="28" t="s">
        <v>166</v>
      </c>
      <c r="CH411" s="27" t="s">
        <v>166</v>
      </c>
      <c r="CI411" s="27" t="s">
        <v>166</v>
      </c>
      <c r="CJ411" s="27" t="s">
        <v>166</v>
      </c>
      <c r="CK411" s="27" t="s">
        <v>166</v>
      </c>
      <c r="CL411" s="27" t="s">
        <v>166</v>
      </c>
      <c r="CM411" s="31" t="s">
        <v>166</v>
      </c>
      <c r="CN411" s="27" t="s">
        <v>166</v>
      </c>
      <c r="CO411" s="27" t="s">
        <v>166</v>
      </c>
      <c r="CP411" s="27" t="s">
        <v>166</v>
      </c>
      <c r="CQ411" s="27" t="s">
        <v>166</v>
      </c>
      <c r="CR411" s="27" t="s">
        <v>166</v>
      </c>
      <c r="CS411" s="27" t="s">
        <v>166</v>
      </c>
      <c r="CT411" s="27" t="s">
        <v>166</v>
      </c>
      <c r="CU411" s="27" t="s">
        <v>166</v>
      </c>
      <c r="CV411" s="27" t="s">
        <v>166</v>
      </c>
      <c r="CW411" s="27" t="s">
        <v>166</v>
      </c>
      <c r="CX411" s="27" t="s">
        <v>166</v>
      </c>
      <c r="CY411" s="27" t="s">
        <v>166</v>
      </c>
      <c r="CZ411" s="27" t="s">
        <v>166</v>
      </c>
      <c r="DA411" s="27" t="s">
        <v>166</v>
      </c>
      <c r="DB411" s="27" t="s">
        <v>166</v>
      </c>
      <c r="DC411" s="27" t="s">
        <v>166</v>
      </c>
      <c r="DD411" s="27" t="s">
        <v>166</v>
      </c>
      <c r="DE411" s="28" t="s">
        <v>166</v>
      </c>
      <c r="DF411" s="33">
        <v>4</v>
      </c>
      <c r="DG411" s="25" t="s">
        <v>673</v>
      </c>
      <c r="DH411" s="25" t="s">
        <v>193</v>
      </c>
      <c r="DI411" s="25" t="s">
        <v>194</v>
      </c>
      <c r="DJ411" s="25" t="s">
        <v>674</v>
      </c>
      <c r="DK411" s="25" t="s">
        <v>257</v>
      </c>
      <c r="DL411" s="32" t="s">
        <v>1329</v>
      </c>
      <c r="DM411" s="25" t="s">
        <v>198</v>
      </c>
      <c r="DN411" s="24" t="s">
        <v>8114</v>
      </c>
      <c r="DO411" s="31">
        <v>2019</v>
      </c>
      <c r="DP411" s="25" t="s">
        <v>166</v>
      </c>
      <c r="DQ411" s="25" t="s">
        <v>166</v>
      </c>
      <c r="DR411" s="29" t="s">
        <v>166</v>
      </c>
      <c r="DS411" s="27" t="s">
        <v>166</v>
      </c>
      <c r="DT411" s="30" t="s">
        <v>166</v>
      </c>
      <c r="DU411" s="25" t="s">
        <v>166</v>
      </c>
      <c r="DV411" s="29" t="s">
        <v>166</v>
      </c>
      <c r="DW411" s="29" t="s">
        <v>166</v>
      </c>
      <c r="DX411" s="27" t="s">
        <v>166</v>
      </c>
      <c r="DY411" s="27" t="s">
        <v>166</v>
      </c>
      <c r="DZ411" s="28" t="s">
        <v>166</v>
      </c>
      <c r="EA411" s="27" t="s">
        <v>166</v>
      </c>
      <c r="EB411" s="27" t="s">
        <v>166</v>
      </c>
      <c r="EC411" s="27" t="s">
        <v>166</v>
      </c>
      <c r="ED411" s="28" t="s">
        <v>166</v>
      </c>
      <c r="EE411" s="28" t="s">
        <v>166</v>
      </c>
      <c r="EF411" s="28" t="s">
        <v>166</v>
      </c>
      <c r="EG411" s="28" t="s">
        <v>166</v>
      </c>
      <c r="EH411" s="27" t="s">
        <v>166</v>
      </c>
      <c r="EI411" s="27" t="s">
        <v>166</v>
      </c>
      <c r="EJ411" s="27" t="s">
        <v>166</v>
      </c>
      <c r="EK411" s="27" t="s">
        <v>166</v>
      </c>
      <c r="EL411" s="27" t="s">
        <v>166</v>
      </c>
      <c r="EM411" s="27" t="s">
        <v>166</v>
      </c>
      <c r="EN411" s="27" t="s">
        <v>166</v>
      </c>
      <c r="EO411" s="27" t="s">
        <v>166</v>
      </c>
      <c r="EP411" s="27" t="s">
        <v>166</v>
      </c>
      <c r="EQ411" s="27" t="s">
        <v>166</v>
      </c>
      <c r="ER411" s="27" t="s">
        <v>166</v>
      </c>
      <c r="ES411" s="27" t="s">
        <v>166</v>
      </c>
      <c r="ET411" s="25" t="s">
        <v>166</v>
      </c>
      <c r="EU411" s="27" t="s">
        <v>166</v>
      </c>
      <c r="EV411" s="27" t="s">
        <v>166</v>
      </c>
      <c r="EW411" s="27" t="s">
        <v>166</v>
      </c>
      <c r="EX411" s="25" t="s">
        <v>190</v>
      </c>
      <c r="EY411" s="25" t="s">
        <v>166</v>
      </c>
      <c r="EZ411" s="27" t="s">
        <v>166</v>
      </c>
      <c r="FA411" s="26" t="s">
        <v>166</v>
      </c>
      <c r="FB411" s="26" t="s">
        <v>166</v>
      </c>
      <c r="FC411" s="26" t="s">
        <v>166</v>
      </c>
      <c r="FD411" s="26" t="s">
        <v>166</v>
      </c>
      <c r="FE411" s="26" t="s">
        <v>166</v>
      </c>
      <c r="FF411" s="26" t="s">
        <v>166</v>
      </c>
      <c r="FG411" s="25" t="s">
        <v>166</v>
      </c>
      <c r="FH411" s="4">
        <f>HYPERLINK("https://my.pitchbook.com?c=167776-12T","View Company Online")</f>
      </c>
    </row>
    <row r="412">
      <c r="A412" s="14" t="s">
        <v>8115</v>
      </c>
      <c r="B412" s="14" t="s">
        <v>8116</v>
      </c>
      <c r="C412" s="14" t="s">
        <v>8117</v>
      </c>
      <c r="D412" s="14" t="s">
        <v>166</v>
      </c>
      <c r="E412" s="23" t="s">
        <v>8118</v>
      </c>
      <c r="F412" s="21">
        <v>18</v>
      </c>
      <c r="G412" s="14" t="s">
        <v>8119</v>
      </c>
      <c r="H412" s="14" t="s">
        <v>166</v>
      </c>
      <c r="I412" s="14" t="s">
        <v>8120</v>
      </c>
      <c r="J412" s="14" t="s">
        <v>8121</v>
      </c>
      <c r="K412" s="14" t="s">
        <v>207</v>
      </c>
      <c r="L412" s="14" t="s">
        <v>208</v>
      </c>
      <c r="M412" s="14" t="s">
        <v>209</v>
      </c>
      <c r="N412" s="14" t="s">
        <v>269</v>
      </c>
      <c r="O412" s="14" t="s">
        <v>580</v>
      </c>
      <c r="P412" s="14" t="s">
        <v>8122</v>
      </c>
      <c r="Q412" s="14" t="s">
        <v>166</v>
      </c>
      <c r="R412" s="14" t="s">
        <v>177</v>
      </c>
      <c r="S412" s="14" t="s">
        <v>178</v>
      </c>
      <c r="T412" s="14" t="s">
        <v>179</v>
      </c>
      <c r="U412" s="14" t="s">
        <v>8123</v>
      </c>
      <c r="V412" s="14" t="s">
        <v>8124</v>
      </c>
      <c r="W412" s="21" t="s">
        <v>8125</v>
      </c>
      <c r="X412" s="14" t="s">
        <v>8126</v>
      </c>
      <c r="Y412" s="14" t="s">
        <v>8127</v>
      </c>
      <c r="Z412" s="14" t="s">
        <v>8128</v>
      </c>
      <c r="AA412" s="14" t="s">
        <v>166</v>
      </c>
      <c r="AB412" s="14" t="s">
        <v>166</v>
      </c>
      <c r="AC412" s="14" t="s">
        <v>166</v>
      </c>
      <c r="AD412" s="14" t="s">
        <v>166</v>
      </c>
      <c r="AE412" s="14" t="s">
        <v>166</v>
      </c>
      <c r="AF412" s="14" t="s">
        <v>166</v>
      </c>
      <c r="AG412" s="14" t="s">
        <v>166</v>
      </c>
      <c r="AH412" s="21">
        <v>1</v>
      </c>
      <c r="AI412" s="3">
        <f>HYPERLINK("https://my.pitchbook.com/?d=227884-78T","227884-78T")</f>
      </c>
      <c r="AJ412" s="19">
        <v>45108</v>
      </c>
      <c r="AK412" s="19">
        <v>45448</v>
      </c>
      <c r="AL412" s="18">
        <v>5</v>
      </c>
      <c r="AM412" s="14" t="s">
        <v>185</v>
      </c>
      <c r="AN412" s="18" t="s">
        <v>166</v>
      </c>
      <c r="AO412" s="18" t="s">
        <v>166</v>
      </c>
      <c r="AP412" s="14" t="s">
        <v>166</v>
      </c>
      <c r="AQ412" s="21" t="s">
        <v>166</v>
      </c>
      <c r="AR412" s="21" t="s">
        <v>166</v>
      </c>
      <c r="AS412" s="17" t="s">
        <v>166</v>
      </c>
      <c r="AT412" s="18">
        <v>5</v>
      </c>
      <c r="AU412" s="21" t="s">
        <v>186</v>
      </c>
      <c r="AV412" s="21" t="s">
        <v>166</v>
      </c>
      <c r="AW412" s="18" t="s">
        <v>166</v>
      </c>
      <c r="AX412" s="21" t="s">
        <v>166</v>
      </c>
      <c r="AY412" s="14" t="s">
        <v>217</v>
      </c>
      <c r="AZ412" s="14" t="s">
        <v>217</v>
      </c>
      <c r="BA412" s="14" t="s">
        <v>166</v>
      </c>
      <c r="BB412" s="21" t="s">
        <v>166</v>
      </c>
      <c r="BC412" s="14" t="s">
        <v>179</v>
      </c>
      <c r="BD412" s="14" t="s">
        <v>8129</v>
      </c>
      <c r="BE412" s="14" t="s">
        <v>189</v>
      </c>
      <c r="BF412" s="18">
        <v>5</v>
      </c>
      <c r="BG412" s="14" t="s">
        <v>190</v>
      </c>
      <c r="BH412" s="14" t="s">
        <v>166</v>
      </c>
      <c r="BI412" s="14" t="s">
        <v>166</v>
      </c>
      <c r="BJ412" s="18" t="s">
        <v>166</v>
      </c>
      <c r="BK412" s="18" t="s">
        <v>166</v>
      </c>
      <c r="BL412" s="14" t="s">
        <v>191</v>
      </c>
      <c r="BM412" s="14" t="s">
        <v>178</v>
      </c>
      <c r="BN412" s="14" t="s">
        <v>177</v>
      </c>
      <c r="BO412" s="22" t="s">
        <v>166</v>
      </c>
      <c r="BP412" s="14" t="s">
        <v>8130</v>
      </c>
      <c r="BQ412" s="21">
        <v>18</v>
      </c>
      <c r="BR412" s="14" t="s">
        <v>166</v>
      </c>
      <c r="BS412" s="21" t="s">
        <v>166</v>
      </c>
      <c r="BT412" s="14" t="s">
        <v>3991</v>
      </c>
      <c r="BU412" s="14" t="s">
        <v>166</v>
      </c>
      <c r="BV412" s="14" t="s">
        <v>166</v>
      </c>
      <c r="BW412" s="14" t="s">
        <v>166</v>
      </c>
      <c r="BX412" s="14" t="s">
        <v>166</v>
      </c>
      <c r="BY412" s="14" t="s">
        <v>166</v>
      </c>
      <c r="BZ412" s="14" t="s">
        <v>166</v>
      </c>
      <c r="CA412" s="14" t="s">
        <v>166</v>
      </c>
      <c r="CB412" s="14" t="s">
        <v>166</v>
      </c>
      <c r="CC412" s="14" t="s">
        <v>166</v>
      </c>
      <c r="CD412" s="14" t="s">
        <v>166</v>
      </c>
      <c r="CE412" s="18" t="s">
        <v>166</v>
      </c>
      <c r="CF412" s="16" t="s">
        <v>166</v>
      </c>
      <c r="CG412" s="17" t="s">
        <v>166</v>
      </c>
      <c r="CH412" s="16" t="s">
        <v>166</v>
      </c>
      <c r="CI412" s="16" t="s">
        <v>166</v>
      </c>
      <c r="CJ412" s="16" t="s">
        <v>166</v>
      </c>
      <c r="CK412" s="16" t="s">
        <v>166</v>
      </c>
      <c r="CL412" s="16" t="s">
        <v>166</v>
      </c>
      <c r="CM412" s="20" t="s">
        <v>166</v>
      </c>
      <c r="CN412" s="16" t="s">
        <v>166</v>
      </c>
      <c r="CO412" s="16" t="s">
        <v>166</v>
      </c>
      <c r="CP412" s="16" t="s">
        <v>166</v>
      </c>
      <c r="CQ412" s="16" t="s">
        <v>166</v>
      </c>
      <c r="CR412" s="16" t="s">
        <v>166</v>
      </c>
      <c r="CS412" s="16" t="s">
        <v>166</v>
      </c>
      <c r="CT412" s="16" t="s">
        <v>166</v>
      </c>
      <c r="CU412" s="16" t="s">
        <v>166</v>
      </c>
      <c r="CV412" s="16" t="s">
        <v>166</v>
      </c>
      <c r="CW412" s="16" t="s">
        <v>166</v>
      </c>
      <c r="CX412" s="16" t="s">
        <v>166</v>
      </c>
      <c r="CY412" s="16" t="s">
        <v>166</v>
      </c>
      <c r="CZ412" s="16" t="s">
        <v>166</v>
      </c>
      <c r="DA412" s="16" t="s">
        <v>166</v>
      </c>
      <c r="DB412" s="16" t="s">
        <v>166</v>
      </c>
      <c r="DC412" s="16" t="s">
        <v>166</v>
      </c>
      <c r="DD412" s="16" t="s">
        <v>166</v>
      </c>
      <c r="DE412" s="17" t="s">
        <v>166</v>
      </c>
      <c r="DF412" s="22">
        <v>8</v>
      </c>
      <c r="DG412" s="14" t="s">
        <v>309</v>
      </c>
      <c r="DH412" s="14" t="s">
        <v>193</v>
      </c>
      <c r="DI412" s="14" t="s">
        <v>194</v>
      </c>
      <c r="DJ412" s="14" t="s">
        <v>310</v>
      </c>
      <c r="DK412" s="14" t="s">
        <v>310</v>
      </c>
      <c r="DL412" s="21" t="s">
        <v>873</v>
      </c>
      <c r="DM412" s="14" t="s">
        <v>198</v>
      </c>
      <c r="DN412" s="13" t="s">
        <v>8131</v>
      </c>
      <c r="DO412" s="20">
        <v>2022</v>
      </c>
      <c r="DP412" s="14" t="s">
        <v>166</v>
      </c>
      <c r="DQ412" s="14" t="s">
        <v>166</v>
      </c>
      <c r="DR412" s="18" t="s">
        <v>166</v>
      </c>
      <c r="DS412" s="16" t="s">
        <v>166</v>
      </c>
      <c r="DT412" s="19" t="s">
        <v>166</v>
      </c>
      <c r="DU412" s="14" t="s">
        <v>166</v>
      </c>
      <c r="DV412" s="18" t="s">
        <v>166</v>
      </c>
      <c r="DW412" s="18" t="s">
        <v>166</v>
      </c>
      <c r="DX412" s="16" t="s">
        <v>166</v>
      </c>
      <c r="DY412" s="16" t="s">
        <v>166</v>
      </c>
      <c r="DZ412" s="17" t="s">
        <v>166</v>
      </c>
      <c r="EA412" s="16" t="s">
        <v>166</v>
      </c>
      <c r="EB412" s="16" t="s">
        <v>166</v>
      </c>
      <c r="EC412" s="16" t="s">
        <v>166</v>
      </c>
      <c r="ED412" s="17" t="s">
        <v>166</v>
      </c>
      <c r="EE412" s="17" t="s">
        <v>166</v>
      </c>
      <c r="EF412" s="17" t="s">
        <v>166</v>
      </c>
      <c r="EG412" s="17" t="s">
        <v>166</v>
      </c>
      <c r="EH412" s="16" t="s">
        <v>166</v>
      </c>
      <c r="EI412" s="16" t="s">
        <v>166</v>
      </c>
      <c r="EJ412" s="16" t="s">
        <v>166</v>
      </c>
      <c r="EK412" s="16" t="s">
        <v>166</v>
      </c>
      <c r="EL412" s="16" t="s">
        <v>166</v>
      </c>
      <c r="EM412" s="16" t="s">
        <v>166</v>
      </c>
      <c r="EN412" s="16" t="s">
        <v>166</v>
      </c>
      <c r="EO412" s="16" t="s">
        <v>166</v>
      </c>
      <c r="EP412" s="16" t="s">
        <v>166</v>
      </c>
      <c r="EQ412" s="16" t="s">
        <v>166</v>
      </c>
      <c r="ER412" s="16" t="s">
        <v>166</v>
      </c>
      <c r="ES412" s="16" t="s">
        <v>166</v>
      </c>
      <c r="ET412" s="14" t="s">
        <v>166</v>
      </c>
      <c r="EU412" s="16" t="s">
        <v>166</v>
      </c>
      <c r="EV412" s="16" t="s">
        <v>166</v>
      </c>
      <c r="EW412" s="16" t="s">
        <v>166</v>
      </c>
      <c r="EX412" s="14" t="s">
        <v>190</v>
      </c>
      <c r="EY412" s="14" t="s">
        <v>166</v>
      </c>
      <c r="EZ412" s="16" t="s">
        <v>166</v>
      </c>
      <c r="FA412" s="15" t="s">
        <v>166</v>
      </c>
      <c r="FB412" s="15" t="s">
        <v>166</v>
      </c>
      <c r="FC412" s="15" t="s">
        <v>166</v>
      </c>
      <c r="FD412" s="15" t="s">
        <v>166</v>
      </c>
      <c r="FE412" s="15" t="s">
        <v>166</v>
      </c>
      <c r="FF412" s="15" t="s">
        <v>166</v>
      </c>
      <c r="FG412" s="14" t="s">
        <v>166</v>
      </c>
      <c r="FH412" s="3">
        <f>HYPERLINK("https://my.pitchbook.com?c=227884-78T","View Company Online")</f>
      </c>
    </row>
    <row r="413">
      <c r="A413" s="25" t="s">
        <v>8132</v>
      </c>
      <c r="B413" s="25" t="s">
        <v>8133</v>
      </c>
      <c r="C413" s="25" t="s">
        <v>8134</v>
      </c>
      <c r="D413" s="25" t="s">
        <v>166</v>
      </c>
      <c r="E413" s="34" t="s">
        <v>8135</v>
      </c>
      <c r="F413" s="32">
        <v>3</v>
      </c>
      <c r="G413" s="25" t="s">
        <v>8136</v>
      </c>
      <c r="H413" s="25" t="s">
        <v>166</v>
      </c>
      <c r="I413" s="25" t="s">
        <v>8137</v>
      </c>
      <c r="J413" s="25" t="s">
        <v>8138</v>
      </c>
      <c r="K413" s="25" t="s">
        <v>207</v>
      </c>
      <c r="L413" s="25" t="s">
        <v>208</v>
      </c>
      <c r="M413" s="25" t="s">
        <v>209</v>
      </c>
      <c r="N413" s="25" t="s">
        <v>269</v>
      </c>
      <c r="O413" s="25" t="s">
        <v>580</v>
      </c>
      <c r="P413" s="25" t="s">
        <v>8139</v>
      </c>
      <c r="Q413" s="25" t="s">
        <v>166</v>
      </c>
      <c r="R413" s="25" t="s">
        <v>177</v>
      </c>
      <c r="S413" s="25" t="s">
        <v>178</v>
      </c>
      <c r="T413" s="25" t="s">
        <v>179</v>
      </c>
      <c r="U413" s="25" t="s">
        <v>8140</v>
      </c>
      <c r="V413" s="25" t="s">
        <v>8141</v>
      </c>
      <c r="W413" s="32" t="s">
        <v>8142</v>
      </c>
      <c r="X413" s="25" t="s">
        <v>8143</v>
      </c>
      <c r="Y413" s="25" t="s">
        <v>8144</v>
      </c>
      <c r="Z413" s="25" t="s">
        <v>8145</v>
      </c>
      <c r="AA413" s="25" t="s">
        <v>166</v>
      </c>
      <c r="AB413" s="25" t="s">
        <v>166</v>
      </c>
      <c r="AC413" s="25" t="s">
        <v>166</v>
      </c>
      <c r="AD413" s="25" t="s">
        <v>166</v>
      </c>
      <c r="AE413" s="25" t="s">
        <v>166</v>
      </c>
      <c r="AF413" s="25" t="s">
        <v>166</v>
      </c>
      <c r="AG413" s="25" t="s">
        <v>166</v>
      </c>
      <c r="AH413" s="32">
        <v>1</v>
      </c>
      <c r="AI413" s="4">
        <f>HYPERLINK("https://my.pitchbook.com/?d=169437-52T","169437-52T")</f>
      </c>
      <c r="AJ413" s="30" t="s">
        <v>166</v>
      </c>
      <c r="AK413" s="30">
        <v>44317</v>
      </c>
      <c r="AL413" s="29">
        <v>4.34</v>
      </c>
      <c r="AM413" s="25" t="s">
        <v>185</v>
      </c>
      <c r="AN413" s="29">
        <v>9</v>
      </c>
      <c r="AO413" s="29">
        <v>13.34</v>
      </c>
      <c r="AP413" s="25" t="s">
        <v>185</v>
      </c>
      <c r="AQ413" s="32" t="s">
        <v>166</v>
      </c>
      <c r="AR413" s="32" t="s">
        <v>166</v>
      </c>
      <c r="AS413" s="28">
        <v>32.54</v>
      </c>
      <c r="AT413" s="29">
        <v>4.34</v>
      </c>
      <c r="AU413" s="32" t="s">
        <v>186</v>
      </c>
      <c r="AV413" s="32" t="s">
        <v>166</v>
      </c>
      <c r="AW413" s="29" t="s">
        <v>166</v>
      </c>
      <c r="AX413" s="32" t="s">
        <v>166</v>
      </c>
      <c r="AY413" s="25" t="s">
        <v>217</v>
      </c>
      <c r="AZ413" s="25" t="s">
        <v>217</v>
      </c>
      <c r="BA413" s="25" t="s">
        <v>166</v>
      </c>
      <c r="BB413" s="32" t="s">
        <v>166</v>
      </c>
      <c r="BC413" s="25" t="s">
        <v>179</v>
      </c>
      <c r="BD413" s="25" t="s">
        <v>8146</v>
      </c>
      <c r="BE413" s="25" t="s">
        <v>189</v>
      </c>
      <c r="BF413" s="29">
        <v>4.34</v>
      </c>
      <c r="BG413" s="25" t="s">
        <v>190</v>
      </c>
      <c r="BH413" s="25" t="s">
        <v>166</v>
      </c>
      <c r="BI413" s="25" t="s">
        <v>166</v>
      </c>
      <c r="BJ413" s="29" t="s">
        <v>166</v>
      </c>
      <c r="BK413" s="29" t="s">
        <v>166</v>
      </c>
      <c r="BL413" s="25" t="s">
        <v>191</v>
      </c>
      <c r="BM413" s="25" t="s">
        <v>178</v>
      </c>
      <c r="BN413" s="25" t="s">
        <v>177</v>
      </c>
      <c r="BO413" s="33" t="s">
        <v>166</v>
      </c>
      <c r="BP413" s="25" t="s">
        <v>8147</v>
      </c>
      <c r="BQ413" s="32">
        <v>3</v>
      </c>
      <c r="BR413" s="25" t="s">
        <v>166</v>
      </c>
      <c r="BS413" s="32" t="s">
        <v>166</v>
      </c>
      <c r="BT413" s="25" t="s">
        <v>166</v>
      </c>
      <c r="BU413" s="25" t="s">
        <v>166</v>
      </c>
      <c r="BV413" s="25" t="s">
        <v>8148</v>
      </c>
      <c r="BW413" s="25" t="s">
        <v>166</v>
      </c>
      <c r="BX413" s="25" t="s">
        <v>166</v>
      </c>
      <c r="BY413" s="25" t="s">
        <v>166</v>
      </c>
      <c r="BZ413" s="25" t="s">
        <v>166</v>
      </c>
      <c r="CA413" s="25" t="s">
        <v>166</v>
      </c>
      <c r="CB413" s="25" t="s">
        <v>166</v>
      </c>
      <c r="CC413" s="25" t="s">
        <v>166</v>
      </c>
      <c r="CD413" s="25" t="s">
        <v>166</v>
      </c>
      <c r="CE413" s="29" t="s">
        <v>166</v>
      </c>
      <c r="CF413" s="27" t="s">
        <v>166</v>
      </c>
      <c r="CG413" s="28" t="s">
        <v>166</v>
      </c>
      <c r="CH413" s="27" t="s">
        <v>166</v>
      </c>
      <c r="CI413" s="27" t="s">
        <v>166</v>
      </c>
      <c r="CJ413" s="27" t="s">
        <v>166</v>
      </c>
      <c r="CK413" s="27" t="s">
        <v>166</v>
      </c>
      <c r="CL413" s="27" t="s">
        <v>166</v>
      </c>
      <c r="CM413" s="31" t="s">
        <v>166</v>
      </c>
      <c r="CN413" s="27" t="s">
        <v>166</v>
      </c>
      <c r="CO413" s="27" t="s">
        <v>166</v>
      </c>
      <c r="CP413" s="27" t="s">
        <v>166</v>
      </c>
      <c r="CQ413" s="27" t="s">
        <v>166</v>
      </c>
      <c r="CR413" s="27" t="s">
        <v>166</v>
      </c>
      <c r="CS413" s="27" t="s">
        <v>166</v>
      </c>
      <c r="CT413" s="27" t="s">
        <v>166</v>
      </c>
      <c r="CU413" s="27" t="s">
        <v>166</v>
      </c>
      <c r="CV413" s="27" t="s">
        <v>166</v>
      </c>
      <c r="CW413" s="27" t="s">
        <v>166</v>
      </c>
      <c r="CX413" s="27" t="s">
        <v>166</v>
      </c>
      <c r="CY413" s="27" t="s">
        <v>166</v>
      </c>
      <c r="CZ413" s="27" t="s">
        <v>166</v>
      </c>
      <c r="DA413" s="27" t="s">
        <v>166</v>
      </c>
      <c r="DB413" s="27" t="s">
        <v>166</v>
      </c>
      <c r="DC413" s="27" t="s">
        <v>166</v>
      </c>
      <c r="DD413" s="27" t="s">
        <v>166</v>
      </c>
      <c r="DE413" s="28" t="s">
        <v>166</v>
      </c>
      <c r="DF413" s="33">
        <v>8</v>
      </c>
      <c r="DG413" s="25" t="s">
        <v>1191</v>
      </c>
      <c r="DH413" s="25" t="s">
        <v>193</v>
      </c>
      <c r="DI413" s="25" t="s">
        <v>194</v>
      </c>
      <c r="DJ413" s="25" t="s">
        <v>1192</v>
      </c>
      <c r="DK413" s="25" t="s">
        <v>1023</v>
      </c>
      <c r="DL413" s="32" t="s">
        <v>8149</v>
      </c>
      <c r="DM413" s="25" t="s">
        <v>198</v>
      </c>
      <c r="DN413" s="24" t="s">
        <v>8150</v>
      </c>
      <c r="DO413" s="31">
        <v>2020</v>
      </c>
      <c r="DP413" s="25" t="s">
        <v>166</v>
      </c>
      <c r="DQ413" s="25" t="s">
        <v>166</v>
      </c>
      <c r="DR413" s="29" t="s">
        <v>166</v>
      </c>
      <c r="DS413" s="27" t="s">
        <v>166</v>
      </c>
      <c r="DT413" s="30" t="s">
        <v>166</v>
      </c>
      <c r="DU413" s="25" t="s">
        <v>166</v>
      </c>
      <c r="DV413" s="29" t="s">
        <v>166</v>
      </c>
      <c r="DW413" s="29" t="s">
        <v>166</v>
      </c>
      <c r="DX413" s="27" t="s">
        <v>166</v>
      </c>
      <c r="DY413" s="27" t="s">
        <v>166</v>
      </c>
      <c r="DZ413" s="28" t="s">
        <v>166</v>
      </c>
      <c r="EA413" s="27" t="s">
        <v>166</v>
      </c>
      <c r="EB413" s="27" t="s">
        <v>166</v>
      </c>
      <c r="EC413" s="27" t="s">
        <v>166</v>
      </c>
      <c r="ED413" s="28" t="s">
        <v>166</v>
      </c>
      <c r="EE413" s="28" t="s">
        <v>166</v>
      </c>
      <c r="EF413" s="28" t="s">
        <v>166</v>
      </c>
      <c r="EG413" s="28" t="s">
        <v>166</v>
      </c>
      <c r="EH413" s="27" t="s">
        <v>166</v>
      </c>
      <c r="EI413" s="27" t="s">
        <v>166</v>
      </c>
      <c r="EJ413" s="27" t="s">
        <v>166</v>
      </c>
      <c r="EK413" s="27" t="s">
        <v>166</v>
      </c>
      <c r="EL413" s="27" t="s">
        <v>166</v>
      </c>
      <c r="EM413" s="27" t="s">
        <v>166</v>
      </c>
      <c r="EN413" s="27" t="s">
        <v>166</v>
      </c>
      <c r="EO413" s="27" t="s">
        <v>166</v>
      </c>
      <c r="EP413" s="27" t="s">
        <v>166</v>
      </c>
      <c r="EQ413" s="27" t="s">
        <v>166</v>
      </c>
      <c r="ER413" s="27" t="s">
        <v>166</v>
      </c>
      <c r="ES413" s="27" t="s">
        <v>166</v>
      </c>
      <c r="ET413" s="25" t="s">
        <v>166</v>
      </c>
      <c r="EU413" s="27" t="s">
        <v>166</v>
      </c>
      <c r="EV413" s="27" t="s">
        <v>166</v>
      </c>
      <c r="EW413" s="27" t="s">
        <v>166</v>
      </c>
      <c r="EX413" s="25" t="s">
        <v>190</v>
      </c>
      <c r="EY413" s="25" t="s">
        <v>166</v>
      </c>
      <c r="EZ413" s="27" t="s">
        <v>166</v>
      </c>
      <c r="FA413" s="26" t="s">
        <v>166</v>
      </c>
      <c r="FB413" s="26" t="s">
        <v>166</v>
      </c>
      <c r="FC413" s="26" t="s">
        <v>166</v>
      </c>
      <c r="FD413" s="26" t="s">
        <v>166</v>
      </c>
      <c r="FE413" s="26" t="s">
        <v>166</v>
      </c>
      <c r="FF413" s="26" t="s">
        <v>166</v>
      </c>
      <c r="FG413" s="25" t="s">
        <v>166</v>
      </c>
      <c r="FH413" s="4">
        <f>HYPERLINK("https://my.pitchbook.com?c=169437-52T","View Company Online")</f>
      </c>
    </row>
    <row r="414">
      <c r="A414" s="14" t="s">
        <v>8151</v>
      </c>
      <c r="B414" s="14" t="s">
        <v>8152</v>
      </c>
      <c r="C414" s="14" t="s">
        <v>8153</v>
      </c>
      <c r="D414" s="14" t="s">
        <v>166</v>
      </c>
      <c r="E414" s="23" t="s">
        <v>8154</v>
      </c>
      <c r="F414" s="21">
        <v>2</v>
      </c>
      <c r="G414" s="14" t="s">
        <v>166</v>
      </c>
      <c r="H414" s="14" t="s">
        <v>166</v>
      </c>
      <c r="I414" s="14" t="s">
        <v>8155</v>
      </c>
      <c r="J414" s="14" t="s">
        <v>8156</v>
      </c>
      <c r="K414" s="14" t="s">
        <v>207</v>
      </c>
      <c r="L414" s="14" t="s">
        <v>208</v>
      </c>
      <c r="M414" s="14" t="s">
        <v>296</v>
      </c>
      <c r="N414" s="14" t="s">
        <v>1052</v>
      </c>
      <c r="O414" s="14" t="s">
        <v>509</v>
      </c>
      <c r="P414" s="14" t="s">
        <v>8157</v>
      </c>
      <c r="Q414" s="14" t="s">
        <v>2555</v>
      </c>
      <c r="R414" s="14" t="s">
        <v>177</v>
      </c>
      <c r="S414" s="14" t="s">
        <v>358</v>
      </c>
      <c r="T414" s="14" t="s">
        <v>179</v>
      </c>
      <c r="U414" s="14" t="s">
        <v>8158</v>
      </c>
      <c r="V414" s="14" t="s">
        <v>8159</v>
      </c>
      <c r="W414" s="21" t="s">
        <v>166</v>
      </c>
      <c r="X414" s="14" t="s">
        <v>8160</v>
      </c>
      <c r="Y414" s="14" t="s">
        <v>8161</v>
      </c>
      <c r="Z414" s="14" t="s">
        <v>166</v>
      </c>
      <c r="AA414" s="14" t="s">
        <v>166</v>
      </c>
      <c r="AB414" s="14" t="s">
        <v>166</v>
      </c>
      <c r="AC414" s="14" t="s">
        <v>166</v>
      </c>
      <c r="AD414" s="14" t="s">
        <v>166</v>
      </c>
      <c r="AE414" s="14" t="s">
        <v>166</v>
      </c>
      <c r="AF414" s="14" t="s">
        <v>166</v>
      </c>
      <c r="AG414" s="14" t="s">
        <v>166</v>
      </c>
      <c r="AH414" s="21">
        <v>1</v>
      </c>
      <c r="AI414" s="3">
        <f>HYPERLINK("https://my.pitchbook.com/?d=191672-11T","191672-11T")</f>
      </c>
      <c r="AJ414" s="19" t="s">
        <v>166</v>
      </c>
      <c r="AK414" s="19">
        <v>44657</v>
      </c>
      <c r="AL414" s="18">
        <v>2.4</v>
      </c>
      <c r="AM414" s="14" t="s">
        <v>185</v>
      </c>
      <c r="AN414" s="18" t="s">
        <v>166</v>
      </c>
      <c r="AO414" s="18" t="s">
        <v>166</v>
      </c>
      <c r="AP414" s="14" t="s">
        <v>166</v>
      </c>
      <c r="AQ414" s="21" t="s">
        <v>166</v>
      </c>
      <c r="AR414" s="21" t="s">
        <v>166</v>
      </c>
      <c r="AS414" s="17" t="s">
        <v>166</v>
      </c>
      <c r="AT414" s="18">
        <v>2.4</v>
      </c>
      <c r="AU414" s="21" t="s">
        <v>186</v>
      </c>
      <c r="AV414" s="21" t="s">
        <v>166</v>
      </c>
      <c r="AW414" s="18" t="s">
        <v>166</v>
      </c>
      <c r="AX414" s="21" t="s">
        <v>166</v>
      </c>
      <c r="AY414" s="14" t="s">
        <v>217</v>
      </c>
      <c r="AZ414" s="14" t="s">
        <v>217</v>
      </c>
      <c r="BA414" s="14" t="s">
        <v>166</v>
      </c>
      <c r="BB414" s="21" t="s">
        <v>166</v>
      </c>
      <c r="BC414" s="14" t="s">
        <v>179</v>
      </c>
      <c r="BD414" s="14" t="s">
        <v>8156</v>
      </c>
      <c r="BE414" s="14" t="s">
        <v>189</v>
      </c>
      <c r="BF414" s="18">
        <v>2.4</v>
      </c>
      <c r="BG414" s="14" t="s">
        <v>190</v>
      </c>
      <c r="BH414" s="14" t="s">
        <v>166</v>
      </c>
      <c r="BI414" s="14" t="s">
        <v>166</v>
      </c>
      <c r="BJ414" s="18" t="s">
        <v>166</v>
      </c>
      <c r="BK414" s="18" t="s">
        <v>166</v>
      </c>
      <c r="BL414" s="14" t="s">
        <v>191</v>
      </c>
      <c r="BM414" s="14" t="s">
        <v>358</v>
      </c>
      <c r="BN414" s="14" t="s">
        <v>177</v>
      </c>
      <c r="BO414" s="22" t="s">
        <v>166</v>
      </c>
      <c r="BP414" s="14" t="s">
        <v>8162</v>
      </c>
      <c r="BQ414" s="21">
        <v>2</v>
      </c>
      <c r="BR414" s="14" t="s">
        <v>166</v>
      </c>
      <c r="BS414" s="21" t="s">
        <v>166</v>
      </c>
      <c r="BT414" s="14" t="s">
        <v>8154</v>
      </c>
      <c r="BU414" s="14" t="s">
        <v>166</v>
      </c>
      <c r="BV414" s="14" t="s">
        <v>166</v>
      </c>
      <c r="BW414" s="14" t="s">
        <v>166</v>
      </c>
      <c r="BX414" s="14" t="s">
        <v>166</v>
      </c>
      <c r="BY414" s="14" t="s">
        <v>166</v>
      </c>
      <c r="BZ414" s="14" t="s">
        <v>166</v>
      </c>
      <c r="CA414" s="14" t="s">
        <v>166</v>
      </c>
      <c r="CB414" s="14" t="s">
        <v>166</v>
      </c>
      <c r="CC414" s="14" t="s">
        <v>166</v>
      </c>
      <c r="CD414" s="14" t="s">
        <v>166</v>
      </c>
      <c r="CE414" s="18" t="s">
        <v>166</v>
      </c>
      <c r="CF414" s="16" t="s">
        <v>166</v>
      </c>
      <c r="CG414" s="17" t="s">
        <v>166</v>
      </c>
      <c r="CH414" s="16" t="s">
        <v>166</v>
      </c>
      <c r="CI414" s="16" t="s">
        <v>166</v>
      </c>
      <c r="CJ414" s="16" t="s">
        <v>166</v>
      </c>
      <c r="CK414" s="16" t="s">
        <v>166</v>
      </c>
      <c r="CL414" s="16" t="s">
        <v>166</v>
      </c>
      <c r="CM414" s="20" t="s">
        <v>166</v>
      </c>
      <c r="CN414" s="16" t="s">
        <v>166</v>
      </c>
      <c r="CO414" s="16" t="s">
        <v>166</v>
      </c>
      <c r="CP414" s="16" t="s">
        <v>166</v>
      </c>
      <c r="CQ414" s="16" t="s">
        <v>166</v>
      </c>
      <c r="CR414" s="16" t="s">
        <v>166</v>
      </c>
      <c r="CS414" s="16" t="s">
        <v>166</v>
      </c>
      <c r="CT414" s="16" t="s">
        <v>166</v>
      </c>
      <c r="CU414" s="16" t="s">
        <v>166</v>
      </c>
      <c r="CV414" s="16" t="s">
        <v>166</v>
      </c>
      <c r="CW414" s="16" t="s">
        <v>166</v>
      </c>
      <c r="CX414" s="16" t="s">
        <v>166</v>
      </c>
      <c r="CY414" s="16" t="s">
        <v>166</v>
      </c>
      <c r="CZ414" s="16" t="s">
        <v>166</v>
      </c>
      <c r="DA414" s="16" t="s">
        <v>166</v>
      </c>
      <c r="DB414" s="16" t="s">
        <v>166</v>
      </c>
      <c r="DC414" s="16" t="s">
        <v>166</v>
      </c>
      <c r="DD414" s="16" t="s">
        <v>166</v>
      </c>
      <c r="DE414" s="17" t="s">
        <v>166</v>
      </c>
      <c r="DF414" s="22" t="s">
        <v>166</v>
      </c>
      <c r="DG414" s="14" t="s">
        <v>8163</v>
      </c>
      <c r="DH414" s="14" t="s">
        <v>193</v>
      </c>
      <c r="DI414" s="14" t="s">
        <v>194</v>
      </c>
      <c r="DJ414" s="14" t="s">
        <v>166</v>
      </c>
      <c r="DK414" s="14" t="s">
        <v>166</v>
      </c>
      <c r="DL414" s="21" t="s">
        <v>166</v>
      </c>
      <c r="DM414" s="14" t="s">
        <v>198</v>
      </c>
      <c r="DN414" s="13" t="s">
        <v>8164</v>
      </c>
      <c r="DO414" s="20">
        <v>2021</v>
      </c>
      <c r="DP414" s="14" t="s">
        <v>166</v>
      </c>
      <c r="DQ414" s="14" t="s">
        <v>166</v>
      </c>
      <c r="DR414" s="18" t="s">
        <v>166</v>
      </c>
      <c r="DS414" s="16" t="s">
        <v>166</v>
      </c>
      <c r="DT414" s="19" t="s">
        <v>166</v>
      </c>
      <c r="DU414" s="14" t="s">
        <v>166</v>
      </c>
      <c r="DV414" s="18" t="s">
        <v>166</v>
      </c>
      <c r="DW414" s="18" t="s">
        <v>166</v>
      </c>
      <c r="DX414" s="16" t="s">
        <v>166</v>
      </c>
      <c r="DY414" s="16" t="s">
        <v>166</v>
      </c>
      <c r="DZ414" s="17" t="s">
        <v>166</v>
      </c>
      <c r="EA414" s="16" t="s">
        <v>166</v>
      </c>
      <c r="EB414" s="16" t="s">
        <v>166</v>
      </c>
      <c r="EC414" s="16" t="s">
        <v>166</v>
      </c>
      <c r="ED414" s="17" t="s">
        <v>166</v>
      </c>
      <c r="EE414" s="17" t="s">
        <v>166</v>
      </c>
      <c r="EF414" s="17" t="s">
        <v>166</v>
      </c>
      <c r="EG414" s="17" t="s">
        <v>166</v>
      </c>
      <c r="EH414" s="16" t="s">
        <v>166</v>
      </c>
      <c r="EI414" s="16" t="s">
        <v>166</v>
      </c>
      <c r="EJ414" s="16" t="s">
        <v>166</v>
      </c>
      <c r="EK414" s="16" t="s">
        <v>166</v>
      </c>
      <c r="EL414" s="16" t="s">
        <v>166</v>
      </c>
      <c r="EM414" s="16" t="s">
        <v>166</v>
      </c>
      <c r="EN414" s="16" t="s">
        <v>166</v>
      </c>
      <c r="EO414" s="16" t="s">
        <v>166</v>
      </c>
      <c r="EP414" s="16" t="s">
        <v>166</v>
      </c>
      <c r="EQ414" s="16" t="s">
        <v>166</v>
      </c>
      <c r="ER414" s="16" t="s">
        <v>166</v>
      </c>
      <c r="ES414" s="16" t="s">
        <v>166</v>
      </c>
      <c r="ET414" s="14" t="s">
        <v>166</v>
      </c>
      <c r="EU414" s="16" t="s">
        <v>166</v>
      </c>
      <c r="EV414" s="16" t="s">
        <v>166</v>
      </c>
      <c r="EW414" s="16" t="s">
        <v>166</v>
      </c>
      <c r="EX414" s="14" t="s">
        <v>190</v>
      </c>
      <c r="EY414" s="14" t="s">
        <v>166</v>
      </c>
      <c r="EZ414" s="16" t="s">
        <v>166</v>
      </c>
      <c r="FA414" s="15" t="s">
        <v>166</v>
      </c>
      <c r="FB414" s="15" t="s">
        <v>166</v>
      </c>
      <c r="FC414" s="15" t="s">
        <v>166</v>
      </c>
      <c r="FD414" s="15" t="s">
        <v>166</v>
      </c>
      <c r="FE414" s="15" t="s">
        <v>166</v>
      </c>
      <c r="FF414" s="15" t="s">
        <v>166</v>
      </c>
      <c r="FG414" s="14" t="s">
        <v>166</v>
      </c>
      <c r="FH414" s="3">
        <f>HYPERLINK("https://my.pitchbook.com?c=191672-11T","View Company Online")</f>
      </c>
    </row>
    <row r="415">
      <c r="A415" s="25" t="s">
        <v>8165</v>
      </c>
      <c r="B415" s="25" t="s">
        <v>8166</v>
      </c>
      <c r="C415" s="25" t="s">
        <v>8167</v>
      </c>
      <c r="D415" s="25" t="s">
        <v>166</v>
      </c>
      <c r="E415" s="34" t="s">
        <v>8168</v>
      </c>
      <c r="F415" s="32">
        <v>5</v>
      </c>
      <c r="G415" s="25" t="s">
        <v>8169</v>
      </c>
      <c r="H415" s="25" t="s">
        <v>166</v>
      </c>
      <c r="I415" s="25" t="s">
        <v>8170</v>
      </c>
      <c r="J415" s="25" t="s">
        <v>8171</v>
      </c>
      <c r="K415" s="25" t="s">
        <v>171</v>
      </c>
      <c r="L415" s="25" t="s">
        <v>172</v>
      </c>
      <c r="M415" s="25" t="s">
        <v>1689</v>
      </c>
      <c r="N415" s="25" t="s">
        <v>8172</v>
      </c>
      <c r="O415" s="25" t="s">
        <v>2702</v>
      </c>
      <c r="P415" s="25" t="s">
        <v>8173</v>
      </c>
      <c r="Q415" s="25" t="s">
        <v>166</v>
      </c>
      <c r="R415" s="25" t="s">
        <v>177</v>
      </c>
      <c r="S415" s="25" t="s">
        <v>178</v>
      </c>
      <c r="T415" s="25" t="s">
        <v>179</v>
      </c>
      <c r="U415" s="25" t="s">
        <v>8174</v>
      </c>
      <c r="V415" s="25" t="s">
        <v>8175</v>
      </c>
      <c r="W415" s="32" t="s">
        <v>8176</v>
      </c>
      <c r="X415" s="25" t="s">
        <v>8177</v>
      </c>
      <c r="Y415" s="25" t="s">
        <v>8178</v>
      </c>
      <c r="Z415" s="25" t="s">
        <v>8179</v>
      </c>
      <c r="AA415" s="25" t="s">
        <v>242</v>
      </c>
      <c r="AB415" s="25" t="s">
        <v>243</v>
      </c>
      <c r="AC415" s="25" t="s">
        <v>244</v>
      </c>
      <c r="AD415" s="25" t="s">
        <v>243</v>
      </c>
      <c r="AE415" s="25" t="s">
        <v>243</v>
      </c>
      <c r="AF415" s="25" t="s">
        <v>166</v>
      </c>
      <c r="AG415" s="25" t="s">
        <v>246</v>
      </c>
      <c r="AH415" s="32">
        <v>2</v>
      </c>
      <c r="AI415" s="4">
        <f>HYPERLINK("https://my.pitchbook.com/?d=171390-43T","171390-43T")</f>
      </c>
      <c r="AJ415" s="30" t="s">
        <v>166</v>
      </c>
      <c r="AK415" s="30">
        <v>44330</v>
      </c>
      <c r="AL415" s="29">
        <v>2.9</v>
      </c>
      <c r="AM415" s="25" t="s">
        <v>185</v>
      </c>
      <c r="AN415" s="29">
        <v>17.88</v>
      </c>
      <c r="AO415" s="29">
        <v>20</v>
      </c>
      <c r="AP415" s="25" t="s">
        <v>185</v>
      </c>
      <c r="AQ415" s="32" t="s">
        <v>166</v>
      </c>
      <c r="AR415" s="32" t="s">
        <v>166</v>
      </c>
      <c r="AS415" s="28">
        <v>17.53</v>
      </c>
      <c r="AT415" s="29">
        <v>3.03</v>
      </c>
      <c r="AU415" s="32" t="s">
        <v>186</v>
      </c>
      <c r="AV415" s="32" t="s">
        <v>166</v>
      </c>
      <c r="AW415" s="29">
        <v>2.15</v>
      </c>
      <c r="AX415" s="32" t="s">
        <v>166</v>
      </c>
      <c r="AY415" s="25" t="s">
        <v>217</v>
      </c>
      <c r="AZ415" s="25" t="s">
        <v>217</v>
      </c>
      <c r="BA415" s="25" t="s">
        <v>166</v>
      </c>
      <c r="BB415" s="32" t="s">
        <v>166</v>
      </c>
      <c r="BC415" s="25" t="s">
        <v>179</v>
      </c>
      <c r="BD415" s="25" t="s">
        <v>8180</v>
      </c>
      <c r="BE415" s="25" t="s">
        <v>189</v>
      </c>
      <c r="BF415" s="29">
        <v>2.12</v>
      </c>
      <c r="BG415" s="25" t="s">
        <v>190</v>
      </c>
      <c r="BH415" s="25" t="s">
        <v>166</v>
      </c>
      <c r="BI415" s="25" t="s">
        <v>166</v>
      </c>
      <c r="BJ415" s="29">
        <v>0.78</v>
      </c>
      <c r="BK415" s="29" t="s">
        <v>166</v>
      </c>
      <c r="BL415" s="25" t="s">
        <v>191</v>
      </c>
      <c r="BM415" s="25" t="s">
        <v>358</v>
      </c>
      <c r="BN415" s="25" t="s">
        <v>177</v>
      </c>
      <c r="BO415" s="33" t="s">
        <v>166</v>
      </c>
      <c r="BP415" s="25" t="s">
        <v>8168</v>
      </c>
      <c r="BQ415" s="32">
        <v>5</v>
      </c>
      <c r="BR415" s="25" t="s">
        <v>166</v>
      </c>
      <c r="BS415" s="32" t="s">
        <v>166</v>
      </c>
      <c r="BT415" s="25" t="s">
        <v>166</v>
      </c>
      <c r="BU415" s="25" t="s">
        <v>166</v>
      </c>
      <c r="BV415" s="25" t="s">
        <v>8181</v>
      </c>
      <c r="BW415" s="25" t="s">
        <v>166</v>
      </c>
      <c r="BX415" s="25" t="s">
        <v>166</v>
      </c>
      <c r="BY415" s="25" t="s">
        <v>166</v>
      </c>
      <c r="BZ415" s="25" t="s">
        <v>166</v>
      </c>
      <c r="CA415" s="25" t="s">
        <v>166</v>
      </c>
      <c r="CB415" s="25" t="s">
        <v>166</v>
      </c>
      <c r="CC415" s="25" t="s">
        <v>166</v>
      </c>
      <c r="CD415" s="25" t="s">
        <v>166</v>
      </c>
      <c r="CE415" s="29" t="s">
        <v>166</v>
      </c>
      <c r="CF415" s="27" t="s">
        <v>166</v>
      </c>
      <c r="CG415" s="28" t="s">
        <v>166</v>
      </c>
      <c r="CH415" s="27" t="s">
        <v>166</v>
      </c>
      <c r="CI415" s="27" t="s">
        <v>166</v>
      </c>
      <c r="CJ415" s="27" t="s">
        <v>166</v>
      </c>
      <c r="CK415" s="27" t="s">
        <v>166</v>
      </c>
      <c r="CL415" s="27" t="s">
        <v>166</v>
      </c>
      <c r="CM415" s="31" t="s">
        <v>166</v>
      </c>
      <c r="CN415" s="27" t="s">
        <v>166</v>
      </c>
      <c r="CO415" s="27" t="s">
        <v>166</v>
      </c>
      <c r="CP415" s="27" t="s">
        <v>166</v>
      </c>
      <c r="CQ415" s="27" t="s">
        <v>166</v>
      </c>
      <c r="CR415" s="27" t="s">
        <v>166</v>
      </c>
      <c r="CS415" s="27" t="s">
        <v>166</v>
      </c>
      <c r="CT415" s="27" t="s">
        <v>166</v>
      </c>
      <c r="CU415" s="27" t="s">
        <v>166</v>
      </c>
      <c r="CV415" s="27" t="s">
        <v>166</v>
      </c>
      <c r="CW415" s="27" t="s">
        <v>166</v>
      </c>
      <c r="CX415" s="27" t="s">
        <v>166</v>
      </c>
      <c r="CY415" s="27">
        <v>0.36</v>
      </c>
      <c r="CZ415" s="27" t="s">
        <v>166</v>
      </c>
      <c r="DA415" s="27" t="s">
        <v>166</v>
      </c>
      <c r="DB415" s="27" t="s">
        <v>166</v>
      </c>
      <c r="DC415" s="27" t="s">
        <v>166</v>
      </c>
      <c r="DD415" s="27" t="s">
        <v>166</v>
      </c>
      <c r="DE415" s="28" t="s">
        <v>166</v>
      </c>
      <c r="DF415" s="33">
        <v>297</v>
      </c>
      <c r="DG415" s="25" t="s">
        <v>384</v>
      </c>
      <c r="DH415" s="25" t="s">
        <v>193</v>
      </c>
      <c r="DI415" s="25" t="s">
        <v>194</v>
      </c>
      <c r="DJ415" s="25" t="s">
        <v>385</v>
      </c>
      <c r="DK415" s="25" t="s">
        <v>386</v>
      </c>
      <c r="DL415" s="32" t="s">
        <v>2167</v>
      </c>
      <c r="DM415" s="25" t="s">
        <v>198</v>
      </c>
      <c r="DN415" s="24" t="s">
        <v>8182</v>
      </c>
      <c r="DO415" s="31">
        <v>2018</v>
      </c>
      <c r="DP415" s="25" t="s">
        <v>166</v>
      </c>
      <c r="DQ415" s="25" t="s">
        <v>8183</v>
      </c>
      <c r="DR415" s="29">
        <v>0.78</v>
      </c>
      <c r="DS415" s="27" t="s">
        <v>166</v>
      </c>
      <c r="DT415" s="30" t="s">
        <v>166</v>
      </c>
      <c r="DU415" s="25" t="s">
        <v>166</v>
      </c>
      <c r="DV415" s="29" t="s">
        <v>166</v>
      </c>
      <c r="DW415" s="29" t="s">
        <v>166</v>
      </c>
      <c r="DX415" s="27" t="s">
        <v>166</v>
      </c>
      <c r="DY415" s="27" t="s">
        <v>166</v>
      </c>
      <c r="DZ415" s="28" t="s">
        <v>166</v>
      </c>
      <c r="EA415" s="27" t="s">
        <v>166</v>
      </c>
      <c r="EB415" s="27" t="s">
        <v>166</v>
      </c>
      <c r="EC415" s="27" t="s">
        <v>166</v>
      </c>
      <c r="ED415" s="28" t="s">
        <v>166</v>
      </c>
      <c r="EE415" s="28" t="s">
        <v>166</v>
      </c>
      <c r="EF415" s="28" t="s">
        <v>166</v>
      </c>
      <c r="EG415" s="28" t="s">
        <v>166</v>
      </c>
      <c r="EH415" s="27" t="s">
        <v>166</v>
      </c>
      <c r="EI415" s="27" t="s">
        <v>166</v>
      </c>
      <c r="EJ415" s="27" t="s">
        <v>166</v>
      </c>
      <c r="EK415" s="27" t="s">
        <v>166</v>
      </c>
      <c r="EL415" s="27" t="s">
        <v>166</v>
      </c>
      <c r="EM415" s="27" t="s">
        <v>166</v>
      </c>
      <c r="EN415" s="27" t="s">
        <v>166</v>
      </c>
      <c r="EO415" s="27" t="s">
        <v>166</v>
      </c>
      <c r="EP415" s="27" t="s">
        <v>166</v>
      </c>
      <c r="EQ415" s="27" t="s">
        <v>166</v>
      </c>
      <c r="ER415" s="27" t="s">
        <v>166</v>
      </c>
      <c r="ES415" s="27" t="s">
        <v>166</v>
      </c>
      <c r="ET415" s="25" t="s">
        <v>166</v>
      </c>
      <c r="EU415" s="27" t="s">
        <v>166</v>
      </c>
      <c r="EV415" s="27" t="s">
        <v>166</v>
      </c>
      <c r="EW415" s="27" t="s">
        <v>166</v>
      </c>
      <c r="EX415" s="25" t="s">
        <v>190</v>
      </c>
      <c r="EY415" s="25" t="s">
        <v>190</v>
      </c>
      <c r="EZ415" s="27" t="s">
        <v>166</v>
      </c>
      <c r="FA415" s="26" t="s">
        <v>166</v>
      </c>
      <c r="FB415" s="26" t="s">
        <v>166</v>
      </c>
      <c r="FC415" s="26" t="s">
        <v>166</v>
      </c>
      <c r="FD415" s="26" t="s">
        <v>166</v>
      </c>
      <c r="FE415" s="26" t="s">
        <v>166</v>
      </c>
      <c r="FF415" s="26" t="s">
        <v>166</v>
      </c>
      <c r="FG415" s="25" t="s">
        <v>166</v>
      </c>
      <c r="FH415" s="4">
        <f>HYPERLINK("https://my.pitchbook.com?c=171390-43T","View Company Online")</f>
      </c>
    </row>
    <row r="416">
      <c r="A416" s="14" t="s">
        <v>8184</v>
      </c>
      <c r="B416" s="14" t="s">
        <v>8185</v>
      </c>
      <c r="C416" s="14" t="s">
        <v>8186</v>
      </c>
      <c r="D416" s="14" t="s">
        <v>166</v>
      </c>
      <c r="E416" s="23" t="s">
        <v>8187</v>
      </c>
      <c r="F416" s="21">
        <v>3</v>
      </c>
      <c r="G416" s="14" t="s">
        <v>8188</v>
      </c>
      <c r="H416" s="14" t="s">
        <v>166</v>
      </c>
      <c r="I416" s="14" t="s">
        <v>8189</v>
      </c>
      <c r="J416" s="14" t="s">
        <v>8190</v>
      </c>
      <c r="K416" s="14" t="s">
        <v>1455</v>
      </c>
      <c r="L416" s="14" t="s">
        <v>1456</v>
      </c>
      <c r="M416" s="14" t="s">
        <v>1457</v>
      </c>
      <c r="N416" s="14" t="s">
        <v>1841</v>
      </c>
      <c r="O416" s="14" t="s">
        <v>8191</v>
      </c>
      <c r="P416" s="14" t="s">
        <v>8192</v>
      </c>
      <c r="Q416" s="14" t="s">
        <v>166</v>
      </c>
      <c r="R416" s="14" t="s">
        <v>177</v>
      </c>
      <c r="S416" s="14" t="s">
        <v>178</v>
      </c>
      <c r="T416" s="14" t="s">
        <v>179</v>
      </c>
      <c r="U416" s="14" t="s">
        <v>8193</v>
      </c>
      <c r="V416" s="14" t="s">
        <v>8194</v>
      </c>
      <c r="W416" s="21" t="s">
        <v>166</v>
      </c>
      <c r="X416" s="14" t="s">
        <v>8195</v>
      </c>
      <c r="Y416" s="14" t="s">
        <v>8196</v>
      </c>
      <c r="Z416" s="14" t="s">
        <v>8197</v>
      </c>
      <c r="AA416" s="14" t="s">
        <v>242</v>
      </c>
      <c r="AB416" s="14" t="s">
        <v>243</v>
      </c>
      <c r="AC416" s="14" t="s">
        <v>244</v>
      </c>
      <c r="AD416" s="14" t="s">
        <v>243</v>
      </c>
      <c r="AE416" s="14" t="s">
        <v>243</v>
      </c>
      <c r="AF416" s="14" t="s">
        <v>245</v>
      </c>
      <c r="AG416" s="14" t="s">
        <v>246</v>
      </c>
      <c r="AH416" s="21">
        <v>1</v>
      </c>
      <c r="AI416" s="3">
        <f>HYPERLINK("https://my.pitchbook.com/?d=82293-58T","82293-58T")</f>
      </c>
      <c r="AJ416" s="19" t="s">
        <v>166</v>
      </c>
      <c r="AK416" s="19">
        <v>43987</v>
      </c>
      <c r="AL416" s="18">
        <v>3.4</v>
      </c>
      <c r="AM416" s="14" t="s">
        <v>247</v>
      </c>
      <c r="AN416" s="18">
        <v>7.6</v>
      </c>
      <c r="AO416" s="18">
        <v>11</v>
      </c>
      <c r="AP416" s="14" t="s">
        <v>185</v>
      </c>
      <c r="AQ416" s="21" t="s">
        <v>166</v>
      </c>
      <c r="AR416" s="21" t="s">
        <v>166</v>
      </c>
      <c r="AS416" s="17">
        <v>34.34</v>
      </c>
      <c r="AT416" s="18">
        <v>3.4</v>
      </c>
      <c r="AU416" s="21" t="s">
        <v>186</v>
      </c>
      <c r="AV416" s="21" t="s">
        <v>166</v>
      </c>
      <c r="AW416" s="18">
        <v>0.6</v>
      </c>
      <c r="AX416" s="21" t="s">
        <v>166</v>
      </c>
      <c r="AY416" s="14" t="s">
        <v>217</v>
      </c>
      <c r="AZ416" s="14" t="s">
        <v>217</v>
      </c>
      <c r="BA416" s="14" t="s">
        <v>166</v>
      </c>
      <c r="BB416" s="21" t="s">
        <v>166</v>
      </c>
      <c r="BC416" s="14" t="s">
        <v>179</v>
      </c>
      <c r="BD416" s="14" t="s">
        <v>8198</v>
      </c>
      <c r="BE416" s="14" t="s">
        <v>189</v>
      </c>
      <c r="BF416" s="18">
        <v>3.4</v>
      </c>
      <c r="BG416" s="14" t="s">
        <v>190</v>
      </c>
      <c r="BH416" s="14" t="s">
        <v>166</v>
      </c>
      <c r="BI416" s="14" t="s">
        <v>166</v>
      </c>
      <c r="BJ416" s="18" t="s">
        <v>166</v>
      </c>
      <c r="BK416" s="18" t="s">
        <v>166</v>
      </c>
      <c r="BL416" s="14" t="s">
        <v>191</v>
      </c>
      <c r="BM416" s="14" t="s">
        <v>178</v>
      </c>
      <c r="BN416" s="14" t="s">
        <v>177</v>
      </c>
      <c r="BO416" s="22" t="s">
        <v>166</v>
      </c>
      <c r="BP416" s="14" t="s">
        <v>8187</v>
      </c>
      <c r="BQ416" s="21">
        <v>3</v>
      </c>
      <c r="BR416" s="14" t="s">
        <v>166</v>
      </c>
      <c r="BS416" s="21" t="s">
        <v>166</v>
      </c>
      <c r="BT416" s="14" t="s">
        <v>166</v>
      </c>
      <c r="BU416" s="14" t="s">
        <v>166</v>
      </c>
      <c r="BV416" s="14" t="s">
        <v>8199</v>
      </c>
      <c r="BW416" s="14" t="s">
        <v>166</v>
      </c>
      <c r="BX416" s="14" t="s">
        <v>166</v>
      </c>
      <c r="BY416" s="14" t="s">
        <v>166</v>
      </c>
      <c r="BZ416" s="14" t="s">
        <v>166</v>
      </c>
      <c r="CA416" s="14" t="s">
        <v>166</v>
      </c>
      <c r="CB416" s="14" t="s">
        <v>166</v>
      </c>
      <c r="CC416" s="14" t="s">
        <v>166</v>
      </c>
      <c r="CD416" s="14" t="s">
        <v>166</v>
      </c>
      <c r="CE416" s="18" t="s">
        <v>166</v>
      </c>
      <c r="CF416" s="16" t="s">
        <v>166</v>
      </c>
      <c r="CG416" s="17" t="s">
        <v>166</v>
      </c>
      <c r="CH416" s="16" t="s">
        <v>166</v>
      </c>
      <c r="CI416" s="16">
        <v>0.1</v>
      </c>
      <c r="CJ416" s="16" t="s">
        <v>166</v>
      </c>
      <c r="CK416" s="16" t="s">
        <v>166</v>
      </c>
      <c r="CL416" s="16" t="s">
        <v>166</v>
      </c>
      <c r="CM416" s="20">
        <v>2019</v>
      </c>
      <c r="CN416" s="16" t="s">
        <v>166</v>
      </c>
      <c r="CO416" s="16" t="s">
        <v>166</v>
      </c>
      <c r="CP416" s="16">
        <v>107.84</v>
      </c>
      <c r="CQ416" s="16" t="s">
        <v>166</v>
      </c>
      <c r="CR416" s="16" t="s">
        <v>166</v>
      </c>
      <c r="CS416" s="16" t="s">
        <v>166</v>
      </c>
      <c r="CT416" s="16" t="s">
        <v>166</v>
      </c>
      <c r="CU416" s="16">
        <v>33.33</v>
      </c>
      <c r="CV416" s="16" t="s">
        <v>166</v>
      </c>
      <c r="CW416" s="16" t="s">
        <v>166</v>
      </c>
      <c r="CX416" s="16" t="s">
        <v>166</v>
      </c>
      <c r="CY416" s="16" t="s">
        <v>166</v>
      </c>
      <c r="CZ416" s="16" t="s">
        <v>166</v>
      </c>
      <c r="DA416" s="16" t="s">
        <v>166</v>
      </c>
      <c r="DB416" s="16" t="s">
        <v>166</v>
      </c>
      <c r="DC416" s="16" t="s">
        <v>166</v>
      </c>
      <c r="DD416" s="16" t="s">
        <v>166</v>
      </c>
      <c r="DE416" s="17" t="s">
        <v>166</v>
      </c>
      <c r="DF416" s="22">
        <v>43</v>
      </c>
      <c r="DG416" s="14" t="s">
        <v>8200</v>
      </c>
      <c r="DH416" s="14" t="s">
        <v>193</v>
      </c>
      <c r="DI416" s="14" t="s">
        <v>194</v>
      </c>
      <c r="DJ416" s="14" t="s">
        <v>8201</v>
      </c>
      <c r="DK416" s="14" t="s">
        <v>257</v>
      </c>
      <c r="DL416" s="21" t="s">
        <v>8202</v>
      </c>
      <c r="DM416" s="14" t="s">
        <v>198</v>
      </c>
      <c r="DN416" s="13" t="s">
        <v>8203</v>
      </c>
      <c r="DO416" s="20">
        <v>2016</v>
      </c>
      <c r="DP416" s="14" t="s">
        <v>166</v>
      </c>
      <c r="DQ416" s="14" t="s">
        <v>166</v>
      </c>
      <c r="DR416" s="18" t="s">
        <v>166</v>
      </c>
      <c r="DS416" s="16" t="s">
        <v>166</v>
      </c>
      <c r="DT416" s="19" t="s">
        <v>166</v>
      </c>
      <c r="DU416" s="14" t="s">
        <v>166</v>
      </c>
      <c r="DV416" s="18" t="s">
        <v>166</v>
      </c>
      <c r="DW416" s="18" t="s">
        <v>166</v>
      </c>
      <c r="DX416" s="16" t="s">
        <v>166</v>
      </c>
      <c r="DY416" s="16" t="s">
        <v>166</v>
      </c>
      <c r="DZ416" s="17" t="s">
        <v>166</v>
      </c>
      <c r="EA416" s="16" t="s">
        <v>166</v>
      </c>
      <c r="EB416" s="16" t="s">
        <v>166</v>
      </c>
      <c r="EC416" s="16" t="s">
        <v>166</v>
      </c>
      <c r="ED416" s="17" t="s">
        <v>166</v>
      </c>
      <c r="EE416" s="17" t="s">
        <v>166</v>
      </c>
      <c r="EF416" s="17" t="s">
        <v>166</v>
      </c>
      <c r="EG416" s="17" t="s">
        <v>166</v>
      </c>
      <c r="EH416" s="16" t="s">
        <v>166</v>
      </c>
      <c r="EI416" s="16" t="s">
        <v>166</v>
      </c>
      <c r="EJ416" s="16" t="s">
        <v>166</v>
      </c>
      <c r="EK416" s="16" t="s">
        <v>166</v>
      </c>
      <c r="EL416" s="16" t="s">
        <v>166</v>
      </c>
      <c r="EM416" s="16" t="s">
        <v>166</v>
      </c>
      <c r="EN416" s="16" t="s">
        <v>166</v>
      </c>
      <c r="EO416" s="16" t="s">
        <v>166</v>
      </c>
      <c r="EP416" s="16" t="s">
        <v>166</v>
      </c>
      <c r="EQ416" s="16" t="s">
        <v>166</v>
      </c>
      <c r="ER416" s="16" t="s">
        <v>166</v>
      </c>
      <c r="ES416" s="16" t="s">
        <v>166</v>
      </c>
      <c r="ET416" s="14" t="s">
        <v>166</v>
      </c>
      <c r="EU416" s="16" t="s">
        <v>166</v>
      </c>
      <c r="EV416" s="16" t="s">
        <v>166</v>
      </c>
      <c r="EW416" s="16" t="s">
        <v>166</v>
      </c>
      <c r="EX416" s="14" t="s">
        <v>190</v>
      </c>
      <c r="EY416" s="14" t="s">
        <v>166</v>
      </c>
      <c r="EZ416" s="16" t="s">
        <v>166</v>
      </c>
      <c r="FA416" s="15">
        <v>2</v>
      </c>
      <c r="FB416" s="15">
        <v>2</v>
      </c>
      <c r="FC416" s="15" t="s">
        <v>166</v>
      </c>
      <c r="FD416" s="15" t="s">
        <v>166</v>
      </c>
      <c r="FE416" s="15" t="s">
        <v>166</v>
      </c>
      <c r="FF416" s="15">
        <v>2</v>
      </c>
      <c r="FG416" s="14" t="s">
        <v>166</v>
      </c>
      <c r="FH416" s="3">
        <f>HYPERLINK("https://my.pitchbook.com?c=82293-58T","View Company Online")</f>
      </c>
    </row>
    <row r="417">
      <c r="A417" s="25" t="s">
        <v>8204</v>
      </c>
      <c r="B417" s="25" t="s">
        <v>8205</v>
      </c>
      <c r="C417" s="25" t="s">
        <v>8206</v>
      </c>
      <c r="D417" s="25" t="s">
        <v>166</v>
      </c>
      <c r="E417" s="34" t="s">
        <v>8207</v>
      </c>
      <c r="F417" s="32">
        <v>10</v>
      </c>
      <c r="G417" s="25" t="s">
        <v>8208</v>
      </c>
      <c r="H417" s="25" t="s">
        <v>166</v>
      </c>
      <c r="I417" s="25" t="s">
        <v>8209</v>
      </c>
      <c r="J417" s="25" t="s">
        <v>8210</v>
      </c>
      <c r="K417" s="25" t="s">
        <v>171</v>
      </c>
      <c r="L417" s="25" t="s">
        <v>172</v>
      </c>
      <c r="M417" s="25" t="s">
        <v>173</v>
      </c>
      <c r="N417" s="25" t="s">
        <v>441</v>
      </c>
      <c r="O417" s="25" t="s">
        <v>8211</v>
      </c>
      <c r="P417" s="25" t="s">
        <v>8212</v>
      </c>
      <c r="Q417" s="25" t="s">
        <v>166</v>
      </c>
      <c r="R417" s="25" t="s">
        <v>177</v>
      </c>
      <c r="S417" s="25" t="s">
        <v>178</v>
      </c>
      <c r="T417" s="25" t="s">
        <v>179</v>
      </c>
      <c r="U417" s="25" t="s">
        <v>8213</v>
      </c>
      <c r="V417" s="25" t="s">
        <v>8214</v>
      </c>
      <c r="W417" s="32" t="s">
        <v>8215</v>
      </c>
      <c r="X417" s="25" t="s">
        <v>8216</v>
      </c>
      <c r="Y417" s="25" t="s">
        <v>8217</v>
      </c>
      <c r="Z417" s="25" t="s">
        <v>166</v>
      </c>
      <c r="AA417" s="25" t="s">
        <v>242</v>
      </c>
      <c r="AB417" s="25" t="s">
        <v>243</v>
      </c>
      <c r="AC417" s="25" t="s">
        <v>244</v>
      </c>
      <c r="AD417" s="25" t="s">
        <v>243</v>
      </c>
      <c r="AE417" s="25" t="s">
        <v>243</v>
      </c>
      <c r="AF417" s="25" t="s">
        <v>166</v>
      </c>
      <c r="AG417" s="25" t="s">
        <v>807</v>
      </c>
      <c r="AH417" s="32">
        <v>6</v>
      </c>
      <c r="AI417" s="4">
        <f>HYPERLINK("https://my.pitchbook.com/?d=192666-34T","192666-34T")</f>
      </c>
      <c r="AJ417" s="30">
        <v>44670</v>
      </c>
      <c r="AK417" s="30">
        <v>45391</v>
      </c>
      <c r="AL417" s="29">
        <v>4.46</v>
      </c>
      <c r="AM417" s="25" t="s">
        <v>185</v>
      </c>
      <c r="AN417" s="29">
        <v>6.5</v>
      </c>
      <c r="AO417" s="29">
        <v>10.96</v>
      </c>
      <c r="AP417" s="25" t="s">
        <v>185</v>
      </c>
      <c r="AQ417" s="32" t="s">
        <v>166</v>
      </c>
      <c r="AR417" s="32" t="s">
        <v>166</v>
      </c>
      <c r="AS417" s="28">
        <v>40.7</v>
      </c>
      <c r="AT417" s="29">
        <v>4.61</v>
      </c>
      <c r="AU417" s="32" t="s">
        <v>186</v>
      </c>
      <c r="AV417" s="32" t="s">
        <v>166</v>
      </c>
      <c r="AW417" s="29">
        <v>0.61</v>
      </c>
      <c r="AX417" s="32" t="s">
        <v>166</v>
      </c>
      <c r="AY417" s="25" t="s">
        <v>217</v>
      </c>
      <c r="AZ417" s="25" t="s">
        <v>217</v>
      </c>
      <c r="BA417" s="25" t="s">
        <v>166</v>
      </c>
      <c r="BB417" s="32" t="s">
        <v>166</v>
      </c>
      <c r="BC417" s="25" t="s">
        <v>179</v>
      </c>
      <c r="BD417" s="25" t="s">
        <v>8218</v>
      </c>
      <c r="BE417" s="25" t="s">
        <v>189</v>
      </c>
      <c r="BF417" s="29">
        <v>4.46</v>
      </c>
      <c r="BG417" s="25" t="s">
        <v>190</v>
      </c>
      <c r="BH417" s="25" t="s">
        <v>166</v>
      </c>
      <c r="BI417" s="25" t="s">
        <v>166</v>
      </c>
      <c r="BJ417" s="29" t="s">
        <v>166</v>
      </c>
      <c r="BK417" s="29" t="s">
        <v>166</v>
      </c>
      <c r="BL417" s="25" t="s">
        <v>191</v>
      </c>
      <c r="BM417" s="25" t="s">
        <v>178</v>
      </c>
      <c r="BN417" s="25" t="s">
        <v>177</v>
      </c>
      <c r="BO417" s="33" t="s">
        <v>166</v>
      </c>
      <c r="BP417" s="25" t="s">
        <v>8219</v>
      </c>
      <c r="BQ417" s="32">
        <v>10</v>
      </c>
      <c r="BR417" s="25" t="s">
        <v>166</v>
      </c>
      <c r="BS417" s="32" t="s">
        <v>166</v>
      </c>
      <c r="BT417" s="25" t="s">
        <v>8220</v>
      </c>
      <c r="BU417" s="25" t="s">
        <v>166</v>
      </c>
      <c r="BV417" s="25" t="s">
        <v>8221</v>
      </c>
      <c r="BW417" s="25" t="s">
        <v>166</v>
      </c>
      <c r="BX417" s="25" t="s">
        <v>166</v>
      </c>
      <c r="BY417" s="25" t="s">
        <v>166</v>
      </c>
      <c r="BZ417" s="25" t="s">
        <v>8222</v>
      </c>
      <c r="CA417" s="25" t="s">
        <v>166</v>
      </c>
      <c r="CB417" s="25" t="s">
        <v>166</v>
      </c>
      <c r="CC417" s="25" t="s">
        <v>8222</v>
      </c>
      <c r="CD417" s="25" t="s">
        <v>166</v>
      </c>
      <c r="CE417" s="29" t="s">
        <v>166</v>
      </c>
      <c r="CF417" s="27" t="s">
        <v>166</v>
      </c>
      <c r="CG417" s="28" t="s">
        <v>166</v>
      </c>
      <c r="CH417" s="27" t="s">
        <v>166</v>
      </c>
      <c r="CI417" s="27" t="s">
        <v>166</v>
      </c>
      <c r="CJ417" s="27" t="s">
        <v>166</v>
      </c>
      <c r="CK417" s="27" t="s">
        <v>166</v>
      </c>
      <c r="CL417" s="27" t="s">
        <v>166</v>
      </c>
      <c r="CM417" s="31" t="s">
        <v>166</v>
      </c>
      <c r="CN417" s="27" t="s">
        <v>166</v>
      </c>
      <c r="CO417" s="27" t="s">
        <v>166</v>
      </c>
      <c r="CP417" s="27" t="s">
        <v>166</v>
      </c>
      <c r="CQ417" s="27" t="s">
        <v>166</v>
      </c>
      <c r="CR417" s="27" t="s">
        <v>166</v>
      </c>
      <c r="CS417" s="27" t="s">
        <v>166</v>
      </c>
      <c r="CT417" s="27" t="s">
        <v>166</v>
      </c>
      <c r="CU417" s="27" t="s">
        <v>166</v>
      </c>
      <c r="CV417" s="27" t="s">
        <v>166</v>
      </c>
      <c r="CW417" s="27" t="s">
        <v>166</v>
      </c>
      <c r="CX417" s="27" t="s">
        <v>166</v>
      </c>
      <c r="CY417" s="27" t="s">
        <v>166</v>
      </c>
      <c r="CZ417" s="27" t="s">
        <v>166</v>
      </c>
      <c r="DA417" s="27" t="s">
        <v>166</v>
      </c>
      <c r="DB417" s="27" t="s">
        <v>166</v>
      </c>
      <c r="DC417" s="27" t="s">
        <v>166</v>
      </c>
      <c r="DD417" s="27" t="s">
        <v>166</v>
      </c>
      <c r="DE417" s="28" t="s">
        <v>166</v>
      </c>
      <c r="DF417" s="33">
        <v>10</v>
      </c>
      <c r="DG417" s="25" t="s">
        <v>1191</v>
      </c>
      <c r="DH417" s="25" t="s">
        <v>193</v>
      </c>
      <c r="DI417" s="25" t="s">
        <v>194</v>
      </c>
      <c r="DJ417" s="25" t="s">
        <v>1192</v>
      </c>
      <c r="DK417" s="25" t="s">
        <v>1023</v>
      </c>
      <c r="DL417" s="32" t="s">
        <v>8223</v>
      </c>
      <c r="DM417" s="25" t="s">
        <v>198</v>
      </c>
      <c r="DN417" s="24" t="s">
        <v>8224</v>
      </c>
      <c r="DO417" s="31">
        <v>2021</v>
      </c>
      <c r="DP417" s="25" t="s">
        <v>166</v>
      </c>
      <c r="DQ417" s="25" t="s">
        <v>166</v>
      </c>
      <c r="DR417" s="29" t="s">
        <v>166</v>
      </c>
      <c r="DS417" s="27" t="s">
        <v>166</v>
      </c>
      <c r="DT417" s="30" t="s">
        <v>166</v>
      </c>
      <c r="DU417" s="25" t="s">
        <v>166</v>
      </c>
      <c r="DV417" s="29" t="s">
        <v>166</v>
      </c>
      <c r="DW417" s="29" t="s">
        <v>166</v>
      </c>
      <c r="DX417" s="27" t="s">
        <v>166</v>
      </c>
      <c r="DY417" s="27" t="s">
        <v>166</v>
      </c>
      <c r="DZ417" s="28" t="s">
        <v>166</v>
      </c>
      <c r="EA417" s="27" t="s">
        <v>166</v>
      </c>
      <c r="EB417" s="27" t="s">
        <v>166</v>
      </c>
      <c r="EC417" s="27" t="s">
        <v>166</v>
      </c>
      <c r="ED417" s="28" t="s">
        <v>166</v>
      </c>
      <c r="EE417" s="28" t="s">
        <v>166</v>
      </c>
      <c r="EF417" s="28" t="s">
        <v>166</v>
      </c>
      <c r="EG417" s="28" t="s">
        <v>166</v>
      </c>
      <c r="EH417" s="27" t="s">
        <v>166</v>
      </c>
      <c r="EI417" s="27" t="s">
        <v>166</v>
      </c>
      <c r="EJ417" s="27" t="s">
        <v>166</v>
      </c>
      <c r="EK417" s="27" t="s">
        <v>166</v>
      </c>
      <c r="EL417" s="27" t="s">
        <v>166</v>
      </c>
      <c r="EM417" s="27" t="s">
        <v>166</v>
      </c>
      <c r="EN417" s="27" t="s">
        <v>166</v>
      </c>
      <c r="EO417" s="27" t="s">
        <v>166</v>
      </c>
      <c r="EP417" s="27" t="s">
        <v>166</v>
      </c>
      <c r="EQ417" s="27" t="s">
        <v>166</v>
      </c>
      <c r="ER417" s="27" t="s">
        <v>166</v>
      </c>
      <c r="ES417" s="27" t="s">
        <v>166</v>
      </c>
      <c r="ET417" s="25" t="s">
        <v>166</v>
      </c>
      <c r="EU417" s="27" t="s">
        <v>166</v>
      </c>
      <c r="EV417" s="27" t="s">
        <v>166</v>
      </c>
      <c r="EW417" s="27" t="s">
        <v>166</v>
      </c>
      <c r="EX417" s="25" t="s">
        <v>190</v>
      </c>
      <c r="EY417" s="25" t="s">
        <v>166</v>
      </c>
      <c r="EZ417" s="27" t="s">
        <v>166</v>
      </c>
      <c r="FA417" s="26" t="s">
        <v>166</v>
      </c>
      <c r="FB417" s="26" t="s">
        <v>166</v>
      </c>
      <c r="FC417" s="26" t="s">
        <v>166</v>
      </c>
      <c r="FD417" s="26" t="s">
        <v>166</v>
      </c>
      <c r="FE417" s="26" t="s">
        <v>166</v>
      </c>
      <c r="FF417" s="26" t="s">
        <v>166</v>
      </c>
      <c r="FG417" s="25" t="s">
        <v>166</v>
      </c>
      <c r="FH417" s="4">
        <f>HYPERLINK("https://my.pitchbook.com?c=192666-34T","View Company Online")</f>
      </c>
    </row>
    <row r="418">
      <c r="A418" s="14" t="s">
        <v>8225</v>
      </c>
      <c r="B418" s="14" t="s">
        <v>8226</v>
      </c>
      <c r="C418" s="14" t="s">
        <v>8227</v>
      </c>
      <c r="D418" s="14" t="s">
        <v>166</v>
      </c>
      <c r="E418" s="23" t="s">
        <v>8228</v>
      </c>
      <c r="F418" s="21">
        <v>1</v>
      </c>
      <c r="G418" s="14" t="s">
        <v>8229</v>
      </c>
      <c r="H418" s="14" t="s">
        <v>166</v>
      </c>
      <c r="I418" s="14" t="s">
        <v>8230</v>
      </c>
      <c r="J418" s="14" t="s">
        <v>8231</v>
      </c>
      <c r="K418" s="14" t="s">
        <v>207</v>
      </c>
      <c r="L418" s="14" t="s">
        <v>208</v>
      </c>
      <c r="M418" s="14" t="s">
        <v>209</v>
      </c>
      <c r="N418" s="14" t="s">
        <v>8232</v>
      </c>
      <c r="O418" s="14" t="s">
        <v>8233</v>
      </c>
      <c r="P418" s="14" t="s">
        <v>8234</v>
      </c>
      <c r="Q418" s="14" t="s">
        <v>2555</v>
      </c>
      <c r="R418" s="14" t="s">
        <v>177</v>
      </c>
      <c r="S418" s="14" t="s">
        <v>178</v>
      </c>
      <c r="T418" s="14" t="s">
        <v>179</v>
      </c>
      <c r="U418" s="14" t="s">
        <v>8235</v>
      </c>
      <c r="V418" s="14" t="s">
        <v>8236</v>
      </c>
      <c r="W418" s="21" t="s">
        <v>8237</v>
      </c>
      <c r="X418" s="14" t="s">
        <v>166</v>
      </c>
      <c r="Y418" s="14" t="s">
        <v>8238</v>
      </c>
      <c r="Z418" s="14" t="s">
        <v>8239</v>
      </c>
      <c r="AA418" s="14" t="s">
        <v>242</v>
      </c>
      <c r="AB418" s="14" t="s">
        <v>243</v>
      </c>
      <c r="AC418" s="14" t="s">
        <v>244</v>
      </c>
      <c r="AD418" s="14" t="s">
        <v>243</v>
      </c>
      <c r="AE418" s="14" t="s">
        <v>243</v>
      </c>
      <c r="AF418" s="14" t="s">
        <v>166</v>
      </c>
      <c r="AG418" s="14" t="s">
        <v>246</v>
      </c>
      <c r="AH418" s="21">
        <v>1</v>
      </c>
      <c r="AI418" s="3">
        <f>HYPERLINK("https://my.pitchbook.com/?d=187392-34T","187392-34T")</f>
      </c>
      <c r="AJ418" s="19" t="s">
        <v>166</v>
      </c>
      <c r="AK418" s="19">
        <v>44488</v>
      </c>
      <c r="AL418" s="18">
        <v>3.77</v>
      </c>
      <c r="AM418" s="14" t="s">
        <v>185</v>
      </c>
      <c r="AN418" s="18">
        <v>20</v>
      </c>
      <c r="AO418" s="18">
        <v>23.77</v>
      </c>
      <c r="AP418" s="14" t="s">
        <v>185</v>
      </c>
      <c r="AQ418" s="21" t="s">
        <v>166</v>
      </c>
      <c r="AR418" s="21" t="s">
        <v>166</v>
      </c>
      <c r="AS418" s="17">
        <v>17.2</v>
      </c>
      <c r="AT418" s="18">
        <v>3.77</v>
      </c>
      <c r="AU418" s="21" t="s">
        <v>186</v>
      </c>
      <c r="AV418" s="21" t="s">
        <v>166</v>
      </c>
      <c r="AW418" s="18">
        <v>3.5</v>
      </c>
      <c r="AX418" s="21" t="s">
        <v>166</v>
      </c>
      <c r="AY418" s="14" t="s">
        <v>217</v>
      </c>
      <c r="AZ418" s="14" t="s">
        <v>217</v>
      </c>
      <c r="BA418" s="14" t="s">
        <v>166</v>
      </c>
      <c r="BB418" s="21" t="s">
        <v>166</v>
      </c>
      <c r="BC418" s="14" t="s">
        <v>179</v>
      </c>
      <c r="BD418" s="14" t="s">
        <v>8240</v>
      </c>
      <c r="BE418" s="14" t="s">
        <v>189</v>
      </c>
      <c r="BF418" s="18">
        <v>3.77</v>
      </c>
      <c r="BG418" s="14" t="s">
        <v>190</v>
      </c>
      <c r="BH418" s="14" t="s">
        <v>166</v>
      </c>
      <c r="BI418" s="14" t="s">
        <v>166</v>
      </c>
      <c r="BJ418" s="18" t="s">
        <v>166</v>
      </c>
      <c r="BK418" s="18" t="s">
        <v>166</v>
      </c>
      <c r="BL418" s="14" t="s">
        <v>191</v>
      </c>
      <c r="BM418" s="14" t="s">
        <v>178</v>
      </c>
      <c r="BN418" s="14" t="s">
        <v>177</v>
      </c>
      <c r="BO418" s="22" t="s">
        <v>166</v>
      </c>
      <c r="BP418" s="14" t="s">
        <v>8241</v>
      </c>
      <c r="BQ418" s="21">
        <v>1</v>
      </c>
      <c r="BR418" s="14" t="s">
        <v>166</v>
      </c>
      <c r="BS418" s="21" t="s">
        <v>166</v>
      </c>
      <c r="BT418" s="14" t="s">
        <v>166</v>
      </c>
      <c r="BU418" s="14" t="s">
        <v>166</v>
      </c>
      <c r="BV418" s="14" t="s">
        <v>8242</v>
      </c>
      <c r="BW418" s="14" t="s">
        <v>166</v>
      </c>
      <c r="BX418" s="14" t="s">
        <v>166</v>
      </c>
      <c r="BY418" s="14" t="s">
        <v>166</v>
      </c>
      <c r="BZ418" s="14" t="s">
        <v>166</v>
      </c>
      <c r="CA418" s="14" t="s">
        <v>166</v>
      </c>
      <c r="CB418" s="14" t="s">
        <v>166</v>
      </c>
      <c r="CC418" s="14" t="s">
        <v>166</v>
      </c>
      <c r="CD418" s="14" t="s">
        <v>166</v>
      </c>
      <c r="CE418" s="18" t="s">
        <v>166</v>
      </c>
      <c r="CF418" s="16" t="s">
        <v>166</v>
      </c>
      <c r="CG418" s="17" t="s">
        <v>166</v>
      </c>
      <c r="CH418" s="16" t="s">
        <v>166</v>
      </c>
      <c r="CI418" s="16" t="s">
        <v>166</v>
      </c>
      <c r="CJ418" s="16" t="s">
        <v>166</v>
      </c>
      <c r="CK418" s="16" t="s">
        <v>166</v>
      </c>
      <c r="CL418" s="16" t="s">
        <v>166</v>
      </c>
      <c r="CM418" s="20" t="s">
        <v>166</v>
      </c>
      <c r="CN418" s="16" t="s">
        <v>166</v>
      </c>
      <c r="CO418" s="16" t="s">
        <v>166</v>
      </c>
      <c r="CP418" s="16" t="s">
        <v>166</v>
      </c>
      <c r="CQ418" s="16" t="s">
        <v>166</v>
      </c>
      <c r="CR418" s="16" t="s">
        <v>166</v>
      </c>
      <c r="CS418" s="16" t="s">
        <v>166</v>
      </c>
      <c r="CT418" s="16" t="s">
        <v>166</v>
      </c>
      <c r="CU418" s="16" t="s">
        <v>166</v>
      </c>
      <c r="CV418" s="16" t="s">
        <v>166</v>
      </c>
      <c r="CW418" s="16" t="s">
        <v>166</v>
      </c>
      <c r="CX418" s="16" t="s">
        <v>166</v>
      </c>
      <c r="CY418" s="16" t="s">
        <v>166</v>
      </c>
      <c r="CZ418" s="16" t="s">
        <v>166</v>
      </c>
      <c r="DA418" s="16" t="s">
        <v>166</v>
      </c>
      <c r="DB418" s="16" t="s">
        <v>166</v>
      </c>
      <c r="DC418" s="16" t="s">
        <v>166</v>
      </c>
      <c r="DD418" s="16" t="s">
        <v>166</v>
      </c>
      <c r="DE418" s="17" t="s">
        <v>166</v>
      </c>
      <c r="DF418" s="22">
        <v>49</v>
      </c>
      <c r="DG418" s="14" t="s">
        <v>309</v>
      </c>
      <c r="DH418" s="14" t="s">
        <v>193</v>
      </c>
      <c r="DI418" s="14" t="s">
        <v>194</v>
      </c>
      <c r="DJ418" s="14" t="s">
        <v>310</v>
      </c>
      <c r="DK418" s="14" t="s">
        <v>310</v>
      </c>
      <c r="DL418" s="21" t="s">
        <v>5163</v>
      </c>
      <c r="DM418" s="14" t="s">
        <v>198</v>
      </c>
      <c r="DN418" s="13" t="s">
        <v>8243</v>
      </c>
      <c r="DO418" s="20">
        <v>2020</v>
      </c>
      <c r="DP418" s="14" t="s">
        <v>166</v>
      </c>
      <c r="DQ418" s="14" t="s">
        <v>166</v>
      </c>
      <c r="DR418" s="18" t="s">
        <v>166</v>
      </c>
      <c r="DS418" s="16" t="s">
        <v>166</v>
      </c>
      <c r="DT418" s="19" t="s">
        <v>166</v>
      </c>
      <c r="DU418" s="14" t="s">
        <v>166</v>
      </c>
      <c r="DV418" s="18" t="s">
        <v>166</v>
      </c>
      <c r="DW418" s="18" t="s">
        <v>166</v>
      </c>
      <c r="DX418" s="16" t="s">
        <v>166</v>
      </c>
      <c r="DY418" s="16" t="s">
        <v>166</v>
      </c>
      <c r="DZ418" s="17" t="s">
        <v>166</v>
      </c>
      <c r="EA418" s="16" t="s">
        <v>166</v>
      </c>
      <c r="EB418" s="16" t="s">
        <v>166</v>
      </c>
      <c r="EC418" s="16" t="s">
        <v>166</v>
      </c>
      <c r="ED418" s="17" t="s">
        <v>166</v>
      </c>
      <c r="EE418" s="17" t="s">
        <v>166</v>
      </c>
      <c r="EF418" s="17" t="s">
        <v>166</v>
      </c>
      <c r="EG418" s="17" t="s">
        <v>166</v>
      </c>
      <c r="EH418" s="16" t="s">
        <v>166</v>
      </c>
      <c r="EI418" s="16" t="s">
        <v>166</v>
      </c>
      <c r="EJ418" s="16" t="s">
        <v>166</v>
      </c>
      <c r="EK418" s="16" t="s">
        <v>166</v>
      </c>
      <c r="EL418" s="16" t="s">
        <v>166</v>
      </c>
      <c r="EM418" s="16" t="s">
        <v>166</v>
      </c>
      <c r="EN418" s="16" t="s">
        <v>166</v>
      </c>
      <c r="EO418" s="16" t="s">
        <v>166</v>
      </c>
      <c r="EP418" s="16" t="s">
        <v>166</v>
      </c>
      <c r="EQ418" s="16" t="s">
        <v>166</v>
      </c>
      <c r="ER418" s="16" t="s">
        <v>166</v>
      </c>
      <c r="ES418" s="16" t="s">
        <v>166</v>
      </c>
      <c r="ET418" s="14" t="s">
        <v>166</v>
      </c>
      <c r="EU418" s="16" t="s">
        <v>166</v>
      </c>
      <c r="EV418" s="16" t="s">
        <v>166</v>
      </c>
      <c r="EW418" s="16" t="s">
        <v>166</v>
      </c>
      <c r="EX418" s="14" t="s">
        <v>190</v>
      </c>
      <c r="EY418" s="14" t="s">
        <v>166</v>
      </c>
      <c r="EZ418" s="16" t="s">
        <v>166</v>
      </c>
      <c r="FA418" s="15" t="s">
        <v>166</v>
      </c>
      <c r="FB418" s="15" t="s">
        <v>166</v>
      </c>
      <c r="FC418" s="15" t="s">
        <v>166</v>
      </c>
      <c r="FD418" s="15" t="s">
        <v>166</v>
      </c>
      <c r="FE418" s="15" t="s">
        <v>166</v>
      </c>
      <c r="FF418" s="15" t="s">
        <v>166</v>
      </c>
      <c r="FG418" s="14" t="s">
        <v>166</v>
      </c>
      <c r="FH418" s="3">
        <f>HYPERLINK("https://my.pitchbook.com?c=187392-34T","View Company Online")</f>
      </c>
    </row>
    <row r="419">
      <c r="A419" s="25" t="s">
        <v>8244</v>
      </c>
      <c r="B419" s="25" t="s">
        <v>8245</v>
      </c>
      <c r="C419" s="25" t="s">
        <v>8246</v>
      </c>
      <c r="D419" s="25" t="s">
        <v>166</v>
      </c>
      <c r="E419" s="34" t="s">
        <v>8247</v>
      </c>
      <c r="F419" s="32">
        <v>2</v>
      </c>
      <c r="G419" s="25" t="s">
        <v>8248</v>
      </c>
      <c r="H419" s="25" t="s">
        <v>166</v>
      </c>
      <c r="I419" s="25" t="s">
        <v>8249</v>
      </c>
      <c r="J419" s="25" t="s">
        <v>8250</v>
      </c>
      <c r="K419" s="25" t="s">
        <v>207</v>
      </c>
      <c r="L419" s="25" t="s">
        <v>208</v>
      </c>
      <c r="M419" s="25" t="s">
        <v>209</v>
      </c>
      <c r="N419" s="25" t="s">
        <v>3221</v>
      </c>
      <c r="O419" s="25" t="s">
        <v>166</v>
      </c>
      <c r="P419" s="25" t="s">
        <v>8251</v>
      </c>
      <c r="Q419" s="25" t="s">
        <v>166</v>
      </c>
      <c r="R419" s="25" t="s">
        <v>177</v>
      </c>
      <c r="S419" s="25" t="s">
        <v>358</v>
      </c>
      <c r="T419" s="25" t="s">
        <v>179</v>
      </c>
      <c r="U419" s="25" t="s">
        <v>8252</v>
      </c>
      <c r="V419" s="25" t="s">
        <v>8253</v>
      </c>
      <c r="W419" s="32" t="s">
        <v>8254</v>
      </c>
      <c r="X419" s="25" t="s">
        <v>8255</v>
      </c>
      <c r="Y419" s="25" t="s">
        <v>8256</v>
      </c>
      <c r="Z419" s="25" t="s">
        <v>166</v>
      </c>
      <c r="AA419" s="25" t="s">
        <v>166</v>
      </c>
      <c r="AB419" s="25" t="s">
        <v>166</v>
      </c>
      <c r="AC419" s="25" t="s">
        <v>166</v>
      </c>
      <c r="AD419" s="25" t="s">
        <v>166</v>
      </c>
      <c r="AE419" s="25" t="s">
        <v>166</v>
      </c>
      <c r="AF419" s="25" t="s">
        <v>166</v>
      </c>
      <c r="AG419" s="25" t="s">
        <v>166</v>
      </c>
      <c r="AH419" s="32">
        <v>1</v>
      </c>
      <c r="AI419" s="4">
        <f>HYPERLINK("https://my.pitchbook.com/?d=228804-67T","228804-67T")</f>
      </c>
      <c r="AJ419" s="30">
        <v>45091</v>
      </c>
      <c r="AK419" s="30">
        <v>45195</v>
      </c>
      <c r="AL419" s="29">
        <v>0.06</v>
      </c>
      <c r="AM419" s="25" t="s">
        <v>185</v>
      </c>
      <c r="AN419" s="29" t="s">
        <v>166</v>
      </c>
      <c r="AO419" s="29" t="s">
        <v>166</v>
      </c>
      <c r="AP419" s="25" t="s">
        <v>166</v>
      </c>
      <c r="AQ419" s="32" t="s">
        <v>166</v>
      </c>
      <c r="AR419" s="32" t="s">
        <v>166</v>
      </c>
      <c r="AS419" s="28" t="s">
        <v>166</v>
      </c>
      <c r="AT419" s="29">
        <v>0.06</v>
      </c>
      <c r="AU419" s="32" t="s">
        <v>186</v>
      </c>
      <c r="AV419" s="32" t="s">
        <v>166</v>
      </c>
      <c r="AW419" s="29" t="s">
        <v>166</v>
      </c>
      <c r="AX419" s="32" t="s">
        <v>166</v>
      </c>
      <c r="AY419" s="25" t="s">
        <v>217</v>
      </c>
      <c r="AZ419" s="25" t="s">
        <v>217</v>
      </c>
      <c r="BA419" s="25" t="s">
        <v>166</v>
      </c>
      <c r="BB419" s="32" t="s">
        <v>166</v>
      </c>
      <c r="BC419" s="25" t="s">
        <v>179</v>
      </c>
      <c r="BD419" s="25" t="s">
        <v>8257</v>
      </c>
      <c r="BE419" s="25" t="s">
        <v>189</v>
      </c>
      <c r="BF419" s="29">
        <v>0.06</v>
      </c>
      <c r="BG419" s="25" t="s">
        <v>190</v>
      </c>
      <c r="BH419" s="25" t="s">
        <v>166</v>
      </c>
      <c r="BI419" s="25" t="s">
        <v>166</v>
      </c>
      <c r="BJ419" s="29" t="s">
        <v>166</v>
      </c>
      <c r="BK419" s="29" t="s">
        <v>166</v>
      </c>
      <c r="BL419" s="25" t="s">
        <v>191</v>
      </c>
      <c r="BM419" s="25" t="s">
        <v>358</v>
      </c>
      <c r="BN419" s="25" t="s">
        <v>177</v>
      </c>
      <c r="BO419" s="33" t="s">
        <v>166</v>
      </c>
      <c r="BP419" s="25" t="s">
        <v>8258</v>
      </c>
      <c r="BQ419" s="32">
        <v>2</v>
      </c>
      <c r="BR419" s="25" t="s">
        <v>166</v>
      </c>
      <c r="BS419" s="32" t="s">
        <v>166</v>
      </c>
      <c r="BT419" s="25" t="s">
        <v>166</v>
      </c>
      <c r="BU419" s="25" t="s">
        <v>166</v>
      </c>
      <c r="BV419" s="25" t="s">
        <v>8259</v>
      </c>
      <c r="BW419" s="25" t="s">
        <v>166</v>
      </c>
      <c r="BX419" s="25" t="s">
        <v>166</v>
      </c>
      <c r="BY419" s="25" t="s">
        <v>166</v>
      </c>
      <c r="BZ419" s="25" t="s">
        <v>166</v>
      </c>
      <c r="CA419" s="25" t="s">
        <v>166</v>
      </c>
      <c r="CB419" s="25" t="s">
        <v>166</v>
      </c>
      <c r="CC419" s="25" t="s">
        <v>166</v>
      </c>
      <c r="CD419" s="25" t="s">
        <v>166</v>
      </c>
      <c r="CE419" s="29" t="s">
        <v>166</v>
      </c>
      <c r="CF419" s="27" t="s">
        <v>166</v>
      </c>
      <c r="CG419" s="28" t="s">
        <v>166</v>
      </c>
      <c r="CH419" s="27" t="s">
        <v>166</v>
      </c>
      <c r="CI419" s="27" t="s">
        <v>166</v>
      </c>
      <c r="CJ419" s="27" t="s">
        <v>166</v>
      </c>
      <c r="CK419" s="27" t="s">
        <v>166</v>
      </c>
      <c r="CL419" s="27" t="s">
        <v>166</v>
      </c>
      <c r="CM419" s="31" t="s">
        <v>166</v>
      </c>
      <c r="CN419" s="27" t="s">
        <v>166</v>
      </c>
      <c r="CO419" s="27" t="s">
        <v>166</v>
      </c>
      <c r="CP419" s="27" t="s">
        <v>166</v>
      </c>
      <c r="CQ419" s="27" t="s">
        <v>166</v>
      </c>
      <c r="CR419" s="27" t="s">
        <v>166</v>
      </c>
      <c r="CS419" s="27" t="s">
        <v>166</v>
      </c>
      <c r="CT419" s="27" t="s">
        <v>166</v>
      </c>
      <c r="CU419" s="27" t="s">
        <v>166</v>
      </c>
      <c r="CV419" s="27" t="s">
        <v>166</v>
      </c>
      <c r="CW419" s="27" t="s">
        <v>166</v>
      </c>
      <c r="CX419" s="27" t="s">
        <v>166</v>
      </c>
      <c r="CY419" s="27" t="s">
        <v>166</v>
      </c>
      <c r="CZ419" s="27" t="s">
        <v>166</v>
      </c>
      <c r="DA419" s="27" t="s">
        <v>166</v>
      </c>
      <c r="DB419" s="27" t="s">
        <v>166</v>
      </c>
      <c r="DC419" s="27" t="s">
        <v>166</v>
      </c>
      <c r="DD419" s="27" t="s">
        <v>166</v>
      </c>
      <c r="DE419" s="28" t="s">
        <v>166</v>
      </c>
      <c r="DF419" s="33" t="s">
        <v>166</v>
      </c>
      <c r="DG419" s="25" t="s">
        <v>673</v>
      </c>
      <c r="DH419" s="25" t="s">
        <v>193</v>
      </c>
      <c r="DI419" s="25" t="s">
        <v>194</v>
      </c>
      <c r="DJ419" s="25" t="s">
        <v>674</v>
      </c>
      <c r="DK419" s="25" t="s">
        <v>257</v>
      </c>
      <c r="DL419" s="32" t="s">
        <v>4341</v>
      </c>
      <c r="DM419" s="25" t="s">
        <v>198</v>
      </c>
      <c r="DN419" s="24" t="s">
        <v>8260</v>
      </c>
      <c r="DO419" s="31">
        <v>2023</v>
      </c>
      <c r="DP419" s="25" t="s">
        <v>166</v>
      </c>
      <c r="DQ419" s="25" t="s">
        <v>166</v>
      </c>
      <c r="DR419" s="29" t="s">
        <v>166</v>
      </c>
      <c r="DS419" s="27" t="s">
        <v>166</v>
      </c>
      <c r="DT419" s="30" t="s">
        <v>166</v>
      </c>
      <c r="DU419" s="25" t="s">
        <v>166</v>
      </c>
      <c r="DV419" s="29" t="s">
        <v>166</v>
      </c>
      <c r="DW419" s="29" t="s">
        <v>166</v>
      </c>
      <c r="DX419" s="27" t="s">
        <v>166</v>
      </c>
      <c r="DY419" s="27" t="s">
        <v>166</v>
      </c>
      <c r="DZ419" s="28" t="s">
        <v>166</v>
      </c>
      <c r="EA419" s="27" t="s">
        <v>166</v>
      </c>
      <c r="EB419" s="27" t="s">
        <v>166</v>
      </c>
      <c r="EC419" s="27" t="s">
        <v>166</v>
      </c>
      <c r="ED419" s="28" t="s">
        <v>166</v>
      </c>
      <c r="EE419" s="28" t="s">
        <v>166</v>
      </c>
      <c r="EF419" s="28" t="s">
        <v>166</v>
      </c>
      <c r="EG419" s="28" t="s">
        <v>166</v>
      </c>
      <c r="EH419" s="27" t="s">
        <v>166</v>
      </c>
      <c r="EI419" s="27" t="s">
        <v>166</v>
      </c>
      <c r="EJ419" s="27" t="s">
        <v>166</v>
      </c>
      <c r="EK419" s="27" t="s">
        <v>166</v>
      </c>
      <c r="EL419" s="27" t="s">
        <v>166</v>
      </c>
      <c r="EM419" s="27" t="s">
        <v>166</v>
      </c>
      <c r="EN419" s="27" t="s">
        <v>166</v>
      </c>
      <c r="EO419" s="27" t="s">
        <v>166</v>
      </c>
      <c r="EP419" s="27" t="s">
        <v>166</v>
      </c>
      <c r="EQ419" s="27" t="s">
        <v>166</v>
      </c>
      <c r="ER419" s="27" t="s">
        <v>166</v>
      </c>
      <c r="ES419" s="27" t="s">
        <v>166</v>
      </c>
      <c r="ET419" s="25" t="s">
        <v>166</v>
      </c>
      <c r="EU419" s="27" t="s">
        <v>166</v>
      </c>
      <c r="EV419" s="27" t="s">
        <v>166</v>
      </c>
      <c r="EW419" s="27" t="s">
        <v>166</v>
      </c>
      <c r="EX419" s="25" t="s">
        <v>190</v>
      </c>
      <c r="EY419" s="25" t="s">
        <v>166</v>
      </c>
      <c r="EZ419" s="27" t="s">
        <v>166</v>
      </c>
      <c r="FA419" s="26" t="s">
        <v>166</v>
      </c>
      <c r="FB419" s="26" t="s">
        <v>166</v>
      </c>
      <c r="FC419" s="26" t="s">
        <v>166</v>
      </c>
      <c r="FD419" s="26" t="s">
        <v>166</v>
      </c>
      <c r="FE419" s="26" t="s">
        <v>166</v>
      </c>
      <c r="FF419" s="26" t="s">
        <v>166</v>
      </c>
      <c r="FG419" s="25" t="s">
        <v>166</v>
      </c>
      <c r="FH419" s="4">
        <f>HYPERLINK("https://my.pitchbook.com?c=228804-67T","View Company Online")</f>
      </c>
    </row>
    <row r="420">
      <c r="A420" s="14" t="s">
        <v>8261</v>
      </c>
      <c r="B420" s="14" t="s">
        <v>8262</v>
      </c>
      <c r="C420" s="14" t="s">
        <v>8263</v>
      </c>
      <c r="D420" s="14" t="s">
        <v>166</v>
      </c>
      <c r="E420" s="23" t="s">
        <v>8264</v>
      </c>
      <c r="F420" s="21">
        <v>3</v>
      </c>
      <c r="G420" s="14" t="s">
        <v>8265</v>
      </c>
      <c r="H420" s="14" t="s">
        <v>166</v>
      </c>
      <c r="I420" s="14" t="s">
        <v>8266</v>
      </c>
      <c r="J420" s="14" t="s">
        <v>8267</v>
      </c>
      <c r="K420" s="14" t="s">
        <v>207</v>
      </c>
      <c r="L420" s="14" t="s">
        <v>208</v>
      </c>
      <c r="M420" s="14" t="s">
        <v>1766</v>
      </c>
      <c r="N420" s="14" t="s">
        <v>2393</v>
      </c>
      <c r="O420" s="14" t="s">
        <v>1035</v>
      </c>
      <c r="P420" s="14" t="s">
        <v>8268</v>
      </c>
      <c r="Q420" s="14" t="s">
        <v>166</v>
      </c>
      <c r="R420" s="14" t="s">
        <v>177</v>
      </c>
      <c r="S420" s="14" t="s">
        <v>178</v>
      </c>
      <c r="T420" s="14" t="s">
        <v>179</v>
      </c>
      <c r="U420" s="14" t="s">
        <v>8269</v>
      </c>
      <c r="V420" s="14" t="s">
        <v>8270</v>
      </c>
      <c r="W420" s="21" t="s">
        <v>8271</v>
      </c>
      <c r="X420" s="14" t="s">
        <v>8272</v>
      </c>
      <c r="Y420" s="14" t="s">
        <v>8273</v>
      </c>
      <c r="Z420" s="14" t="s">
        <v>166</v>
      </c>
      <c r="AA420" s="14" t="s">
        <v>166</v>
      </c>
      <c r="AB420" s="14" t="s">
        <v>166</v>
      </c>
      <c r="AC420" s="14" t="s">
        <v>166</v>
      </c>
      <c r="AD420" s="14" t="s">
        <v>166</v>
      </c>
      <c r="AE420" s="14" t="s">
        <v>166</v>
      </c>
      <c r="AF420" s="14" t="s">
        <v>166</v>
      </c>
      <c r="AG420" s="14" t="s">
        <v>166</v>
      </c>
      <c r="AH420" s="21">
        <v>1</v>
      </c>
      <c r="AI420" s="3">
        <f>HYPERLINK("https://my.pitchbook.com/?d=206269-84T","206269-84T")</f>
      </c>
      <c r="AJ420" s="19" t="s">
        <v>166</v>
      </c>
      <c r="AK420" s="19">
        <v>44804</v>
      </c>
      <c r="AL420" s="18">
        <v>0.78</v>
      </c>
      <c r="AM420" s="14" t="s">
        <v>185</v>
      </c>
      <c r="AN420" s="18" t="s">
        <v>166</v>
      </c>
      <c r="AO420" s="18" t="s">
        <v>166</v>
      </c>
      <c r="AP420" s="14" t="s">
        <v>166</v>
      </c>
      <c r="AQ420" s="21" t="s">
        <v>166</v>
      </c>
      <c r="AR420" s="21" t="s">
        <v>166</v>
      </c>
      <c r="AS420" s="17" t="s">
        <v>166</v>
      </c>
      <c r="AT420" s="18">
        <v>0.78</v>
      </c>
      <c r="AU420" s="21" t="s">
        <v>186</v>
      </c>
      <c r="AV420" s="21" t="s">
        <v>166</v>
      </c>
      <c r="AW420" s="18" t="s">
        <v>166</v>
      </c>
      <c r="AX420" s="21" t="s">
        <v>166</v>
      </c>
      <c r="AY420" s="14" t="s">
        <v>217</v>
      </c>
      <c r="AZ420" s="14" t="s">
        <v>217</v>
      </c>
      <c r="BA420" s="14" t="s">
        <v>166</v>
      </c>
      <c r="BB420" s="21" t="s">
        <v>166</v>
      </c>
      <c r="BC420" s="14" t="s">
        <v>179</v>
      </c>
      <c r="BD420" s="14" t="s">
        <v>8274</v>
      </c>
      <c r="BE420" s="14" t="s">
        <v>189</v>
      </c>
      <c r="BF420" s="18">
        <v>0.78</v>
      </c>
      <c r="BG420" s="14" t="s">
        <v>190</v>
      </c>
      <c r="BH420" s="14" t="s">
        <v>166</v>
      </c>
      <c r="BI420" s="14" t="s">
        <v>166</v>
      </c>
      <c r="BJ420" s="18" t="s">
        <v>166</v>
      </c>
      <c r="BK420" s="18" t="s">
        <v>166</v>
      </c>
      <c r="BL420" s="14" t="s">
        <v>191</v>
      </c>
      <c r="BM420" s="14" t="s">
        <v>178</v>
      </c>
      <c r="BN420" s="14" t="s">
        <v>177</v>
      </c>
      <c r="BO420" s="22">
        <v>8</v>
      </c>
      <c r="BP420" s="14" t="s">
        <v>8264</v>
      </c>
      <c r="BQ420" s="21">
        <v>3</v>
      </c>
      <c r="BR420" s="14" t="s">
        <v>166</v>
      </c>
      <c r="BS420" s="21" t="s">
        <v>166</v>
      </c>
      <c r="BT420" s="14" t="s">
        <v>166</v>
      </c>
      <c r="BU420" s="14" t="s">
        <v>166</v>
      </c>
      <c r="BV420" s="14" t="s">
        <v>166</v>
      </c>
      <c r="BW420" s="14" t="s">
        <v>166</v>
      </c>
      <c r="BX420" s="14" t="s">
        <v>166</v>
      </c>
      <c r="BY420" s="14" t="s">
        <v>166</v>
      </c>
      <c r="BZ420" s="14" t="s">
        <v>166</v>
      </c>
      <c r="CA420" s="14" t="s">
        <v>166</v>
      </c>
      <c r="CB420" s="14" t="s">
        <v>166</v>
      </c>
      <c r="CC420" s="14" t="s">
        <v>166</v>
      </c>
      <c r="CD420" s="14" t="s">
        <v>166</v>
      </c>
      <c r="CE420" s="18" t="s">
        <v>166</v>
      </c>
      <c r="CF420" s="16" t="s">
        <v>166</v>
      </c>
      <c r="CG420" s="17" t="s">
        <v>166</v>
      </c>
      <c r="CH420" s="16" t="s">
        <v>166</v>
      </c>
      <c r="CI420" s="16" t="s">
        <v>166</v>
      </c>
      <c r="CJ420" s="16" t="s">
        <v>166</v>
      </c>
      <c r="CK420" s="16" t="s">
        <v>166</v>
      </c>
      <c r="CL420" s="16" t="s">
        <v>166</v>
      </c>
      <c r="CM420" s="20" t="s">
        <v>166</v>
      </c>
      <c r="CN420" s="16" t="s">
        <v>166</v>
      </c>
      <c r="CO420" s="16" t="s">
        <v>166</v>
      </c>
      <c r="CP420" s="16" t="s">
        <v>166</v>
      </c>
      <c r="CQ420" s="16" t="s">
        <v>166</v>
      </c>
      <c r="CR420" s="16" t="s">
        <v>166</v>
      </c>
      <c r="CS420" s="16" t="s">
        <v>166</v>
      </c>
      <c r="CT420" s="16" t="s">
        <v>166</v>
      </c>
      <c r="CU420" s="16" t="s">
        <v>166</v>
      </c>
      <c r="CV420" s="16" t="s">
        <v>166</v>
      </c>
      <c r="CW420" s="16" t="s">
        <v>166</v>
      </c>
      <c r="CX420" s="16" t="s">
        <v>166</v>
      </c>
      <c r="CY420" s="16" t="s">
        <v>166</v>
      </c>
      <c r="CZ420" s="16" t="s">
        <v>166</v>
      </c>
      <c r="DA420" s="16" t="s">
        <v>166</v>
      </c>
      <c r="DB420" s="16" t="s">
        <v>166</v>
      </c>
      <c r="DC420" s="16" t="s">
        <v>166</v>
      </c>
      <c r="DD420" s="16" t="s">
        <v>166</v>
      </c>
      <c r="DE420" s="17" t="s">
        <v>166</v>
      </c>
      <c r="DF420" s="22">
        <v>9</v>
      </c>
      <c r="DG420" s="14" t="s">
        <v>3157</v>
      </c>
      <c r="DH420" s="14" t="s">
        <v>193</v>
      </c>
      <c r="DI420" s="14" t="s">
        <v>194</v>
      </c>
      <c r="DJ420" s="14" t="s">
        <v>3158</v>
      </c>
      <c r="DK420" s="14" t="s">
        <v>257</v>
      </c>
      <c r="DL420" s="21" t="s">
        <v>6483</v>
      </c>
      <c r="DM420" s="14" t="s">
        <v>198</v>
      </c>
      <c r="DN420" s="13" t="s">
        <v>8275</v>
      </c>
      <c r="DO420" s="20">
        <v>2021</v>
      </c>
      <c r="DP420" s="14" t="s">
        <v>166</v>
      </c>
      <c r="DQ420" s="14" t="s">
        <v>166</v>
      </c>
      <c r="DR420" s="18" t="s">
        <v>166</v>
      </c>
      <c r="DS420" s="16" t="s">
        <v>166</v>
      </c>
      <c r="DT420" s="19" t="s">
        <v>166</v>
      </c>
      <c r="DU420" s="14" t="s">
        <v>166</v>
      </c>
      <c r="DV420" s="18" t="s">
        <v>166</v>
      </c>
      <c r="DW420" s="18" t="s">
        <v>166</v>
      </c>
      <c r="DX420" s="16" t="s">
        <v>166</v>
      </c>
      <c r="DY420" s="16" t="s">
        <v>166</v>
      </c>
      <c r="DZ420" s="17" t="s">
        <v>166</v>
      </c>
      <c r="EA420" s="16" t="s">
        <v>166</v>
      </c>
      <c r="EB420" s="16" t="s">
        <v>166</v>
      </c>
      <c r="EC420" s="16" t="s">
        <v>166</v>
      </c>
      <c r="ED420" s="17" t="s">
        <v>166</v>
      </c>
      <c r="EE420" s="17" t="s">
        <v>166</v>
      </c>
      <c r="EF420" s="17" t="s">
        <v>166</v>
      </c>
      <c r="EG420" s="17" t="s">
        <v>166</v>
      </c>
      <c r="EH420" s="16" t="s">
        <v>166</v>
      </c>
      <c r="EI420" s="16" t="s">
        <v>166</v>
      </c>
      <c r="EJ420" s="16" t="s">
        <v>166</v>
      </c>
      <c r="EK420" s="16" t="s">
        <v>166</v>
      </c>
      <c r="EL420" s="16" t="s">
        <v>166</v>
      </c>
      <c r="EM420" s="16" t="s">
        <v>166</v>
      </c>
      <c r="EN420" s="16" t="s">
        <v>166</v>
      </c>
      <c r="EO420" s="16" t="s">
        <v>166</v>
      </c>
      <c r="EP420" s="16" t="s">
        <v>166</v>
      </c>
      <c r="EQ420" s="16" t="s">
        <v>166</v>
      </c>
      <c r="ER420" s="16" t="s">
        <v>166</v>
      </c>
      <c r="ES420" s="16" t="s">
        <v>166</v>
      </c>
      <c r="ET420" s="14" t="s">
        <v>166</v>
      </c>
      <c r="EU420" s="16" t="s">
        <v>166</v>
      </c>
      <c r="EV420" s="16" t="s">
        <v>166</v>
      </c>
      <c r="EW420" s="16" t="s">
        <v>166</v>
      </c>
      <c r="EX420" s="14" t="s">
        <v>190</v>
      </c>
      <c r="EY420" s="14" t="s">
        <v>166</v>
      </c>
      <c r="EZ420" s="16" t="s">
        <v>166</v>
      </c>
      <c r="FA420" s="15" t="s">
        <v>166</v>
      </c>
      <c r="FB420" s="15" t="s">
        <v>166</v>
      </c>
      <c r="FC420" s="15" t="s">
        <v>166</v>
      </c>
      <c r="FD420" s="15" t="s">
        <v>166</v>
      </c>
      <c r="FE420" s="15" t="s">
        <v>166</v>
      </c>
      <c r="FF420" s="15" t="s">
        <v>166</v>
      </c>
      <c r="FG420" s="14" t="s">
        <v>166</v>
      </c>
      <c r="FH420" s="3">
        <f>HYPERLINK("https://my.pitchbook.com?c=206269-84T","View Company Online")</f>
      </c>
    </row>
    <row r="421">
      <c r="A421" s="25" t="s">
        <v>8276</v>
      </c>
      <c r="B421" s="25" t="s">
        <v>8277</v>
      </c>
      <c r="C421" s="25" t="s">
        <v>8278</v>
      </c>
      <c r="D421" s="25" t="s">
        <v>166</v>
      </c>
      <c r="E421" s="34" t="s">
        <v>8279</v>
      </c>
      <c r="F421" s="32">
        <v>9</v>
      </c>
      <c r="G421" s="25" t="s">
        <v>8280</v>
      </c>
      <c r="H421" s="25" t="s">
        <v>166</v>
      </c>
      <c r="I421" s="25" t="s">
        <v>8281</v>
      </c>
      <c r="J421" s="25" t="s">
        <v>8282</v>
      </c>
      <c r="K421" s="25" t="s">
        <v>1455</v>
      </c>
      <c r="L421" s="25" t="s">
        <v>1984</v>
      </c>
      <c r="M421" s="25" t="s">
        <v>1985</v>
      </c>
      <c r="N421" s="25" t="s">
        <v>2661</v>
      </c>
      <c r="O421" s="25" t="s">
        <v>1035</v>
      </c>
      <c r="P421" s="25" t="s">
        <v>8283</v>
      </c>
      <c r="Q421" s="25" t="s">
        <v>166</v>
      </c>
      <c r="R421" s="25" t="s">
        <v>177</v>
      </c>
      <c r="S421" s="25" t="s">
        <v>178</v>
      </c>
      <c r="T421" s="25" t="s">
        <v>179</v>
      </c>
      <c r="U421" s="25" t="s">
        <v>8284</v>
      </c>
      <c r="V421" s="25" t="s">
        <v>8285</v>
      </c>
      <c r="W421" s="32" t="s">
        <v>8286</v>
      </c>
      <c r="X421" s="25" t="s">
        <v>8287</v>
      </c>
      <c r="Y421" s="25" t="s">
        <v>8288</v>
      </c>
      <c r="Z421" s="25" t="s">
        <v>8289</v>
      </c>
      <c r="AA421" s="25" t="s">
        <v>242</v>
      </c>
      <c r="AB421" s="25" t="s">
        <v>243</v>
      </c>
      <c r="AC421" s="25" t="s">
        <v>244</v>
      </c>
      <c r="AD421" s="25" t="s">
        <v>243</v>
      </c>
      <c r="AE421" s="25" t="s">
        <v>243</v>
      </c>
      <c r="AF421" s="25" t="s">
        <v>245</v>
      </c>
      <c r="AG421" s="25" t="s">
        <v>246</v>
      </c>
      <c r="AH421" s="32">
        <v>1</v>
      </c>
      <c r="AI421" s="4">
        <f>HYPERLINK("https://my.pitchbook.com/?d=214840-18T","214840-18T")</f>
      </c>
      <c r="AJ421" s="30" t="s">
        <v>166</v>
      </c>
      <c r="AK421" s="30">
        <v>44943</v>
      </c>
      <c r="AL421" s="29">
        <v>10</v>
      </c>
      <c r="AM421" s="25" t="s">
        <v>185</v>
      </c>
      <c r="AN421" s="29">
        <v>17</v>
      </c>
      <c r="AO421" s="29">
        <v>27</v>
      </c>
      <c r="AP421" s="25" t="s">
        <v>185</v>
      </c>
      <c r="AQ421" s="32" t="s">
        <v>166</v>
      </c>
      <c r="AR421" s="32" t="s">
        <v>166</v>
      </c>
      <c r="AS421" s="28">
        <v>37.04</v>
      </c>
      <c r="AT421" s="29">
        <v>10</v>
      </c>
      <c r="AU421" s="32" t="s">
        <v>186</v>
      </c>
      <c r="AV421" s="32" t="s">
        <v>166</v>
      </c>
      <c r="AW421" s="29">
        <v>3.09</v>
      </c>
      <c r="AX421" s="32" t="s">
        <v>248</v>
      </c>
      <c r="AY421" s="25" t="s">
        <v>187</v>
      </c>
      <c r="AZ421" s="25" t="s">
        <v>248</v>
      </c>
      <c r="BA421" s="25" t="s">
        <v>166</v>
      </c>
      <c r="BB421" s="32" t="s">
        <v>166</v>
      </c>
      <c r="BC421" s="25" t="s">
        <v>179</v>
      </c>
      <c r="BD421" s="25" t="s">
        <v>8290</v>
      </c>
      <c r="BE421" s="25" t="s">
        <v>189</v>
      </c>
      <c r="BF421" s="29">
        <v>10</v>
      </c>
      <c r="BG421" s="25" t="s">
        <v>190</v>
      </c>
      <c r="BH421" s="25" t="s">
        <v>166</v>
      </c>
      <c r="BI421" s="25" t="s">
        <v>166</v>
      </c>
      <c r="BJ421" s="29" t="s">
        <v>166</v>
      </c>
      <c r="BK421" s="29" t="s">
        <v>166</v>
      </c>
      <c r="BL421" s="25" t="s">
        <v>191</v>
      </c>
      <c r="BM421" s="25" t="s">
        <v>178</v>
      </c>
      <c r="BN421" s="25" t="s">
        <v>177</v>
      </c>
      <c r="BO421" s="33">
        <v>22</v>
      </c>
      <c r="BP421" s="25" t="s">
        <v>8291</v>
      </c>
      <c r="BQ421" s="32">
        <v>9</v>
      </c>
      <c r="BR421" s="25" t="s">
        <v>166</v>
      </c>
      <c r="BS421" s="32" t="s">
        <v>166</v>
      </c>
      <c r="BT421" s="25" t="s">
        <v>8292</v>
      </c>
      <c r="BU421" s="25" t="s">
        <v>166</v>
      </c>
      <c r="BV421" s="25" t="s">
        <v>8293</v>
      </c>
      <c r="BW421" s="25" t="s">
        <v>166</v>
      </c>
      <c r="BX421" s="25" t="s">
        <v>166</v>
      </c>
      <c r="BY421" s="25" t="s">
        <v>166</v>
      </c>
      <c r="BZ421" s="25" t="s">
        <v>8294</v>
      </c>
      <c r="CA421" s="25" t="s">
        <v>8295</v>
      </c>
      <c r="CB421" s="25" t="s">
        <v>166</v>
      </c>
      <c r="CC421" s="25" t="s">
        <v>8296</v>
      </c>
      <c r="CD421" s="25" t="s">
        <v>166</v>
      </c>
      <c r="CE421" s="29" t="s">
        <v>166</v>
      </c>
      <c r="CF421" s="27" t="s">
        <v>166</v>
      </c>
      <c r="CG421" s="28" t="s">
        <v>166</v>
      </c>
      <c r="CH421" s="27" t="s">
        <v>166</v>
      </c>
      <c r="CI421" s="27" t="s">
        <v>166</v>
      </c>
      <c r="CJ421" s="27" t="s">
        <v>166</v>
      </c>
      <c r="CK421" s="27" t="s">
        <v>166</v>
      </c>
      <c r="CL421" s="27" t="s">
        <v>166</v>
      </c>
      <c r="CM421" s="31" t="s">
        <v>166</v>
      </c>
      <c r="CN421" s="27" t="s">
        <v>166</v>
      </c>
      <c r="CO421" s="27" t="s">
        <v>166</v>
      </c>
      <c r="CP421" s="27" t="s">
        <v>166</v>
      </c>
      <c r="CQ421" s="27" t="s">
        <v>166</v>
      </c>
      <c r="CR421" s="27" t="s">
        <v>166</v>
      </c>
      <c r="CS421" s="27" t="s">
        <v>166</v>
      </c>
      <c r="CT421" s="27" t="s">
        <v>166</v>
      </c>
      <c r="CU421" s="27" t="s">
        <v>166</v>
      </c>
      <c r="CV421" s="27" t="s">
        <v>166</v>
      </c>
      <c r="CW421" s="27" t="s">
        <v>166</v>
      </c>
      <c r="CX421" s="27" t="s">
        <v>166</v>
      </c>
      <c r="CY421" s="27" t="s">
        <v>166</v>
      </c>
      <c r="CZ421" s="27" t="s">
        <v>166</v>
      </c>
      <c r="DA421" s="27" t="s">
        <v>166</v>
      </c>
      <c r="DB421" s="27" t="s">
        <v>166</v>
      </c>
      <c r="DC421" s="27" t="s">
        <v>166</v>
      </c>
      <c r="DD421" s="27" t="s">
        <v>166</v>
      </c>
      <c r="DE421" s="28" t="s">
        <v>166</v>
      </c>
      <c r="DF421" s="33">
        <v>120</v>
      </c>
      <c r="DG421" s="25" t="s">
        <v>673</v>
      </c>
      <c r="DH421" s="25" t="s">
        <v>193</v>
      </c>
      <c r="DI421" s="25" t="s">
        <v>194</v>
      </c>
      <c r="DJ421" s="25" t="s">
        <v>674</v>
      </c>
      <c r="DK421" s="25" t="s">
        <v>257</v>
      </c>
      <c r="DL421" s="32" t="s">
        <v>8297</v>
      </c>
      <c r="DM421" s="25" t="s">
        <v>198</v>
      </c>
      <c r="DN421" s="24" t="s">
        <v>8298</v>
      </c>
      <c r="DO421" s="31">
        <v>2022</v>
      </c>
      <c r="DP421" s="25" t="s">
        <v>166</v>
      </c>
      <c r="DQ421" s="25" t="s">
        <v>166</v>
      </c>
      <c r="DR421" s="29" t="s">
        <v>166</v>
      </c>
      <c r="DS421" s="27" t="s">
        <v>166</v>
      </c>
      <c r="DT421" s="30" t="s">
        <v>166</v>
      </c>
      <c r="DU421" s="25" t="s">
        <v>166</v>
      </c>
      <c r="DV421" s="29" t="s">
        <v>166</v>
      </c>
      <c r="DW421" s="29" t="s">
        <v>166</v>
      </c>
      <c r="DX421" s="27" t="s">
        <v>166</v>
      </c>
      <c r="DY421" s="27" t="s">
        <v>166</v>
      </c>
      <c r="DZ421" s="28" t="s">
        <v>166</v>
      </c>
      <c r="EA421" s="27" t="s">
        <v>166</v>
      </c>
      <c r="EB421" s="27" t="s">
        <v>166</v>
      </c>
      <c r="EC421" s="27" t="s">
        <v>166</v>
      </c>
      <c r="ED421" s="28" t="s">
        <v>166</v>
      </c>
      <c r="EE421" s="28" t="s">
        <v>166</v>
      </c>
      <c r="EF421" s="28" t="s">
        <v>166</v>
      </c>
      <c r="EG421" s="28" t="s">
        <v>166</v>
      </c>
      <c r="EH421" s="27" t="s">
        <v>166</v>
      </c>
      <c r="EI421" s="27" t="s">
        <v>166</v>
      </c>
      <c r="EJ421" s="27" t="s">
        <v>166</v>
      </c>
      <c r="EK421" s="27" t="s">
        <v>166</v>
      </c>
      <c r="EL421" s="27" t="s">
        <v>166</v>
      </c>
      <c r="EM421" s="27" t="s">
        <v>166</v>
      </c>
      <c r="EN421" s="27" t="s">
        <v>166</v>
      </c>
      <c r="EO421" s="27" t="s">
        <v>166</v>
      </c>
      <c r="EP421" s="27" t="s">
        <v>166</v>
      </c>
      <c r="EQ421" s="27" t="s">
        <v>166</v>
      </c>
      <c r="ER421" s="27" t="s">
        <v>166</v>
      </c>
      <c r="ES421" s="27" t="s">
        <v>166</v>
      </c>
      <c r="ET421" s="25" t="s">
        <v>166</v>
      </c>
      <c r="EU421" s="27" t="s">
        <v>166</v>
      </c>
      <c r="EV421" s="27" t="s">
        <v>166</v>
      </c>
      <c r="EW421" s="27" t="s">
        <v>166</v>
      </c>
      <c r="EX421" s="25" t="s">
        <v>190</v>
      </c>
      <c r="EY421" s="25" t="s">
        <v>166</v>
      </c>
      <c r="EZ421" s="27" t="s">
        <v>166</v>
      </c>
      <c r="FA421" s="26" t="s">
        <v>166</v>
      </c>
      <c r="FB421" s="26" t="s">
        <v>166</v>
      </c>
      <c r="FC421" s="26" t="s">
        <v>166</v>
      </c>
      <c r="FD421" s="26" t="s">
        <v>166</v>
      </c>
      <c r="FE421" s="26" t="s">
        <v>166</v>
      </c>
      <c r="FF421" s="26" t="s">
        <v>166</v>
      </c>
      <c r="FG421" s="25" t="s">
        <v>166</v>
      </c>
      <c r="FH421" s="4">
        <f>HYPERLINK("https://my.pitchbook.com?c=214840-18T","View Company Online")</f>
      </c>
    </row>
    <row r="422">
      <c r="A422" s="14" t="s">
        <v>8299</v>
      </c>
      <c r="B422" s="14" t="s">
        <v>8300</v>
      </c>
      <c r="C422" s="14" t="s">
        <v>8301</v>
      </c>
      <c r="D422" s="14" t="s">
        <v>166</v>
      </c>
      <c r="E422" s="23" t="s">
        <v>8302</v>
      </c>
      <c r="F422" s="21">
        <v>4</v>
      </c>
      <c r="G422" s="14" t="s">
        <v>8303</v>
      </c>
      <c r="H422" s="14" t="s">
        <v>166</v>
      </c>
      <c r="I422" s="14" t="s">
        <v>8304</v>
      </c>
      <c r="J422" s="14" t="s">
        <v>8305</v>
      </c>
      <c r="K422" s="14" t="s">
        <v>207</v>
      </c>
      <c r="L422" s="14" t="s">
        <v>208</v>
      </c>
      <c r="M422" s="14" t="s">
        <v>209</v>
      </c>
      <c r="N422" s="14" t="s">
        <v>8306</v>
      </c>
      <c r="O422" s="14" t="s">
        <v>8307</v>
      </c>
      <c r="P422" s="14" t="s">
        <v>8308</v>
      </c>
      <c r="Q422" s="14" t="s">
        <v>166</v>
      </c>
      <c r="R422" s="14" t="s">
        <v>177</v>
      </c>
      <c r="S422" s="14" t="s">
        <v>178</v>
      </c>
      <c r="T422" s="14" t="s">
        <v>179</v>
      </c>
      <c r="U422" s="14" t="s">
        <v>8309</v>
      </c>
      <c r="V422" s="14" t="s">
        <v>8310</v>
      </c>
      <c r="W422" s="21" t="s">
        <v>166</v>
      </c>
      <c r="X422" s="14" t="s">
        <v>8311</v>
      </c>
      <c r="Y422" s="14" t="s">
        <v>8312</v>
      </c>
      <c r="Z422" s="14" t="s">
        <v>166</v>
      </c>
      <c r="AA422" s="14" t="s">
        <v>166</v>
      </c>
      <c r="AB422" s="14" t="s">
        <v>166</v>
      </c>
      <c r="AC422" s="14" t="s">
        <v>166</v>
      </c>
      <c r="AD422" s="14" t="s">
        <v>166</v>
      </c>
      <c r="AE422" s="14" t="s">
        <v>166</v>
      </c>
      <c r="AF422" s="14" t="s">
        <v>166</v>
      </c>
      <c r="AG422" s="14" t="s">
        <v>166</v>
      </c>
      <c r="AH422" s="21">
        <v>1</v>
      </c>
      <c r="AI422" s="3">
        <f>HYPERLINK("https://my.pitchbook.com/?d=183228-76T","183228-76T")</f>
      </c>
      <c r="AJ422" s="19" t="s">
        <v>166</v>
      </c>
      <c r="AK422" s="19">
        <v>44409</v>
      </c>
      <c r="AL422" s="18">
        <v>1.1</v>
      </c>
      <c r="AM422" s="14" t="s">
        <v>185</v>
      </c>
      <c r="AN422" s="18">
        <v>10</v>
      </c>
      <c r="AO422" s="18">
        <v>11.1</v>
      </c>
      <c r="AP422" s="14" t="s">
        <v>185</v>
      </c>
      <c r="AQ422" s="21" t="s">
        <v>166</v>
      </c>
      <c r="AR422" s="21" t="s">
        <v>166</v>
      </c>
      <c r="AS422" s="17" t="s">
        <v>166</v>
      </c>
      <c r="AT422" s="18">
        <v>1.1</v>
      </c>
      <c r="AU422" s="21" t="s">
        <v>186</v>
      </c>
      <c r="AV422" s="21" t="s">
        <v>166</v>
      </c>
      <c r="AW422" s="18" t="s">
        <v>166</v>
      </c>
      <c r="AX422" s="21" t="s">
        <v>166</v>
      </c>
      <c r="AY422" s="14" t="s">
        <v>217</v>
      </c>
      <c r="AZ422" s="14" t="s">
        <v>217</v>
      </c>
      <c r="BA422" s="14" t="s">
        <v>166</v>
      </c>
      <c r="BB422" s="21" t="s">
        <v>166</v>
      </c>
      <c r="BC422" s="14" t="s">
        <v>179</v>
      </c>
      <c r="BD422" s="14" t="s">
        <v>8313</v>
      </c>
      <c r="BE422" s="14" t="s">
        <v>189</v>
      </c>
      <c r="BF422" s="18">
        <v>1.1</v>
      </c>
      <c r="BG422" s="14" t="s">
        <v>190</v>
      </c>
      <c r="BH422" s="14" t="s">
        <v>166</v>
      </c>
      <c r="BI422" s="14" t="s">
        <v>166</v>
      </c>
      <c r="BJ422" s="18" t="s">
        <v>166</v>
      </c>
      <c r="BK422" s="18" t="s">
        <v>166</v>
      </c>
      <c r="BL422" s="14" t="s">
        <v>191</v>
      </c>
      <c r="BM422" s="14" t="s">
        <v>358</v>
      </c>
      <c r="BN422" s="14" t="s">
        <v>177</v>
      </c>
      <c r="BO422" s="22">
        <v>8</v>
      </c>
      <c r="BP422" s="14" t="s">
        <v>8302</v>
      </c>
      <c r="BQ422" s="21">
        <v>4</v>
      </c>
      <c r="BR422" s="14" t="s">
        <v>166</v>
      </c>
      <c r="BS422" s="21" t="s">
        <v>166</v>
      </c>
      <c r="BT422" s="14" t="s">
        <v>166</v>
      </c>
      <c r="BU422" s="14" t="s">
        <v>166</v>
      </c>
      <c r="BV422" s="14" t="s">
        <v>166</v>
      </c>
      <c r="BW422" s="14" t="s">
        <v>166</v>
      </c>
      <c r="BX422" s="14" t="s">
        <v>166</v>
      </c>
      <c r="BY422" s="14" t="s">
        <v>166</v>
      </c>
      <c r="BZ422" s="14" t="s">
        <v>166</v>
      </c>
      <c r="CA422" s="14" t="s">
        <v>166</v>
      </c>
      <c r="CB422" s="14" t="s">
        <v>166</v>
      </c>
      <c r="CC422" s="14" t="s">
        <v>166</v>
      </c>
      <c r="CD422" s="14" t="s">
        <v>166</v>
      </c>
      <c r="CE422" s="18" t="s">
        <v>166</v>
      </c>
      <c r="CF422" s="16" t="s">
        <v>166</v>
      </c>
      <c r="CG422" s="17" t="s">
        <v>166</v>
      </c>
      <c r="CH422" s="16" t="s">
        <v>166</v>
      </c>
      <c r="CI422" s="16" t="s">
        <v>166</v>
      </c>
      <c r="CJ422" s="16" t="s">
        <v>166</v>
      </c>
      <c r="CK422" s="16" t="s">
        <v>166</v>
      </c>
      <c r="CL422" s="16" t="s">
        <v>166</v>
      </c>
      <c r="CM422" s="20" t="s">
        <v>166</v>
      </c>
      <c r="CN422" s="16" t="s">
        <v>166</v>
      </c>
      <c r="CO422" s="16" t="s">
        <v>166</v>
      </c>
      <c r="CP422" s="16" t="s">
        <v>166</v>
      </c>
      <c r="CQ422" s="16" t="s">
        <v>166</v>
      </c>
      <c r="CR422" s="16" t="s">
        <v>166</v>
      </c>
      <c r="CS422" s="16" t="s">
        <v>166</v>
      </c>
      <c r="CT422" s="16" t="s">
        <v>166</v>
      </c>
      <c r="CU422" s="16" t="s">
        <v>166</v>
      </c>
      <c r="CV422" s="16" t="s">
        <v>166</v>
      </c>
      <c r="CW422" s="16" t="s">
        <v>166</v>
      </c>
      <c r="CX422" s="16" t="s">
        <v>166</v>
      </c>
      <c r="CY422" s="16" t="s">
        <v>166</v>
      </c>
      <c r="CZ422" s="16" t="s">
        <v>166</v>
      </c>
      <c r="DA422" s="16" t="s">
        <v>166</v>
      </c>
      <c r="DB422" s="16" t="s">
        <v>166</v>
      </c>
      <c r="DC422" s="16" t="s">
        <v>166</v>
      </c>
      <c r="DD422" s="16" t="s">
        <v>166</v>
      </c>
      <c r="DE422" s="17" t="s">
        <v>166</v>
      </c>
      <c r="DF422" s="22">
        <v>29</v>
      </c>
      <c r="DG422" s="14" t="s">
        <v>8314</v>
      </c>
      <c r="DH422" s="14" t="s">
        <v>193</v>
      </c>
      <c r="DI422" s="14" t="s">
        <v>194</v>
      </c>
      <c r="DJ422" s="14" t="s">
        <v>999</v>
      </c>
      <c r="DK422" s="14" t="s">
        <v>1063</v>
      </c>
      <c r="DL422" s="21" t="s">
        <v>8315</v>
      </c>
      <c r="DM422" s="14" t="s">
        <v>198</v>
      </c>
      <c r="DN422" s="13" t="s">
        <v>8316</v>
      </c>
      <c r="DO422" s="20">
        <v>2021</v>
      </c>
      <c r="DP422" s="14" t="s">
        <v>166</v>
      </c>
      <c r="DQ422" s="14" t="s">
        <v>166</v>
      </c>
      <c r="DR422" s="18" t="s">
        <v>166</v>
      </c>
      <c r="DS422" s="16" t="s">
        <v>166</v>
      </c>
      <c r="DT422" s="19" t="s">
        <v>166</v>
      </c>
      <c r="DU422" s="14" t="s">
        <v>166</v>
      </c>
      <c r="DV422" s="18" t="s">
        <v>166</v>
      </c>
      <c r="DW422" s="18" t="s">
        <v>166</v>
      </c>
      <c r="DX422" s="16" t="s">
        <v>166</v>
      </c>
      <c r="DY422" s="16" t="s">
        <v>166</v>
      </c>
      <c r="DZ422" s="17" t="s">
        <v>166</v>
      </c>
      <c r="EA422" s="16" t="s">
        <v>166</v>
      </c>
      <c r="EB422" s="16" t="s">
        <v>166</v>
      </c>
      <c r="EC422" s="16" t="s">
        <v>166</v>
      </c>
      <c r="ED422" s="17" t="s">
        <v>166</v>
      </c>
      <c r="EE422" s="17" t="s">
        <v>166</v>
      </c>
      <c r="EF422" s="17" t="s">
        <v>166</v>
      </c>
      <c r="EG422" s="17" t="s">
        <v>166</v>
      </c>
      <c r="EH422" s="16" t="s">
        <v>166</v>
      </c>
      <c r="EI422" s="16" t="s">
        <v>166</v>
      </c>
      <c r="EJ422" s="16" t="s">
        <v>166</v>
      </c>
      <c r="EK422" s="16" t="s">
        <v>166</v>
      </c>
      <c r="EL422" s="16" t="s">
        <v>166</v>
      </c>
      <c r="EM422" s="16" t="s">
        <v>166</v>
      </c>
      <c r="EN422" s="16" t="s">
        <v>166</v>
      </c>
      <c r="EO422" s="16" t="s">
        <v>166</v>
      </c>
      <c r="EP422" s="16" t="s">
        <v>166</v>
      </c>
      <c r="EQ422" s="16" t="s">
        <v>166</v>
      </c>
      <c r="ER422" s="16" t="s">
        <v>166</v>
      </c>
      <c r="ES422" s="16" t="s">
        <v>166</v>
      </c>
      <c r="ET422" s="14" t="s">
        <v>166</v>
      </c>
      <c r="EU422" s="16" t="s">
        <v>166</v>
      </c>
      <c r="EV422" s="16" t="s">
        <v>166</v>
      </c>
      <c r="EW422" s="16" t="s">
        <v>166</v>
      </c>
      <c r="EX422" s="14" t="s">
        <v>190</v>
      </c>
      <c r="EY422" s="14" t="s">
        <v>166</v>
      </c>
      <c r="EZ422" s="16" t="s">
        <v>166</v>
      </c>
      <c r="FA422" s="15" t="s">
        <v>166</v>
      </c>
      <c r="FB422" s="15" t="s">
        <v>166</v>
      </c>
      <c r="FC422" s="15" t="s">
        <v>166</v>
      </c>
      <c r="FD422" s="15" t="s">
        <v>166</v>
      </c>
      <c r="FE422" s="15" t="s">
        <v>166</v>
      </c>
      <c r="FF422" s="15" t="s">
        <v>166</v>
      </c>
      <c r="FG422" s="14" t="s">
        <v>166</v>
      </c>
      <c r="FH422" s="3">
        <f>HYPERLINK("https://my.pitchbook.com?c=183228-76T","View Company Online")</f>
      </c>
    </row>
    <row r="423">
      <c r="A423" s="25" t="s">
        <v>8317</v>
      </c>
      <c r="B423" s="25" t="s">
        <v>8318</v>
      </c>
      <c r="C423" s="25" t="s">
        <v>8319</v>
      </c>
      <c r="D423" s="25" t="s">
        <v>166</v>
      </c>
      <c r="E423" s="34" t="s">
        <v>8320</v>
      </c>
      <c r="F423" s="32">
        <v>7</v>
      </c>
      <c r="G423" s="25" t="s">
        <v>8321</v>
      </c>
      <c r="H423" s="25" t="s">
        <v>166</v>
      </c>
      <c r="I423" s="25" t="s">
        <v>8322</v>
      </c>
      <c r="J423" s="25" t="s">
        <v>8323</v>
      </c>
      <c r="K423" s="25" t="s">
        <v>207</v>
      </c>
      <c r="L423" s="25" t="s">
        <v>208</v>
      </c>
      <c r="M423" s="25" t="s">
        <v>209</v>
      </c>
      <c r="N423" s="25" t="s">
        <v>1359</v>
      </c>
      <c r="O423" s="25" t="s">
        <v>8324</v>
      </c>
      <c r="P423" s="25" t="s">
        <v>8325</v>
      </c>
      <c r="Q423" s="25" t="s">
        <v>166</v>
      </c>
      <c r="R423" s="25" t="s">
        <v>177</v>
      </c>
      <c r="S423" s="25" t="s">
        <v>178</v>
      </c>
      <c r="T423" s="25" t="s">
        <v>179</v>
      </c>
      <c r="U423" s="25" t="s">
        <v>8326</v>
      </c>
      <c r="V423" s="25" t="s">
        <v>8327</v>
      </c>
      <c r="W423" s="32" t="s">
        <v>166</v>
      </c>
      <c r="X423" s="25" t="s">
        <v>8328</v>
      </c>
      <c r="Y423" s="25" t="s">
        <v>8329</v>
      </c>
      <c r="Z423" s="25" t="s">
        <v>8330</v>
      </c>
      <c r="AA423" s="25" t="s">
        <v>166</v>
      </c>
      <c r="AB423" s="25" t="s">
        <v>166</v>
      </c>
      <c r="AC423" s="25" t="s">
        <v>166</v>
      </c>
      <c r="AD423" s="25" t="s">
        <v>166</v>
      </c>
      <c r="AE423" s="25" t="s">
        <v>166</v>
      </c>
      <c r="AF423" s="25" t="s">
        <v>166</v>
      </c>
      <c r="AG423" s="25" t="s">
        <v>166</v>
      </c>
      <c r="AH423" s="32">
        <v>2</v>
      </c>
      <c r="AI423" s="4">
        <f>HYPERLINK("https://my.pitchbook.com/?d=214048-45T","214048-45T")</f>
      </c>
      <c r="AJ423" s="30" t="s">
        <v>166</v>
      </c>
      <c r="AK423" s="30">
        <v>45107</v>
      </c>
      <c r="AL423" s="29">
        <v>0.5</v>
      </c>
      <c r="AM423" s="25" t="s">
        <v>185</v>
      </c>
      <c r="AN423" s="29">
        <v>5.5</v>
      </c>
      <c r="AO423" s="29">
        <v>6</v>
      </c>
      <c r="AP423" s="25" t="s">
        <v>185</v>
      </c>
      <c r="AQ423" s="32" t="s">
        <v>166</v>
      </c>
      <c r="AR423" s="32" t="s">
        <v>166</v>
      </c>
      <c r="AS423" s="28">
        <v>8.33</v>
      </c>
      <c r="AT423" s="29">
        <v>0.62</v>
      </c>
      <c r="AU423" s="32" t="s">
        <v>186</v>
      </c>
      <c r="AV423" s="32" t="s">
        <v>166</v>
      </c>
      <c r="AW423" s="29" t="s">
        <v>166</v>
      </c>
      <c r="AX423" s="32" t="s">
        <v>166</v>
      </c>
      <c r="AY423" s="25" t="s">
        <v>217</v>
      </c>
      <c r="AZ423" s="25" t="s">
        <v>217</v>
      </c>
      <c r="BA423" s="25" t="s">
        <v>166</v>
      </c>
      <c r="BB423" s="32" t="s">
        <v>166</v>
      </c>
      <c r="BC423" s="25" t="s">
        <v>179</v>
      </c>
      <c r="BD423" s="25" t="s">
        <v>8331</v>
      </c>
      <c r="BE423" s="25" t="s">
        <v>189</v>
      </c>
      <c r="BF423" s="29">
        <v>0.5</v>
      </c>
      <c r="BG423" s="25" t="s">
        <v>190</v>
      </c>
      <c r="BH423" s="25" t="s">
        <v>166</v>
      </c>
      <c r="BI423" s="25" t="s">
        <v>166</v>
      </c>
      <c r="BJ423" s="29" t="s">
        <v>166</v>
      </c>
      <c r="BK423" s="29" t="s">
        <v>166</v>
      </c>
      <c r="BL423" s="25" t="s">
        <v>191</v>
      </c>
      <c r="BM423" s="25" t="s">
        <v>178</v>
      </c>
      <c r="BN423" s="25" t="s">
        <v>177</v>
      </c>
      <c r="BO423" s="33" t="s">
        <v>166</v>
      </c>
      <c r="BP423" s="25" t="s">
        <v>8332</v>
      </c>
      <c r="BQ423" s="32">
        <v>7</v>
      </c>
      <c r="BR423" s="25" t="s">
        <v>166</v>
      </c>
      <c r="BS423" s="32" t="s">
        <v>166</v>
      </c>
      <c r="BT423" s="25" t="s">
        <v>166</v>
      </c>
      <c r="BU423" s="25" t="s">
        <v>166</v>
      </c>
      <c r="BV423" s="25" t="s">
        <v>166</v>
      </c>
      <c r="BW423" s="25" t="s">
        <v>166</v>
      </c>
      <c r="BX423" s="25" t="s">
        <v>166</v>
      </c>
      <c r="BY423" s="25" t="s">
        <v>166</v>
      </c>
      <c r="BZ423" s="25" t="s">
        <v>166</v>
      </c>
      <c r="CA423" s="25" t="s">
        <v>166</v>
      </c>
      <c r="CB423" s="25" t="s">
        <v>166</v>
      </c>
      <c r="CC423" s="25" t="s">
        <v>166</v>
      </c>
      <c r="CD423" s="25" t="s">
        <v>166</v>
      </c>
      <c r="CE423" s="29" t="s">
        <v>166</v>
      </c>
      <c r="CF423" s="27">
        <v>0.05</v>
      </c>
      <c r="CG423" s="28" t="s">
        <v>166</v>
      </c>
      <c r="CH423" s="27" t="s">
        <v>166</v>
      </c>
      <c r="CI423" s="27">
        <v>-0.09</v>
      </c>
      <c r="CJ423" s="27" t="s">
        <v>166</v>
      </c>
      <c r="CK423" s="27" t="s">
        <v>166</v>
      </c>
      <c r="CL423" s="27" t="s">
        <v>166</v>
      </c>
      <c r="CM423" s="31">
        <v>2022</v>
      </c>
      <c r="CN423" s="27" t="s">
        <v>166</v>
      </c>
      <c r="CO423" s="27" t="s">
        <v>166</v>
      </c>
      <c r="CP423" s="27">
        <v>-66.47</v>
      </c>
      <c r="CQ423" s="27">
        <v>130.46</v>
      </c>
      <c r="CR423" s="27" t="s">
        <v>166</v>
      </c>
      <c r="CS423" s="27" t="s">
        <v>166</v>
      </c>
      <c r="CT423" s="27" t="s">
        <v>166</v>
      </c>
      <c r="CU423" s="27">
        <v>-5.54</v>
      </c>
      <c r="CV423" s="27">
        <v>10.87</v>
      </c>
      <c r="CW423" s="27" t="s">
        <v>166</v>
      </c>
      <c r="CX423" s="27" t="s">
        <v>166</v>
      </c>
      <c r="CY423" s="27" t="s">
        <v>166</v>
      </c>
      <c r="CZ423" s="27" t="s">
        <v>166</v>
      </c>
      <c r="DA423" s="27" t="s">
        <v>166</v>
      </c>
      <c r="DB423" s="27" t="s">
        <v>166</v>
      </c>
      <c r="DC423" s="27" t="s">
        <v>166</v>
      </c>
      <c r="DD423" s="27" t="s">
        <v>166</v>
      </c>
      <c r="DE423" s="28" t="s">
        <v>166</v>
      </c>
      <c r="DF423" s="33">
        <v>4</v>
      </c>
      <c r="DG423" s="25" t="s">
        <v>2367</v>
      </c>
      <c r="DH423" s="25" t="s">
        <v>193</v>
      </c>
      <c r="DI423" s="25" t="s">
        <v>194</v>
      </c>
      <c r="DJ423" s="25" t="s">
        <v>2368</v>
      </c>
      <c r="DK423" s="25" t="s">
        <v>2369</v>
      </c>
      <c r="DL423" s="32" t="s">
        <v>8333</v>
      </c>
      <c r="DM423" s="25" t="s">
        <v>198</v>
      </c>
      <c r="DN423" s="24" t="s">
        <v>8334</v>
      </c>
      <c r="DO423" s="31">
        <v>2021</v>
      </c>
      <c r="DP423" s="25" t="s">
        <v>166</v>
      </c>
      <c r="DQ423" s="25" t="s">
        <v>166</v>
      </c>
      <c r="DR423" s="29" t="s">
        <v>166</v>
      </c>
      <c r="DS423" s="27" t="s">
        <v>166</v>
      </c>
      <c r="DT423" s="30" t="s">
        <v>166</v>
      </c>
      <c r="DU423" s="25" t="s">
        <v>166</v>
      </c>
      <c r="DV423" s="29" t="s">
        <v>166</v>
      </c>
      <c r="DW423" s="29" t="s">
        <v>166</v>
      </c>
      <c r="DX423" s="27" t="s">
        <v>166</v>
      </c>
      <c r="DY423" s="27" t="s">
        <v>166</v>
      </c>
      <c r="DZ423" s="28" t="s">
        <v>166</v>
      </c>
      <c r="EA423" s="27" t="s">
        <v>166</v>
      </c>
      <c r="EB423" s="27" t="s">
        <v>166</v>
      </c>
      <c r="EC423" s="27" t="s">
        <v>166</v>
      </c>
      <c r="ED423" s="28" t="s">
        <v>166</v>
      </c>
      <c r="EE423" s="28" t="s">
        <v>166</v>
      </c>
      <c r="EF423" s="28" t="s">
        <v>166</v>
      </c>
      <c r="EG423" s="28" t="s">
        <v>166</v>
      </c>
      <c r="EH423" s="27" t="s">
        <v>166</v>
      </c>
      <c r="EI423" s="27" t="s">
        <v>166</v>
      </c>
      <c r="EJ423" s="27" t="s">
        <v>166</v>
      </c>
      <c r="EK423" s="27" t="s">
        <v>166</v>
      </c>
      <c r="EL423" s="27" t="s">
        <v>166</v>
      </c>
      <c r="EM423" s="27" t="s">
        <v>166</v>
      </c>
      <c r="EN423" s="27" t="s">
        <v>166</v>
      </c>
      <c r="EO423" s="27" t="s">
        <v>166</v>
      </c>
      <c r="EP423" s="27" t="s">
        <v>166</v>
      </c>
      <c r="EQ423" s="27" t="s">
        <v>166</v>
      </c>
      <c r="ER423" s="27" t="s">
        <v>166</v>
      </c>
      <c r="ES423" s="27" t="s">
        <v>166</v>
      </c>
      <c r="ET423" s="25" t="s">
        <v>166</v>
      </c>
      <c r="EU423" s="27" t="s">
        <v>166</v>
      </c>
      <c r="EV423" s="27" t="s">
        <v>166</v>
      </c>
      <c r="EW423" s="27" t="s">
        <v>166</v>
      </c>
      <c r="EX423" s="25" t="s">
        <v>190</v>
      </c>
      <c r="EY423" s="25" t="s">
        <v>166</v>
      </c>
      <c r="EZ423" s="27" t="s">
        <v>166</v>
      </c>
      <c r="FA423" s="26" t="s">
        <v>166</v>
      </c>
      <c r="FB423" s="26" t="s">
        <v>166</v>
      </c>
      <c r="FC423" s="26" t="s">
        <v>166</v>
      </c>
      <c r="FD423" s="26" t="s">
        <v>166</v>
      </c>
      <c r="FE423" s="26" t="s">
        <v>166</v>
      </c>
      <c r="FF423" s="26" t="s">
        <v>166</v>
      </c>
      <c r="FG423" s="25" t="s">
        <v>166</v>
      </c>
      <c r="FH423" s="4">
        <f>HYPERLINK("https://my.pitchbook.com?c=214048-45T","View Company Online")</f>
      </c>
    </row>
    <row r="424">
      <c r="A424" s="14" t="s">
        <v>8335</v>
      </c>
      <c r="B424" s="14" t="s">
        <v>8336</v>
      </c>
      <c r="C424" s="14" t="s">
        <v>8337</v>
      </c>
      <c r="D424" s="14" t="s">
        <v>166</v>
      </c>
      <c r="E424" s="23" t="s">
        <v>8338</v>
      </c>
      <c r="F424" s="21">
        <v>8</v>
      </c>
      <c r="G424" s="14" t="s">
        <v>8339</v>
      </c>
      <c r="H424" s="14" t="s">
        <v>166</v>
      </c>
      <c r="I424" s="14" t="s">
        <v>8340</v>
      </c>
      <c r="J424" s="14" t="s">
        <v>8341</v>
      </c>
      <c r="K424" s="14" t="s">
        <v>207</v>
      </c>
      <c r="L424" s="14" t="s">
        <v>208</v>
      </c>
      <c r="M424" s="14" t="s">
        <v>209</v>
      </c>
      <c r="N424" s="14" t="s">
        <v>2471</v>
      </c>
      <c r="O424" s="14" t="s">
        <v>800</v>
      </c>
      <c r="P424" s="14" t="s">
        <v>8342</v>
      </c>
      <c r="Q424" s="14" t="s">
        <v>926</v>
      </c>
      <c r="R424" s="14" t="s">
        <v>177</v>
      </c>
      <c r="S424" s="14" t="s">
        <v>178</v>
      </c>
      <c r="T424" s="14" t="s">
        <v>179</v>
      </c>
      <c r="U424" s="14" t="s">
        <v>8343</v>
      </c>
      <c r="V424" s="14" t="s">
        <v>8344</v>
      </c>
      <c r="W424" s="21" t="s">
        <v>166</v>
      </c>
      <c r="X424" s="14" t="s">
        <v>8345</v>
      </c>
      <c r="Y424" s="14" t="s">
        <v>8346</v>
      </c>
      <c r="Z424" s="14" t="s">
        <v>8347</v>
      </c>
      <c r="AA424" s="14" t="s">
        <v>166</v>
      </c>
      <c r="AB424" s="14" t="s">
        <v>166</v>
      </c>
      <c r="AC424" s="14" t="s">
        <v>166</v>
      </c>
      <c r="AD424" s="14" t="s">
        <v>166</v>
      </c>
      <c r="AE424" s="14" t="s">
        <v>166</v>
      </c>
      <c r="AF424" s="14" t="s">
        <v>166</v>
      </c>
      <c r="AG424" s="14" t="s">
        <v>166</v>
      </c>
      <c r="AH424" s="21">
        <v>1</v>
      </c>
      <c r="AI424" s="3">
        <f>HYPERLINK("https://my.pitchbook.com/?d=175519-27T","175519-27T")</f>
      </c>
      <c r="AJ424" s="19" t="s">
        <v>166</v>
      </c>
      <c r="AK424" s="19">
        <v>44355</v>
      </c>
      <c r="AL424" s="18">
        <v>4.3</v>
      </c>
      <c r="AM424" s="14" t="s">
        <v>185</v>
      </c>
      <c r="AN424" s="18">
        <v>8</v>
      </c>
      <c r="AO424" s="18">
        <v>12.3</v>
      </c>
      <c r="AP424" s="14" t="s">
        <v>185</v>
      </c>
      <c r="AQ424" s="21" t="s">
        <v>166</v>
      </c>
      <c r="AR424" s="21" t="s">
        <v>166</v>
      </c>
      <c r="AS424" s="17" t="s">
        <v>166</v>
      </c>
      <c r="AT424" s="18">
        <v>4.3</v>
      </c>
      <c r="AU424" s="21" t="s">
        <v>186</v>
      </c>
      <c r="AV424" s="21" t="s">
        <v>166</v>
      </c>
      <c r="AW424" s="18" t="s">
        <v>166</v>
      </c>
      <c r="AX424" s="21" t="s">
        <v>166</v>
      </c>
      <c r="AY424" s="14" t="s">
        <v>217</v>
      </c>
      <c r="AZ424" s="14" t="s">
        <v>217</v>
      </c>
      <c r="BA424" s="14" t="s">
        <v>166</v>
      </c>
      <c r="BB424" s="21" t="s">
        <v>166</v>
      </c>
      <c r="BC424" s="14" t="s">
        <v>179</v>
      </c>
      <c r="BD424" s="14" t="s">
        <v>8348</v>
      </c>
      <c r="BE424" s="14" t="s">
        <v>189</v>
      </c>
      <c r="BF424" s="18">
        <v>4.3</v>
      </c>
      <c r="BG424" s="14" t="s">
        <v>190</v>
      </c>
      <c r="BH424" s="14" t="s">
        <v>166</v>
      </c>
      <c r="BI424" s="14" t="s">
        <v>166</v>
      </c>
      <c r="BJ424" s="18" t="s">
        <v>166</v>
      </c>
      <c r="BK424" s="18" t="s">
        <v>166</v>
      </c>
      <c r="BL424" s="14" t="s">
        <v>191</v>
      </c>
      <c r="BM424" s="14" t="s">
        <v>178</v>
      </c>
      <c r="BN424" s="14" t="s">
        <v>177</v>
      </c>
      <c r="BO424" s="22" t="s">
        <v>166</v>
      </c>
      <c r="BP424" s="14" t="s">
        <v>8349</v>
      </c>
      <c r="BQ424" s="21">
        <v>8</v>
      </c>
      <c r="BR424" s="14" t="s">
        <v>166</v>
      </c>
      <c r="BS424" s="21" t="s">
        <v>166</v>
      </c>
      <c r="BT424" s="14" t="s">
        <v>166</v>
      </c>
      <c r="BU424" s="14" t="s">
        <v>166</v>
      </c>
      <c r="BV424" s="14" t="s">
        <v>8350</v>
      </c>
      <c r="BW424" s="14" t="s">
        <v>166</v>
      </c>
      <c r="BX424" s="14" t="s">
        <v>166</v>
      </c>
      <c r="BY424" s="14" t="s">
        <v>166</v>
      </c>
      <c r="BZ424" s="14" t="s">
        <v>166</v>
      </c>
      <c r="CA424" s="14" t="s">
        <v>166</v>
      </c>
      <c r="CB424" s="14" t="s">
        <v>166</v>
      </c>
      <c r="CC424" s="14" t="s">
        <v>166</v>
      </c>
      <c r="CD424" s="14" t="s">
        <v>166</v>
      </c>
      <c r="CE424" s="18" t="s">
        <v>166</v>
      </c>
      <c r="CF424" s="16" t="s">
        <v>166</v>
      </c>
      <c r="CG424" s="17" t="s">
        <v>166</v>
      </c>
      <c r="CH424" s="16" t="s">
        <v>166</v>
      </c>
      <c r="CI424" s="16" t="s">
        <v>166</v>
      </c>
      <c r="CJ424" s="16" t="s">
        <v>166</v>
      </c>
      <c r="CK424" s="16" t="s">
        <v>166</v>
      </c>
      <c r="CL424" s="16" t="s">
        <v>166</v>
      </c>
      <c r="CM424" s="20" t="s">
        <v>166</v>
      </c>
      <c r="CN424" s="16" t="s">
        <v>166</v>
      </c>
      <c r="CO424" s="16" t="s">
        <v>166</v>
      </c>
      <c r="CP424" s="16" t="s">
        <v>166</v>
      </c>
      <c r="CQ424" s="16" t="s">
        <v>166</v>
      </c>
      <c r="CR424" s="16" t="s">
        <v>166</v>
      </c>
      <c r="CS424" s="16" t="s">
        <v>166</v>
      </c>
      <c r="CT424" s="16" t="s">
        <v>166</v>
      </c>
      <c r="CU424" s="16" t="s">
        <v>166</v>
      </c>
      <c r="CV424" s="16" t="s">
        <v>166</v>
      </c>
      <c r="CW424" s="16" t="s">
        <v>166</v>
      </c>
      <c r="CX424" s="16" t="s">
        <v>166</v>
      </c>
      <c r="CY424" s="16" t="s">
        <v>166</v>
      </c>
      <c r="CZ424" s="16" t="s">
        <v>166</v>
      </c>
      <c r="DA424" s="16" t="s">
        <v>166</v>
      </c>
      <c r="DB424" s="16" t="s">
        <v>166</v>
      </c>
      <c r="DC424" s="16" t="s">
        <v>166</v>
      </c>
      <c r="DD424" s="16" t="s">
        <v>166</v>
      </c>
      <c r="DE424" s="17" t="s">
        <v>166</v>
      </c>
      <c r="DF424" s="22">
        <v>30</v>
      </c>
      <c r="DG424" s="14" t="s">
        <v>309</v>
      </c>
      <c r="DH424" s="14" t="s">
        <v>193</v>
      </c>
      <c r="DI424" s="14" t="s">
        <v>194</v>
      </c>
      <c r="DJ424" s="14" t="s">
        <v>310</v>
      </c>
      <c r="DK424" s="14" t="s">
        <v>310</v>
      </c>
      <c r="DL424" s="21" t="s">
        <v>5163</v>
      </c>
      <c r="DM424" s="14" t="s">
        <v>198</v>
      </c>
      <c r="DN424" s="13" t="s">
        <v>8351</v>
      </c>
      <c r="DO424" s="20">
        <v>2021</v>
      </c>
      <c r="DP424" s="14" t="s">
        <v>166</v>
      </c>
      <c r="DQ424" s="14" t="s">
        <v>166</v>
      </c>
      <c r="DR424" s="18" t="s">
        <v>166</v>
      </c>
      <c r="DS424" s="16" t="s">
        <v>166</v>
      </c>
      <c r="DT424" s="19" t="s">
        <v>166</v>
      </c>
      <c r="DU424" s="14" t="s">
        <v>166</v>
      </c>
      <c r="DV424" s="18" t="s">
        <v>166</v>
      </c>
      <c r="DW424" s="18" t="s">
        <v>166</v>
      </c>
      <c r="DX424" s="16" t="s">
        <v>166</v>
      </c>
      <c r="DY424" s="16" t="s">
        <v>166</v>
      </c>
      <c r="DZ424" s="17" t="s">
        <v>166</v>
      </c>
      <c r="EA424" s="16" t="s">
        <v>166</v>
      </c>
      <c r="EB424" s="16" t="s">
        <v>166</v>
      </c>
      <c r="EC424" s="16" t="s">
        <v>166</v>
      </c>
      <c r="ED424" s="17" t="s">
        <v>166</v>
      </c>
      <c r="EE424" s="17" t="s">
        <v>166</v>
      </c>
      <c r="EF424" s="17" t="s">
        <v>166</v>
      </c>
      <c r="EG424" s="17" t="s">
        <v>166</v>
      </c>
      <c r="EH424" s="16" t="s">
        <v>166</v>
      </c>
      <c r="EI424" s="16" t="s">
        <v>166</v>
      </c>
      <c r="EJ424" s="16" t="s">
        <v>166</v>
      </c>
      <c r="EK424" s="16" t="s">
        <v>166</v>
      </c>
      <c r="EL424" s="16" t="s">
        <v>166</v>
      </c>
      <c r="EM424" s="16" t="s">
        <v>166</v>
      </c>
      <c r="EN424" s="16" t="s">
        <v>166</v>
      </c>
      <c r="EO424" s="16" t="s">
        <v>166</v>
      </c>
      <c r="EP424" s="16" t="s">
        <v>166</v>
      </c>
      <c r="EQ424" s="16" t="s">
        <v>166</v>
      </c>
      <c r="ER424" s="16" t="s">
        <v>166</v>
      </c>
      <c r="ES424" s="16" t="s">
        <v>166</v>
      </c>
      <c r="ET424" s="14" t="s">
        <v>166</v>
      </c>
      <c r="EU424" s="16" t="s">
        <v>166</v>
      </c>
      <c r="EV424" s="16" t="s">
        <v>166</v>
      </c>
      <c r="EW424" s="16" t="s">
        <v>166</v>
      </c>
      <c r="EX424" s="14" t="s">
        <v>190</v>
      </c>
      <c r="EY424" s="14" t="s">
        <v>166</v>
      </c>
      <c r="EZ424" s="16" t="s">
        <v>166</v>
      </c>
      <c r="FA424" s="15">
        <v>1</v>
      </c>
      <c r="FB424" s="15">
        <v>1</v>
      </c>
      <c r="FC424" s="15" t="s">
        <v>166</v>
      </c>
      <c r="FD424" s="15">
        <v>1</v>
      </c>
      <c r="FE424" s="15" t="s">
        <v>166</v>
      </c>
      <c r="FF424" s="15" t="s">
        <v>166</v>
      </c>
      <c r="FG424" s="14" t="s">
        <v>457</v>
      </c>
      <c r="FH424" s="3">
        <f>HYPERLINK("https://my.pitchbook.com?c=175519-27T","View Company Online")</f>
      </c>
    </row>
    <row r="425">
      <c r="A425" s="25" t="s">
        <v>8352</v>
      </c>
      <c r="B425" s="25" t="s">
        <v>8353</v>
      </c>
      <c r="C425" s="25" t="s">
        <v>8354</v>
      </c>
      <c r="D425" s="25" t="s">
        <v>166</v>
      </c>
      <c r="E425" s="34" t="s">
        <v>8355</v>
      </c>
      <c r="F425" s="32">
        <v>1</v>
      </c>
      <c r="G425" s="25" t="s">
        <v>8356</v>
      </c>
      <c r="H425" s="25" t="s">
        <v>166</v>
      </c>
      <c r="I425" s="25" t="s">
        <v>8357</v>
      </c>
      <c r="J425" s="25" t="s">
        <v>8358</v>
      </c>
      <c r="K425" s="25" t="s">
        <v>207</v>
      </c>
      <c r="L425" s="25" t="s">
        <v>208</v>
      </c>
      <c r="M425" s="25" t="s">
        <v>209</v>
      </c>
      <c r="N425" s="25" t="s">
        <v>8359</v>
      </c>
      <c r="O425" s="25" t="s">
        <v>6611</v>
      </c>
      <c r="P425" s="25" t="s">
        <v>8360</v>
      </c>
      <c r="Q425" s="25" t="s">
        <v>166</v>
      </c>
      <c r="R425" s="25" t="s">
        <v>177</v>
      </c>
      <c r="S425" s="25" t="s">
        <v>178</v>
      </c>
      <c r="T425" s="25" t="s">
        <v>179</v>
      </c>
      <c r="U425" s="25" t="s">
        <v>8361</v>
      </c>
      <c r="V425" s="25" t="s">
        <v>8362</v>
      </c>
      <c r="W425" s="32" t="s">
        <v>8363</v>
      </c>
      <c r="X425" s="25" t="s">
        <v>8364</v>
      </c>
      <c r="Y425" s="25" t="s">
        <v>8365</v>
      </c>
      <c r="Z425" s="25" t="s">
        <v>8366</v>
      </c>
      <c r="AA425" s="25" t="s">
        <v>166</v>
      </c>
      <c r="AB425" s="25" t="s">
        <v>166</v>
      </c>
      <c r="AC425" s="25" t="s">
        <v>166</v>
      </c>
      <c r="AD425" s="25" t="s">
        <v>166</v>
      </c>
      <c r="AE425" s="25" t="s">
        <v>166</v>
      </c>
      <c r="AF425" s="25" t="s">
        <v>166</v>
      </c>
      <c r="AG425" s="25" t="s">
        <v>166</v>
      </c>
      <c r="AH425" s="32">
        <v>1</v>
      </c>
      <c r="AI425" s="4">
        <f>HYPERLINK("https://my.pitchbook.com/?d=241660-90T","241660-90T")</f>
      </c>
      <c r="AJ425" s="30">
        <v>45072</v>
      </c>
      <c r="AK425" s="30">
        <v>45072</v>
      </c>
      <c r="AL425" s="29">
        <v>0.12</v>
      </c>
      <c r="AM425" s="25" t="s">
        <v>185</v>
      </c>
      <c r="AN425" s="29">
        <v>5.89</v>
      </c>
      <c r="AO425" s="29">
        <v>6</v>
      </c>
      <c r="AP425" s="25" t="s">
        <v>185</v>
      </c>
      <c r="AQ425" s="32" t="s">
        <v>166</v>
      </c>
      <c r="AR425" s="32" t="s">
        <v>166</v>
      </c>
      <c r="AS425" s="28" t="s">
        <v>166</v>
      </c>
      <c r="AT425" s="29">
        <v>0.12</v>
      </c>
      <c r="AU425" s="32" t="s">
        <v>186</v>
      </c>
      <c r="AV425" s="32" t="s">
        <v>166</v>
      </c>
      <c r="AW425" s="29" t="s">
        <v>166</v>
      </c>
      <c r="AX425" s="32" t="s">
        <v>166</v>
      </c>
      <c r="AY425" s="25" t="s">
        <v>217</v>
      </c>
      <c r="AZ425" s="25" t="s">
        <v>217</v>
      </c>
      <c r="BA425" s="25" t="s">
        <v>166</v>
      </c>
      <c r="BB425" s="32" t="s">
        <v>166</v>
      </c>
      <c r="BC425" s="25" t="s">
        <v>179</v>
      </c>
      <c r="BD425" s="25" t="s">
        <v>8358</v>
      </c>
      <c r="BE425" s="25" t="s">
        <v>189</v>
      </c>
      <c r="BF425" s="29" t="s">
        <v>166</v>
      </c>
      <c r="BG425" s="25" t="s">
        <v>190</v>
      </c>
      <c r="BH425" s="25" t="s">
        <v>166</v>
      </c>
      <c r="BI425" s="25" t="s">
        <v>166</v>
      </c>
      <c r="BJ425" s="29" t="s">
        <v>166</v>
      </c>
      <c r="BK425" s="29" t="s">
        <v>166</v>
      </c>
      <c r="BL425" s="25" t="s">
        <v>191</v>
      </c>
      <c r="BM425" s="25" t="s">
        <v>178</v>
      </c>
      <c r="BN425" s="25" t="s">
        <v>177</v>
      </c>
      <c r="BO425" s="33" t="s">
        <v>166</v>
      </c>
      <c r="BP425" s="25" t="s">
        <v>8355</v>
      </c>
      <c r="BQ425" s="32">
        <v>1</v>
      </c>
      <c r="BR425" s="25" t="s">
        <v>166</v>
      </c>
      <c r="BS425" s="32" t="s">
        <v>166</v>
      </c>
      <c r="BT425" s="25" t="s">
        <v>166</v>
      </c>
      <c r="BU425" s="25" t="s">
        <v>166</v>
      </c>
      <c r="BV425" s="25" t="s">
        <v>166</v>
      </c>
      <c r="BW425" s="25" t="s">
        <v>166</v>
      </c>
      <c r="BX425" s="25" t="s">
        <v>166</v>
      </c>
      <c r="BY425" s="25" t="s">
        <v>166</v>
      </c>
      <c r="BZ425" s="25" t="s">
        <v>166</v>
      </c>
      <c r="CA425" s="25" t="s">
        <v>166</v>
      </c>
      <c r="CB425" s="25" t="s">
        <v>166</v>
      </c>
      <c r="CC425" s="25" t="s">
        <v>166</v>
      </c>
      <c r="CD425" s="25" t="s">
        <v>166</v>
      </c>
      <c r="CE425" s="29" t="s">
        <v>166</v>
      </c>
      <c r="CF425" s="27" t="s">
        <v>166</v>
      </c>
      <c r="CG425" s="28" t="s">
        <v>166</v>
      </c>
      <c r="CH425" s="27" t="s">
        <v>166</v>
      </c>
      <c r="CI425" s="27" t="s">
        <v>166</v>
      </c>
      <c r="CJ425" s="27" t="s">
        <v>166</v>
      </c>
      <c r="CK425" s="27" t="s">
        <v>166</v>
      </c>
      <c r="CL425" s="27" t="s">
        <v>166</v>
      </c>
      <c r="CM425" s="31" t="s">
        <v>166</v>
      </c>
      <c r="CN425" s="27" t="s">
        <v>166</v>
      </c>
      <c r="CO425" s="27" t="s">
        <v>166</v>
      </c>
      <c r="CP425" s="27" t="s">
        <v>166</v>
      </c>
      <c r="CQ425" s="27" t="s">
        <v>166</v>
      </c>
      <c r="CR425" s="27" t="s">
        <v>166</v>
      </c>
      <c r="CS425" s="27" t="s">
        <v>166</v>
      </c>
      <c r="CT425" s="27" t="s">
        <v>166</v>
      </c>
      <c r="CU425" s="27" t="s">
        <v>166</v>
      </c>
      <c r="CV425" s="27" t="s">
        <v>166</v>
      </c>
      <c r="CW425" s="27" t="s">
        <v>166</v>
      </c>
      <c r="CX425" s="27" t="s">
        <v>166</v>
      </c>
      <c r="CY425" s="27" t="s">
        <v>166</v>
      </c>
      <c r="CZ425" s="27" t="s">
        <v>166</v>
      </c>
      <c r="DA425" s="27" t="s">
        <v>166</v>
      </c>
      <c r="DB425" s="27" t="s">
        <v>166</v>
      </c>
      <c r="DC425" s="27" t="s">
        <v>166</v>
      </c>
      <c r="DD425" s="27" t="s">
        <v>166</v>
      </c>
      <c r="DE425" s="28" t="s">
        <v>166</v>
      </c>
      <c r="DF425" s="33">
        <v>2</v>
      </c>
      <c r="DG425" s="25" t="s">
        <v>3174</v>
      </c>
      <c r="DH425" s="25" t="s">
        <v>193</v>
      </c>
      <c r="DI425" s="25" t="s">
        <v>194</v>
      </c>
      <c r="DJ425" s="25" t="s">
        <v>3175</v>
      </c>
      <c r="DK425" s="25" t="s">
        <v>1063</v>
      </c>
      <c r="DL425" s="32" t="s">
        <v>5688</v>
      </c>
      <c r="DM425" s="25" t="s">
        <v>198</v>
      </c>
      <c r="DN425" s="24" t="s">
        <v>8367</v>
      </c>
      <c r="DO425" s="31" t="s">
        <v>166</v>
      </c>
      <c r="DP425" s="25" t="s">
        <v>166</v>
      </c>
      <c r="DQ425" s="25" t="s">
        <v>166</v>
      </c>
      <c r="DR425" s="29" t="s">
        <v>166</v>
      </c>
      <c r="DS425" s="27" t="s">
        <v>166</v>
      </c>
      <c r="DT425" s="30" t="s">
        <v>166</v>
      </c>
      <c r="DU425" s="25" t="s">
        <v>166</v>
      </c>
      <c r="DV425" s="29" t="s">
        <v>166</v>
      </c>
      <c r="DW425" s="29" t="s">
        <v>166</v>
      </c>
      <c r="DX425" s="27" t="s">
        <v>166</v>
      </c>
      <c r="DY425" s="27" t="s">
        <v>166</v>
      </c>
      <c r="DZ425" s="28" t="s">
        <v>166</v>
      </c>
      <c r="EA425" s="27" t="s">
        <v>166</v>
      </c>
      <c r="EB425" s="27" t="s">
        <v>166</v>
      </c>
      <c r="EC425" s="27" t="s">
        <v>166</v>
      </c>
      <c r="ED425" s="28" t="s">
        <v>166</v>
      </c>
      <c r="EE425" s="28" t="s">
        <v>166</v>
      </c>
      <c r="EF425" s="28" t="s">
        <v>166</v>
      </c>
      <c r="EG425" s="28" t="s">
        <v>166</v>
      </c>
      <c r="EH425" s="27" t="s">
        <v>166</v>
      </c>
      <c r="EI425" s="27" t="s">
        <v>166</v>
      </c>
      <c r="EJ425" s="27" t="s">
        <v>166</v>
      </c>
      <c r="EK425" s="27" t="s">
        <v>166</v>
      </c>
      <c r="EL425" s="27" t="s">
        <v>166</v>
      </c>
      <c r="EM425" s="27" t="s">
        <v>166</v>
      </c>
      <c r="EN425" s="27" t="s">
        <v>166</v>
      </c>
      <c r="EO425" s="27" t="s">
        <v>166</v>
      </c>
      <c r="EP425" s="27" t="s">
        <v>166</v>
      </c>
      <c r="EQ425" s="27" t="s">
        <v>166</v>
      </c>
      <c r="ER425" s="27" t="s">
        <v>166</v>
      </c>
      <c r="ES425" s="27" t="s">
        <v>166</v>
      </c>
      <c r="ET425" s="25" t="s">
        <v>166</v>
      </c>
      <c r="EU425" s="27" t="s">
        <v>166</v>
      </c>
      <c r="EV425" s="27" t="s">
        <v>166</v>
      </c>
      <c r="EW425" s="27" t="s">
        <v>166</v>
      </c>
      <c r="EX425" s="25" t="s">
        <v>190</v>
      </c>
      <c r="EY425" s="25" t="s">
        <v>166</v>
      </c>
      <c r="EZ425" s="27" t="s">
        <v>166</v>
      </c>
      <c r="FA425" s="26" t="s">
        <v>166</v>
      </c>
      <c r="FB425" s="26" t="s">
        <v>166</v>
      </c>
      <c r="FC425" s="26" t="s">
        <v>166</v>
      </c>
      <c r="FD425" s="26" t="s">
        <v>166</v>
      </c>
      <c r="FE425" s="26" t="s">
        <v>166</v>
      </c>
      <c r="FF425" s="26" t="s">
        <v>166</v>
      </c>
      <c r="FG425" s="25" t="s">
        <v>166</v>
      </c>
      <c r="FH425" s="4">
        <f>HYPERLINK("https://my.pitchbook.com?c=241660-90T","View Company Online")</f>
      </c>
    </row>
    <row r="426">
      <c r="A426" s="14" t="s">
        <v>8368</v>
      </c>
      <c r="B426" s="14" t="s">
        <v>8369</v>
      </c>
      <c r="C426" s="14" t="s">
        <v>8370</v>
      </c>
      <c r="D426" s="14" t="s">
        <v>166</v>
      </c>
      <c r="E426" s="23" t="s">
        <v>8371</v>
      </c>
      <c r="F426" s="21">
        <v>1</v>
      </c>
      <c r="G426" s="14" t="s">
        <v>8372</v>
      </c>
      <c r="H426" s="14" t="s">
        <v>166</v>
      </c>
      <c r="I426" s="14" t="s">
        <v>8373</v>
      </c>
      <c r="J426" s="14" t="s">
        <v>8374</v>
      </c>
      <c r="K426" s="14" t="s">
        <v>171</v>
      </c>
      <c r="L426" s="14" t="s">
        <v>172</v>
      </c>
      <c r="M426" s="14" t="s">
        <v>1689</v>
      </c>
      <c r="N426" s="14" t="s">
        <v>8375</v>
      </c>
      <c r="O426" s="14" t="s">
        <v>1691</v>
      </c>
      <c r="P426" s="14" t="s">
        <v>8376</v>
      </c>
      <c r="Q426" s="14" t="s">
        <v>166</v>
      </c>
      <c r="R426" s="14" t="s">
        <v>177</v>
      </c>
      <c r="S426" s="14" t="s">
        <v>178</v>
      </c>
      <c r="T426" s="14" t="s">
        <v>179</v>
      </c>
      <c r="U426" s="14" t="s">
        <v>8377</v>
      </c>
      <c r="V426" s="14" t="s">
        <v>8378</v>
      </c>
      <c r="W426" s="21" t="s">
        <v>166</v>
      </c>
      <c r="X426" s="14" t="s">
        <v>8379</v>
      </c>
      <c r="Y426" s="14" t="s">
        <v>8380</v>
      </c>
      <c r="Z426" s="14" t="s">
        <v>8381</v>
      </c>
      <c r="AA426" s="14" t="s">
        <v>166</v>
      </c>
      <c r="AB426" s="14" t="s">
        <v>166</v>
      </c>
      <c r="AC426" s="14" t="s">
        <v>166</v>
      </c>
      <c r="AD426" s="14" t="s">
        <v>166</v>
      </c>
      <c r="AE426" s="14" t="s">
        <v>166</v>
      </c>
      <c r="AF426" s="14" t="s">
        <v>166</v>
      </c>
      <c r="AG426" s="14" t="s">
        <v>166</v>
      </c>
      <c r="AH426" s="21">
        <v>2</v>
      </c>
      <c r="AI426" s="3">
        <f>HYPERLINK("https://my.pitchbook.com/?d=201020-23T","201020-23T")</f>
      </c>
      <c r="AJ426" s="19" t="s">
        <v>166</v>
      </c>
      <c r="AK426" s="19">
        <v>44776</v>
      </c>
      <c r="AL426" s="18">
        <v>1</v>
      </c>
      <c r="AM426" s="14" t="s">
        <v>185</v>
      </c>
      <c r="AN426" s="18" t="s">
        <v>166</v>
      </c>
      <c r="AO426" s="18" t="s">
        <v>166</v>
      </c>
      <c r="AP426" s="14" t="s">
        <v>166</v>
      </c>
      <c r="AQ426" s="21" t="s">
        <v>166</v>
      </c>
      <c r="AR426" s="21" t="s">
        <v>166</v>
      </c>
      <c r="AS426" s="17" t="s">
        <v>166</v>
      </c>
      <c r="AT426" s="18">
        <v>1</v>
      </c>
      <c r="AU426" s="21" t="s">
        <v>186</v>
      </c>
      <c r="AV426" s="21" t="s">
        <v>166</v>
      </c>
      <c r="AW426" s="18" t="s">
        <v>166</v>
      </c>
      <c r="AX426" s="21" t="s">
        <v>166</v>
      </c>
      <c r="AY426" s="14" t="s">
        <v>217</v>
      </c>
      <c r="AZ426" s="14" t="s">
        <v>217</v>
      </c>
      <c r="BA426" s="14" t="s">
        <v>166</v>
      </c>
      <c r="BB426" s="21" t="s">
        <v>166</v>
      </c>
      <c r="BC426" s="14" t="s">
        <v>179</v>
      </c>
      <c r="BD426" s="14" t="s">
        <v>8382</v>
      </c>
      <c r="BE426" s="14" t="s">
        <v>189</v>
      </c>
      <c r="BF426" s="18">
        <v>1</v>
      </c>
      <c r="BG426" s="14" t="s">
        <v>190</v>
      </c>
      <c r="BH426" s="14" t="s">
        <v>166</v>
      </c>
      <c r="BI426" s="14" t="s">
        <v>166</v>
      </c>
      <c r="BJ426" s="18" t="s">
        <v>166</v>
      </c>
      <c r="BK426" s="18" t="s">
        <v>166</v>
      </c>
      <c r="BL426" s="14" t="s">
        <v>191</v>
      </c>
      <c r="BM426" s="14" t="s">
        <v>178</v>
      </c>
      <c r="BN426" s="14" t="s">
        <v>177</v>
      </c>
      <c r="BO426" s="22" t="s">
        <v>166</v>
      </c>
      <c r="BP426" s="14" t="s">
        <v>8383</v>
      </c>
      <c r="BQ426" s="21">
        <v>1</v>
      </c>
      <c r="BR426" s="14" t="s">
        <v>166</v>
      </c>
      <c r="BS426" s="21" t="s">
        <v>166</v>
      </c>
      <c r="BT426" s="14" t="s">
        <v>8371</v>
      </c>
      <c r="BU426" s="14" t="s">
        <v>166</v>
      </c>
      <c r="BV426" s="14" t="s">
        <v>166</v>
      </c>
      <c r="BW426" s="14" t="s">
        <v>166</v>
      </c>
      <c r="BX426" s="14" t="s">
        <v>166</v>
      </c>
      <c r="BY426" s="14" t="s">
        <v>166</v>
      </c>
      <c r="BZ426" s="14" t="s">
        <v>166</v>
      </c>
      <c r="CA426" s="14" t="s">
        <v>166</v>
      </c>
      <c r="CB426" s="14" t="s">
        <v>166</v>
      </c>
      <c r="CC426" s="14" t="s">
        <v>166</v>
      </c>
      <c r="CD426" s="14" t="s">
        <v>166</v>
      </c>
      <c r="CE426" s="18" t="s">
        <v>166</v>
      </c>
      <c r="CF426" s="16" t="s">
        <v>166</v>
      </c>
      <c r="CG426" s="17" t="s">
        <v>166</v>
      </c>
      <c r="CH426" s="16" t="s">
        <v>166</v>
      </c>
      <c r="CI426" s="16" t="s">
        <v>166</v>
      </c>
      <c r="CJ426" s="16" t="s">
        <v>166</v>
      </c>
      <c r="CK426" s="16" t="s">
        <v>166</v>
      </c>
      <c r="CL426" s="16" t="s">
        <v>166</v>
      </c>
      <c r="CM426" s="20" t="s">
        <v>166</v>
      </c>
      <c r="CN426" s="16" t="s">
        <v>166</v>
      </c>
      <c r="CO426" s="16" t="s">
        <v>166</v>
      </c>
      <c r="CP426" s="16" t="s">
        <v>166</v>
      </c>
      <c r="CQ426" s="16" t="s">
        <v>166</v>
      </c>
      <c r="CR426" s="16" t="s">
        <v>166</v>
      </c>
      <c r="CS426" s="16" t="s">
        <v>166</v>
      </c>
      <c r="CT426" s="16" t="s">
        <v>166</v>
      </c>
      <c r="CU426" s="16" t="s">
        <v>166</v>
      </c>
      <c r="CV426" s="16" t="s">
        <v>166</v>
      </c>
      <c r="CW426" s="16" t="s">
        <v>166</v>
      </c>
      <c r="CX426" s="16" t="s">
        <v>166</v>
      </c>
      <c r="CY426" s="16" t="s">
        <v>166</v>
      </c>
      <c r="CZ426" s="16" t="s">
        <v>166</v>
      </c>
      <c r="DA426" s="16" t="s">
        <v>166</v>
      </c>
      <c r="DB426" s="16" t="s">
        <v>166</v>
      </c>
      <c r="DC426" s="16" t="s">
        <v>166</v>
      </c>
      <c r="DD426" s="16" t="s">
        <v>166</v>
      </c>
      <c r="DE426" s="17" t="s">
        <v>166</v>
      </c>
      <c r="DF426" s="22">
        <v>5</v>
      </c>
      <c r="DG426" s="14" t="s">
        <v>2367</v>
      </c>
      <c r="DH426" s="14" t="s">
        <v>193</v>
      </c>
      <c r="DI426" s="14" t="s">
        <v>194</v>
      </c>
      <c r="DJ426" s="14" t="s">
        <v>2368</v>
      </c>
      <c r="DK426" s="14" t="s">
        <v>2369</v>
      </c>
      <c r="DL426" s="21" t="s">
        <v>8384</v>
      </c>
      <c r="DM426" s="14" t="s">
        <v>198</v>
      </c>
      <c r="DN426" s="13" t="s">
        <v>8385</v>
      </c>
      <c r="DO426" s="20" t="s">
        <v>166</v>
      </c>
      <c r="DP426" s="14" t="s">
        <v>166</v>
      </c>
      <c r="DQ426" s="14" t="s">
        <v>166</v>
      </c>
      <c r="DR426" s="18" t="s">
        <v>166</v>
      </c>
      <c r="DS426" s="16" t="s">
        <v>166</v>
      </c>
      <c r="DT426" s="19" t="s">
        <v>166</v>
      </c>
      <c r="DU426" s="14" t="s">
        <v>166</v>
      </c>
      <c r="DV426" s="18" t="s">
        <v>166</v>
      </c>
      <c r="DW426" s="18" t="s">
        <v>166</v>
      </c>
      <c r="DX426" s="16" t="s">
        <v>166</v>
      </c>
      <c r="DY426" s="16" t="s">
        <v>166</v>
      </c>
      <c r="DZ426" s="17" t="s">
        <v>166</v>
      </c>
      <c r="EA426" s="16" t="s">
        <v>166</v>
      </c>
      <c r="EB426" s="16" t="s">
        <v>166</v>
      </c>
      <c r="EC426" s="16" t="s">
        <v>166</v>
      </c>
      <c r="ED426" s="17" t="s">
        <v>166</v>
      </c>
      <c r="EE426" s="17" t="s">
        <v>166</v>
      </c>
      <c r="EF426" s="17" t="s">
        <v>166</v>
      </c>
      <c r="EG426" s="17" t="s">
        <v>166</v>
      </c>
      <c r="EH426" s="16" t="s">
        <v>166</v>
      </c>
      <c r="EI426" s="16" t="s">
        <v>166</v>
      </c>
      <c r="EJ426" s="16" t="s">
        <v>166</v>
      </c>
      <c r="EK426" s="16" t="s">
        <v>166</v>
      </c>
      <c r="EL426" s="16" t="s">
        <v>166</v>
      </c>
      <c r="EM426" s="16" t="s">
        <v>166</v>
      </c>
      <c r="EN426" s="16" t="s">
        <v>166</v>
      </c>
      <c r="EO426" s="16" t="s">
        <v>166</v>
      </c>
      <c r="EP426" s="16" t="s">
        <v>166</v>
      </c>
      <c r="EQ426" s="16" t="s">
        <v>166</v>
      </c>
      <c r="ER426" s="16" t="s">
        <v>166</v>
      </c>
      <c r="ES426" s="16" t="s">
        <v>166</v>
      </c>
      <c r="ET426" s="14" t="s">
        <v>166</v>
      </c>
      <c r="EU426" s="16" t="s">
        <v>166</v>
      </c>
      <c r="EV426" s="16" t="s">
        <v>166</v>
      </c>
      <c r="EW426" s="16" t="s">
        <v>166</v>
      </c>
      <c r="EX426" s="14" t="s">
        <v>190</v>
      </c>
      <c r="EY426" s="14" t="s">
        <v>166</v>
      </c>
      <c r="EZ426" s="16" t="s">
        <v>166</v>
      </c>
      <c r="FA426" s="15" t="s">
        <v>166</v>
      </c>
      <c r="FB426" s="15" t="s">
        <v>166</v>
      </c>
      <c r="FC426" s="15" t="s">
        <v>166</v>
      </c>
      <c r="FD426" s="15" t="s">
        <v>166</v>
      </c>
      <c r="FE426" s="15" t="s">
        <v>166</v>
      </c>
      <c r="FF426" s="15" t="s">
        <v>166</v>
      </c>
      <c r="FG426" s="14" t="s">
        <v>166</v>
      </c>
      <c r="FH426" s="3">
        <f>HYPERLINK("https://my.pitchbook.com?c=201020-23T","View Company Online")</f>
      </c>
    </row>
    <row r="427">
      <c r="A427" s="25" t="s">
        <v>8386</v>
      </c>
      <c r="B427" s="25" t="s">
        <v>8387</v>
      </c>
      <c r="C427" s="25" t="s">
        <v>8388</v>
      </c>
      <c r="D427" s="25" t="s">
        <v>166</v>
      </c>
      <c r="E427" s="34" t="s">
        <v>8389</v>
      </c>
      <c r="F427" s="32">
        <v>6</v>
      </c>
      <c r="G427" s="25" t="s">
        <v>8390</v>
      </c>
      <c r="H427" s="25" t="s">
        <v>166</v>
      </c>
      <c r="I427" s="25" t="s">
        <v>8391</v>
      </c>
      <c r="J427" s="25" t="s">
        <v>8392</v>
      </c>
      <c r="K427" s="25" t="s">
        <v>1455</v>
      </c>
      <c r="L427" s="25" t="s">
        <v>1984</v>
      </c>
      <c r="M427" s="25" t="s">
        <v>1985</v>
      </c>
      <c r="N427" s="25" t="s">
        <v>2661</v>
      </c>
      <c r="O427" s="25" t="s">
        <v>2394</v>
      </c>
      <c r="P427" s="25" t="s">
        <v>8393</v>
      </c>
      <c r="Q427" s="25" t="s">
        <v>166</v>
      </c>
      <c r="R427" s="25" t="s">
        <v>177</v>
      </c>
      <c r="S427" s="25" t="s">
        <v>178</v>
      </c>
      <c r="T427" s="25" t="s">
        <v>179</v>
      </c>
      <c r="U427" s="25" t="s">
        <v>8394</v>
      </c>
      <c r="V427" s="25" t="s">
        <v>8395</v>
      </c>
      <c r="W427" s="32" t="s">
        <v>166</v>
      </c>
      <c r="X427" s="25" t="s">
        <v>8396</v>
      </c>
      <c r="Y427" s="25" t="s">
        <v>8397</v>
      </c>
      <c r="Z427" s="25" t="s">
        <v>8398</v>
      </c>
      <c r="AA427" s="25" t="s">
        <v>166</v>
      </c>
      <c r="AB427" s="25" t="s">
        <v>166</v>
      </c>
      <c r="AC427" s="25" t="s">
        <v>166</v>
      </c>
      <c r="AD427" s="25" t="s">
        <v>166</v>
      </c>
      <c r="AE427" s="25" t="s">
        <v>166</v>
      </c>
      <c r="AF427" s="25" t="s">
        <v>166</v>
      </c>
      <c r="AG427" s="25" t="s">
        <v>166</v>
      </c>
      <c r="AH427" s="32">
        <v>2</v>
      </c>
      <c r="AI427" s="4">
        <f>HYPERLINK("https://my.pitchbook.com/?d=184967-11T","184967-11T")</f>
      </c>
      <c r="AJ427" s="30">
        <v>44547</v>
      </c>
      <c r="AK427" s="30">
        <v>44774</v>
      </c>
      <c r="AL427" s="29">
        <v>1.1</v>
      </c>
      <c r="AM427" s="25" t="s">
        <v>185</v>
      </c>
      <c r="AN427" s="29" t="s">
        <v>166</v>
      </c>
      <c r="AO427" s="29" t="s">
        <v>166</v>
      </c>
      <c r="AP427" s="25" t="s">
        <v>166</v>
      </c>
      <c r="AQ427" s="32" t="s">
        <v>166</v>
      </c>
      <c r="AR427" s="32" t="s">
        <v>166</v>
      </c>
      <c r="AS427" s="28" t="s">
        <v>166</v>
      </c>
      <c r="AT427" s="29">
        <v>1.12</v>
      </c>
      <c r="AU427" s="32" t="s">
        <v>186</v>
      </c>
      <c r="AV427" s="32" t="s">
        <v>166</v>
      </c>
      <c r="AW427" s="29" t="s">
        <v>166</v>
      </c>
      <c r="AX427" s="32" t="s">
        <v>166</v>
      </c>
      <c r="AY427" s="25" t="s">
        <v>217</v>
      </c>
      <c r="AZ427" s="25" t="s">
        <v>217</v>
      </c>
      <c r="BA427" s="25" t="s">
        <v>166</v>
      </c>
      <c r="BB427" s="32" t="s">
        <v>166</v>
      </c>
      <c r="BC427" s="25" t="s">
        <v>179</v>
      </c>
      <c r="BD427" s="25" t="s">
        <v>8392</v>
      </c>
      <c r="BE427" s="25" t="s">
        <v>189</v>
      </c>
      <c r="BF427" s="29">
        <v>1.1</v>
      </c>
      <c r="BG427" s="25" t="s">
        <v>190</v>
      </c>
      <c r="BH427" s="25" t="s">
        <v>166</v>
      </c>
      <c r="BI427" s="25" t="s">
        <v>166</v>
      </c>
      <c r="BJ427" s="29" t="s">
        <v>166</v>
      </c>
      <c r="BK427" s="29" t="s">
        <v>166</v>
      </c>
      <c r="BL427" s="25" t="s">
        <v>191</v>
      </c>
      <c r="BM427" s="25" t="s">
        <v>178</v>
      </c>
      <c r="BN427" s="25" t="s">
        <v>177</v>
      </c>
      <c r="BO427" s="33" t="s">
        <v>166</v>
      </c>
      <c r="BP427" s="25" t="s">
        <v>8399</v>
      </c>
      <c r="BQ427" s="32">
        <v>5</v>
      </c>
      <c r="BR427" s="25" t="s">
        <v>252</v>
      </c>
      <c r="BS427" s="32">
        <v>1</v>
      </c>
      <c r="BT427" s="25" t="s">
        <v>166</v>
      </c>
      <c r="BU427" s="25" t="s">
        <v>166</v>
      </c>
      <c r="BV427" s="25" t="s">
        <v>8400</v>
      </c>
      <c r="BW427" s="25" t="s">
        <v>166</v>
      </c>
      <c r="BX427" s="25" t="s">
        <v>166</v>
      </c>
      <c r="BY427" s="25" t="s">
        <v>166</v>
      </c>
      <c r="BZ427" s="25" t="s">
        <v>166</v>
      </c>
      <c r="CA427" s="25" t="s">
        <v>166</v>
      </c>
      <c r="CB427" s="25" t="s">
        <v>166</v>
      </c>
      <c r="CC427" s="25" t="s">
        <v>166</v>
      </c>
      <c r="CD427" s="25" t="s">
        <v>166</v>
      </c>
      <c r="CE427" s="29" t="s">
        <v>166</v>
      </c>
      <c r="CF427" s="27" t="s">
        <v>166</v>
      </c>
      <c r="CG427" s="28" t="s">
        <v>166</v>
      </c>
      <c r="CH427" s="27" t="s">
        <v>166</v>
      </c>
      <c r="CI427" s="27" t="s">
        <v>166</v>
      </c>
      <c r="CJ427" s="27" t="s">
        <v>166</v>
      </c>
      <c r="CK427" s="27" t="s">
        <v>166</v>
      </c>
      <c r="CL427" s="27" t="s">
        <v>166</v>
      </c>
      <c r="CM427" s="31" t="s">
        <v>166</v>
      </c>
      <c r="CN427" s="27" t="s">
        <v>166</v>
      </c>
      <c r="CO427" s="27" t="s">
        <v>166</v>
      </c>
      <c r="CP427" s="27" t="s">
        <v>166</v>
      </c>
      <c r="CQ427" s="27" t="s">
        <v>166</v>
      </c>
      <c r="CR427" s="27" t="s">
        <v>166</v>
      </c>
      <c r="CS427" s="27" t="s">
        <v>166</v>
      </c>
      <c r="CT427" s="27" t="s">
        <v>166</v>
      </c>
      <c r="CU427" s="27" t="s">
        <v>166</v>
      </c>
      <c r="CV427" s="27" t="s">
        <v>166</v>
      </c>
      <c r="CW427" s="27" t="s">
        <v>166</v>
      </c>
      <c r="CX427" s="27" t="s">
        <v>166</v>
      </c>
      <c r="CY427" s="27" t="s">
        <v>166</v>
      </c>
      <c r="CZ427" s="27" t="s">
        <v>166</v>
      </c>
      <c r="DA427" s="27" t="s">
        <v>166</v>
      </c>
      <c r="DB427" s="27" t="s">
        <v>166</v>
      </c>
      <c r="DC427" s="27" t="s">
        <v>166</v>
      </c>
      <c r="DD427" s="27" t="s">
        <v>166</v>
      </c>
      <c r="DE427" s="28" t="s">
        <v>166</v>
      </c>
      <c r="DF427" s="33">
        <v>4</v>
      </c>
      <c r="DG427" s="25" t="s">
        <v>8401</v>
      </c>
      <c r="DH427" s="25" t="s">
        <v>193</v>
      </c>
      <c r="DI427" s="25" t="s">
        <v>194</v>
      </c>
      <c r="DJ427" s="25" t="s">
        <v>8402</v>
      </c>
      <c r="DK427" s="25" t="s">
        <v>257</v>
      </c>
      <c r="DL427" s="32" t="s">
        <v>8403</v>
      </c>
      <c r="DM427" s="25" t="s">
        <v>198</v>
      </c>
      <c r="DN427" s="24" t="s">
        <v>8404</v>
      </c>
      <c r="DO427" s="31">
        <v>2020</v>
      </c>
      <c r="DP427" s="25" t="s">
        <v>166</v>
      </c>
      <c r="DQ427" s="25" t="s">
        <v>166</v>
      </c>
      <c r="DR427" s="29" t="s">
        <v>166</v>
      </c>
      <c r="DS427" s="27" t="s">
        <v>166</v>
      </c>
      <c r="DT427" s="30" t="s">
        <v>166</v>
      </c>
      <c r="DU427" s="25" t="s">
        <v>166</v>
      </c>
      <c r="DV427" s="29" t="s">
        <v>166</v>
      </c>
      <c r="DW427" s="29" t="s">
        <v>166</v>
      </c>
      <c r="DX427" s="27" t="s">
        <v>166</v>
      </c>
      <c r="DY427" s="27" t="s">
        <v>166</v>
      </c>
      <c r="DZ427" s="28" t="s">
        <v>166</v>
      </c>
      <c r="EA427" s="27" t="s">
        <v>166</v>
      </c>
      <c r="EB427" s="27" t="s">
        <v>166</v>
      </c>
      <c r="EC427" s="27" t="s">
        <v>166</v>
      </c>
      <c r="ED427" s="28" t="s">
        <v>166</v>
      </c>
      <c r="EE427" s="28" t="s">
        <v>166</v>
      </c>
      <c r="EF427" s="28" t="s">
        <v>166</v>
      </c>
      <c r="EG427" s="28" t="s">
        <v>166</v>
      </c>
      <c r="EH427" s="27" t="s">
        <v>166</v>
      </c>
      <c r="EI427" s="27" t="s">
        <v>166</v>
      </c>
      <c r="EJ427" s="27" t="s">
        <v>166</v>
      </c>
      <c r="EK427" s="27" t="s">
        <v>166</v>
      </c>
      <c r="EL427" s="27" t="s">
        <v>166</v>
      </c>
      <c r="EM427" s="27" t="s">
        <v>166</v>
      </c>
      <c r="EN427" s="27" t="s">
        <v>166</v>
      </c>
      <c r="EO427" s="27" t="s">
        <v>166</v>
      </c>
      <c r="EP427" s="27" t="s">
        <v>166</v>
      </c>
      <c r="EQ427" s="27" t="s">
        <v>166</v>
      </c>
      <c r="ER427" s="27" t="s">
        <v>166</v>
      </c>
      <c r="ES427" s="27" t="s">
        <v>166</v>
      </c>
      <c r="ET427" s="25" t="s">
        <v>166</v>
      </c>
      <c r="EU427" s="27" t="s">
        <v>166</v>
      </c>
      <c r="EV427" s="27" t="s">
        <v>166</v>
      </c>
      <c r="EW427" s="27" t="s">
        <v>166</v>
      </c>
      <c r="EX427" s="25" t="s">
        <v>190</v>
      </c>
      <c r="EY427" s="25" t="s">
        <v>166</v>
      </c>
      <c r="EZ427" s="27" t="s">
        <v>166</v>
      </c>
      <c r="FA427" s="26" t="s">
        <v>166</v>
      </c>
      <c r="FB427" s="26" t="s">
        <v>166</v>
      </c>
      <c r="FC427" s="26" t="s">
        <v>166</v>
      </c>
      <c r="FD427" s="26" t="s">
        <v>166</v>
      </c>
      <c r="FE427" s="26" t="s">
        <v>166</v>
      </c>
      <c r="FF427" s="26" t="s">
        <v>166</v>
      </c>
      <c r="FG427" s="25" t="s">
        <v>166</v>
      </c>
      <c r="FH427" s="4">
        <f>HYPERLINK("https://my.pitchbook.com?c=184967-11T","View Company Online")</f>
      </c>
    </row>
    <row r="428">
      <c r="A428" s="14" t="s">
        <v>8405</v>
      </c>
      <c r="B428" s="14" t="s">
        <v>8406</v>
      </c>
      <c r="C428" s="14" t="s">
        <v>8407</v>
      </c>
      <c r="D428" s="14" t="s">
        <v>166</v>
      </c>
      <c r="E428" s="23" t="s">
        <v>8408</v>
      </c>
      <c r="F428" s="21">
        <v>5</v>
      </c>
      <c r="G428" s="14" t="s">
        <v>8409</v>
      </c>
      <c r="H428" s="14" t="s">
        <v>166</v>
      </c>
      <c r="I428" s="14" t="s">
        <v>8410</v>
      </c>
      <c r="J428" s="14" t="s">
        <v>8411</v>
      </c>
      <c r="K428" s="14" t="s">
        <v>207</v>
      </c>
      <c r="L428" s="14" t="s">
        <v>208</v>
      </c>
      <c r="M428" s="14" t="s">
        <v>965</v>
      </c>
      <c r="N428" s="14" t="s">
        <v>2512</v>
      </c>
      <c r="O428" s="14" t="s">
        <v>8412</v>
      </c>
      <c r="P428" s="14" t="s">
        <v>8413</v>
      </c>
      <c r="Q428" s="14" t="s">
        <v>8414</v>
      </c>
      <c r="R428" s="14" t="s">
        <v>177</v>
      </c>
      <c r="S428" s="14" t="s">
        <v>178</v>
      </c>
      <c r="T428" s="14" t="s">
        <v>179</v>
      </c>
      <c r="U428" s="14" t="s">
        <v>8415</v>
      </c>
      <c r="V428" s="14" t="s">
        <v>8416</v>
      </c>
      <c r="W428" s="21" t="s">
        <v>8417</v>
      </c>
      <c r="X428" s="14" t="s">
        <v>8418</v>
      </c>
      <c r="Y428" s="14" t="s">
        <v>8419</v>
      </c>
      <c r="Z428" s="14" t="s">
        <v>8420</v>
      </c>
      <c r="AA428" s="14" t="s">
        <v>166</v>
      </c>
      <c r="AB428" s="14" t="s">
        <v>166</v>
      </c>
      <c r="AC428" s="14" t="s">
        <v>166</v>
      </c>
      <c r="AD428" s="14" t="s">
        <v>166</v>
      </c>
      <c r="AE428" s="14" t="s">
        <v>166</v>
      </c>
      <c r="AF428" s="14" t="s">
        <v>166</v>
      </c>
      <c r="AG428" s="14" t="s">
        <v>166</v>
      </c>
      <c r="AH428" s="21">
        <v>2</v>
      </c>
      <c r="AI428" s="3">
        <f>HYPERLINK("https://my.pitchbook.com/?d=188747-56T","188747-56T")</f>
      </c>
      <c r="AJ428" s="19" t="s">
        <v>166</v>
      </c>
      <c r="AK428" s="19">
        <v>44593</v>
      </c>
      <c r="AL428" s="18">
        <v>0.7</v>
      </c>
      <c r="AM428" s="14" t="s">
        <v>185</v>
      </c>
      <c r="AN428" s="18" t="s">
        <v>166</v>
      </c>
      <c r="AO428" s="18" t="s">
        <v>166</v>
      </c>
      <c r="AP428" s="14" t="s">
        <v>166</v>
      </c>
      <c r="AQ428" s="21" t="s">
        <v>166</v>
      </c>
      <c r="AR428" s="21" t="s">
        <v>166</v>
      </c>
      <c r="AS428" s="17" t="s">
        <v>166</v>
      </c>
      <c r="AT428" s="18">
        <v>0.7</v>
      </c>
      <c r="AU428" s="21" t="s">
        <v>186</v>
      </c>
      <c r="AV428" s="21" t="s">
        <v>166</v>
      </c>
      <c r="AW428" s="18" t="s">
        <v>166</v>
      </c>
      <c r="AX428" s="21" t="s">
        <v>166</v>
      </c>
      <c r="AY428" s="14" t="s">
        <v>217</v>
      </c>
      <c r="AZ428" s="14" t="s">
        <v>217</v>
      </c>
      <c r="BA428" s="14" t="s">
        <v>166</v>
      </c>
      <c r="BB428" s="21" t="s">
        <v>166</v>
      </c>
      <c r="BC428" s="14" t="s">
        <v>179</v>
      </c>
      <c r="BD428" s="14" t="s">
        <v>8421</v>
      </c>
      <c r="BE428" s="14" t="s">
        <v>189</v>
      </c>
      <c r="BF428" s="18" t="s">
        <v>166</v>
      </c>
      <c r="BG428" s="14" t="s">
        <v>190</v>
      </c>
      <c r="BH428" s="14" t="s">
        <v>166</v>
      </c>
      <c r="BI428" s="14" t="s">
        <v>166</v>
      </c>
      <c r="BJ428" s="18" t="s">
        <v>166</v>
      </c>
      <c r="BK428" s="18" t="s">
        <v>166</v>
      </c>
      <c r="BL428" s="14" t="s">
        <v>191</v>
      </c>
      <c r="BM428" s="14" t="s">
        <v>178</v>
      </c>
      <c r="BN428" s="14" t="s">
        <v>177</v>
      </c>
      <c r="BO428" s="22">
        <v>2</v>
      </c>
      <c r="BP428" s="14" t="s">
        <v>8408</v>
      </c>
      <c r="BQ428" s="21">
        <v>5</v>
      </c>
      <c r="BR428" s="14" t="s">
        <v>166</v>
      </c>
      <c r="BS428" s="21" t="s">
        <v>166</v>
      </c>
      <c r="BT428" s="14" t="s">
        <v>166</v>
      </c>
      <c r="BU428" s="14" t="s">
        <v>166</v>
      </c>
      <c r="BV428" s="14" t="s">
        <v>166</v>
      </c>
      <c r="BW428" s="14" t="s">
        <v>166</v>
      </c>
      <c r="BX428" s="14" t="s">
        <v>166</v>
      </c>
      <c r="BY428" s="14" t="s">
        <v>166</v>
      </c>
      <c r="BZ428" s="14" t="s">
        <v>166</v>
      </c>
      <c r="CA428" s="14" t="s">
        <v>166</v>
      </c>
      <c r="CB428" s="14" t="s">
        <v>166</v>
      </c>
      <c r="CC428" s="14" t="s">
        <v>166</v>
      </c>
      <c r="CD428" s="14" t="s">
        <v>166</v>
      </c>
      <c r="CE428" s="18" t="s">
        <v>166</v>
      </c>
      <c r="CF428" s="16" t="s">
        <v>166</v>
      </c>
      <c r="CG428" s="17" t="s">
        <v>166</v>
      </c>
      <c r="CH428" s="16" t="s">
        <v>166</v>
      </c>
      <c r="CI428" s="16" t="s">
        <v>166</v>
      </c>
      <c r="CJ428" s="16" t="s">
        <v>166</v>
      </c>
      <c r="CK428" s="16" t="s">
        <v>166</v>
      </c>
      <c r="CL428" s="16" t="s">
        <v>166</v>
      </c>
      <c r="CM428" s="20" t="s">
        <v>166</v>
      </c>
      <c r="CN428" s="16" t="s">
        <v>166</v>
      </c>
      <c r="CO428" s="16" t="s">
        <v>166</v>
      </c>
      <c r="CP428" s="16" t="s">
        <v>166</v>
      </c>
      <c r="CQ428" s="16" t="s">
        <v>166</v>
      </c>
      <c r="CR428" s="16" t="s">
        <v>166</v>
      </c>
      <c r="CS428" s="16" t="s">
        <v>166</v>
      </c>
      <c r="CT428" s="16" t="s">
        <v>166</v>
      </c>
      <c r="CU428" s="16" t="s">
        <v>166</v>
      </c>
      <c r="CV428" s="16" t="s">
        <v>166</v>
      </c>
      <c r="CW428" s="16" t="s">
        <v>166</v>
      </c>
      <c r="CX428" s="16" t="s">
        <v>166</v>
      </c>
      <c r="CY428" s="16" t="s">
        <v>166</v>
      </c>
      <c r="CZ428" s="16" t="s">
        <v>166</v>
      </c>
      <c r="DA428" s="16" t="s">
        <v>166</v>
      </c>
      <c r="DB428" s="16" t="s">
        <v>166</v>
      </c>
      <c r="DC428" s="16" t="s">
        <v>166</v>
      </c>
      <c r="DD428" s="16" t="s">
        <v>166</v>
      </c>
      <c r="DE428" s="17" t="s">
        <v>166</v>
      </c>
      <c r="DF428" s="22">
        <v>10</v>
      </c>
      <c r="DG428" s="14" t="s">
        <v>309</v>
      </c>
      <c r="DH428" s="14" t="s">
        <v>193</v>
      </c>
      <c r="DI428" s="14" t="s">
        <v>194</v>
      </c>
      <c r="DJ428" s="14" t="s">
        <v>310</v>
      </c>
      <c r="DK428" s="14" t="s">
        <v>310</v>
      </c>
      <c r="DL428" s="21" t="s">
        <v>3773</v>
      </c>
      <c r="DM428" s="14" t="s">
        <v>198</v>
      </c>
      <c r="DN428" s="13" t="s">
        <v>8422</v>
      </c>
      <c r="DO428" s="20">
        <v>2019</v>
      </c>
      <c r="DP428" s="14" t="s">
        <v>166</v>
      </c>
      <c r="DQ428" s="14" t="s">
        <v>166</v>
      </c>
      <c r="DR428" s="18" t="s">
        <v>166</v>
      </c>
      <c r="DS428" s="16" t="s">
        <v>166</v>
      </c>
      <c r="DT428" s="19" t="s">
        <v>166</v>
      </c>
      <c r="DU428" s="14" t="s">
        <v>166</v>
      </c>
      <c r="DV428" s="18" t="s">
        <v>166</v>
      </c>
      <c r="DW428" s="18" t="s">
        <v>166</v>
      </c>
      <c r="DX428" s="16" t="s">
        <v>166</v>
      </c>
      <c r="DY428" s="16" t="s">
        <v>166</v>
      </c>
      <c r="DZ428" s="17" t="s">
        <v>166</v>
      </c>
      <c r="EA428" s="16" t="s">
        <v>166</v>
      </c>
      <c r="EB428" s="16" t="s">
        <v>166</v>
      </c>
      <c r="EC428" s="16" t="s">
        <v>166</v>
      </c>
      <c r="ED428" s="17" t="s">
        <v>166</v>
      </c>
      <c r="EE428" s="17" t="s">
        <v>166</v>
      </c>
      <c r="EF428" s="17" t="s">
        <v>166</v>
      </c>
      <c r="EG428" s="17" t="s">
        <v>166</v>
      </c>
      <c r="EH428" s="16" t="s">
        <v>166</v>
      </c>
      <c r="EI428" s="16" t="s">
        <v>166</v>
      </c>
      <c r="EJ428" s="16" t="s">
        <v>166</v>
      </c>
      <c r="EK428" s="16" t="s">
        <v>166</v>
      </c>
      <c r="EL428" s="16" t="s">
        <v>166</v>
      </c>
      <c r="EM428" s="16" t="s">
        <v>166</v>
      </c>
      <c r="EN428" s="16" t="s">
        <v>166</v>
      </c>
      <c r="EO428" s="16" t="s">
        <v>166</v>
      </c>
      <c r="EP428" s="16" t="s">
        <v>166</v>
      </c>
      <c r="EQ428" s="16" t="s">
        <v>166</v>
      </c>
      <c r="ER428" s="16" t="s">
        <v>166</v>
      </c>
      <c r="ES428" s="16" t="s">
        <v>166</v>
      </c>
      <c r="ET428" s="14" t="s">
        <v>166</v>
      </c>
      <c r="EU428" s="16" t="s">
        <v>166</v>
      </c>
      <c r="EV428" s="16" t="s">
        <v>166</v>
      </c>
      <c r="EW428" s="16" t="s">
        <v>166</v>
      </c>
      <c r="EX428" s="14" t="s">
        <v>190</v>
      </c>
      <c r="EY428" s="14" t="s">
        <v>166</v>
      </c>
      <c r="EZ428" s="16" t="s">
        <v>166</v>
      </c>
      <c r="FA428" s="15" t="s">
        <v>166</v>
      </c>
      <c r="FB428" s="15" t="s">
        <v>166</v>
      </c>
      <c r="FC428" s="15" t="s">
        <v>166</v>
      </c>
      <c r="FD428" s="15" t="s">
        <v>166</v>
      </c>
      <c r="FE428" s="15" t="s">
        <v>166</v>
      </c>
      <c r="FF428" s="15" t="s">
        <v>166</v>
      </c>
      <c r="FG428" s="14" t="s">
        <v>166</v>
      </c>
      <c r="FH428" s="3">
        <f>HYPERLINK("https://my.pitchbook.com?c=188747-56T","View Company Online")</f>
      </c>
    </row>
    <row r="429">
      <c r="A429" s="25" t="s">
        <v>8423</v>
      </c>
      <c r="B429" s="25" t="s">
        <v>8424</v>
      </c>
      <c r="C429" s="25" t="s">
        <v>8425</v>
      </c>
      <c r="D429" s="25" t="s">
        <v>166</v>
      </c>
      <c r="E429" s="34" t="s">
        <v>8426</v>
      </c>
      <c r="F429" s="32">
        <v>9</v>
      </c>
      <c r="G429" s="25" t="s">
        <v>8427</v>
      </c>
      <c r="H429" s="25" t="s">
        <v>166</v>
      </c>
      <c r="I429" s="25" t="s">
        <v>8428</v>
      </c>
      <c r="J429" s="25" t="s">
        <v>8429</v>
      </c>
      <c r="K429" s="25" t="s">
        <v>171</v>
      </c>
      <c r="L429" s="25" t="s">
        <v>172</v>
      </c>
      <c r="M429" s="25" t="s">
        <v>1689</v>
      </c>
      <c r="N429" s="25" t="s">
        <v>8430</v>
      </c>
      <c r="O429" s="25" t="s">
        <v>1691</v>
      </c>
      <c r="P429" s="25" t="s">
        <v>8431</v>
      </c>
      <c r="Q429" s="25" t="s">
        <v>166</v>
      </c>
      <c r="R429" s="25" t="s">
        <v>177</v>
      </c>
      <c r="S429" s="25" t="s">
        <v>178</v>
      </c>
      <c r="T429" s="25" t="s">
        <v>179</v>
      </c>
      <c r="U429" s="25" t="s">
        <v>8432</v>
      </c>
      <c r="V429" s="25" t="s">
        <v>8433</v>
      </c>
      <c r="W429" s="32" t="s">
        <v>8434</v>
      </c>
      <c r="X429" s="25" t="s">
        <v>8435</v>
      </c>
      <c r="Y429" s="25" t="s">
        <v>8436</v>
      </c>
      <c r="Z429" s="25" t="s">
        <v>166</v>
      </c>
      <c r="AA429" s="25" t="s">
        <v>242</v>
      </c>
      <c r="AB429" s="25" t="s">
        <v>243</v>
      </c>
      <c r="AC429" s="25" t="s">
        <v>244</v>
      </c>
      <c r="AD429" s="25" t="s">
        <v>243</v>
      </c>
      <c r="AE429" s="25" t="s">
        <v>243</v>
      </c>
      <c r="AF429" s="25" t="s">
        <v>166</v>
      </c>
      <c r="AG429" s="25" t="s">
        <v>807</v>
      </c>
      <c r="AH429" s="32">
        <v>2</v>
      </c>
      <c r="AI429" s="4">
        <f>HYPERLINK("https://my.pitchbook.com/?d=179563-78T","179563-78T")</f>
      </c>
      <c r="AJ429" s="30">
        <v>43985</v>
      </c>
      <c r="AK429" s="30">
        <v>44249</v>
      </c>
      <c r="AL429" s="29">
        <v>5.5</v>
      </c>
      <c r="AM429" s="25" t="s">
        <v>185</v>
      </c>
      <c r="AN429" s="29">
        <v>10</v>
      </c>
      <c r="AO429" s="29">
        <v>15.5</v>
      </c>
      <c r="AP429" s="25" t="s">
        <v>185</v>
      </c>
      <c r="AQ429" s="32" t="s">
        <v>166</v>
      </c>
      <c r="AR429" s="32" t="s">
        <v>166</v>
      </c>
      <c r="AS429" s="28">
        <v>39.35</v>
      </c>
      <c r="AT429" s="29">
        <v>5.5</v>
      </c>
      <c r="AU429" s="32" t="s">
        <v>186</v>
      </c>
      <c r="AV429" s="32" t="s">
        <v>166</v>
      </c>
      <c r="AW429" s="29">
        <v>1.12</v>
      </c>
      <c r="AX429" s="32" t="s">
        <v>166</v>
      </c>
      <c r="AY429" s="25" t="s">
        <v>217</v>
      </c>
      <c r="AZ429" s="25" t="s">
        <v>217</v>
      </c>
      <c r="BA429" s="25" t="s">
        <v>166</v>
      </c>
      <c r="BB429" s="32" t="s">
        <v>166</v>
      </c>
      <c r="BC429" s="25" t="s">
        <v>179</v>
      </c>
      <c r="BD429" s="25" t="s">
        <v>8437</v>
      </c>
      <c r="BE429" s="25" t="s">
        <v>189</v>
      </c>
      <c r="BF429" s="29">
        <v>5.5</v>
      </c>
      <c r="BG429" s="25" t="s">
        <v>190</v>
      </c>
      <c r="BH429" s="25" t="s">
        <v>166</v>
      </c>
      <c r="BI429" s="25" t="s">
        <v>166</v>
      </c>
      <c r="BJ429" s="29" t="s">
        <v>166</v>
      </c>
      <c r="BK429" s="29" t="s">
        <v>166</v>
      </c>
      <c r="BL429" s="25" t="s">
        <v>191</v>
      </c>
      <c r="BM429" s="25" t="s">
        <v>178</v>
      </c>
      <c r="BN429" s="25" t="s">
        <v>177</v>
      </c>
      <c r="BO429" s="33" t="s">
        <v>166</v>
      </c>
      <c r="BP429" s="25" t="s">
        <v>8438</v>
      </c>
      <c r="BQ429" s="32">
        <v>9</v>
      </c>
      <c r="BR429" s="25" t="s">
        <v>166</v>
      </c>
      <c r="BS429" s="32" t="s">
        <v>166</v>
      </c>
      <c r="BT429" s="25" t="s">
        <v>166</v>
      </c>
      <c r="BU429" s="25" t="s">
        <v>166</v>
      </c>
      <c r="BV429" s="25" t="s">
        <v>8439</v>
      </c>
      <c r="BW429" s="25" t="s">
        <v>166</v>
      </c>
      <c r="BX429" s="25" t="s">
        <v>166</v>
      </c>
      <c r="BY429" s="25" t="s">
        <v>166</v>
      </c>
      <c r="BZ429" s="25" t="s">
        <v>166</v>
      </c>
      <c r="CA429" s="25" t="s">
        <v>166</v>
      </c>
      <c r="CB429" s="25" t="s">
        <v>166</v>
      </c>
      <c r="CC429" s="25" t="s">
        <v>166</v>
      </c>
      <c r="CD429" s="25" t="s">
        <v>166</v>
      </c>
      <c r="CE429" s="29" t="s">
        <v>166</v>
      </c>
      <c r="CF429" s="27" t="s">
        <v>166</v>
      </c>
      <c r="CG429" s="28" t="s">
        <v>166</v>
      </c>
      <c r="CH429" s="27" t="s">
        <v>166</v>
      </c>
      <c r="CI429" s="27" t="s">
        <v>166</v>
      </c>
      <c r="CJ429" s="27" t="s">
        <v>166</v>
      </c>
      <c r="CK429" s="27" t="s">
        <v>166</v>
      </c>
      <c r="CL429" s="27" t="s">
        <v>166</v>
      </c>
      <c r="CM429" s="31" t="s">
        <v>166</v>
      </c>
      <c r="CN429" s="27" t="s">
        <v>166</v>
      </c>
      <c r="CO429" s="27" t="s">
        <v>166</v>
      </c>
      <c r="CP429" s="27" t="s">
        <v>166</v>
      </c>
      <c r="CQ429" s="27" t="s">
        <v>166</v>
      </c>
      <c r="CR429" s="27" t="s">
        <v>166</v>
      </c>
      <c r="CS429" s="27" t="s">
        <v>166</v>
      </c>
      <c r="CT429" s="27" t="s">
        <v>166</v>
      </c>
      <c r="CU429" s="27" t="s">
        <v>166</v>
      </c>
      <c r="CV429" s="27" t="s">
        <v>166</v>
      </c>
      <c r="CW429" s="27" t="s">
        <v>166</v>
      </c>
      <c r="CX429" s="27" t="s">
        <v>166</v>
      </c>
      <c r="CY429" s="27" t="s">
        <v>166</v>
      </c>
      <c r="CZ429" s="27" t="s">
        <v>166</v>
      </c>
      <c r="DA429" s="27" t="s">
        <v>166</v>
      </c>
      <c r="DB429" s="27" t="s">
        <v>166</v>
      </c>
      <c r="DC429" s="27" t="s">
        <v>166</v>
      </c>
      <c r="DD429" s="27" t="s">
        <v>166</v>
      </c>
      <c r="DE429" s="28" t="s">
        <v>166</v>
      </c>
      <c r="DF429" s="33">
        <v>44</v>
      </c>
      <c r="DG429" s="25" t="s">
        <v>726</v>
      </c>
      <c r="DH429" s="25" t="s">
        <v>193</v>
      </c>
      <c r="DI429" s="25" t="s">
        <v>194</v>
      </c>
      <c r="DJ429" s="25" t="s">
        <v>727</v>
      </c>
      <c r="DK429" s="25" t="s">
        <v>728</v>
      </c>
      <c r="DL429" s="32" t="s">
        <v>8440</v>
      </c>
      <c r="DM429" s="25" t="s">
        <v>198</v>
      </c>
      <c r="DN429" s="24" t="s">
        <v>8441</v>
      </c>
      <c r="DO429" s="31">
        <v>2020</v>
      </c>
      <c r="DP429" s="25" t="s">
        <v>166</v>
      </c>
      <c r="DQ429" s="25" t="s">
        <v>166</v>
      </c>
      <c r="DR429" s="29" t="s">
        <v>166</v>
      </c>
      <c r="DS429" s="27" t="s">
        <v>166</v>
      </c>
      <c r="DT429" s="30" t="s">
        <v>166</v>
      </c>
      <c r="DU429" s="25" t="s">
        <v>166</v>
      </c>
      <c r="DV429" s="29" t="s">
        <v>166</v>
      </c>
      <c r="DW429" s="29" t="s">
        <v>166</v>
      </c>
      <c r="DX429" s="27" t="s">
        <v>166</v>
      </c>
      <c r="DY429" s="27" t="s">
        <v>166</v>
      </c>
      <c r="DZ429" s="28" t="s">
        <v>166</v>
      </c>
      <c r="EA429" s="27" t="s">
        <v>166</v>
      </c>
      <c r="EB429" s="27" t="s">
        <v>166</v>
      </c>
      <c r="EC429" s="27" t="s">
        <v>166</v>
      </c>
      <c r="ED429" s="28" t="s">
        <v>166</v>
      </c>
      <c r="EE429" s="28" t="s">
        <v>166</v>
      </c>
      <c r="EF429" s="28" t="s">
        <v>166</v>
      </c>
      <c r="EG429" s="28" t="s">
        <v>166</v>
      </c>
      <c r="EH429" s="27" t="s">
        <v>166</v>
      </c>
      <c r="EI429" s="27" t="s">
        <v>166</v>
      </c>
      <c r="EJ429" s="27" t="s">
        <v>166</v>
      </c>
      <c r="EK429" s="27" t="s">
        <v>166</v>
      </c>
      <c r="EL429" s="27" t="s">
        <v>166</v>
      </c>
      <c r="EM429" s="27" t="s">
        <v>166</v>
      </c>
      <c r="EN429" s="27" t="s">
        <v>166</v>
      </c>
      <c r="EO429" s="27" t="s">
        <v>166</v>
      </c>
      <c r="EP429" s="27" t="s">
        <v>166</v>
      </c>
      <c r="EQ429" s="27" t="s">
        <v>166</v>
      </c>
      <c r="ER429" s="27" t="s">
        <v>166</v>
      </c>
      <c r="ES429" s="27" t="s">
        <v>166</v>
      </c>
      <c r="ET429" s="25" t="s">
        <v>166</v>
      </c>
      <c r="EU429" s="27" t="s">
        <v>166</v>
      </c>
      <c r="EV429" s="27" t="s">
        <v>166</v>
      </c>
      <c r="EW429" s="27" t="s">
        <v>166</v>
      </c>
      <c r="EX429" s="25" t="s">
        <v>190</v>
      </c>
      <c r="EY429" s="25" t="s">
        <v>166</v>
      </c>
      <c r="EZ429" s="27" t="s">
        <v>166</v>
      </c>
      <c r="FA429" s="26">
        <v>1</v>
      </c>
      <c r="FB429" s="26">
        <v>1</v>
      </c>
      <c r="FC429" s="26" t="s">
        <v>166</v>
      </c>
      <c r="FD429" s="26" t="s">
        <v>166</v>
      </c>
      <c r="FE429" s="26" t="s">
        <v>166</v>
      </c>
      <c r="FF429" s="26">
        <v>1</v>
      </c>
      <c r="FG429" s="25" t="s">
        <v>166</v>
      </c>
      <c r="FH429" s="4">
        <f>HYPERLINK("https://my.pitchbook.com?c=179563-78T","View Company Online")</f>
      </c>
    </row>
    <row r="430">
      <c r="A430" s="14" t="s">
        <v>8442</v>
      </c>
      <c r="B430" s="14" t="s">
        <v>8443</v>
      </c>
      <c r="C430" s="14" t="s">
        <v>8444</v>
      </c>
      <c r="D430" s="14" t="s">
        <v>166</v>
      </c>
      <c r="E430" s="23" t="s">
        <v>8445</v>
      </c>
      <c r="F430" s="21">
        <v>2</v>
      </c>
      <c r="G430" s="14" t="s">
        <v>8446</v>
      </c>
      <c r="H430" s="14" t="s">
        <v>166</v>
      </c>
      <c r="I430" s="14" t="s">
        <v>8447</v>
      </c>
      <c r="J430" s="14" t="s">
        <v>8448</v>
      </c>
      <c r="K430" s="14" t="s">
        <v>207</v>
      </c>
      <c r="L430" s="14" t="s">
        <v>208</v>
      </c>
      <c r="M430" s="14" t="s">
        <v>209</v>
      </c>
      <c r="N430" s="14" t="s">
        <v>269</v>
      </c>
      <c r="O430" s="14" t="s">
        <v>397</v>
      </c>
      <c r="P430" s="14" t="s">
        <v>8449</v>
      </c>
      <c r="Q430" s="14" t="s">
        <v>166</v>
      </c>
      <c r="R430" s="14" t="s">
        <v>177</v>
      </c>
      <c r="S430" s="14" t="s">
        <v>178</v>
      </c>
      <c r="T430" s="14" t="s">
        <v>179</v>
      </c>
      <c r="U430" s="14" t="s">
        <v>8450</v>
      </c>
      <c r="V430" s="14" t="s">
        <v>8451</v>
      </c>
      <c r="W430" s="21" t="s">
        <v>166</v>
      </c>
      <c r="X430" s="14" t="s">
        <v>166</v>
      </c>
      <c r="Y430" s="14" t="s">
        <v>8452</v>
      </c>
      <c r="Z430" s="14" t="s">
        <v>166</v>
      </c>
      <c r="AA430" s="14" t="s">
        <v>166</v>
      </c>
      <c r="AB430" s="14" t="s">
        <v>166</v>
      </c>
      <c r="AC430" s="14" t="s">
        <v>166</v>
      </c>
      <c r="AD430" s="14" t="s">
        <v>166</v>
      </c>
      <c r="AE430" s="14" t="s">
        <v>166</v>
      </c>
      <c r="AF430" s="14" t="s">
        <v>166</v>
      </c>
      <c r="AG430" s="14" t="s">
        <v>166</v>
      </c>
      <c r="AH430" s="21">
        <v>3</v>
      </c>
      <c r="AI430" s="3">
        <f>HYPERLINK("https://my.pitchbook.com/?d=158116-78T","158116-78T")</f>
      </c>
      <c r="AJ430" s="19" t="s">
        <v>166</v>
      </c>
      <c r="AK430" s="19">
        <v>43929</v>
      </c>
      <c r="AL430" s="18">
        <v>0.35</v>
      </c>
      <c r="AM430" s="14" t="s">
        <v>185</v>
      </c>
      <c r="AN430" s="18" t="s">
        <v>166</v>
      </c>
      <c r="AO430" s="18" t="s">
        <v>166</v>
      </c>
      <c r="AP430" s="14" t="s">
        <v>166</v>
      </c>
      <c r="AQ430" s="21" t="s">
        <v>166</v>
      </c>
      <c r="AR430" s="21" t="s">
        <v>166</v>
      </c>
      <c r="AS430" s="17" t="s">
        <v>166</v>
      </c>
      <c r="AT430" s="18">
        <v>0.37</v>
      </c>
      <c r="AU430" s="21" t="s">
        <v>186</v>
      </c>
      <c r="AV430" s="21" t="s">
        <v>166</v>
      </c>
      <c r="AW430" s="18" t="s">
        <v>166</v>
      </c>
      <c r="AX430" s="21" t="s">
        <v>166</v>
      </c>
      <c r="AY430" s="14" t="s">
        <v>217</v>
      </c>
      <c r="AZ430" s="14" t="s">
        <v>217</v>
      </c>
      <c r="BA430" s="14" t="s">
        <v>166</v>
      </c>
      <c r="BB430" s="21" t="s">
        <v>166</v>
      </c>
      <c r="BC430" s="14" t="s">
        <v>179</v>
      </c>
      <c r="BD430" s="14" t="s">
        <v>8453</v>
      </c>
      <c r="BE430" s="14" t="s">
        <v>189</v>
      </c>
      <c r="BF430" s="18">
        <v>0.35</v>
      </c>
      <c r="BG430" s="14" t="s">
        <v>190</v>
      </c>
      <c r="BH430" s="14" t="s">
        <v>166</v>
      </c>
      <c r="BI430" s="14" t="s">
        <v>166</v>
      </c>
      <c r="BJ430" s="18" t="s">
        <v>166</v>
      </c>
      <c r="BK430" s="18" t="s">
        <v>166</v>
      </c>
      <c r="BL430" s="14" t="s">
        <v>191</v>
      </c>
      <c r="BM430" s="14" t="s">
        <v>178</v>
      </c>
      <c r="BN430" s="14" t="s">
        <v>177</v>
      </c>
      <c r="BO430" s="22" t="s">
        <v>166</v>
      </c>
      <c r="BP430" s="14" t="s">
        <v>8454</v>
      </c>
      <c r="BQ430" s="21">
        <v>1</v>
      </c>
      <c r="BR430" s="14" t="s">
        <v>252</v>
      </c>
      <c r="BS430" s="21">
        <v>1</v>
      </c>
      <c r="BT430" s="14" t="s">
        <v>166</v>
      </c>
      <c r="BU430" s="14" t="s">
        <v>166</v>
      </c>
      <c r="BV430" s="14" t="s">
        <v>8455</v>
      </c>
      <c r="BW430" s="14" t="s">
        <v>166</v>
      </c>
      <c r="BX430" s="14" t="s">
        <v>166</v>
      </c>
      <c r="BY430" s="14" t="s">
        <v>166</v>
      </c>
      <c r="BZ430" s="14" t="s">
        <v>166</v>
      </c>
      <c r="CA430" s="14" t="s">
        <v>166</v>
      </c>
      <c r="CB430" s="14" t="s">
        <v>166</v>
      </c>
      <c r="CC430" s="14" t="s">
        <v>166</v>
      </c>
      <c r="CD430" s="14" t="s">
        <v>166</v>
      </c>
      <c r="CE430" s="18" t="s">
        <v>166</v>
      </c>
      <c r="CF430" s="16" t="s">
        <v>166</v>
      </c>
      <c r="CG430" s="17" t="s">
        <v>166</v>
      </c>
      <c r="CH430" s="16" t="s">
        <v>166</v>
      </c>
      <c r="CI430" s="16" t="s">
        <v>166</v>
      </c>
      <c r="CJ430" s="16" t="s">
        <v>166</v>
      </c>
      <c r="CK430" s="16" t="s">
        <v>166</v>
      </c>
      <c r="CL430" s="16" t="s">
        <v>166</v>
      </c>
      <c r="CM430" s="20" t="s">
        <v>166</v>
      </c>
      <c r="CN430" s="16" t="s">
        <v>166</v>
      </c>
      <c r="CO430" s="16" t="s">
        <v>166</v>
      </c>
      <c r="CP430" s="16" t="s">
        <v>166</v>
      </c>
      <c r="CQ430" s="16" t="s">
        <v>166</v>
      </c>
      <c r="CR430" s="16" t="s">
        <v>166</v>
      </c>
      <c r="CS430" s="16" t="s">
        <v>166</v>
      </c>
      <c r="CT430" s="16" t="s">
        <v>166</v>
      </c>
      <c r="CU430" s="16" t="s">
        <v>166</v>
      </c>
      <c r="CV430" s="16" t="s">
        <v>166</v>
      </c>
      <c r="CW430" s="16" t="s">
        <v>166</v>
      </c>
      <c r="CX430" s="16" t="s">
        <v>166</v>
      </c>
      <c r="CY430" s="16" t="s">
        <v>166</v>
      </c>
      <c r="CZ430" s="16" t="s">
        <v>166</v>
      </c>
      <c r="DA430" s="16" t="s">
        <v>166</v>
      </c>
      <c r="DB430" s="16" t="s">
        <v>166</v>
      </c>
      <c r="DC430" s="16" t="s">
        <v>166</v>
      </c>
      <c r="DD430" s="16" t="s">
        <v>166</v>
      </c>
      <c r="DE430" s="17" t="s">
        <v>166</v>
      </c>
      <c r="DF430" s="22">
        <v>14</v>
      </c>
      <c r="DG430" s="14" t="s">
        <v>2367</v>
      </c>
      <c r="DH430" s="14" t="s">
        <v>193</v>
      </c>
      <c r="DI430" s="14" t="s">
        <v>194</v>
      </c>
      <c r="DJ430" s="14" t="s">
        <v>2368</v>
      </c>
      <c r="DK430" s="14" t="s">
        <v>2369</v>
      </c>
      <c r="DL430" s="21" t="s">
        <v>8456</v>
      </c>
      <c r="DM430" s="14" t="s">
        <v>198</v>
      </c>
      <c r="DN430" s="13" t="s">
        <v>8457</v>
      </c>
      <c r="DO430" s="20">
        <v>2016</v>
      </c>
      <c r="DP430" s="14" t="s">
        <v>166</v>
      </c>
      <c r="DQ430" s="14" t="s">
        <v>166</v>
      </c>
      <c r="DR430" s="18" t="s">
        <v>166</v>
      </c>
      <c r="DS430" s="16" t="s">
        <v>166</v>
      </c>
      <c r="DT430" s="19" t="s">
        <v>166</v>
      </c>
      <c r="DU430" s="14" t="s">
        <v>166</v>
      </c>
      <c r="DV430" s="18" t="s">
        <v>166</v>
      </c>
      <c r="DW430" s="18" t="s">
        <v>166</v>
      </c>
      <c r="DX430" s="16" t="s">
        <v>166</v>
      </c>
      <c r="DY430" s="16" t="s">
        <v>166</v>
      </c>
      <c r="DZ430" s="17" t="s">
        <v>166</v>
      </c>
      <c r="EA430" s="16" t="s">
        <v>166</v>
      </c>
      <c r="EB430" s="16" t="s">
        <v>166</v>
      </c>
      <c r="EC430" s="16" t="s">
        <v>166</v>
      </c>
      <c r="ED430" s="17" t="s">
        <v>166</v>
      </c>
      <c r="EE430" s="17" t="s">
        <v>166</v>
      </c>
      <c r="EF430" s="17" t="s">
        <v>166</v>
      </c>
      <c r="EG430" s="17" t="s">
        <v>166</v>
      </c>
      <c r="EH430" s="16" t="s">
        <v>166</v>
      </c>
      <c r="EI430" s="16" t="s">
        <v>166</v>
      </c>
      <c r="EJ430" s="16" t="s">
        <v>166</v>
      </c>
      <c r="EK430" s="16" t="s">
        <v>166</v>
      </c>
      <c r="EL430" s="16" t="s">
        <v>166</v>
      </c>
      <c r="EM430" s="16" t="s">
        <v>166</v>
      </c>
      <c r="EN430" s="16" t="s">
        <v>166</v>
      </c>
      <c r="EO430" s="16" t="s">
        <v>166</v>
      </c>
      <c r="EP430" s="16" t="s">
        <v>166</v>
      </c>
      <c r="EQ430" s="16" t="s">
        <v>166</v>
      </c>
      <c r="ER430" s="16" t="s">
        <v>166</v>
      </c>
      <c r="ES430" s="16" t="s">
        <v>166</v>
      </c>
      <c r="ET430" s="14" t="s">
        <v>166</v>
      </c>
      <c r="EU430" s="16" t="s">
        <v>166</v>
      </c>
      <c r="EV430" s="16" t="s">
        <v>166</v>
      </c>
      <c r="EW430" s="16" t="s">
        <v>166</v>
      </c>
      <c r="EX430" s="14" t="s">
        <v>190</v>
      </c>
      <c r="EY430" s="14" t="s">
        <v>166</v>
      </c>
      <c r="EZ430" s="16" t="s">
        <v>166</v>
      </c>
      <c r="FA430" s="15" t="s">
        <v>166</v>
      </c>
      <c r="FB430" s="15" t="s">
        <v>166</v>
      </c>
      <c r="FC430" s="15" t="s">
        <v>166</v>
      </c>
      <c r="FD430" s="15" t="s">
        <v>166</v>
      </c>
      <c r="FE430" s="15" t="s">
        <v>166</v>
      </c>
      <c r="FF430" s="15" t="s">
        <v>166</v>
      </c>
      <c r="FG430" s="14" t="s">
        <v>166</v>
      </c>
      <c r="FH430" s="3">
        <f>HYPERLINK("https://my.pitchbook.com?c=158116-78T","View Company Online")</f>
      </c>
    </row>
    <row r="431">
      <c r="A431" s="25" t="s">
        <v>8458</v>
      </c>
      <c r="B431" s="25" t="s">
        <v>8459</v>
      </c>
      <c r="C431" s="25" t="s">
        <v>8460</v>
      </c>
      <c r="D431" s="25" t="s">
        <v>166</v>
      </c>
      <c r="E431" s="34" t="s">
        <v>8258</v>
      </c>
      <c r="F431" s="32">
        <v>2</v>
      </c>
      <c r="G431" s="25" t="s">
        <v>8248</v>
      </c>
      <c r="H431" s="25" t="s">
        <v>166</v>
      </c>
      <c r="I431" s="25" t="s">
        <v>8461</v>
      </c>
      <c r="J431" s="25" t="s">
        <v>8462</v>
      </c>
      <c r="K431" s="25" t="s">
        <v>171</v>
      </c>
      <c r="L431" s="25" t="s">
        <v>172</v>
      </c>
      <c r="M431" s="25" t="s">
        <v>173</v>
      </c>
      <c r="N431" s="25" t="s">
        <v>8463</v>
      </c>
      <c r="O431" s="25" t="s">
        <v>5760</v>
      </c>
      <c r="P431" s="25" t="s">
        <v>8464</v>
      </c>
      <c r="Q431" s="25" t="s">
        <v>166</v>
      </c>
      <c r="R431" s="25" t="s">
        <v>177</v>
      </c>
      <c r="S431" s="25" t="s">
        <v>178</v>
      </c>
      <c r="T431" s="25" t="s">
        <v>179</v>
      </c>
      <c r="U431" s="25" t="s">
        <v>8465</v>
      </c>
      <c r="V431" s="25" t="s">
        <v>8466</v>
      </c>
      <c r="W431" s="32" t="s">
        <v>166</v>
      </c>
      <c r="X431" s="25" t="s">
        <v>8467</v>
      </c>
      <c r="Y431" s="25" t="s">
        <v>8468</v>
      </c>
      <c r="Z431" s="25" t="s">
        <v>8469</v>
      </c>
      <c r="AA431" s="25" t="s">
        <v>166</v>
      </c>
      <c r="AB431" s="25" t="s">
        <v>166</v>
      </c>
      <c r="AC431" s="25" t="s">
        <v>166</v>
      </c>
      <c r="AD431" s="25" t="s">
        <v>166</v>
      </c>
      <c r="AE431" s="25" t="s">
        <v>166</v>
      </c>
      <c r="AF431" s="25" t="s">
        <v>166</v>
      </c>
      <c r="AG431" s="25" t="s">
        <v>166</v>
      </c>
      <c r="AH431" s="32">
        <v>2</v>
      </c>
      <c r="AI431" s="4">
        <f>HYPERLINK("https://my.pitchbook.com/?d=272244-07T","272244-07T")</f>
      </c>
      <c r="AJ431" s="30" t="s">
        <v>166</v>
      </c>
      <c r="AK431" s="30">
        <v>45510</v>
      </c>
      <c r="AL431" s="29">
        <v>0.05</v>
      </c>
      <c r="AM431" s="25" t="s">
        <v>185</v>
      </c>
      <c r="AN431" s="29" t="s">
        <v>166</v>
      </c>
      <c r="AO431" s="29" t="s">
        <v>166</v>
      </c>
      <c r="AP431" s="25" t="s">
        <v>166</v>
      </c>
      <c r="AQ431" s="32" t="s">
        <v>166</v>
      </c>
      <c r="AR431" s="32" t="s">
        <v>166</v>
      </c>
      <c r="AS431" s="28" t="s">
        <v>166</v>
      </c>
      <c r="AT431" s="29">
        <v>0.05</v>
      </c>
      <c r="AU431" s="32" t="s">
        <v>186</v>
      </c>
      <c r="AV431" s="32" t="s">
        <v>166</v>
      </c>
      <c r="AW431" s="29" t="s">
        <v>166</v>
      </c>
      <c r="AX431" s="32" t="s">
        <v>166</v>
      </c>
      <c r="AY431" s="25" t="s">
        <v>217</v>
      </c>
      <c r="AZ431" s="25" t="s">
        <v>217</v>
      </c>
      <c r="BA431" s="25" t="s">
        <v>166</v>
      </c>
      <c r="BB431" s="32" t="s">
        <v>166</v>
      </c>
      <c r="BC431" s="25" t="s">
        <v>179</v>
      </c>
      <c r="BD431" s="25" t="s">
        <v>8462</v>
      </c>
      <c r="BE431" s="25" t="s">
        <v>189</v>
      </c>
      <c r="BF431" s="29">
        <v>0.05</v>
      </c>
      <c r="BG431" s="25" t="s">
        <v>190</v>
      </c>
      <c r="BH431" s="25" t="s">
        <v>166</v>
      </c>
      <c r="BI431" s="25" t="s">
        <v>166</v>
      </c>
      <c r="BJ431" s="29" t="s">
        <v>166</v>
      </c>
      <c r="BK431" s="29" t="s">
        <v>166</v>
      </c>
      <c r="BL431" s="25" t="s">
        <v>191</v>
      </c>
      <c r="BM431" s="25" t="s">
        <v>178</v>
      </c>
      <c r="BN431" s="25" t="s">
        <v>177</v>
      </c>
      <c r="BO431" s="33" t="s">
        <v>166</v>
      </c>
      <c r="BP431" s="25" t="s">
        <v>8258</v>
      </c>
      <c r="BQ431" s="32">
        <v>2</v>
      </c>
      <c r="BR431" s="25" t="s">
        <v>166</v>
      </c>
      <c r="BS431" s="32" t="s">
        <v>166</v>
      </c>
      <c r="BT431" s="25" t="s">
        <v>166</v>
      </c>
      <c r="BU431" s="25" t="s">
        <v>166</v>
      </c>
      <c r="BV431" s="25" t="s">
        <v>166</v>
      </c>
      <c r="BW431" s="25" t="s">
        <v>166</v>
      </c>
      <c r="BX431" s="25" t="s">
        <v>166</v>
      </c>
      <c r="BY431" s="25" t="s">
        <v>166</v>
      </c>
      <c r="BZ431" s="25" t="s">
        <v>166</v>
      </c>
      <c r="CA431" s="25" t="s">
        <v>166</v>
      </c>
      <c r="CB431" s="25" t="s">
        <v>166</v>
      </c>
      <c r="CC431" s="25" t="s">
        <v>166</v>
      </c>
      <c r="CD431" s="25" t="s">
        <v>166</v>
      </c>
      <c r="CE431" s="29" t="s">
        <v>166</v>
      </c>
      <c r="CF431" s="27" t="s">
        <v>166</v>
      </c>
      <c r="CG431" s="28" t="s">
        <v>166</v>
      </c>
      <c r="CH431" s="27" t="s">
        <v>166</v>
      </c>
      <c r="CI431" s="27" t="s">
        <v>166</v>
      </c>
      <c r="CJ431" s="27" t="s">
        <v>166</v>
      </c>
      <c r="CK431" s="27" t="s">
        <v>166</v>
      </c>
      <c r="CL431" s="27" t="s">
        <v>166</v>
      </c>
      <c r="CM431" s="31" t="s">
        <v>166</v>
      </c>
      <c r="CN431" s="27" t="s">
        <v>166</v>
      </c>
      <c r="CO431" s="27" t="s">
        <v>166</v>
      </c>
      <c r="CP431" s="27" t="s">
        <v>166</v>
      </c>
      <c r="CQ431" s="27" t="s">
        <v>166</v>
      </c>
      <c r="CR431" s="27" t="s">
        <v>166</v>
      </c>
      <c r="CS431" s="27" t="s">
        <v>166</v>
      </c>
      <c r="CT431" s="27" t="s">
        <v>166</v>
      </c>
      <c r="CU431" s="27" t="s">
        <v>166</v>
      </c>
      <c r="CV431" s="27" t="s">
        <v>166</v>
      </c>
      <c r="CW431" s="27" t="s">
        <v>166</v>
      </c>
      <c r="CX431" s="27" t="s">
        <v>166</v>
      </c>
      <c r="CY431" s="27" t="s">
        <v>166</v>
      </c>
      <c r="CZ431" s="27" t="s">
        <v>166</v>
      </c>
      <c r="DA431" s="27" t="s">
        <v>166</v>
      </c>
      <c r="DB431" s="27" t="s">
        <v>166</v>
      </c>
      <c r="DC431" s="27" t="s">
        <v>166</v>
      </c>
      <c r="DD431" s="27" t="s">
        <v>166</v>
      </c>
      <c r="DE431" s="28" t="s">
        <v>166</v>
      </c>
      <c r="DF431" s="33" t="s">
        <v>166</v>
      </c>
      <c r="DG431" s="25" t="s">
        <v>8470</v>
      </c>
      <c r="DH431" s="25" t="s">
        <v>193</v>
      </c>
      <c r="DI431" s="25" t="s">
        <v>194</v>
      </c>
      <c r="DJ431" s="25" t="s">
        <v>8471</v>
      </c>
      <c r="DK431" s="25" t="s">
        <v>1888</v>
      </c>
      <c r="DL431" s="32" t="s">
        <v>8472</v>
      </c>
      <c r="DM431" s="25" t="s">
        <v>198</v>
      </c>
      <c r="DN431" s="24" t="s">
        <v>8473</v>
      </c>
      <c r="DO431" s="31">
        <v>2020</v>
      </c>
      <c r="DP431" s="25" t="s">
        <v>166</v>
      </c>
      <c r="DQ431" s="25" t="s">
        <v>166</v>
      </c>
      <c r="DR431" s="29" t="s">
        <v>166</v>
      </c>
      <c r="DS431" s="27" t="s">
        <v>166</v>
      </c>
      <c r="DT431" s="30" t="s">
        <v>166</v>
      </c>
      <c r="DU431" s="25" t="s">
        <v>166</v>
      </c>
      <c r="DV431" s="29" t="s">
        <v>166</v>
      </c>
      <c r="DW431" s="29" t="s">
        <v>166</v>
      </c>
      <c r="DX431" s="27" t="s">
        <v>166</v>
      </c>
      <c r="DY431" s="27" t="s">
        <v>166</v>
      </c>
      <c r="DZ431" s="28" t="s">
        <v>166</v>
      </c>
      <c r="EA431" s="27" t="s">
        <v>166</v>
      </c>
      <c r="EB431" s="27" t="s">
        <v>166</v>
      </c>
      <c r="EC431" s="27" t="s">
        <v>166</v>
      </c>
      <c r="ED431" s="28" t="s">
        <v>166</v>
      </c>
      <c r="EE431" s="28" t="s">
        <v>166</v>
      </c>
      <c r="EF431" s="28" t="s">
        <v>166</v>
      </c>
      <c r="EG431" s="28" t="s">
        <v>166</v>
      </c>
      <c r="EH431" s="27" t="s">
        <v>166</v>
      </c>
      <c r="EI431" s="27" t="s">
        <v>166</v>
      </c>
      <c r="EJ431" s="27" t="s">
        <v>166</v>
      </c>
      <c r="EK431" s="27" t="s">
        <v>166</v>
      </c>
      <c r="EL431" s="27" t="s">
        <v>166</v>
      </c>
      <c r="EM431" s="27" t="s">
        <v>166</v>
      </c>
      <c r="EN431" s="27" t="s">
        <v>166</v>
      </c>
      <c r="EO431" s="27" t="s">
        <v>166</v>
      </c>
      <c r="EP431" s="27" t="s">
        <v>166</v>
      </c>
      <c r="EQ431" s="27" t="s">
        <v>166</v>
      </c>
      <c r="ER431" s="27" t="s">
        <v>166</v>
      </c>
      <c r="ES431" s="27" t="s">
        <v>166</v>
      </c>
      <c r="ET431" s="25" t="s">
        <v>166</v>
      </c>
      <c r="EU431" s="27" t="s">
        <v>166</v>
      </c>
      <c r="EV431" s="27" t="s">
        <v>166</v>
      </c>
      <c r="EW431" s="27" t="s">
        <v>166</v>
      </c>
      <c r="EX431" s="25" t="s">
        <v>190</v>
      </c>
      <c r="EY431" s="25" t="s">
        <v>166</v>
      </c>
      <c r="EZ431" s="27" t="s">
        <v>166</v>
      </c>
      <c r="FA431" s="26" t="s">
        <v>166</v>
      </c>
      <c r="FB431" s="26" t="s">
        <v>166</v>
      </c>
      <c r="FC431" s="26" t="s">
        <v>166</v>
      </c>
      <c r="FD431" s="26" t="s">
        <v>166</v>
      </c>
      <c r="FE431" s="26" t="s">
        <v>166</v>
      </c>
      <c r="FF431" s="26" t="s">
        <v>166</v>
      </c>
      <c r="FG431" s="25" t="s">
        <v>166</v>
      </c>
      <c r="FH431" s="4">
        <f>HYPERLINK("https://my.pitchbook.com?c=272244-07T","View Company Online")</f>
      </c>
    </row>
    <row r="432">
      <c r="A432" s="14" t="s">
        <v>8474</v>
      </c>
      <c r="B432" s="14" t="s">
        <v>8475</v>
      </c>
      <c r="C432" s="14" t="s">
        <v>8476</v>
      </c>
      <c r="D432" s="14" t="s">
        <v>166</v>
      </c>
      <c r="E432" s="23" t="s">
        <v>8477</v>
      </c>
      <c r="F432" s="21">
        <v>18</v>
      </c>
      <c r="G432" s="14" t="s">
        <v>8478</v>
      </c>
      <c r="H432" s="14" t="s">
        <v>166</v>
      </c>
      <c r="I432" s="14" t="s">
        <v>8479</v>
      </c>
      <c r="J432" s="14" t="s">
        <v>8480</v>
      </c>
      <c r="K432" s="14" t="s">
        <v>207</v>
      </c>
      <c r="L432" s="14" t="s">
        <v>208</v>
      </c>
      <c r="M432" s="14" t="s">
        <v>209</v>
      </c>
      <c r="N432" s="14" t="s">
        <v>4157</v>
      </c>
      <c r="O432" s="14" t="s">
        <v>2046</v>
      </c>
      <c r="P432" s="14" t="s">
        <v>8481</v>
      </c>
      <c r="Q432" s="14" t="s">
        <v>166</v>
      </c>
      <c r="R432" s="14" t="s">
        <v>177</v>
      </c>
      <c r="S432" s="14" t="s">
        <v>178</v>
      </c>
      <c r="T432" s="14" t="s">
        <v>179</v>
      </c>
      <c r="U432" s="14" t="s">
        <v>8482</v>
      </c>
      <c r="V432" s="14" t="s">
        <v>8483</v>
      </c>
      <c r="W432" s="21" t="s">
        <v>8484</v>
      </c>
      <c r="X432" s="14" t="s">
        <v>166</v>
      </c>
      <c r="Y432" s="14" t="s">
        <v>8485</v>
      </c>
      <c r="Z432" s="14" t="s">
        <v>8486</v>
      </c>
      <c r="AA432" s="14" t="s">
        <v>242</v>
      </c>
      <c r="AB432" s="14" t="s">
        <v>243</v>
      </c>
      <c r="AC432" s="14" t="s">
        <v>244</v>
      </c>
      <c r="AD432" s="14" t="s">
        <v>243</v>
      </c>
      <c r="AE432" s="14" t="s">
        <v>243</v>
      </c>
      <c r="AF432" s="14" t="s">
        <v>166</v>
      </c>
      <c r="AG432" s="14" t="s">
        <v>246</v>
      </c>
      <c r="AH432" s="21">
        <v>1</v>
      </c>
      <c r="AI432" s="3">
        <f>HYPERLINK("https://my.pitchbook.com/?d=192590-56T","192590-56T")</f>
      </c>
      <c r="AJ432" s="19">
        <v>44582</v>
      </c>
      <c r="AK432" s="19">
        <v>44676</v>
      </c>
      <c r="AL432" s="18">
        <v>3.62</v>
      </c>
      <c r="AM432" s="14" t="s">
        <v>185</v>
      </c>
      <c r="AN432" s="18">
        <v>8</v>
      </c>
      <c r="AO432" s="18">
        <v>11.62</v>
      </c>
      <c r="AP432" s="14" t="s">
        <v>185</v>
      </c>
      <c r="AQ432" s="21" t="s">
        <v>166</v>
      </c>
      <c r="AR432" s="21" t="s">
        <v>166</v>
      </c>
      <c r="AS432" s="17">
        <v>34.32</v>
      </c>
      <c r="AT432" s="18">
        <v>3.62</v>
      </c>
      <c r="AU432" s="21" t="s">
        <v>186</v>
      </c>
      <c r="AV432" s="21" t="s">
        <v>166</v>
      </c>
      <c r="AW432" s="18">
        <v>0.75</v>
      </c>
      <c r="AX432" s="21" t="s">
        <v>166</v>
      </c>
      <c r="AY432" s="14" t="s">
        <v>217</v>
      </c>
      <c r="AZ432" s="14" t="s">
        <v>217</v>
      </c>
      <c r="BA432" s="14" t="s">
        <v>166</v>
      </c>
      <c r="BB432" s="21" t="s">
        <v>166</v>
      </c>
      <c r="BC432" s="14" t="s">
        <v>179</v>
      </c>
      <c r="BD432" s="14" t="s">
        <v>8487</v>
      </c>
      <c r="BE432" s="14" t="s">
        <v>189</v>
      </c>
      <c r="BF432" s="18">
        <v>3.62</v>
      </c>
      <c r="BG432" s="14" t="s">
        <v>190</v>
      </c>
      <c r="BH432" s="14" t="s">
        <v>166</v>
      </c>
      <c r="BI432" s="14" t="s">
        <v>166</v>
      </c>
      <c r="BJ432" s="18" t="s">
        <v>166</v>
      </c>
      <c r="BK432" s="18" t="s">
        <v>166</v>
      </c>
      <c r="BL432" s="14" t="s">
        <v>191</v>
      </c>
      <c r="BM432" s="14" t="s">
        <v>178</v>
      </c>
      <c r="BN432" s="14" t="s">
        <v>177</v>
      </c>
      <c r="BO432" s="22" t="s">
        <v>166</v>
      </c>
      <c r="BP432" s="14" t="s">
        <v>8488</v>
      </c>
      <c r="BQ432" s="21">
        <v>18</v>
      </c>
      <c r="BR432" s="14" t="s">
        <v>166</v>
      </c>
      <c r="BS432" s="21" t="s">
        <v>166</v>
      </c>
      <c r="BT432" s="14" t="s">
        <v>8489</v>
      </c>
      <c r="BU432" s="14" t="s">
        <v>166</v>
      </c>
      <c r="BV432" s="14" t="s">
        <v>8490</v>
      </c>
      <c r="BW432" s="14" t="s">
        <v>166</v>
      </c>
      <c r="BX432" s="14" t="s">
        <v>166</v>
      </c>
      <c r="BY432" s="14" t="s">
        <v>166</v>
      </c>
      <c r="BZ432" s="14" t="s">
        <v>166</v>
      </c>
      <c r="CA432" s="14" t="s">
        <v>166</v>
      </c>
      <c r="CB432" s="14" t="s">
        <v>166</v>
      </c>
      <c r="CC432" s="14" t="s">
        <v>166</v>
      </c>
      <c r="CD432" s="14" t="s">
        <v>166</v>
      </c>
      <c r="CE432" s="18" t="s">
        <v>166</v>
      </c>
      <c r="CF432" s="16" t="s">
        <v>166</v>
      </c>
      <c r="CG432" s="17" t="s">
        <v>166</v>
      </c>
      <c r="CH432" s="16" t="s">
        <v>166</v>
      </c>
      <c r="CI432" s="16" t="s">
        <v>166</v>
      </c>
      <c r="CJ432" s="16" t="s">
        <v>166</v>
      </c>
      <c r="CK432" s="16" t="s">
        <v>166</v>
      </c>
      <c r="CL432" s="16" t="s">
        <v>166</v>
      </c>
      <c r="CM432" s="20" t="s">
        <v>166</v>
      </c>
      <c r="CN432" s="16" t="s">
        <v>166</v>
      </c>
      <c r="CO432" s="16" t="s">
        <v>166</v>
      </c>
      <c r="CP432" s="16" t="s">
        <v>166</v>
      </c>
      <c r="CQ432" s="16" t="s">
        <v>166</v>
      </c>
      <c r="CR432" s="16" t="s">
        <v>166</v>
      </c>
      <c r="CS432" s="16" t="s">
        <v>166</v>
      </c>
      <c r="CT432" s="16" t="s">
        <v>166</v>
      </c>
      <c r="CU432" s="16" t="s">
        <v>166</v>
      </c>
      <c r="CV432" s="16" t="s">
        <v>166</v>
      </c>
      <c r="CW432" s="16" t="s">
        <v>166</v>
      </c>
      <c r="CX432" s="16" t="s">
        <v>166</v>
      </c>
      <c r="CY432" s="16" t="s">
        <v>166</v>
      </c>
      <c r="CZ432" s="16" t="s">
        <v>166</v>
      </c>
      <c r="DA432" s="16" t="s">
        <v>166</v>
      </c>
      <c r="DB432" s="16" t="s">
        <v>166</v>
      </c>
      <c r="DC432" s="16" t="s">
        <v>166</v>
      </c>
      <c r="DD432" s="16" t="s">
        <v>166</v>
      </c>
      <c r="DE432" s="17" t="s">
        <v>166</v>
      </c>
      <c r="DF432" s="22">
        <v>43</v>
      </c>
      <c r="DG432" s="14" t="s">
        <v>1634</v>
      </c>
      <c r="DH432" s="14" t="s">
        <v>193</v>
      </c>
      <c r="DI432" s="14" t="s">
        <v>194</v>
      </c>
      <c r="DJ432" s="14" t="s">
        <v>1635</v>
      </c>
      <c r="DK432" s="14" t="s">
        <v>408</v>
      </c>
      <c r="DL432" s="21" t="s">
        <v>8491</v>
      </c>
      <c r="DM432" s="14" t="s">
        <v>198</v>
      </c>
      <c r="DN432" s="13" t="s">
        <v>8492</v>
      </c>
      <c r="DO432" s="20">
        <v>2020</v>
      </c>
      <c r="DP432" s="14" t="s">
        <v>166</v>
      </c>
      <c r="DQ432" s="14" t="s">
        <v>166</v>
      </c>
      <c r="DR432" s="18" t="s">
        <v>166</v>
      </c>
      <c r="DS432" s="16" t="s">
        <v>166</v>
      </c>
      <c r="DT432" s="19" t="s">
        <v>166</v>
      </c>
      <c r="DU432" s="14" t="s">
        <v>166</v>
      </c>
      <c r="DV432" s="18" t="s">
        <v>166</v>
      </c>
      <c r="DW432" s="18" t="s">
        <v>166</v>
      </c>
      <c r="DX432" s="16" t="s">
        <v>166</v>
      </c>
      <c r="DY432" s="16" t="s">
        <v>166</v>
      </c>
      <c r="DZ432" s="17" t="s">
        <v>166</v>
      </c>
      <c r="EA432" s="16" t="s">
        <v>166</v>
      </c>
      <c r="EB432" s="16" t="s">
        <v>166</v>
      </c>
      <c r="EC432" s="16" t="s">
        <v>166</v>
      </c>
      <c r="ED432" s="17" t="s">
        <v>166</v>
      </c>
      <c r="EE432" s="17" t="s">
        <v>166</v>
      </c>
      <c r="EF432" s="17" t="s">
        <v>166</v>
      </c>
      <c r="EG432" s="17" t="s">
        <v>166</v>
      </c>
      <c r="EH432" s="16" t="s">
        <v>166</v>
      </c>
      <c r="EI432" s="16" t="s">
        <v>166</v>
      </c>
      <c r="EJ432" s="16" t="s">
        <v>166</v>
      </c>
      <c r="EK432" s="16" t="s">
        <v>166</v>
      </c>
      <c r="EL432" s="16" t="s">
        <v>166</v>
      </c>
      <c r="EM432" s="16" t="s">
        <v>166</v>
      </c>
      <c r="EN432" s="16" t="s">
        <v>166</v>
      </c>
      <c r="EO432" s="16" t="s">
        <v>166</v>
      </c>
      <c r="EP432" s="16" t="s">
        <v>166</v>
      </c>
      <c r="EQ432" s="16" t="s">
        <v>166</v>
      </c>
      <c r="ER432" s="16" t="s">
        <v>166</v>
      </c>
      <c r="ES432" s="16" t="s">
        <v>166</v>
      </c>
      <c r="ET432" s="14" t="s">
        <v>166</v>
      </c>
      <c r="EU432" s="16" t="s">
        <v>166</v>
      </c>
      <c r="EV432" s="16" t="s">
        <v>166</v>
      </c>
      <c r="EW432" s="16" t="s">
        <v>166</v>
      </c>
      <c r="EX432" s="14" t="s">
        <v>190</v>
      </c>
      <c r="EY432" s="14" t="s">
        <v>166</v>
      </c>
      <c r="EZ432" s="16" t="s">
        <v>166</v>
      </c>
      <c r="FA432" s="15" t="s">
        <v>166</v>
      </c>
      <c r="FB432" s="15" t="s">
        <v>166</v>
      </c>
      <c r="FC432" s="15" t="s">
        <v>166</v>
      </c>
      <c r="FD432" s="15" t="s">
        <v>166</v>
      </c>
      <c r="FE432" s="15" t="s">
        <v>166</v>
      </c>
      <c r="FF432" s="15" t="s">
        <v>166</v>
      </c>
      <c r="FG432" s="14" t="s">
        <v>166</v>
      </c>
      <c r="FH432" s="3">
        <f>HYPERLINK("https://my.pitchbook.com?c=192590-56T","View Company Online")</f>
      </c>
    </row>
    <row r="433">
      <c r="A433" s="25" t="s">
        <v>8493</v>
      </c>
      <c r="B433" s="25" t="s">
        <v>8494</v>
      </c>
      <c r="C433" s="25" t="s">
        <v>8495</v>
      </c>
      <c r="D433" s="25" t="s">
        <v>166</v>
      </c>
      <c r="E433" s="34" t="s">
        <v>8496</v>
      </c>
      <c r="F433" s="32">
        <v>4</v>
      </c>
      <c r="G433" s="25" t="s">
        <v>8497</v>
      </c>
      <c r="H433" s="25" t="s">
        <v>166</v>
      </c>
      <c r="I433" s="25" t="s">
        <v>8498</v>
      </c>
      <c r="J433" s="25" t="s">
        <v>8499</v>
      </c>
      <c r="K433" s="25" t="s">
        <v>1455</v>
      </c>
      <c r="L433" s="25" t="s">
        <v>1456</v>
      </c>
      <c r="M433" s="25" t="s">
        <v>1457</v>
      </c>
      <c r="N433" s="25" t="s">
        <v>8500</v>
      </c>
      <c r="O433" s="25" t="s">
        <v>800</v>
      </c>
      <c r="P433" s="25" t="s">
        <v>8501</v>
      </c>
      <c r="Q433" s="25" t="s">
        <v>166</v>
      </c>
      <c r="R433" s="25" t="s">
        <v>177</v>
      </c>
      <c r="S433" s="25" t="s">
        <v>178</v>
      </c>
      <c r="T433" s="25" t="s">
        <v>179</v>
      </c>
      <c r="U433" s="25" t="s">
        <v>8502</v>
      </c>
      <c r="V433" s="25" t="s">
        <v>8503</v>
      </c>
      <c r="W433" s="32" t="s">
        <v>166</v>
      </c>
      <c r="X433" s="25" t="s">
        <v>166</v>
      </c>
      <c r="Y433" s="25" t="s">
        <v>8504</v>
      </c>
      <c r="Z433" s="25" t="s">
        <v>166</v>
      </c>
      <c r="AA433" s="25" t="s">
        <v>166</v>
      </c>
      <c r="AB433" s="25" t="s">
        <v>166</v>
      </c>
      <c r="AC433" s="25" t="s">
        <v>166</v>
      </c>
      <c r="AD433" s="25" t="s">
        <v>166</v>
      </c>
      <c r="AE433" s="25" t="s">
        <v>166</v>
      </c>
      <c r="AF433" s="25" t="s">
        <v>166</v>
      </c>
      <c r="AG433" s="25" t="s">
        <v>166</v>
      </c>
      <c r="AH433" s="32">
        <v>1</v>
      </c>
      <c r="AI433" s="4">
        <f>HYPERLINK("https://my.pitchbook.com/?d=266816-62T","266816-62T")</f>
      </c>
      <c r="AJ433" s="30" t="s">
        <v>166</v>
      </c>
      <c r="AK433" s="30">
        <v>45573</v>
      </c>
      <c r="AL433" s="29">
        <v>4</v>
      </c>
      <c r="AM433" s="25" t="s">
        <v>166</v>
      </c>
      <c r="AN433" s="29">
        <v>21</v>
      </c>
      <c r="AO433" s="29">
        <v>25</v>
      </c>
      <c r="AP433" s="25" t="s">
        <v>185</v>
      </c>
      <c r="AQ433" s="32" t="s">
        <v>166</v>
      </c>
      <c r="AR433" s="32" t="s">
        <v>166</v>
      </c>
      <c r="AS433" s="28">
        <v>16</v>
      </c>
      <c r="AT433" s="29">
        <v>4</v>
      </c>
      <c r="AU433" s="32" t="s">
        <v>186</v>
      </c>
      <c r="AV433" s="32" t="s">
        <v>166</v>
      </c>
      <c r="AW433" s="29" t="s">
        <v>166</v>
      </c>
      <c r="AX433" s="32" t="s">
        <v>166</v>
      </c>
      <c r="AY433" s="25" t="s">
        <v>217</v>
      </c>
      <c r="AZ433" s="25" t="s">
        <v>217</v>
      </c>
      <c r="BA433" s="25" t="s">
        <v>166</v>
      </c>
      <c r="BB433" s="32" t="s">
        <v>166</v>
      </c>
      <c r="BC433" s="25" t="s">
        <v>179</v>
      </c>
      <c r="BD433" s="25" t="s">
        <v>8505</v>
      </c>
      <c r="BE433" s="25" t="s">
        <v>189</v>
      </c>
      <c r="BF433" s="29">
        <v>4</v>
      </c>
      <c r="BG433" s="25" t="s">
        <v>190</v>
      </c>
      <c r="BH433" s="25" t="s">
        <v>166</v>
      </c>
      <c r="BI433" s="25" t="s">
        <v>166</v>
      </c>
      <c r="BJ433" s="29" t="s">
        <v>166</v>
      </c>
      <c r="BK433" s="29" t="s">
        <v>166</v>
      </c>
      <c r="BL433" s="25" t="s">
        <v>191</v>
      </c>
      <c r="BM433" s="25" t="s">
        <v>178</v>
      </c>
      <c r="BN433" s="25" t="s">
        <v>177</v>
      </c>
      <c r="BO433" s="33" t="s">
        <v>166</v>
      </c>
      <c r="BP433" s="25" t="s">
        <v>8496</v>
      </c>
      <c r="BQ433" s="32">
        <v>4</v>
      </c>
      <c r="BR433" s="25" t="s">
        <v>166</v>
      </c>
      <c r="BS433" s="32" t="s">
        <v>166</v>
      </c>
      <c r="BT433" s="25" t="s">
        <v>8506</v>
      </c>
      <c r="BU433" s="25" t="s">
        <v>166</v>
      </c>
      <c r="BV433" s="25" t="s">
        <v>166</v>
      </c>
      <c r="BW433" s="25" t="s">
        <v>166</v>
      </c>
      <c r="BX433" s="25" t="s">
        <v>166</v>
      </c>
      <c r="BY433" s="25" t="s">
        <v>166</v>
      </c>
      <c r="BZ433" s="25" t="s">
        <v>166</v>
      </c>
      <c r="CA433" s="25" t="s">
        <v>166</v>
      </c>
      <c r="CB433" s="25" t="s">
        <v>166</v>
      </c>
      <c r="CC433" s="25" t="s">
        <v>166</v>
      </c>
      <c r="CD433" s="25" t="s">
        <v>166</v>
      </c>
      <c r="CE433" s="29" t="s">
        <v>166</v>
      </c>
      <c r="CF433" s="27" t="s">
        <v>166</v>
      </c>
      <c r="CG433" s="28" t="s">
        <v>166</v>
      </c>
      <c r="CH433" s="27" t="s">
        <v>166</v>
      </c>
      <c r="CI433" s="27" t="s">
        <v>166</v>
      </c>
      <c r="CJ433" s="27" t="s">
        <v>166</v>
      </c>
      <c r="CK433" s="27" t="s">
        <v>166</v>
      </c>
      <c r="CL433" s="27" t="s">
        <v>166</v>
      </c>
      <c r="CM433" s="31" t="s">
        <v>166</v>
      </c>
      <c r="CN433" s="27" t="s">
        <v>166</v>
      </c>
      <c r="CO433" s="27" t="s">
        <v>166</v>
      </c>
      <c r="CP433" s="27" t="s">
        <v>166</v>
      </c>
      <c r="CQ433" s="27" t="s">
        <v>166</v>
      </c>
      <c r="CR433" s="27" t="s">
        <v>166</v>
      </c>
      <c r="CS433" s="27" t="s">
        <v>166</v>
      </c>
      <c r="CT433" s="27" t="s">
        <v>166</v>
      </c>
      <c r="CU433" s="27" t="s">
        <v>166</v>
      </c>
      <c r="CV433" s="27" t="s">
        <v>166</v>
      </c>
      <c r="CW433" s="27" t="s">
        <v>166</v>
      </c>
      <c r="CX433" s="27" t="s">
        <v>166</v>
      </c>
      <c r="CY433" s="27" t="s">
        <v>166</v>
      </c>
      <c r="CZ433" s="27" t="s">
        <v>166</v>
      </c>
      <c r="DA433" s="27" t="s">
        <v>166</v>
      </c>
      <c r="DB433" s="27" t="s">
        <v>166</v>
      </c>
      <c r="DC433" s="27" t="s">
        <v>166</v>
      </c>
      <c r="DD433" s="27" t="s">
        <v>166</v>
      </c>
      <c r="DE433" s="28" t="s">
        <v>166</v>
      </c>
      <c r="DF433" s="33">
        <v>4</v>
      </c>
      <c r="DG433" s="25" t="s">
        <v>673</v>
      </c>
      <c r="DH433" s="25" t="s">
        <v>193</v>
      </c>
      <c r="DI433" s="25" t="s">
        <v>194</v>
      </c>
      <c r="DJ433" s="25" t="s">
        <v>674</v>
      </c>
      <c r="DK433" s="25" t="s">
        <v>257</v>
      </c>
      <c r="DL433" s="32" t="s">
        <v>8507</v>
      </c>
      <c r="DM433" s="25" t="s">
        <v>198</v>
      </c>
      <c r="DN433" s="24" t="s">
        <v>8508</v>
      </c>
      <c r="DO433" s="31">
        <v>2024</v>
      </c>
      <c r="DP433" s="25" t="s">
        <v>166</v>
      </c>
      <c r="DQ433" s="25" t="s">
        <v>166</v>
      </c>
      <c r="DR433" s="29" t="s">
        <v>166</v>
      </c>
      <c r="DS433" s="27" t="s">
        <v>166</v>
      </c>
      <c r="DT433" s="30" t="s">
        <v>166</v>
      </c>
      <c r="DU433" s="25" t="s">
        <v>166</v>
      </c>
      <c r="DV433" s="29" t="s">
        <v>166</v>
      </c>
      <c r="DW433" s="29" t="s">
        <v>166</v>
      </c>
      <c r="DX433" s="27" t="s">
        <v>166</v>
      </c>
      <c r="DY433" s="27" t="s">
        <v>166</v>
      </c>
      <c r="DZ433" s="28" t="s">
        <v>166</v>
      </c>
      <c r="EA433" s="27" t="s">
        <v>166</v>
      </c>
      <c r="EB433" s="27" t="s">
        <v>166</v>
      </c>
      <c r="EC433" s="27" t="s">
        <v>166</v>
      </c>
      <c r="ED433" s="28" t="s">
        <v>166</v>
      </c>
      <c r="EE433" s="28" t="s">
        <v>166</v>
      </c>
      <c r="EF433" s="28" t="s">
        <v>166</v>
      </c>
      <c r="EG433" s="28" t="s">
        <v>166</v>
      </c>
      <c r="EH433" s="27" t="s">
        <v>166</v>
      </c>
      <c r="EI433" s="27" t="s">
        <v>166</v>
      </c>
      <c r="EJ433" s="27" t="s">
        <v>166</v>
      </c>
      <c r="EK433" s="27" t="s">
        <v>166</v>
      </c>
      <c r="EL433" s="27" t="s">
        <v>166</v>
      </c>
      <c r="EM433" s="27" t="s">
        <v>166</v>
      </c>
      <c r="EN433" s="27" t="s">
        <v>166</v>
      </c>
      <c r="EO433" s="27" t="s">
        <v>166</v>
      </c>
      <c r="EP433" s="27" t="s">
        <v>166</v>
      </c>
      <c r="EQ433" s="27" t="s">
        <v>166</v>
      </c>
      <c r="ER433" s="27" t="s">
        <v>166</v>
      </c>
      <c r="ES433" s="27" t="s">
        <v>166</v>
      </c>
      <c r="ET433" s="25" t="s">
        <v>166</v>
      </c>
      <c r="EU433" s="27" t="s">
        <v>166</v>
      </c>
      <c r="EV433" s="27" t="s">
        <v>166</v>
      </c>
      <c r="EW433" s="27" t="s">
        <v>166</v>
      </c>
      <c r="EX433" s="25" t="s">
        <v>190</v>
      </c>
      <c r="EY433" s="25" t="s">
        <v>166</v>
      </c>
      <c r="EZ433" s="27" t="s">
        <v>166</v>
      </c>
      <c r="FA433" s="26" t="s">
        <v>166</v>
      </c>
      <c r="FB433" s="26" t="s">
        <v>166</v>
      </c>
      <c r="FC433" s="26" t="s">
        <v>166</v>
      </c>
      <c r="FD433" s="26" t="s">
        <v>166</v>
      </c>
      <c r="FE433" s="26" t="s">
        <v>166</v>
      </c>
      <c r="FF433" s="26" t="s">
        <v>166</v>
      </c>
      <c r="FG433" s="25" t="s">
        <v>166</v>
      </c>
      <c r="FH433" s="4">
        <f>HYPERLINK("https://my.pitchbook.com?c=266816-62T","View Company Online")</f>
      </c>
    </row>
    <row r="434">
      <c r="A434" s="14" t="s">
        <v>8509</v>
      </c>
      <c r="B434" s="14" t="s">
        <v>8510</v>
      </c>
      <c r="C434" s="14" t="s">
        <v>8511</v>
      </c>
      <c r="D434" s="14" t="s">
        <v>166</v>
      </c>
      <c r="E434" s="23" t="s">
        <v>8512</v>
      </c>
      <c r="F434" s="21">
        <v>14</v>
      </c>
      <c r="G434" s="14" t="s">
        <v>8513</v>
      </c>
      <c r="H434" s="14" t="s">
        <v>166</v>
      </c>
      <c r="I434" s="14" t="s">
        <v>8514</v>
      </c>
      <c r="J434" s="14" t="s">
        <v>8515</v>
      </c>
      <c r="K434" s="14" t="s">
        <v>207</v>
      </c>
      <c r="L434" s="14" t="s">
        <v>5931</v>
      </c>
      <c r="M434" s="14" t="s">
        <v>5932</v>
      </c>
      <c r="N434" s="14" t="s">
        <v>8516</v>
      </c>
      <c r="O434" s="14" t="s">
        <v>2931</v>
      </c>
      <c r="P434" s="14" t="s">
        <v>8517</v>
      </c>
      <c r="Q434" s="14" t="s">
        <v>1055</v>
      </c>
      <c r="R434" s="14" t="s">
        <v>177</v>
      </c>
      <c r="S434" s="14" t="s">
        <v>178</v>
      </c>
      <c r="T434" s="14" t="s">
        <v>179</v>
      </c>
      <c r="U434" s="14" t="s">
        <v>8518</v>
      </c>
      <c r="V434" s="14" t="s">
        <v>8519</v>
      </c>
      <c r="W434" s="21" t="s">
        <v>166</v>
      </c>
      <c r="X434" s="14" t="s">
        <v>166</v>
      </c>
      <c r="Y434" s="14" t="s">
        <v>8520</v>
      </c>
      <c r="Z434" s="14" t="s">
        <v>8521</v>
      </c>
      <c r="AA434" s="14" t="s">
        <v>166</v>
      </c>
      <c r="AB434" s="14" t="s">
        <v>166</v>
      </c>
      <c r="AC434" s="14" t="s">
        <v>166</v>
      </c>
      <c r="AD434" s="14" t="s">
        <v>166</v>
      </c>
      <c r="AE434" s="14" t="s">
        <v>166</v>
      </c>
      <c r="AF434" s="14" t="s">
        <v>166</v>
      </c>
      <c r="AG434" s="14" t="s">
        <v>166</v>
      </c>
      <c r="AH434" s="21">
        <v>1</v>
      </c>
      <c r="AI434" s="3">
        <f>HYPERLINK("https://my.pitchbook.com/?d=271949-59T","271949-59T")</f>
      </c>
      <c r="AJ434" s="19" t="s">
        <v>166</v>
      </c>
      <c r="AK434" s="19">
        <v>45547</v>
      </c>
      <c r="AL434" s="18">
        <v>6</v>
      </c>
      <c r="AM434" s="14" t="s">
        <v>185</v>
      </c>
      <c r="AN434" s="18" t="s">
        <v>166</v>
      </c>
      <c r="AO434" s="18" t="s">
        <v>166</v>
      </c>
      <c r="AP434" s="14" t="s">
        <v>166</v>
      </c>
      <c r="AQ434" s="21" t="s">
        <v>166</v>
      </c>
      <c r="AR434" s="21" t="s">
        <v>166</v>
      </c>
      <c r="AS434" s="17" t="s">
        <v>166</v>
      </c>
      <c r="AT434" s="18">
        <v>6</v>
      </c>
      <c r="AU434" s="21" t="s">
        <v>186</v>
      </c>
      <c r="AV434" s="21" t="s">
        <v>166</v>
      </c>
      <c r="AW434" s="18" t="s">
        <v>166</v>
      </c>
      <c r="AX434" s="21" t="s">
        <v>166</v>
      </c>
      <c r="AY434" s="14" t="s">
        <v>187</v>
      </c>
      <c r="AZ434" s="14" t="s">
        <v>166</v>
      </c>
      <c r="BA434" s="14" t="s">
        <v>166</v>
      </c>
      <c r="BB434" s="21" t="s">
        <v>166</v>
      </c>
      <c r="BC434" s="14" t="s">
        <v>179</v>
      </c>
      <c r="BD434" s="14" t="s">
        <v>8522</v>
      </c>
      <c r="BE434" s="14" t="s">
        <v>189</v>
      </c>
      <c r="BF434" s="18">
        <v>6</v>
      </c>
      <c r="BG434" s="14" t="s">
        <v>190</v>
      </c>
      <c r="BH434" s="14" t="s">
        <v>166</v>
      </c>
      <c r="BI434" s="14" t="s">
        <v>166</v>
      </c>
      <c r="BJ434" s="18" t="s">
        <v>166</v>
      </c>
      <c r="BK434" s="18" t="s">
        <v>166</v>
      </c>
      <c r="BL434" s="14" t="s">
        <v>191</v>
      </c>
      <c r="BM434" s="14" t="s">
        <v>178</v>
      </c>
      <c r="BN434" s="14" t="s">
        <v>177</v>
      </c>
      <c r="BO434" s="22" t="s">
        <v>166</v>
      </c>
      <c r="BP434" s="14" t="s">
        <v>8523</v>
      </c>
      <c r="BQ434" s="21">
        <v>14</v>
      </c>
      <c r="BR434" s="14" t="s">
        <v>166</v>
      </c>
      <c r="BS434" s="21" t="s">
        <v>166</v>
      </c>
      <c r="BT434" s="14" t="s">
        <v>8524</v>
      </c>
      <c r="BU434" s="14" t="s">
        <v>166</v>
      </c>
      <c r="BV434" s="14" t="s">
        <v>166</v>
      </c>
      <c r="BW434" s="14" t="s">
        <v>166</v>
      </c>
      <c r="BX434" s="14" t="s">
        <v>166</v>
      </c>
      <c r="BY434" s="14" t="s">
        <v>166</v>
      </c>
      <c r="BZ434" s="14" t="s">
        <v>166</v>
      </c>
      <c r="CA434" s="14" t="s">
        <v>166</v>
      </c>
      <c r="CB434" s="14" t="s">
        <v>166</v>
      </c>
      <c r="CC434" s="14" t="s">
        <v>166</v>
      </c>
      <c r="CD434" s="14" t="s">
        <v>166</v>
      </c>
      <c r="CE434" s="18" t="s">
        <v>166</v>
      </c>
      <c r="CF434" s="16" t="s">
        <v>166</v>
      </c>
      <c r="CG434" s="17" t="s">
        <v>166</v>
      </c>
      <c r="CH434" s="16" t="s">
        <v>166</v>
      </c>
      <c r="CI434" s="16" t="s">
        <v>166</v>
      </c>
      <c r="CJ434" s="16" t="s">
        <v>166</v>
      </c>
      <c r="CK434" s="16" t="s">
        <v>166</v>
      </c>
      <c r="CL434" s="16" t="s">
        <v>166</v>
      </c>
      <c r="CM434" s="20" t="s">
        <v>166</v>
      </c>
      <c r="CN434" s="16" t="s">
        <v>166</v>
      </c>
      <c r="CO434" s="16" t="s">
        <v>166</v>
      </c>
      <c r="CP434" s="16" t="s">
        <v>166</v>
      </c>
      <c r="CQ434" s="16" t="s">
        <v>166</v>
      </c>
      <c r="CR434" s="16" t="s">
        <v>166</v>
      </c>
      <c r="CS434" s="16" t="s">
        <v>166</v>
      </c>
      <c r="CT434" s="16" t="s">
        <v>166</v>
      </c>
      <c r="CU434" s="16" t="s">
        <v>166</v>
      </c>
      <c r="CV434" s="16" t="s">
        <v>166</v>
      </c>
      <c r="CW434" s="16" t="s">
        <v>166</v>
      </c>
      <c r="CX434" s="16" t="s">
        <v>166</v>
      </c>
      <c r="CY434" s="16" t="s">
        <v>166</v>
      </c>
      <c r="CZ434" s="16" t="s">
        <v>166</v>
      </c>
      <c r="DA434" s="16" t="s">
        <v>166</v>
      </c>
      <c r="DB434" s="16" t="s">
        <v>166</v>
      </c>
      <c r="DC434" s="16" t="s">
        <v>166</v>
      </c>
      <c r="DD434" s="16" t="s">
        <v>166</v>
      </c>
      <c r="DE434" s="17" t="s">
        <v>166</v>
      </c>
      <c r="DF434" s="22">
        <v>2</v>
      </c>
      <c r="DG434" s="14" t="s">
        <v>8163</v>
      </c>
      <c r="DH434" s="14" t="s">
        <v>193</v>
      </c>
      <c r="DI434" s="14" t="s">
        <v>194</v>
      </c>
      <c r="DJ434" s="14" t="s">
        <v>166</v>
      </c>
      <c r="DK434" s="14" t="s">
        <v>166</v>
      </c>
      <c r="DL434" s="21" t="s">
        <v>166</v>
      </c>
      <c r="DM434" s="14" t="s">
        <v>198</v>
      </c>
      <c r="DN434" s="13" t="s">
        <v>8525</v>
      </c>
      <c r="DO434" s="20">
        <v>2023</v>
      </c>
      <c r="DP434" s="14" t="s">
        <v>166</v>
      </c>
      <c r="DQ434" s="14" t="s">
        <v>166</v>
      </c>
      <c r="DR434" s="18" t="s">
        <v>166</v>
      </c>
      <c r="DS434" s="16" t="s">
        <v>166</v>
      </c>
      <c r="DT434" s="19" t="s">
        <v>166</v>
      </c>
      <c r="DU434" s="14" t="s">
        <v>166</v>
      </c>
      <c r="DV434" s="18" t="s">
        <v>166</v>
      </c>
      <c r="DW434" s="18" t="s">
        <v>166</v>
      </c>
      <c r="DX434" s="16" t="s">
        <v>166</v>
      </c>
      <c r="DY434" s="16" t="s">
        <v>166</v>
      </c>
      <c r="DZ434" s="17" t="s">
        <v>166</v>
      </c>
      <c r="EA434" s="16" t="s">
        <v>166</v>
      </c>
      <c r="EB434" s="16" t="s">
        <v>166</v>
      </c>
      <c r="EC434" s="16" t="s">
        <v>166</v>
      </c>
      <c r="ED434" s="17" t="s">
        <v>166</v>
      </c>
      <c r="EE434" s="17" t="s">
        <v>166</v>
      </c>
      <c r="EF434" s="17" t="s">
        <v>166</v>
      </c>
      <c r="EG434" s="17" t="s">
        <v>166</v>
      </c>
      <c r="EH434" s="16" t="s">
        <v>166</v>
      </c>
      <c r="EI434" s="16" t="s">
        <v>166</v>
      </c>
      <c r="EJ434" s="16" t="s">
        <v>166</v>
      </c>
      <c r="EK434" s="16" t="s">
        <v>166</v>
      </c>
      <c r="EL434" s="16" t="s">
        <v>166</v>
      </c>
      <c r="EM434" s="16" t="s">
        <v>166</v>
      </c>
      <c r="EN434" s="16" t="s">
        <v>166</v>
      </c>
      <c r="EO434" s="16" t="s">
        <v>166</v>
      </c>
      <c r="EP434" s="16" t="s">
        <v>166</v>
      </c>
      <c r="EQ434" s="16" t="s">
        <v>166</v>
      </c>
      <c r="ER434" s="16" t="s">
        <v>166</v>
      </c>
      <c r="ES434" s="16" t="s">
        <v>166</v>
      </c>
      <c r="ET434" s="14" t="s">
        <v>166</v>
      </c>
      <c r="EU434" s="16" t="s">
        <v>166</v>
      </c>
      <c r="EV434" s="16" t="s">
        <v>166</v>
      </c>
      <c r="EW434" s="16" t="s">
        <v>166</v>
      </c>
      <c r="EX434" s="14" t="s">
        <v>190</v>
      </c>
      <c r="EY434" s="14" t="s">
        <v>166</v>
      </c>
      <c r="EZ434" s="16" t="s">
        <v>166</v>
      </c>
      <c r="FA434" s="15" t="s">
        <v>166</v>
      </c>
      <c r="FB434" s="15" t="s">
        <v>166</v>
      </c>
      <c r="FC434" s="15" t="s">
        <v>166</v>
      </c>
      <c r="FD434" s="15" t="s">
        <v>166</v>
      </c>
      <c r="FE434" s="15" t="s">
        <v>166</v>
      </c>
      <c r="FF434" s="15" t="s">
        <v>166</v>
      </c>
      <c r="FG434" s="14" t="s">
        <v>166</v>
      </c>
      <c r="FH434" s="3">
        <f>HYPERLINK("https://my.pitchbook.com?c=271949-59T","View Company Online")</f>
      </c>
    </row>
    <row r="435">
      <c r="A435" s="25" t="s">
        <v>8526</v>
      </c>
      <c r="B435" s="25" t="s">
        <v>8527</v>
      </c>
      <c r="C435" s="25" t="s">
        <v>8528</v>
      </c>
      <c r="D435" s="25" t="s">
        <v>166</v>
      </c>
      <c r="E435" s="34" t="s">
        <v>8529</v>
      </c>
      <c r="F435" s="32">
        <v>3</v>
      </c>
      <c r="G435" s="25" t="s">
        <v>8530</v>
      </c>
      <c r="H435" s="25" t="s">
        <v>166</v>
      </c>
      <c r="I435" s="25" t="s">
        <v>8531</v>
      </c>
      <c r="J435" s="25" t="s">
        <v>8532</v>
      </c>
      <c r="K435" s="25" t="s">
        <v>207</v>
      </c>
      <c r="L435" s="25" t="s">
        <v>208</v>
      </c>
      <c r="M435" s="25" t="s">
        <v>965</v>
      </c>
      <c r="N435" s="25" t="s">
        <v>8533</v>
      </c>
      <c r="O435" s="25" t="s">
        <v>7201</v>
      </c>
      <c r="P435" s="25" t="s">
        <v>8534</v>
      </c>
      <c r="Q435" s="25" t="s">
        <v>166</v>
      </c>
      <c r="R435" s="25" t="s">
        <v>177</v>
      </c>
      <c r="S435" s="25" t="s">
        <v>358</v>
      </c>
      <c r="T435" s="25" t="s">
        <v>179</v>
      </c>
      <c r="U435" s="25" t="s">
        <v>8535</v>
      </c>
      <c r="V435" s="25" t="s">
        <v>8536</v>
      </c>
      <c r="W435" s="32" t="s">
        <v>166</v>
      </c>
      <c r="X435" s="25" t="s">
        <v>8537</v>
      </c>
      <c r="Y435" s="25" t="s">
        <v>8538</v>
      </c>
      <c r="Z435" s="25" t="s">
        <v>166</v>
      </c>
      <c r="AA435" s="25" t="s">
        <v>166</v>
      </c>
      <c r="AB435" s="25" t="s">
        <v>166</v>
      </c>
      <c r="AC435" s="25" t="s">
        <v>166</v>
      </c>
      <c r="AD435" s="25" t="s">
        <v>166</v>
      </c>
      <c r="AE435" s="25" t="s">
        <v>166</v>
      </c>
      <c r="AF435" s="25" t="s">
        <v>166</v>
      </c>
      <c r="AG435" s="25" t="s">
        <v>166</v>
      </c>
      <c r="AH435" s="32">
        <v>2</v>
      </c>
      <c r="AI435" s="4">
        <f>HYPERLINK("https://my.pitchbook.com/?d=224242-57T","224242-57T")</f>
      </c>
      <c r="AJ435" s="30" t="s">
        <v>166</v>
      </c>
      <c r="AK435" s="30">
        <v>44713</v>
      </c>
      <c r="AL435" s="29">
        <v>0.25</v>
      </c>
      <c r="AM435" s="25" t="s">
        <v>185</v>
      </c>
      <c r="AN435" s="29">
        <v>8.25</v>
      </c>
      <c r="AO435" s="29">
        <v>8.5</v>
      </c>
      <c r="AP435" s="25" t="s">
        <v>185</v>
      </c>
      <c r="AQ435" s="32" t="s">
        <v>166</v>
      </c>
      <c r="AR435" s="32" t="s">
        <v>166</v>
      </c>
      <c r="AS435" s="28" t="s">
        <v>166</v>
      </c>
      <c r="AT435" s="29">
        <v>0.6</v>
      </c>
      <c r="AU435" s="32" t="s">
        <v>186</v>
      </c>
      <c r="AV435" s="32" t="s">
        <v>166</v>
      </c>
      <c r="AW435" s="29" t="s">
        <v>166</v>
      </c>
      <c r="AX435" s="32" t="s">
        <v>166</v>
      </c>
      <c r="AY435" s="25" t="s">
        <v>217</v>
      </c>
      <c r="AZ435" s="25" t="s">
        <v>217</v>
      </c>
      <c r="BA435" s="25" t="s">
        <v>166</v>
      </c>
      <c r="BB435" s="32" t="s">
        <v>166</v>
      </c>
      <c r="BC435" s="25" t="s">
        <v>8539</v>
      </c>
      <c r="BD435" s="25" t="s">
        <v>8540</v>
      </c>
      <c r="BE435" s="25" t="s">
        <v>189</v>
      </c>
      <c r="BF435" s="29">
        <v>0.25</v>
      </c>
      <c r="BG435" s="25" t="s">
        <v>190</v>
      </c>
      <c r="BH435" s="25" t="s">
        <v>166</v>
      </c>
      <c r="BI435" s="25" t="s">
        <v>166</v>
      </c>
      <c r="BJ435" s="29" t="s">
        <v>166</v>
      </c>
      <c r="BK435" s="29" t="s">
        <v>166</v>
      </c>
      <c r="BL435" s="25" t="s">
        <v>191</v>
      </c>
      <c r="BM435" s="25" t="s">
        <v>785</v>
      </c>
      <c r="BN435" s="25" t="s">
        <v>177</v>
      </c>
      <c r="BO435" s="33">
        <v>5</v>
      </c>
      <c r="BP435" s="25" t="s">
        <v>8541</v>
      </c>
      <c r="BQ435" s="32">
        <v>3</v>
      </c>
      <c r="BR435" s="25" t="s">
        <v>166</v>
      </c>
      <c r="BS435" s="32" t="s">
        <v>166</v>
      </c>
      <c r="BT435" s="25" t="s">
        <v>166</v>
      </c>
      <c r="BU435" s="25" t="s">
        <v>166</v>
      </c>
      <c r="BV435" s="25" t="s">
        <v>166</v>
      </c>
      <c r="BW435" s="25" t="s">
        <v>166</v>
      </c>
      <c r="BX435" s="25" t="s">
        <v>166</v>
      </c>
      <c r="BY435" s="25" t="s">
        <v>166</v>
      </c>
      <c r="BZ435" s="25" t="s">
        <v>166</v>
      </c>
      <c r="CA435" s="25" t="s">
        <v>166</v>
      </c>
      <c r="CB435" s="25" t="s">
        <v>166</v>
      </c>
      <c r="CC435" s="25" t="s">
        <v>166</v>
      </c>
      <c r="CD435" s="25" t="s">
        <v>166</v>
      </c>
      <c r="CE435" s="29" t="s">
        <v>166</v>
      </c>
      <c r="CF435" s="27" t="s">
        <v>166</v>
      </c>
      <c r="CG435" s="28" t="s">
        <v>166</v>
      </c>
      <c r="CH435" s="27" t="s">
        <v>166</v>
      </c>
      <c r="CI435" s="27" t="s">
        <v>166</v>
      </c>
      <c r="CJ435" s="27" t="s">
        <v>166</v>
      </c>
      <c r="CK435" s="27" t="s">
        <v>166</v>
      </c>
      <c r="CL435" s="27" t="s">
        <v>166</v>
      </c>
      <c r="CM435" s="31" t="s">
        <v>166</v>
      </c>
      <c r="CN435" s="27" t="s">
        <v>166</v>
      </c>
      <c r="CO435" s="27" t="s">
        <v>166</v>
      </c>
      <c r="CP435" s="27" t="s">
        <v>166</v>
      </c>
      <c r="CQ435" s="27" t="s">
        <v>166</v>
      </c>
      <c r="CR435" s="27" t="s">
        <v>166</v>
      </c>
      <c r="CS435" s="27" t="s">
        <v>166</v>
      </c>
      <c r="CT435" s="27" t="s">
        <v>166</v>
      </c>
      <c r="CU435" s="27" t="s">
        <v>166</v>
      </c>
      <c r="CV435" s="27" t="s">
        <v>166</v>
      </c>
      <c r="CW435" s="27" t="s">
        <v>166</v>
      </c>
      <c r="CX435" s="27" t="s">
        <v>166</v>
      </c>
      <c r="CY435" s="27" t="s">
        <v>166</v>
      </c>
      <c r="CZ435" s="27" t="s">
        <v>166</v>
      </c>
      <c r="DA435" s="27" t="s">
        <v>166</v>
      </c>
      <c r="DB435" s="27" t="s">
        <v>166</v>
      </c>
      <c r="DC435" s="27" t="s">
        <v>166</v>
      </c>
      <c r="DD435" s="27" t="s">
        <v>166</v>
      </c>
      <c r="DE435" s="28" t="s">
        <v>166</v>
      </c>
      <c r="DF435" s="33">
        <v>4</v>
      </c>
      <c r="DG435" s="25" t="s">
        <v>1540</v>
      </c>
      <c r="DH435" s="25" t="s">
        <v>193</v>
      </c>
      <c r="DI435" s="25" t="s">
        <v>194</v>
      </c>
      <c r="DJ435" s="25" t="s">
        <v>1541</v>
      </c>
      <c r="DK435" s="25" t="s">
        <v>257</v>
      </c>
      <c r="DL435" s="32" t="s">
        <v>166</v>
      </c>
      <c r="DM435" s="25" t="s">
        <v>198</v>
      </c>
      <c r="DN435" s="24" t="s">
        <v>8542</v>
      </c>
      <c r="DO435" s="31">
        <v>2017</v>
      </c>
      <c r="DP435" s="25" t="s">
        <v>166</v>
      </c>
      <c r="DQ435" s="25" t="s">
        <v>166</v>
      </c>
      <c r="DR435" s="29" t="s">
        <v>166</v>
      </c>
      <c r="DS435" s="27" t="s">
        <v>166</v>
      </c>
      <c r="DT435" s="30" t="s">
        <v>166</v>
      </c>
      <c r="DU435" s="25" t="s">
        <v>166</v>
      </c>
      <c r="DV435" s="29" t="s">
        <v>166</v>
      </c>
      <c r="DW435" s="29" t="s">
        <v>166</v>
      </c>
      <c r="DX435" s="27" t="s">
        <v>166</v>
      </c>
      <c r="DY435" s="27" t="s">
        <v>166</v>
      </c>
      <c r="DZ435" s="28" t="s">
        <v>166</v>
      </c>
      <c r="EA435" s="27" t="s">
        <v>166</v>
      </c>
      <c r="EB435" s="27" t="s">
        <v>166</v>
      </c>
      <c r="EC435" s="27" t="s">
        <v>166</v>
      </c>
      <c r="ED435" s="28" t="s">
        <v>166</v>
      </c>
      <c r="EE435" s="28" t="s">
        <v>166</v>
      </c>
      <c r="EF435" s="28" t="s">
        <v>166</v>
      </c>
      <c r="EG435" s="28" t="s">
        <v>166</v>
      </c>
      <c r="EH435" s="27" t="s">
        <v>166</v>
      </c>
      <c r="EI435" s="27" t="s">
        <v>166</v>
      </c>
      <c r="EJ435" s="27" t="s">
        <v>166</v>
      </c>
      <c r="EK435" s="27" t="s">
        <v>166</v>
      </c>
      <c r="EL435" s="27" t="s">
        <v>166</v>
      </c>
      <c r="EM435" s="27" t="s">
        <v>166</v>
      </c>
      <c r="EN435" s="27" t="s">
        <v>166</v>
      </c>
      <c r="EO435" s="27" t="s">
        <v>166</v>
      </c>
      <c r="EP435" s="27" t="s">
        <v>166</v>
      </c>
      <c r="EQ435" s="27" t="s">
        <v>166</v>
      </c>
      <c r="ER435" s="27" t="s">
        <v>166</v>
      </c>
      <c r="ES435" s="27" t="s">
        <v>166</v>
      </c>
      <c r="ET435" s="25" t="s">
        <v>166</v>
      </c>
      <c r="EU435" s="27" t="s">
        <v>166</v>
      </c>
      <c r="EV435" s="27" t="s">
        <v>166</v>
      </c>
      <c r="EW435" s="27" t="s">
        <v>166</v>
      </c>
      <c r="EX435" s="25" t="s">
        <v>190</v>
      </c>
      <c r="EY435" s="25" t="s">
        <v>166</v>
      </c>
      <c r="EZ435" s="27" t="s">
        <v>166</v>
      </c>
      <c r="FA435" s="26" t="s">
        <v>166</v>
      </c>
      <c r="FB435" s="26" t="s">
        <v>166</v>
      </c>
      <c r="FC435" s="26" t="s">
        <v>166</v>
      </c>
      <c r="FD435" s="26" t="s">
        <v>166</v>
      </c>
      <c r="FE435" s="26" t="s">
        <v>166</v>
      </c>
      <c r="FF435" s="26" t="s">
        <v>166</v>
      </c>
      <c r="FG435" s="25" t="s">
        <v>166</v>
      </c>
      <c r="FH435" s="4">
        <f>HYPERLINK("https://my.pitchbook.com?c=224242-57T","View Company Online")</f>
      </c>
    </row>
    <row r="436">
      <c r="A436" s="14" t="s">
        <v>8543</v>
      </c>
      <c r="B436" s="14" t="s">
        <v>8544</v>
      </c>
      <c r="C436" s="14" t="s">
        <v>8545</v>
      </c>
      <c r="D436" s="14" t="s">
        <v>166</v>
      </c>
      <c r="E436" s="23" t="s">
        <v>8546</v>
      </c>
      <c r="F436" s="21">
        <v>13</v>
      </c>
      <c r="G436" s="14" t="s">
        <v>8547</v>
      </c>
      <c r="H436" s="14" t="s">
        <v>166</v>
      </c>
      <c r="I436" s="14" t="s">
        <v>8548</v>
      </c>
      <c r="J436" s="14" t="s">
        <v>8549</v>
      </c>
      <c r="K436" s="14" t="s">
        <v>207</v>
      </c>
      <c r="L436" s="14" t="s">
        <v>208</v>
      </c>
      <c r="M436" s="14" t="s">
        <v>296</v>
      </c>
      <c r="N436" s="14" t="s">
        <v>8550</v>
      </c>
      <c r="O436" s="14" t="s">
        <v>1053</v>
      </c>
      <c r="P436" s="14" t="s">
        <v>8551</v>
      </c>
      <c r="Q436" s="14" t="s">
        <v>166</v>
      </c>
      <c r="R436" s="14" t="s">
        <v>177</v>
      </c>
      <c r="S436" s="14" t="s">
        <v>178</v>
      </c>
      <c r="T436" s="14" t="s">
        <v>179</v>
      </c>
      <c r="U436" s="14" t="s">
        <v>8552</v>
      </c>
      <c r="V436" s="14" t="s">
        <v>8553</v>
      </c>
      <c r="W436" s="21" t="s">
        <v>8554</v>
      </c>
      <c r="X436" s="14" t="s">
        <v>8555</v>
      </c>
      <c r="Y436" s="14" t="s">
        <v>8556</v>
      </c>
      <c r="Z436" s="14" t="s">
        <v>166</v>
      </c>
      <c r="AA436" s="14" t="s">
        <v>166</v>
      </c>
      <c r="AB436" s="14" t="s">
        <v>166</v>
      </c>
      <c r="AC436" s="14" t="s">
        <v>166</v>
      </c>
      <c r="AD436" s="14" t="s">
        <v>166</v>
      </c>
      <c r="AE436" s="14" t="s">
        <v>166</v>
      </c>
      <c r="AF436" s="14" t="s">
        <v>166</v>
      </c>
      <c r="AG436" s="14" t="s">
        <v>166</v>
      </c>
      <c r="AH436" s="21">
        <v>1</v>
      </c>
      <c r="AI436" s="3">
        <f>HYPERLINK("https://my.pitchbook.com/?d=205788-43T","205788-43T")</f>
      </c>
      <c r="AJ436" s="19" t="s">
        <v>166</v>
      </c>
      <c r="AK436" s="19">
        <v>44314</v>
      </c>
      <c r="AL436" s="18">
        <v>0.5</v>
      </c>
      <c r="AM436" s="14" t="s">
        <v>185</v>
      </c>
      <c r="AN436" s="18" t="s">
        <v>166</v>
      </c>
      <c r="AO436" s="18" t="s">
        <v>166</v>
      </c>
      <c r="AP436" s="14" t="s">
        <v>166</v>
      </c>
      <c r="AQ436" s="21" t="s">
        <v>166</v>
      </c>
      <c r="AR436" s="21" t="s">
        <v>166</v>
      </c>
      <c r="AS436" s="17" t="s">
        <v>166</v>
      </c>
      <c r="AT436" s="18">
        <v>0.5</v>
      </c>
      <c r="AU436" s="21" t="s">
        <v>186</v>
      </c>
      <c r="AV436" s="21" t="s">
        <v>166</v>
      </c>
      <c r="AW436" s="18" t="s">
        <v>166</v>
      </c>
      <c r="AX436" s="21" t="s">
        <v>166</v>
      </c>
      <c r="AY436" s="14" t="s">
        <v>217</v>
      </c>
      <c r="AZ436" s="14" t="s">
        <v>217</v>
      </c>
      <c r="BA436" s="14" t="s">
        <v>166</v>
      </c>
      <c r="BB436" s="21" t="s">
        <v>166</v>
      </c>
      <c r="BC436" s="14" t="s">
        <v>179</v>
      </c>
      <c r="BD436" s="14" t="s">
        <v>8557</v>
      </c>
      <c r="BE436" s="14" t="s">
        <v>189</v>
      </c>
      <c r="BF436" s="18">
        <v>0.5</v>
      </c>
      <c r="BG436" s="14" t="s">
        <v>190</v>
      </c>
      <c r="BH436" s="14" t="s">
        <v>166</v>
      </c>
      <c r="BI436" s="14" t="s">
        <v>166</v>
      </c>
      <c r="BJ436" s="18" t="s">
        <v>166</v>
      </c>
      <c r="BK436" s="18" t="s">
        <v>166</v>
      </c>
      <c r="BL436" s="14" t="s">
        <v>191</v>
      </c>
      <c r="BM436" s="14" t="s">
        <v>358</v>
      </c>
      <c r="BN436" s="14" t="s">
        <v>177</v>
      </c>
      <c r="BO436" s="22" t="s">
        <v>166</v>
      </c>
      <c r="BP436" s="14" t="s">
        <v>8558</v>
      </c>
      <c r="BQ436" s="21">
        <v>13</v>
      </c>
      <c r="BR436" s="14" t="s">
        <v>166</v>
      </c>
      <c r="BS436" s="21" t="s">
        <v>166</v>
      </c>
      <c r="BT436" s="14" t="s">
        <v>166</v>
      </c>
      <c r="BU436" s="14" t="s">
        <v>166</v>
      </c>
      <c r="BV436" s="14" t="s">
        <v>166</v>
      </c>
      <c r="BW436" s="14" t="s">
        <v>166</v>
      </c>
      <c r="BX436" s="14" t="s">
        <v>166</v>
      </c>
      <c r="BY436" s="14" t="s">
        <v>166</v>
      </c>
      <c r="BZ436" s="14" t="s">
        <v>166</v>
      </c>
      <c r="CA436" s="14" t="s">
        <v>166</v>
      </c>
      <c r="CB436" s="14" t="s">
        <v>166</v>
      </c>
      <c r="CC436" s="14" t="s">
        <v>166</v>
      </c>
      <c r="CD436" s="14" t="s">
        <v>166</v>
      </c>
      <c r="CE436" s="18" t="s">
        <v>166</v>
      </c>
      <c r="CF436" s="16" t="s">
        <v>166</v>
      </c>
      <c r="CG436" s="17" t="s">
        <v>166</v>
      </c>
      <c r="CH436" s="16" t="s">
        <v>166</v>
      </c>
      <c r="CI436" s="16" t="s">
        <v>166</v>
      </c>
      <c r="CJ436" s="16" t="s">
        <v>166</v>
      </c>
      <c r="CK436" s="16" t="s">
        <v>166</v>
      </c>
      <c r="CL436" s="16" t="s">
        <v>166</v>
      </c>
      <c r="CM436" s="20" t="s">
        <v>166</v>
      </c>
      <c r="CN436" s="16" t="s">
        <v>166</v>
      </c>
      <c r="CO436" s="16" t="s">
        <v>166</v>
      </c>
      <c r="CP436" s="16" t="s">
        <v>166</v>
      </c>
      <c r="CQ436" s="16" t="s">
        <v>166</v>
      </c>
      <c r="CR436" s="16" t="s">
        <v>166</v>
      </c>
      <c r="CS436" s="16" t="s">
        <v>166</v>
      </c>
      <c r="CT436" s="16" t="s">
        <v>166</v>
      </c>
      <c r="CU436" s="16" t="s">
        <v>166</v>
      </c>
      <c r="CV436" s="16" t="s">
        <v>166</v>
      </c>
      <c r="CW436" s="16" t="s">
        <v>166</v>
      </c>
      <c r="CX436" s="16" t="s">
        <v>166</v>
      </c>
      <c r="CY436" s="16" t="s">
        <v>166</v>
      </c>
      <c r="CZ436" s="16" t="s">
        <v>166</v>
      </c>
      <c r="DA436" s="16" t="s">
        <v>166</v>
      </c>
      <c r="DB436" s="16" t="s">
        <v>166</v>
      </c>
      <c r="DC436" s="16" t="s">
        <v>166</v>
      </c>
      <c r="DD436" s="16" t="s">
        <v>166</v>
      </c>
      <c r="DE436" s="17" t="s">
        <v>166</v>
      </c>
      <c r="DF436" s="22">
        <v>9</v>
      </c>
      <c r="DG436" s="14" t="s">
        <v>2367</v>
      </c>
      <c r="DH436" s="14" t="s">
        <v>193</v>
      </c>
      <c r="DI436" s="14" t="s">
        <v>194</v>
      </c>
      <c r="DJ436" s="14" t="s">
        <v>2368</v>
      </c>
      <c r="DK436" s="14" t="s">
        <v>2369</v>
      </c>
      <c r="DL436" s="21" t="s">
        <v>8559</v>
      </c>
      <c r="DM436" s="14" t="s">
        <v>198</v>
      </c>
      <c r="DN436" s="13" t="s">
        <v>8560</v>
      </c>
      <c r="DO436" s="20">
        <v>2021</v>
      </c>
      <c r="DP436" s="14" t="s">
        <v>166</v>
      </c>
      <c r="DQ436" s="14" t="s">
        <v>166</v>
      </c>
      <c r="DR436" s="18" t="s">
        <v>166</v>
      </c>
      <c r="DS436" s="16" t="s">
        <v>166</v>
      </c>
      <c r="DT436" s="19" t="s">
        <v>166</v>
      </c>
      <c r="DU436" s="14" t="s">
        <v>166</v>
      </c>
      <c r="DV436" s="18" t="s">
        <v>166</v>
      </c>
      <c r="DW436" s="18" t="s">
        <v>166</v>
      </c>
      <c r="DX436" s="16" t="s">
        <v>166</v>
      </c>
      <c r="DY436" s="16" t="s">
        <v>166</v>
      </c>
      <c r="DZ436" s="17" t="s">
        <v>166</v>
      </c>
      <c r="EA436" s="16" t="s">
        <v>166</v>
      </c>
      <c r="EB436" s="16" t="s">
        <v>166</v>
      </c>
      <c r="EC436" s="16" t="s">
        <v>166</v>
      </c>
      <c r="ED436" s="17" t="s">
        <v>166</v>
      </c>
      <c r="EE436" s="17" t="s">
        <v>166</v>
      </c>
      <c r="EF436" s="17" t="s">
        <v>166</v>
      </c>
      <c r="EG436" s="17" t="s">
        <v>166</v>
      </c>
      <c r="EH436" s="16" t="s">
        <v>166</v>
      </c>
      <c r="EI436" s="16" t="s">
        <v>166</v>
      </c>
      <c r="EJ436" s="16" t="s">
        <v>166</v>
      </c>
      <c r="EK436" s="16" t="s">
        <v>166</v>
      </c>
      <c r="EL436" s="16" t="s">
        <v>166</v>
      </c>
      <c r="EM436" s="16" t="s">
        <v>166</v>
      </c>
      <c r="EN436" s="16" t="s">
        <v>166</v>
      </c>
      <c r="EO436" s="16" t="s">
        <v>166</v>
      </c>
      <c r="EP436" s="16" t="s">
        <v>166</v>
      </c>
      <c r="EQ436" s="16" t="s">
        <v>166</v>
      </c>
      <c r="ER436" s="16" t="s">
        <v>166</v>
      </c>
      <c r="ES436" s="16" t="s">
        <v>166</v>
      </c>
      <c r="ET436" s="14" t="s">
        <v>166</v>
      </c>
      <c r="EU436" s="16" t="s">
        <v>166</v>
      </c>
      <c r="EV436" s="16" t="s">
        <v>166</v>
      </c>
      <c r="EW436" s="16" t="s">
        <v>166</v>
      </c>
      <c r="EX436" s="14" t="s">
        <v>190</v>
      </c>
      <c r="EY436" s="14" t="s">
        <v>166</v>
      </c>
      <c r="EZ436" s="16" t="s">
        <v>166</v>
      </c>
      <c r="FA436" s="15" t="s">
        <v>166</v>
      </c>
      <c r="FB436" s="15" t="s">
        <v>166</v>
      </c>
      <c r="FC436" s="15" t="s">
        <v>166</v>
      </c>
      <c r="FD436" s="15" t="s">
        <v>166</v>
      </c>
      <c r="FE436" s="15" t="s">
        <v>166</v>
      </c>
      <c r="FF436" s="15" t="s">
        <v>166</v>
      </c>
      <c r="FG436" s="14" t="s">
        <v>166</v>
      </c>
      <c r="FH436" s="3">
        <f>HYPERLINK("https://my.pitchbook.com?c=205788-43T","View Company Online")</f>
      </c>
    </row>
    <row r="437">
      <c r="A437" s="25" t="s">
        <v>8561</v>
      </c>
      <c r="B437" s="25" t="s">
        <v>8562</v>
      </c>
      <c r="C437" s="25" t="s">
        <v>8563</v>
      </c>
      <c r="D437" s="25" t="s">
        <v>166</v>
      </c>
      <c r="E437" s="34" t="s">
        <v>8564</v>
      </c>
      <c r="F437" s="32">
        <v>19</v>
      </c>
      <c r="G437" s="25" t="s">
        <v>8565</v>
      </c>
      <c r="H437" s="25" t="s">
        <v>166</v>
      </c>
      <c r="I437" s="25" t="s">
        <v>8566</v>
      </c>
      <c r="J437" s="25" t="s">
        <v>8567</v>
      </c>
      <c r="K437" s="25" t="s">
        <v>207</v>
      </c>
      <c r="L437" s="25" t="s">
        <v>208</v>
      </c>
      <c r="M437" s="25" t="s">
        <v>209</v>
      </c>
      <c r="N437" s="25" t="s">
        <v>269</v>
      </c>
      <c r="O437" s="25" t="s">
        <v>372</v>
      </c>
      <c r="P437" s="25" t="s">
        <v>8568</v>
      </c>
      <c r="Q437" s="25" t="s">
        <v>166</v>
      </c>
      <c r="R437" s="25" t="s">
        <v>177</v>
      </c>
      <c r="S437" s="25" t="s">
        <v>178</v>
      </c>
      <c r="T437" s="25" t="s">
        <v>179</v>
      </c>
      <c r="U437" s="25" t="s">
        <v>8569</v>
      </c>
      <c r="V437" s="25" t="s">
        <v>8570</v>
      </c>
      <c r="W437" s="32" t="s">
        <v>8571</v>
      </c>
      <c r="X437" s="25" t="s">
        <v>8572</v>
      </c>
      <c r="Y437" s="25" t="s">
        <v>8573</v>
      </c>
      <c r="Z437" s="25" t="s">
        <v>166</v>
      </c>
      <c r="AA437" s="25" t="s">
        <v>242</v>
      </c>
      <c r="AB437" s="25" t="s">
        <v>243</v>
      </c>
      <c r="AC437" s="25" t="s">
        <v>244</v>
      </c>
      <c r="AD437" s="25" t="s">
        <v>243</v>
      </c>
      <c r="AE437" s="25" t="s">
        <v>243</v>
      </c>
      <c r="AF437" s="25" t="s">
        <v>166</v>
      </c>
      <c r="AG437" s="25" t="s">
        <v>246</v>
      </c>
      <c r="AH437" s="32">
        <v>1</v>
      </c>
      <c r="AI437" s="4">
        <f>HYPERLINK("https://my.pitchbook.com/?d=186899-77T","186899-77T")</f>
      </c>
      <c r="AJ437" s="30" t="s">
        <v>166</v>
      </c>
      <c r="AK437" s="30">
        <v>44571</v>
      </c>
      <c r="AL437" s="29">
        <v>6.3</v>
      </c>
      <c r="AM437" s="25" t="s">
        <v>185</v>
      </c>
      <c r="AN437" s="29">
        <v>15</v>
      </c>
      <c r="AO437" s="29">
        <v>21.3</v>
      </c>
      <c r="AP437" s="25" t="s">
        <v>185</v>
      </c>
      <c r="AQ437" s="32" t="s">
        <v>166</v>
      </c>
      <c r="AR437" s="32" t="s">
        <v>166</v>
      </c>
      <c r="AS437" s="28">
        <v>40.51</v>
      </c>
      <c r="AT437" s="29">
        <v>6.3</v>
      </c>
      <c r="AU437" s="32" t="s">
        <v>186</v>
      </c>
      <c r="AV437" s="32" t="s">
        <v>166</v>
      </c>
      <c r="AW437" s="29">
        <v>1.11</v>
      </c>
      <c r="AX437" s="32" t="s">
        <v>166</v>
      </c>
      <c r="AY437" s="25" t="s">
        <v>217</v>
      </c>
      <c r="AZ437" s="25" t="s">
        <v>217</v>
      </c>
      <c r="BA437" s="25" t="s">
        <v>166</v>
      </c>
      <c r="BB437" s="32" t="s">
        <v>166</v>
      </c>
      <c r="BC437" s="25" t="s">
        <v>179</v>
      </c>
      <c r="BD437" s="25" t="s">
        <v>8574</v>
      </c>
      <c r="BE437" s="25" t="s">
        <v>189</v>
      </c>
      <c r="BF437" s="29">
        <v>6.3</v>
      </c>
      <c r="BG437" s="25" t="s">
        <v>190</v>
      </c>
      <c r="BH437" s="25" t="s">
        <v>166</v>
      </c>
      <c r="BI437" s="25" t="s">
        <v>166</v>
      </c>
      <c r="BJ437" s="29" t="s">
        <v>166</v>
      </c>
      <c r="BK437" s="29" t="s">
        <v>166</v>
      </c>
      <c r="BL437" s="25" t="s">
        <v>191</v>
      </c>
      <c r="BM437" s="25" t="s">
        <v>178</v>
      </c>
      <c r="BN437" s="25" t="s">
        <v>177</v>
      </c>
      <c r="BO437" s="33" t="s">
        <v>166</v>
      </c>
      <c r="BP437" s="25" t="s">
        <v>8575</v>
      </c>
      <c r="BQ437" s="32">
        <v>19</v>
      </c>
      <c r="BR437" s="25" t="s">
        <v>166</v>
      </c>
      <c r="BS437" s="32" t="s">
        <v>166</v>
      </c>
      <c r="BT437" s="25" t="s">
        <v>8576</v>
      </c>
      <c r="BU437" s="25" t="s">
        <v>166</v>
      </c>
      <c r="BV437" s="25" t="s">
        <v>8577</v>
      </c>
      <c r="BW437" s="25" t="s">
        <v>166</v>
      </c>
      <c r="BX437" s="25" t="s">
        <v>166</v>
      </c>
      <c r="BY437" s="25" t="s">
        <v>166</v>
      </c>
      <c r="BZ437" s="25" t="s">
        <v>8578</v>
      </c>
      <c r="CA437" s="25" t="s">
        <v>996</v>
      </c>
      <c r="CB437" s="25" t="s">
        <v>166</v>
      </c>
      <c r="CC437" s="25" t="s">
        <v>8579</v>
      </c>
      <c r="CD437" s="25" t="s">
        <v>166</v>
      </c>
      <c r="CE437" s="29" t="s">
        <v>166</v>
      </c>
      <c r="CF437" s="27" t="s">
        <v>166</v>
      </c>
      <c r="CG437" s="28" t="s">
        <v>166</v>
      </c>
      <c r="CH437" s="27" t="s">
        <v>166</v>
      </c>
      <c r="CI437" s="27" t="s">
        <v>166</v>
      </c>
      <c r="CJ437" s="27" t="s">
        <v>166</v>
      </c>
      <c r="CK437" s="27" t="s">
        <v>166</v>
      </c>
      <c r="CL437" s="27" t="s">
        <v>166</v>
      </c>
      <c r="CM437" s="31" t="s">
        <v>166</v>
      </c>
      <c r="CN437" s="27" t="s">
        <v>166</v>
      </c>
      <c r="CO437" s="27" t="s">
        <v>166</v>
      </c>
      <c r="CP437" s="27" t="s">
        <v>166</v>
      </c>
      <c r="CQ437" s="27" t="s">
        <v>166</v>
      </c>
      <c r="CR437" s="27" t="s">
        <v>166</v>
      </c>
      <c r="CS437" s="27" t="s">
        <v>166</v>
      </c>
      <c r="CT437" s="27" t="s">
        <v>166</v>
      </c>
      <c r="CU437" s="27" t="s">
        <v>166</v>
      </c>
      <c r="CV437" s="27" t="s">
        <v>166</v>
      </c>
      <c r="CW437" s="27" t="s">
        <v>166</v>
      </c>
      <c r="CX437" s="27" t="s">
        <v>166</v>
      </c>
      <c r="CY437" s="27" t="s">
        <v>166</v>
      </c>
      <c r="CZ437" s="27" t="s">
        <v>166</v>
      </c>
      <c r="DA437" s="27" t="s">
        <v>166</v>
      </c>
      <c r="DB437" s="27" t="s">
        <v>166</v>
      </c>
      <c r="DC437" s="27" t="s">
        <v>166</v>
      </c>
      <c r="DD437" s="27" t="s">
        <v>166</v>
      </c>
      <c r="DE437" s="28" t="s">
        <v>166</v>
      </c>
      <c r="DF437" s="33">
        <v>100</v>
      </c>
      <c r="DG437" s="25" t="s">
        <v>360</v>
      </c>
      <c r="DH437" s="25" t="s">
        <v>193</v>
      </c>
      <c r="DI437" s="25" t="s">
        <v>194</v>
      </c>
      <c r="DJ437" s="25" t="s">
        <v>361</v>
      </c>
      <c r="DK437" s="25" t="s">
        <v>196</v>
      </c>
      <c r="DL437" s="32" t="s">
        <v>809</v>
      </c>
      <c r="DM437" s="25" t="s">
        <v>198</v>
      </c>
      <c r="DN437" s="24" t="s">
        <v>8580</v>
      </c>
      <c r="DO437" s="31">
        <v>2020</v>
      </c>
      <c r="DP437" s="25" t="s">
        <v>166</v>
      </c>
      <c r="DQ437" s="25" t="s">
        <v>166</v>
      </c>
      <c r="DR437" s="29" t="s">
        <v>166</v>
      </c>
      <c r="DS437" s="27" t="s">
        <v>166</v>
      </c>
      <c r="DT437" s="30" t="s">
        <v>166</v>
      </c>
      <c r="DU437" s="25" t="s">
        <v>166</v>
      </c>
      <c r="DV437" s="29" t="s">
        <v>166</v>
      </c>
      <c r="DW437" s="29" t="s">
        <v>166</v>
      </c>
      <c r="DX437" s="27" t="s">
        <v>166</v>
      </c>
      <c r="DY437" s="27" t="s">
        <v>166</v>
      </c>
      <c r="DZ437" s="28" t="s">
        <v>166</v>
      </c>
      <c r="EA437" s="27" t="s">
        <v>166</v>
      </c>
      <c r="EB437" s="27" t="s">
        <v>166</v>
      </c>
      <c r="EC437" s="27" t="s">
        <v>166</v>
      </c>
      <c r="ED437" s="28" t="s">
        <v>166</v>
      </c>
      <c r="EE437" s="28" t="s">
        <v>166</v>
      </c>
      <c r="EF437" s="28" t="s">
        <v>166</v>
      </c>
      <c r="EG437" s="28" t="s">
        <v>166</v>
      </c>
      <c r="EH437" s="27" t="s">
        <v>166</v>
      </c>
      <c r="EI437" s="27" t="s">
        <v>166</v>
      </c>
      <c r="EJ437" s="27" t="s">
        <v>166</v>
      </c>
      <c r="EK437" s="27" t="s">
        <v>166</v>
      </c>
      <c r="EL437" s="27" t="s">
        <v>166</v>
      </c>
      <c r="EM437" s="27" t="s">
        <v>166</v>
      </c>
      <c r="EN437" s="27" t="s">
        <v>166</v>
      </c>
      <c r="EO437" s="27" t="s">
        <v>166</v>
      </c>
      <c r="EP437" s="27" t="s">
        <v>166</v>
      </c>
      <c r="EQ437" s="27" t="s">
        <v>166</v>
      </c>
      <c r="ER437" s="27" t="s">
        <v>166</v>
      </c>
      <c r="ES437" s="27" t="s">
        <v>166</v>
      </c>
      <c r="ET437" s="25" t="s">
        <v>166</v>
      </c>
      <c r="EU437" s="27" t="s">
        <v>166</v>
      </c>
      <c r="EV437" s="27" t="s">
        <v>166</v>
      </c>
      <c r="EW437" s="27" t="s">
        <v>166</v>
      </c>
      <c r="EX437" s="25" t="s">
        <v>190</v>
      </c>
      <c r="EY437" s="25" t="s">
        <v>166</v>
      </c>
      <c r="EZ437" s="27" t="s">
        <v>166</v>
      </c>
      <c r="FA437" s="26" t="s">
        <v>166</v>
      </c>
      <c r="FB437" s="26" t="s">
        <v>166</v>
      </c>
      <c r="FC437" s="26" t="s">
        <v>166</v>
      </c>
      <c r="FD437" s="26" t="s">
        <v>166</v>
      </c>
      <c r="FE437" s="26" t="s">
        <v>166</v>
      </c>
      <c r="FF437" s="26" t="s">
        <v>166</v>
      </c>
      <c r="FG437" s="25" t="s">
        <v>166</v>
      </c>
      <c r="FH437" s="4">
        <f>HYPERLINK("https://my.pitchbook.com?c=186899-77T","View Company Online")</f>
      </c>
    </row>
    <row r="438">
      <c r="A438" s="14" t="s">
        <v>8581</v>
      </c>
      <c r="B438" s="14" t="s">
        <v>8582</v>
      </c>
      <c r="C438" s="14" t="s">
        <v>8583</v>
      </c>
      <c r="D438" s="14" t="s">
        <v>166</v>
      </c>
      <c r="E438" s="23" t="s">
        <v>8584</v>
      </c>
      <c r="F438" s="21">
        <v>1</v>
      </c>
      <c r="G438" s="14" t="s">
        <v>8585</v>
      </c>
      <c r="H438" s="14" t="s">
        <v>166</v>
      </c>
      <c r="I438" s="14" t="s">
        <v>8586</v>
      </c>
      <c r="J438" s="14" t="s">
        <v>8587</v>
      </c>
      <c r="K438" s="14" t="s">
        <v>207</v>
      </c>
      <c r="L438" s="14" t="s">
        <v>208</v>
      </c>
      <c r="M438" s="14" t="s">
        <v>209</v>
      </c>
      <c r="N438" s="14" t="s">
        <v>8588</v>
      </c>
      <c r="O438" s="14" t="s">
        <v>166</v>
      </c>
      <c r="P438" s="14" t="s">
        <v>8589</v>
      </c>
      <c r="Q438" s="14" t="s">
        <v>166</v>
      </c>
      <c r="R438" s="14" t="s">
        <v>177</v>
      </c>
      <c r="S438" s="14" t="s">
        <v>178</v>
      </c>
      <c r="T438" s="14" t="s">
        <v>179</v>
      </c>
      <c r="U438" s="14" t="s">
        <v>8590</v>
      </c>
      <c r="V438" s="14" t="s">
        <v>8591</v>
      </c>
      <c r="W438" s="21" t="s">
        <v>8592</v>
      </c>
      <c r="X438" s="14" t="s">
        <v>8593</v>
      </c>
      <c r="Y438" s="14" t="s">
        <v>8594</v>
      </c>
      <c r="Z438" s="14" t="s">
        <v>166</v>
      </c>
      <c r="AA438" s="14" t="s">
        <v>166</v>
      </c>
      <c r="AB438" s="14" t="s">
        <v>166</v>
      </c>
      <c r="AC438" s="14" t="s">
        <v>166</v>
      </c>
      <c r="AD438" s="14" t="s">
        <v>166</v>
      </c>
      <c r="AE438" s="14" t="s">
        <v>166</v>
      </c>
      <c r="AF438" s="14" t="s">
        <v>166</v>
      </c>
      <c r="AG438" s="14" t="s">
        <v>166</v>
      </c>
      <c r="AH438" s="21">
        <v>1</v>
      </c>
      <c r="AI438" s="3">
        <f>HYPERLINK("https://my.pitchbook.com/?d=194355-10T","194355-10T")</f>
      </c>
      <c r="AJ438" s="19">
        <v>44593</v>
      </c>
      <c r="AK438" s="19">
        <v>44593</v>
      </c>
      <c r="AL438" s="18">
        <v>3</v>
      </c>
      <c r="AM438" s="14" t="s">
        <v>185</v>
      </c>
      <c r="AN438" s="18" t="s">
        <v>166</v>
      </c>
      <c r="AO438" s="18" t="s">
        <v>166</v>
      </c>
      <c r="AP438" s="14" t="s">
        <v>166</v>
      </c>
      <c r="AQ438" s="21" t="s">
        <v>166</v>
      </c>
      <c r="AR438" s="21" t="s">
        <v>166</v>
      </c>
      <c r="AS438" s="17" t="s">
        <v>166</v>
      </c>
      <c r="AT438" s="18">
        <v>3</v>
      </c>
      <c r="AU438" s="21" t="s">
        <v>186</v>
      </c>
      <c r="AV438" s="21" t="s">
        <v>166</v>
      </c>
      <c r="AW438" s="18" t="s">
        <v>166</v>
      </c>
      <c r="AX438" s="21" t="s">
        <v>166</v>
      </c>
      <c r="AY438" s="14" t="s">
        <v>217</v>
      </c>
      <c r="AZ438" s="14" t="s">
        <v>217</v>
      </c>
      <c r="BA438" s="14" t="s">
        <v>166</v>
      </c>
      <c r="BB438" s="21" t="s">
        <v>166</v>
      </c>
      <c r="BC438" s="14" t="s">
        <v>179</v>
      </c>
      <c r="BD438" s="14" t="s">
        <v>8595</v>
      </c>
      <c r="BE438" s="14" t="s">
        <v>189</v>
      </c>
      <c r="BF438" s="18">
        <v>3</v>
      </c>
      <c r="BG438" s="14" t="s">
        <v>190</v>
      </c>
      <c r="BH438" s="14" t="s">
        <v>166</v>
      </c>
      <c r="BI438" s="14" t="s">
        <v>166</v>
      </c>
      <c r="BJ438" s="18" t="s">
        <v>166</v>
      </c>
      <c r="BK438" s="18" t="s">
        <v>166</v>
      </c>
      <c r="BL438" s="14" t="s">
        <v>191</v>
      </c>
      <c r="BM438" s="14" t="s">
        <v>178</v>
      </c>
      <c r="BN438" s="14" t="s">
        <v>177</v>
      </c>
      <c r="BO438" s="22" t="s">
        <v>166</v>
      </c>
      <c r="BP438" s="14" t="s">
        <v>8584</v>
      </c>
      <c r="BQ438" s="21">
        <v>1</v>
      </c>
      <c r="BR438" s="14" t="s">
        <v>166</v>
      </c>
      <c r="BS438" s="21" t="s">
        <v>166</v>
      </c>
      <c r="BT438" s="14" t="s">
        <v>166</v>
      </c>
      <c r="BU438" s="14" t="s">
        <v>166</v>
      </c>
      <c r="BV438" s="14" t="s">
        <v>166</v>
      </c>
      <c r="BW438" s="14" t="s">
        <v>166</v>
      </c>
      <c r="BX438" s="14" t="s">
        <v>166</v>
      </c>
      <c r="BY438" s="14" t="s">
        <v>166</v>
      </c>
      <c r="BZ438" s="14" t="s">
        <v>166</v>
      </c>
      <c r="CA438" s="14" t="s">
        <v>166</v>
      </c>
      <c r="CB438" s="14" t="s">
        <v>166</v>
      </c>
      <c r="CC438" s="14" t="s">
        <v>166</v>
      </c>
      <c r="CD438" s="14" t="s">
        <v>166</v>
      </c>
      <c r="CE438" s="18" t="s">
        <v>166</v>
      </c>
      <c r="CF438" s="16" t="s">
        <v>166</v>
      </c>
      <c r="CG438" s="17" t="s">
        <v>166</v>
      </c>
      <c r="CH438" s="16" t="s">
        <v>166</v>
      </c>
      <c r="CI438" s="16" t="s">
        <v>166</v>
      </c>
      <c r="CJ438" s="16" t="s">
        <v>166</v>
      </c>
      <c r="CK438" s="16" t="s">
        <v>166</v>
      </c>
      <c r="CL438" s="16" t="s">
        <v>166</v>
      </c>
      <c r="CM438" s="20" t="s">
        <v>166</v>
      </c>
      <c r="CN438" s="16" t="s">
        <v>166</v>
      </c>
      <c r="CO438" s="16" t="s">
        <v>166</v>
      </c>
      <c r="CP438" s="16" t="s">
        <v>166</v>
      </c>
      <c r="CQ438" s="16" t="s">
        <v>166</v>
      </c>
      <c r="CR438" s="16" t="s">
        <v>166</v>
      </c>
      <c r="CS438" s="16" t="s">
        <v>166</v>
      </c>
      <c r="CT438" s="16" t="s">
        <v>166</v>
      </c>
      <c r="CU438" s="16" t="s">
        <v>166</v>
      </c>
      <c r="CV438" s="16" t="s">
        <v>166</v>
      </c>
      <c r="CW438" s="16" t="s">
        <v>166</v>
      </c>
      <c r="CX438" s="16" t="s">
        <v>166</v>
      </c>
      <c r="CY438" s="16" t="s">
        <v>166</v>
      </c>
      <c r="CZ438" s="16" t="s">
        <v>166</v>
      </c>
      <c r="DA438" s="16" t="s">
        <v>166</v>
      </c>
      <c r="DB438" s="16" t="s">
        <v>166</v>
      </c>
      <c r="DC438" s="16" t="s">
        <v>166</v>
      </c>
      <c r="DD438" s="16" t="s">
        <v>166</v>
      </c>
      <c r="DE438" s="17" t="s">
        <v>166</v>
      </c>
      <c r="DF438" s="22">
        <v>7</v>
      </c>
      <c r="DG438" s="14" t="s">
        <v>309</v>
      </c>
      <c r="DH438" s="14" t="s">
        <v>193</v>
      </c>
      <c r="DI438" s="14" t="s">
        <v>194</v>
      </c>
      <c r="DJ438" s="14" t="s">
        <v>310</v>
      </c>
      <c r="DK438" s="14" t="s">
        <v>310</v>
      </c>
      <c r="DL438" s="21" t="s">
        <v>479</v>
      </c>
      <c r="DM438" s="14" t="s">
        <v>198</v>
      </c>
      <c r="DN438" s="13" t="s">
        <v>8596</v>
      </c>
      <c r="DO438" s="20">
        <v>2021</v>
      </c>
      <c r="DP438" s="14" t="s">
        <v>166</v>
      </c>
      <c r="DQ438" s="14" t="s">
        <v>166</v>
      </c>
      <c r="DR438" s="18" t="s">
        <v>166</v>
      </c>
      <c r="DS438" s="16" t="s">
        <v>166</v>
      </c>
      <c r="DT438" s="19" t="s">
        <v>166</v>
      </c>
      <c r="DU438" s="14" t="s">
        <v>166</v>
      </c>
      <c r="DV438" s="18" t="s">
        <v>166</v>
      </c>
      <c r="DW438" s="18" t="s">
        <v>166</v>
      </c>
      <c r="DX438" s="16" t="s">
        <v>166</v>
      </c>
      <c r="DY438" s="16" t="s">
        <v>166</v>
      </c>
      <c r="DZ438" s="17" t="s">
        <v>166</v>
      </c>
      <c r="EA438" s="16" t="s">
        <v>166</v>
      </c>
      <c r="EB438" s="16" t="s">
        <v>166</v>
      </c>
      <c r="EC438" s="16" t="s">
        <v>166</v>
      </c>
      <c r="ED438" s="17" t="s">
        <v>166</v>
      </c>
      <c r="EE438" s="17" t="s">
        <v>166</v>
      </c>
      <c r="EF438" s="17" t="s">
        <v>166</v>
      </c>
      <c r="EG438" s="17" t="s">
        <v>166</v>
      </c>
      <c r="EH438" s="16" t="s">
        <v>166</v>
      </c>
      <c r="EI438" s="16" t="s">
        <v>166</v>
      </c>
      <c r="EJ438" s="16" t="s">
        <v>166</v>
      </c>
      <c r="EK438" s="16" t="s">
        <v>166</v>
      </c>
      <c r="EL438" s="16" t="s">
        <v>166</v>
      </c>
      <c r="EM438" s="16" t="s">
        <v>166</v>
      </c>
      <c r="EN438" s="16" t="s">
        <v>166</v>
      </c>
      <c r="EO438" s="16" t="s">
        <v>166</v>
      </c>
      <c r="EP438" s="16" t="s">
        <v>166</v>
      </c>
      <c r="EQ438" s="16" t="s">
        <v>166</v>
      </c>
      <c r="ER438" s="16" t="s">
        <v>166</v>
      </c>
      <c r="ES438" s="16" t="s">
        <v>166</v>
      </c>
      <c r="ET438" s="14" t="s">
        <v>166</v>
      </c>
      <c r="EU438" s="16" t="s">
        <v>166</v>
      </c>
      <c r="EV438" s="16" t="s">
        <v>166</v>
      </c>
      <c r="EW438" s="16" t="s">
        <v>166</v>
      </c>
      <c r="EX438" s="14" t="s">
        <v>190</v>
      </c>
      <c r="EY438" s="14" t="s">
        <v>166</v>
      </c>
      <c r="EZ438" s="16" t="s">
        <v>166</v>
      </c>
      <c r="FA438" s="15" t="s">
        <v>166</v>
      </c>
      <c r="FB438" s="15" t="s">
        <v>166</v>
      </c>
      <c r="FC438" s="15" t="s">
        <v>166</v>
      </c>
      <c r="FD438" s="15" t="s">
        <v>166</v>
      </c>
      <c r="FE438" s="15" t="s">
        <v>166</v>
      </c>
      <c r="FF438" s="15" t="s">
        <v>166</v>
      </c>
      <c r="FG438" s="14" t="s">
        <v>166</v>
      </c>
      <c r="FH438" s="3">
        <f>HYPERLINK("https://my.pitchbook.com?c=194355-10T","View Company Online")</f>
      </c>
    </row>
    <row r="439">
      <c r="A439" s="25" t="s">
        <v>8597</v>
      </c>
      <c r="B439" s="25" t="s">
        <v>8598</v>
      </c>
      <c r="C439" s="25" t="s">
        <v>8599</v>
      </c>
      <c r="D439" s="25" t="s">
        <v>166</v>
      </c>
      <c r="E439" s="34" t="s">
        <v>8600</v>
      </c>
      <c r="F439" s="32">
        <v>1</v>
      </c>
      <c r="G439" s="25" t="s">
        <v>8601</v>
      </c>
      <c r="H439" s="25" t="s">
        <v>166</v>
      </c>
      <c r="I439" s="25" t="s">
        <v>8602</v>
      </c>
      <c r="J439" s="25" t="s">
        <v>8603</v>
      </c>
      <c r="K439" s="25" t="s">
        <v>207</v>
      </c>
      <c r="L439" s="25" t="s">
        <v>208</v>
      </c>
      <c r="M439" s="25" t="s">
        <v>209</v>
      </c>
      <c r="N439" s="25" t="s">
        <v>1009</v>
      </c>
      <c r="O439" s="25" t="s">
        <v>800</v>
      </c>
      <c r="P439" s="25" t="s">
        <v>8604</v>
      </c>
      <c r="Q439" s="25" t="s">
        <v>926</v>
      </c>
      <c r="R439" s="25" t="s">
        <v>177</v>
      </c>
      <c r="S439" s="25" t="s">
        <v>8605</v>
      </c>
      <c r="T439" s="25" t="s">
        <v>179</v>
      </c>
      <c r="U439" s="25" t="s">
        <v>8606</v>
      </c>
      <c r="V439" s="25" t="s">
        <v>8607</v>
      </c>
      <c r="W439" s="32" t="s">
        <v>8608</v>
      </c>
      <c r="X439" s="25" t="s">
        <v>8609</v>
      </c>
      <c r="Y439" s="25" t="s">
        <v>8610</v>
      </c>
      <c r="Z439" s="25" t="s">
        <v>166</v>
      </c>
      <c r="AA439" s="25" t="s">
        <v>166</v>
      </c>
      <c r="AB439" s="25" t="s">
        <v>166</v>
      </c>
      <c r="AC439" s="25" t="s">
        <v>166</v>
      </c>
      <c r="AD439" s="25" t="s">
        <v>166</v>
      </c>
      <c r="AE439" s="25" t="s">
        <v>166</v>
      </c>
      <c r="AF439" s="25" t="s">
        <v>166</v>
      </c>
      <c r="AG439" s="25" t="s">
        <v>166</v>
      </c>
      <c r="AH439" s="32">
        <v>3</v>
      </c>
      <c r="AI439" s="4">
        <f>HYPERLINK("https://my.pitchbook.com/?d=245489-77T","245489-77T")</f>
      </c>
      <c r="AJ439" s="30" t="s">
        <v>166</v>
      </c>
      <c r="AK439" s="30">
        <v>44914</v>
      </c>
      <c r="AL439" s="29">
        <v>0.04</v>
      </c>
      <c r="AM439" s="25" t="s">
        <v>185</v>
      </c>
      <c r="AN439" s="29" t="s">
        <v>166</v>
      </c>
      <c r="AO439" s="29" t="s">
        <v>166</v>
      </c>
      <c r="AP439" s="25" t="s">
        <v>166</v>
      </c>
      <c r="AQ439" s="32" t="s">
        <v>166</v>
      </c>
      <c r="AR439" s="32" t="s">
        <v>166</v>
      </c>
      <c r="AS439" s="28" t="s">
        <v>166</v>
      </c>
      <c r="AT439" s="29">
        <v>0.04</v>
      </c>
      <c r="AU439" s="32" t="s">
        <v>186</v>
      </c>
      <c r="AV439" s="32" t="s">
        <v>166</v>
      </c>
      <c r="AW439" s="29" t="s">
        <v>166</v>
      </c>
      <c r="AX439" s="32" t="s">
        <v>166</v>
      </c>
      <c r="AY439" s="25" t="s">
        <v>187</v>
      </c>
      <c r="AZ439" s="25" t="s">
        <v>166</v>
      </c>
      <c r="BA439" s="25" t="s">
        <v>166</v>
      </c>
      <c r="BB439" s="32" t="s">
        <v>166</v>
      </c>
      <c r="BC439" s="25" t="s">
        <v>179</v>
      </c>
      <c r="BD439" s="25" t="s">
        <v>8611</v>
      </c>
      <c r="BE439" s="25" t="s">
        <v>189</v>
      </c>
      <c r="BF439" s="29" t="s">
        <v>166</v>
      </c>
      <c r="BG439" s="25" t="s">
        <v>190</v>
      </c>
      <c r="BH439" s="25" t="s">
        <v>166</v>
      </c>
      <c r="BI439" s="25" t="s">
        <v>166</v>
      </c>
      <c r="BJ439" s="29">
        <v>0.04</v>
      </c>
      <c r="BK439" s="29" t="s">
        <v>166</v>
      </c>
      <c r="BL439" s="25" t="s">
        <v>191</v>
      </c>
      <c r="BM439" s="25" t="s">
        <v>8605</v>
      </c>
      <c r="BN439" s="25" t="s">
        <v>177</v>
      </c>
      <c r="BO439" s="33">
        <v>2</v>
      </c>
      <c r="BP439" s="25" t="s">
        <v>8600</v>
      </c>
      <c r="BQ439" s="32">
        <v>1</v>
      </c>
      <c r="BR439" s="25" t="s">
        <v>166</v>
      </c>
      <c r="BS439" s="32" t="s">
        <v>166</v>
      </c>
      <c r="BT439" s="25" t="s">
        <v>166</v>
      </c>
      <c r="BU439" s="25" t="s">
        <v>166</v>
      </c>
      <c r="BV439" s="25" t="s">
        <v>166</v>
      </c>
      <c r="BW439" s="25" t="s">
        <v>166</v>
      </c>
      <c r="BX439" s="25" t="s">
        <v>166</v>
      </c>
      <c r="BY439" s="25" t="s">
        <v>166</v>
      </c>
      <c r="BZ439" s="25" t="s">
        <v>166</v>
      </c>
      <c r="CA439" s="25" t="s">
        <v>166</v>
      </c>
      <c r="CB439" s="25" t="s">
        <v>166</v>
      </c>
      <c r="CC439" s="25" t="s">
        <v>166</v>
      </c>
      <c r="CD439" s="25" t="s">
        <v>166</v>
      </c>
      <c r="CE439" s="29" t="s">
        <v>166</v>
      </c>
      <c r="CF439" s="27" t="s">
        <v>166</v>
      </c>
      <c r="CG439" s="28" t="s">
        <v>166</v>
      </c>
      <c r="CH439" s="27" t="s">
        <v>166</v>
      </c>
      <c r="CI439" s="27" t="s">
        <v>166</v>
      </c>
      <c r="CJ439" s="27" t="s">
        <v>166</v>
      </c>
      <c r="CK439" s="27" t="s">
        <v>166</v>
      </c>
      <c r="CL439" s="27" t="s">
        <v>166</v>
      </c>
      <c r="CM439" s="31" t="s">
        <v>166</v>
      </c>
      <c r="CN439" s="27" t="s">
        <v>166</v>
      </c>
      <c r="CO439" s="27" t="s">
        <v>166</v>
      </c>
      <c r="CP439" s="27" t="s">
        <v>166</v>
      </c>
      <c r="CQ439" s="27" t="s">
        <v>166</v>
      </c>
      <c r="CR439" s="27" t="s">
        <v>166</v>
      </c>
      <c r="CS439" s="27" t="s">
        <v>166</v>
      </c>
      <c r="CT439" s="27" t="s">
        <v>166</v>
      </c>
      <c r="CU439" s="27" t="s">
        <v>166</v>
      </c>
      <c r="CV439" s="27" t="s">
        <v>166</v>
      </c>
      <c r="CW439" s="27" t="s">
        <v>166</v>
      </c>
      <c r="CX439" s="27" t="s">
        <v>166</v>
      </c>
      <c r="CY439" s="27" t="s">
        <v>166</v>
      </c>
      <c r="CZ439" s="27" t="s">
        <v>166</v>
      </c>
      <c r="DA439" s="27" t="s">
        <v>166</v>
      </c>
      <c r="DB439" s="27" t="s">
        <v>166</v>
      </c>
      <c r="DC439" s="27" t="s">
        <v>166</v>
      </c>
      <c r="DD439" s="27" t="s">
        <v>166</v>
      </c>
      <c r="DE439" s="28" t="s">
        <v>166</v>
      </c>
      <c r="DF439" s="33">
        <v>10</v>
      </c>
      <c r="DG439" s="25" t="s">
        <v>309</v>
      </c>
      <c r="DH439" s="25" t="s">
        <v>193</v>
      </c>
      <c r="DI439" s="25" t="s">
        <v>194</v>
      </c>
      <c r="DJ439" s="25" t="s">
        <v>310</v>
      </c>
      <c r="DK439" s="25" t="s">
        <v>310</v>
      </c>
      <c r="DL439" s="32" t="s">
        <v>8612</v>
      </c>
      <c r="DM439" s="25" t="s">
        <v>198</v>
      </c>
      <c r="DN439" s="24" t="s">
        <v>8613</v>
      </c>
      <c r="DO439" s="31">
        <v>2021</v>
      </c>
      <c r="DP439" s="25" t="s">
        <v>166</v>
      </c>
      <c r="DQ439" s="25" t="s">
        <v>4249</v>
      </c>
      <c r="DR439" s="29">
        <v>0.04</v>
      </c>
      <c r="DS439" s="27" t="s">
        <v>166</v>
      </c>
      <c r="DT439" s="30" t="s">
        <v>166</v>
      </c>
      <c r="DU439" s="25" t="s">
        <v>166</v>
      </c>
      <c r="DV439" s="29" t="s">
        <v>166</v>
      </c>
      <c r="DW439" s="29" t="s">
        <v>166</v>
      </c>
      <c r="DX439" s="27" t="s">
        <v>166</v>
      </c>
      <c r="DY439" s="27" t="s">
        <v>166</v>
      </c>
      <c r="DZ439" s="28" t="s">
        <v>166</v>
      </c>
      <c r="EA439" s="27" t="s">
        <v>166</v>
      </c>
      <c r="EB439" s="27" t="s">
        <v>166</v>
      </c>
      <c r="EC439" s="27" t="s">
        <v>166</v>
      </c>
      <c r="ED439" s="28" t="s">
        <v>166</v>
      </c>
      <c r="EE439" s="28" t="s">
        <v>166</v>
      </c>
      <c r="EF439" s="28" t="s">
        <v>166</v>
      </c>
      <c r="EG439" s="28" t="s">
        <v>166</v>
      </c>
      <c r="EH439" s="27" t="s">
        <v>166</v>
      </c>
      <c r="EI439" s="27" t="s">
        <v>166</v>
      </c>
      <c r="EJ439" s="27" t="s">
        <v>166</v>
      </c>
      <c r="EK439" s="27" t="s">
        <v>166</v>
      </c>
      <c r="EL439" s="27" t="s">
        <v>166</v>
      </c>
      <c r="EM439" s="27" t="s">
        <v>166</v>
      </c>
      <c r="EN439" s="27" t="s">
        <v>166</v>
      </c>
      <c r="EO439" s="27" t="s">
        <v>166</v>
      </c>
      <c r="EP439" s="27" t="s">
        <v>166</v>
      </c>
      <c r="EQ439" s="27" t="s">
        <v>166</v>
      </c>
      <c r="ER439" s="27" t="s">
        <v>166</v>
      </c>
      <c r="ES439" s="27" t="s">
        <v>166</v>
      </c>
      <c r="ET439" s="25" t="s">
        <v>166</v>
      </c>
      <c r="EU439" s="27" t="s">
        <v>166</v>
      </c>
      <c r="EV439" s="27" t="s">
        <v>166</v>
      </c>
      <c r="EW439" s="27" t="s">
        <v>166</v>
      </c>
      <c r="EX439" s="25" t="s">
        <v>190</v>
      </c>
      <c r="EY439" s="25" t="s">
        <v>190</v>
      </c>
      <c r="EZ439" s="27" t="s">
        <v>166</v>
      </c>
      <c r="FA439" s="26" t="s">
        <v>166</v>
      </c>
      <c r="FB439" s="26" t="s">
        <v>166</v>
      </c>
      <c r="FC439" s="26" t="s">
        <v>166</v>
      </c>
      <c r="FD439" s="26" t="s">
        <v>166</v>
      </c>
      <c r="FE439" s="26" t="s">
        <v>166</v>
      </c>
      <c r="FF439" s="26" t="s">
        <v>166</v>
      </c>
      <c r="FG439" s="25" t="s">
        <v>166</v>
      </c>
      <c r="FH439" s="4">
        <f>HYPERLINK("https://my.pitchbook.com?c=245489-77T","View Company Online")</f>
      </c>
    </row>
    <row r="440">
      <c r="A440" s="14" t="s">
        <v>8614</v>
      </c>
      <c r="B440" s="14" t="s">
        <v>8615</v>
      </c>
      <c r="C440" s="14" t="s">
        <v>8616</v>
      </c>
      <c r="D440" s="14" t="s">
        <v>166</v>
      </c>
      <c r="E440" s="23" t="s">
        <v>8617</v>
      </c>
      <c r="F440" s="21">
        <v>3</v>
      </c>
      <c r="G440" s="14" t="s">
        <v>8618</v>
      </c>
      <c r="H440" s="14" t="s">
        <v>166</v>
      </c>
      <c r="I440" s="14" t="s">
        <v>8619</v>
      </c>
      <c r="J440" s="14" t="s">
        <v>8620</v>
      </c>
      <c r="K440" s="14" t="s">
        <v>207</v>
      </c>
      <c r="L440" s="14" t="s">
        <v>208</v>
      </c>
      <c r="M440" s="14" t="s">
        <v>209</v>
      </c>
      <c r="N440" s="14" t="s">
        <v>269</v>
      </c>
      <c r="O440" s="14" t="s">
        <v>665</v>
      </c>
      <c r="P440" s="14" t="s">
        <v>8621</v>
      </c>
      <c r="Q440" s="14" t="s">
        <v>166</v>
      </c>
      <c r="R440" s="14" t="s">
        <v>177</v>
      </c>
      <c r="S440" s="14" t="s">
        <v>178</v>
      </c>
      <c r="T440" s="14" t="s">
        <v>179</v>
      </c>
      <c r="U440" s="14" t="s">
        <v>8622</v>
      </c>
      <c r="V440" s="14" t="s">
        <v>8623</v>
      </c>
      <c r="W440" s="21" t="s">
        <v>8624</v>
      </c>
      <c r="X440" s="14" t="s">
        <v>8625</v>
      </c>
      <c r="Y440" s="14" t="s">
        <v>8626</v>
      </c>
      <c r="Z440" s="14" t="s">
        <v>8627</v>
      </c>
      <c r="AA440" s="14" t="s">
        <v>166</v>
      </c>
      <c r="AB440" s="14" t="s">
        <v>166</v>
      </c>
      <c r="AC440" s="14" t="s">
        <v>166</v>
      </c>
      <c r="AD440" s="14" t="s">
        <v>166</v>
      </c>
      <c r="AE440" s="14" t="s">
        <v>166</v>
      </c>
      <c r="AF440" s="14" t="s">
        <v>166</v>
      </c>
      <c r="AG440" s="14" t="s">
        <v>166</v>
      </c>
      <c r="AH440" s="21">
        <v>1</v>
      </c>
      <c r="AI440" s="3">
        <f>HYPERLINK("https://my.pitchbook.com/?d=227681-11T","227681-11T")</f>
      </c>
      <c r="AJ440" s="19">
        <v>45106</v>
      </c>
      <c r="AK440" s="19">
        <v>45597</v>
      </c>
      <c r="AL440" s="18">
        <v>0.87</v>
      </c>
      <c r="AM440" s="14" t="s">
        <v>185</v>
      </c>
      <c r="AN440" s="18" t="s">
        <v>166</v>
      </c>
      <c r="AO440" s="18" t="s">
        <v>166</v>
      </c>
      <c r="AP440" s="14" t="s">
        <v>166</v>
      </c>
      <c r="AQ440" s="21" t="s">
        <v>166</v>
      </c>
      <c r="AR440" s="21" t="s">
        <v>166</v>
      </c>
      <c r="AS440" s="17" t="s">
        <v>166</v>
      </c>
      <c r="AT440" s="18">
        <v>0.87</v>
      </c>
      <c r="AU440" s="21" t="s">
        <v>186</v>
      </c>
      <c r="AV440" s="21" t="s">
        <v>166</v>
      </c>
      <c r="AW440" s="18" t="s">
        <v>166</v>
      </c>
      <c r="AX440" s="21" t="s">
        <v>166</v>
      </c>
      <c r="AY440" s="14" t="s">
        <v>217</v>
      </c>
      <c r="AZ440" s="14" t="s">
        <v>217</v>
      </c>
      <c r="BA440" s="14" t="s">
        <v>166</v>
      </c>
      <c r="BB440" s="21" t="s">
        <v>166</v>
      </c>
      <c r="BC440" s="14" t="s">
        <v>179</v>
      </c>
      <c r="BD440" s="14" t="s">
        <v>8620</v>
      </c>
      <c r="BE440" s="14" t="s">
        <v>189</v>
      </c>
      <c r="BF440" s="18" t="s">
        <v>166</v>
      </c>
      <c r="BG440" s="14" t="s">
        <v>190</v>
      </c>
      <c r="BH440" s="14" t="s">
        <v>166</v>
      </c>
      <c r="BI440" s="14" t="s">
        <v>166</v>
      </c>
      <c r="BJ440" s="18" t="s">
        <v>166</v>
      </c>
      <c r="BK440" s="18" t="s">
        <v>166</v>
      </c>
      <c r="BL440" s="14" t="s">
        <v>191</v>
      </c>
      <c r="BM440" s="14" t="s">
        <v>178</v>
      </c>
      <c r="BN440" s="14" t="s">
        <v>177</v>
      </c>
      <c r="BO440" s="22" t="s">
        <v>166</v>
      </c>
      <c r="BP440" s="14" t="s">
        <v>8628</v>
      </c>
      <c r="BQ440" s="21">
        <v>3</v>
      </c>
      <c r="BR440" s="14" t="s">
        <v>166</v>
      </c>
      <c r="BS440" s="21" t="s">
        <v>166</v>
      </c>
      <c r="BT440" s="14" t="s">
        <v>8629</v>
      </c>
      <c r="BU440" s="14" t="s">
        <v>166</v>
      </c>
      <c r="BV440" s="14" t="s">
        <v>166</v>
      </c>
      <c r="BW440" s="14" t="s">
        <v>166</v>
      </c>
      <c r="BX440" s="14" t="s">
        <v>166</v>
      </c>
      <c r="BY440" s="14" t="s">
        <v>166</v>
      </c>
      <c r="BZ440" s="14" t="s">
        <v>8630</v>
      </c>
      <c r="CA440" s="14" t="s">
        <v>8630</v>
      </c>
      <c r="CB440" s="14" t="s">
        <v>166</v>
      </c>
      <c r="CC440" s="14" t="s">
        <v>166</v>
      </c>
      <c r="CD440" s="14" t="s">
        <v>166</v>
      </c>
      <c r="CE440" s="18" t="s">
        <v>166</v>
      </c>
      <c r="CF440" s="16" t="s">
        <v>166</v>
      </c>
      <c r="CG440" s="17" t="s">
        <v>166</v>
      </c>
      <c r="CH440" s="16" t="s">
        <v>166</v>
      </c>
      <c r="CI440" s="16" t="s">
        <v>166</v>
      </c>
      <c r="CJ440" s="16" t="s">
        <v>166</v>
      </c>
      <c r="CK440" s="16" t="s">
        <v>166</v>
      </c>
      <c r="CL440" s="16" t="s">
        <v>166</v>
      </c>
      <c r="CM440" s="20" t="s">
        <v>166</v>
      </c>
      <c r="CN440" s="16" t="s">
        <v>166</v>
      </c>
      <c r="CO440" s="16" t="s">
        <v>166</v>
      </c>
      <c r="CP440" s="16" t="s">
        <v>166</v>
      </c>
      <c r="CQ440" s="16" t="s">
        <v>166</v>
      </c>
      <c r="CR440" s="16" t="s">
        <v>166</v>
      </c>
      <c r="CS440" s="16" t="s">
        <v>166</v>
      </c>
      <c r="CT440" s="16" t="s">
        <v>166</v>
      </c>
      <c r="CU440" s="16" t="s">
        <v>166</v>
      </c>
      <c r="CV440" s="16" t="s">
        <v>166</v>
      </c>
      <c r="CW440" s="16" t="s">
        <v>166</v>
      </c>
      <c r="CX440" s="16" t="s">
        <v>166</v>
      </c>
      <c r="CY440" s="16" t="s">
        <v>166</v>
      </c>
      <c r="CZ440" s="16" t="s">
        <v>166</v>
      </c>
      <c r="DA440" s="16" t="s">
        <v>166</v>
      </c>
      <c r="DB440" s="16" t="s">
        <v>166</v>
      </c>
      <c r="DC440" s="16" t="s">
        <v>166</v>
      </c>
      <c r="DD440" s="16" t="s">
        <v>166</v>
      </c>
      <c r="DE440" s="17" t="s">
        <v>166</v>
      </c>
      <c r="DF440" s="22">
        <v>9</v>
      </c>
      <c r="DG440" s="14" t="s">
        <v>8631</v>
      </c>
      <c r="DH440" s="14" t="s">
        <v>193</v>
      </c>
      <c r="DI440" s="14" t="s">
        <v>194</v>
      </c>
      <c r="DJ440" s="14" t="s">
        <v>8632</v>
      </c>
      <c r="DK440" s="14" t="s">
        <v>8633</v>
      </c>
      <c r="DL440" s="21" t="s">
        <v>8634</v>
      </c>
      <c r="DM440" s="14" t="s">
        <v>198</v>
      </c>
      <c r="DN440" s="13" t="s">
        <v>8635</v>
      </c>
      <c r="DO440" s="20">
        <v>2021</v>
      </c>
      <c r="DP440" s="14" t="s">
        <v>166</v>
      </c>
      <c r="DQ440" s="14" t="s">
        <v>166</v>
      </c>
      <c r="DR440" s="18" t="s">
        <v>166</v>
      </c>
      <c r="DS440" s="16" t="s">
        <v>166</v>
      </c>
      <c r="DT440" s="19" t="s">
        <v>166</v>
      </c>
      <c r="DU440" s="14" t="s">
        <v>166</v>
      </c>
      <c r="DV440" s="18" t="s">
        <v>166</v>
      </c>
      <c r="DW440" s="18" t="s">
        <v>166</v>
      </c>
      <c r="DX440" s="16" t="s">
        <v>166</v>
      </c>
      <c r="DY440" s="16" t="s">
        <v>166</v>
      </c>
      <c r="DZ440" s="17" t="s">
        <v>166</v>
      </c>
      <c r="EA440" s="16" t="s">
        <v>166</v>
      </c>
      <c r="EB440" s="16" t="s">
        <v>166</v>
      </c>
      <c r="EC440" s="16" t="s">
        <v>166</v>
      </c>
      <c r="ED440" s="17" t="s">
        <v>166</v>
      </c>
      <c r="EE440" s="17" t="s">
        <v>166</v>
      </c>
      <c r="EF440" s="17" t="s">
        <v>166</v>
      </c>
      <c r="EG440" s="17" t="s">
        <v>166</v>
      </c>
      <c r="EH440" s="16" t="s">
        <v>166</v>
      </c>
      <c r="EI440" s="16" t="s">
        <v>166</v>
      </c>
      <c r="EJ440" s="16" t="s">
        <v>166</v>
      </c>
      <c r="EK440" s="16" t="s">
        <v>166</v>
      </c>
      <c r="EL440" s="16" t="s">
        <v>166</v>
      </c>
      <c r="EM440" s="16" t="s">
        <v>166</v>
      </c>
      <c r="EN440" s="16" t="s">
        <v>166</v>
      </c>
      <c r="EO440" s="16" t="s">
        <v>166</v>
      </c>
      <c r="EP440" s="16" t="s">
        <v>166</v>
      </c>
      <c r="EQ440" s="16" t="s">
        <v>166</v>
      </c>
      <c r="ER440" s="16" t="s">
        <v>166</v>
      </c>
      <c r="ES440" s="16" t="s">
        <v>166</v>
      </c>
      <c r="ET440" s="14" t="s">
        <v>166</v>
      </c>
      <c r="EU440" s="16" t="s">
        <v>166</v>
      </c>
      <c r="EV440" s="16" t="s">
        <v>166</v>
      </c>
      <c r="EW440" s="16" t="s">
        <v>166</v>
      </c>
      <c r="EX440" s="14" t="s">
        <v>190</v>
      </c>
      <c r="EY440" s="14" t="s">
        <v>166</v>
      </c>
      <c r="EZ440" s="16" t="s">
        <v>166</v>
      </c>
      <c r="FA440" s="15">
        <v>1</v>
      </c>
      <c r="FB440" s="15">
        <v>1</v>
      </c>
      <c r="FC440" s="15" t="s">
        <v>166</v>
      </c>
      <c r="FD440" s="15">
        <v>1</v>
      </c>
      <c r="FE440" s="15" t="s">
        <v>166</v>
      </c>
      <c r="FF440" s="15" t="s">
        <v>166</v>
      </c>
      <c r="FG440" s="14" t="s">
        <v>775</v>
      </c>
      <c r="FH440" s="3">
        <f>HYPERLINK("https://my.pitchbook.com?c=227681-11T","View Company Online")</f>
      </c>
    </row>
    <row r="441">
      <c r="A441" s="25" t="s">
        <v>8636</v>
      </c>
      <c r="B441" s="25" t="s">
        <v>8637</v>
      </c>
      <c r="C441" s="25" t="s">
        <v>8638</v>
      </c>
      <c r="D441" s="25" t="s">
        <v>166</v>
      </c>
      <c r="E441" s="34" t="s">
        <v>8639</v>
      </c>
      <c r="F441" s="32">
        <v>2</v>
      </c>
      <c r="G441" s="25" t="s">
        <v>8640</v>
      </c>
      <c r="H441" s="25" t="s">
        <v>166</v>
      </c>
      <c r="I441" s="25" t="s">
        <v>8641</v>
      </c>
      <c r="J441" s="25" t="s">
        <v>8642</v>
      </c>
      <c r="K441" s="25" t="s">
        <v>207</v>
      </c>
      <c r="L441" s="25" t="s">
        <v>208</v>
      </c>
      <c r="M441" s="25" t="s">
        <v>1766</v>
      </c>
      <c r="N441" s="25" t="s">
        <v>2393</v>
      </c>
      <c r="O441" s="25" t="s">
        <v>1035</v>
      </c>
      <c r="P441" s="25" t="s">
        <v>8643</v>
      </c>
      <c r="Q441" s="25" t="s">
        <v>166</v>
      </c>
      <c r="R441" s="25" t="s">
        <v>177</v>
      </c>
      <c r="S441" s="25" t="s">
        <v>178</v>
      </c>
      <c r="T441" s="25" t="s">
        <v>179</v>
      </c>
      <c r="U441" s="25" t="s">
        <v>8644</v>
      </c>
      <c r="V441" s="25" t="s">
        <v>8645</v>
      </c>
      <c r="W441" s="32" t="s">
        <v>8646</v>
      </c>
      <c r="X441" s="25" t="s">
        <v>8647</v>
      </c>
      <c r="Y441" s="25" t="s">
        <v>8648</v>
      </c>
      <c r="Z441" s="25" t="s">
        <v>8649</v>
      </c>
      <c r="AA441" s="25" t="s">
        <v>242</v>
      </c>
      <c r="AB441" s="25" t="s">
        <v>243</v>
      </c>
      <c r="AC441" s="25" t="s">
        <v>244</v>
      </c>
      <c r="AD441" s="25" t="s">
        <v>166</v>
      </c>
      <c r="AE441" s="25" t="s">
        <v>243</v>
      </c>
      <c r="AF441" s="25" t="s">
        <v>166</v>
      </c>
      <c r="AG441" s="25" t="s">
        <v>246</v>
      </c>
      <c r="AH441" s="32">
        <v>1</v>
      </c>
      <c r="AI441" s="4">
        <f>HYPERLINK("https://my.pitchbook.com/?d=244979-20T","244979-20T")</f>
      </c>
      <c r="AJ441" s="30" t="s">
        <v>166</v>
      </c>
      <c r="AK441" s="30">
        <v>45237</v>
      </c>
      <c r="AL441" s="29">
        <v>6.16</v>
      </c>
      <c r="AM441" s="25" t="s">
        <v>185</v>
      </c>
      <c r="AN441" s="29">
        <v>40</v>
      </c>
      <c r="AO441" s="29">
        <v>46.16</v>
      </c>
      <c r="AP441" s="25" t="s">
        <v>185</v>
      </c>
      <c r="AQ441" s="32" t="s">
        <v>166</v>
      </c>
      <c r="AR441" s="32" t="s">
        <v>166</v>
      </c>
      <c r="AS441" s="28">
        <v>16.06</v>
      </c>
      <c r="AT441" s="29">
        <v>6.16</v>
      </c>
      <c r="AU441" s="32" t="s">
        <v>186</v>
      </c>
      <c r="AV441" s="32" t="s">
        <v>166</v>
      </c>
      <c r="AW441" s="29">
        <v>5.1</v>
      </c>
      <c r="AX441" s="32" t="s">
        <v>248</v>
      </c>
      <c r="AY441" s="25" t="s">
        <v>249</v>
      </c>
      <c r="AZ441" s="25" t="s">
        <v>248</v>
      </c>
      <c r="BA441" s="25" t="s">
        <v>166</v>
      </c>
      <c r="BB441" s="32" t="s">
        <v>166</v>
      </c>
      <c r="BC441" s="25" t="s">
        <v>179</v>
      </c>
      <c r="BD441" s="25" t="s">
        <v>8642</v>
      </c>
      <c r="BE441" s="25" t="s">
        <v>189</v>
      </c>
      <c r="BF441" s="29">
        <v>6.16</v>
      </c>
      <c r="BG441" s="25" t="s">
        <v>190</v>
      </c>
      <c r="BH441" s="25" t="s">
        <v>166</v>
      </c>
      <c r="BI441" s="25" t="s">
        <v>166</v>
      </c>
      <c r="BJ441" s="29" t="s">
        <v>166</v>
      </c>
      <c r="BK441" s="29" t="s">
        <v>166</v>
      </c>
      <c r="BL441" s="25" t="s">
        <v>191</v>
      </c>
      <c r="BM441" s="25" t="s">
        <v>178</v>
      </c>
      <c r="BN441" s="25" t="s">
        <v>177</v>
      </c>
      <c r="BO441" s="33" t="s">
        <v>166</v>
      </c>
      <c r="BP441" s="25" t="s">
        <v>8650</v>
      </c>
      <c r="BQ441" s="32">
        <v>2</v>
      </c>
      <c r="BR441" s="25" t="s">
        <v>166</v>
      </c>
      <c r="BS441" s="32" t="s">
        <v>166</v>
      </c>
      <c r="BT441" s="25" t="s">
        <v>166</v>
      </c>
      <c r="BU441" s="25" t="s">
        <v>166</v>
      </c>
      <c r="BV441" s="25" t="s">
        <v>8651</v>
      </c>
      <c r="BW441" s="25" t="s">
        <v>166</v>
      </c>
      <c r="BX441" s="25" t="s">
        <v>166</v>
      </c>
      <c r="BY441" s="25" t="s">
        <v>166</v>
      </c>
      <c r="BZ441" s="25" t="s">
        <v>166</v>
      </c>
      <c r="CA441" s="25" t="s">
        <v>166</v>
      </c>
      <c r="CB441" s="25" t="s">
        <v>166</v>
      </c>
      <c r="CC441" s="25" t="s">
        <v>166</v>
      </c>
      <c r="CD441" s="25" t="s">
        <v>166</v>
      </c>
      <c r="CE441" s="29" t="s">
        <v>166</v>
      </c>
      <c r="CF441" s="27" t="s">
        <v>166</v>
      </c>
      <c r="CG441" s="28" t="s">
        <v>166</v>
      </c>
      <c r="CH441" s="27" t="s">
        <v>166</v>
      </c>
      <c r="CI441" s="27" t="s">
        <v>166</v>
      </c>
      <c r="CJ441" s="27" t="s">
        <v>166</v>
      </c>
      <c r="CK441" s="27" t="s">
        <v>166</v>
      </c>
      <c r="CL441" s="27" t="s">
        <v>166</v>
      </c>
      <c r="CM441" s="31" t="s">
        <v>166</v>
      </c>
      <c r="CN441" s="27" t="s">
        <v>166</v>
      </c>
      <c r="CO441" s="27" t="s">
        <v>166</v>
      </c>
      <c r="CP441" s="27" t="s">
        <v>166</v>
      </c>
      <c r="CQ441" s="27" t="s">
        <v>166</v>
      </c>
      <c r="CR441" s="27" t="s">
        <v>166</v>
      </c>
      <c r="CS441" s="27" t="s">
        <v>166</v>
      </c>
      <c r="CT441" s="27" t="s">
        <v>166</v>
      </c>
      <c r="CU441" s="27" t="s">
        <v>166</v>
      </c>
      <c r="CV441" s="27" t="s">
        <v>166</v>
      </c>
      <c r="CW441" s="27" t="s">
        <v>166</v>
      </c>
      <c r="CX441" s="27" t="s">
        <v>166</v>
      </c>
      <c r="CY441" s="27" t="s">
        <v>166</v>
      </c>
      <c r="CZ441" s="27" t="s">
        <v>166</v>
      </c>
      <c r="DA441" s="27" t="s">
        <v>166</v>
      </c>
      <c r="DB441" s="27" t="s">
        <v>166</v>
      </c>
      <c r="DC441" s="27" t="s">
        <v>166</v>
      </c>
      <c r="DD441" s="27" t="s">
        <v>166</v>
      </c>
      <c r="DE441" s="28" t="s">
        <v>166</v>
      </c>
      <c r="DF441" s="33">
        <v>69</v>
      </c>
      <c r="DG441" s="25" t="s">
        <v>429</v>
      </c>
      <c r="DH441" s="25" t="s">
        <v>193</v>
      </c>
      <c r="DI441" s="25" t="s">
        <v>194</v>
      </c>
      <c r="DJ441" s="25" t="s">
        <v>430</v>
      </c>
      <c r="DK441" s="25" t="s">
        <v>431</v>
      </c>
      <c r="DL441" s="32" t="s">
        <v>8652</v>
      </c>
      <c r="DM441" s="25" t="s">
        <v>198</v>
      </c>
      <c r="DN441" s="24" t="s">
        <v>8653</v>
      </c>
      <c r="DO441" s="31">
        <v>2017</v>
      </c>
      <c r="DP441" s="25" t="s">
        <v>166</v>
      </c>
      <c r="DQ441" s="25" t="s">
        <v>166</v>
      </c>
      <c r="DR441" s="29" t="s">
        <v>166</v>
      </c>
      <c r="DS441" s="27" t="s">
        <v>166</v>
      </c>
      <c r="DT441" s="30" t="s">
        <v>166</v>
      </c>
      <c r="DU441" s="25" t="s">
        <v>166</v>
      </c>
      <c r="DV441" s="29" t="s">
        <v>166</v>
      </c>
      <c r="DW441" s="29" t="s">
        <v>166</v>
      </c>
      <c r="DX441" s="27" t="s">
        <v>166</v>
      </c>
      <c r="DY441" s="27" t="s">
        <v>166</v>
      </c>
      <c r="DZ441" s="28" t="s">
        <v>166</v>
      </c>
      <c r="EA441" s="27" t="s">
        <v>166</v>
      </c>
      <c r="EB441" s="27" t="s">
        <v>166</v>
      </c>
      <c r="EC441" s="27" t="s">
        <v>166</v>
      </c>
      <c r="ED441" s="28" t="s">
        <v>166</v>
      </c>
      <c r="EE441" s="28" t="s">
        <v>166</v>
      </c>
      <c r="EF441" s="28" t="s">
        <v>166</v>
      </c>
      <c r="EG441" s="28" t="s">
        <v>166</v>
      </c>
      <c r="EH441" s="27" t="s">
        <v>166</v>
      </c>
      <c r="EI441" s="27" t="s">
        <v>166</v>
      </c>
      <c r="EJ441" s="27" t="s">
        <v>166</v>
      </c>
      <c r="EK441" s="27" t="s">
        <v>166</v>
      </c>
      <c r="EL441" s="27" t="s">
        <v>166</v>
      </c>
      <c r="EM441" s="27" t="s">
        <v>166</v>
      </c>
      <c r="EN441" s="27" t="s">
        <v>166</v>
      </c>
      <c r="EO441" s="27" t="s">
        <v>166</v>
      </c>
      <c r="EP441" s="27" t="s">
        <v>166</v>
      </c>
      <c r="EQ441" s="27" t="s">
        <v>166</v>
      </c>
      <c r="ER441" s="27" t="s">
        <v>166</v>
      </c>
      <c r="ES441" s="27" t="s">
        <v>166</v>
      </c>
      <c r="ET441" s="25" t="s">
        <v>166</v>
      </c>
      <c r="EU441" s="27" t="s">
        <v>166</v>
      </c>
      <c r="EV441" s="27" t="s">
        <v>166</v>
      </c>
      <c r="EW441" s="27" t="s">
        <v>166</v>
      </c>
      <c r="EX441" s="25" t="s">
        <v>190</v>
      </c>
      <c r="EY441" s="25" t="s">
        <v>166</v>
      </c>
      <c r="EZ441" s="27" t="s">
        <v>166</v>
      </c>
      <c r="FA441" s="26" t="s">
        <v>166</v>
      </c>
      <c r="FB441" s="26" t="s">
        <v>166</v>
      </c>
      <c r="FC441" s="26" t="s">
        <v>166</v>
      </c>
      <c r="FD441" s="26" t="s">
        <v>166</v>
      </c>
      <c r="FE441" s="26" t="s">
        <v>166</v>
      </c>
      <c r="FF441" s="26" t="s">
        <v>166</v>
      </c>
      <c r="FG441" s="25" t="s">
        <v>166</v>
      </c>
      <c r="FH441" s="4">
        <f>HYPERLINK("https://my.pitchbook.com?c=244979-20T","View Company Online")</f>
      </c>
    </row>
    <row r="442">
      <c r="A442" s="14" t="s">
        <v>8654</v>
      </c>
      <c r="B442" s="14" t="s">
        <v>8655</v>
      </c>
      <c r="C442" s="14" t="s">
        <v>8656</v>
      </c>
      <c r="D442" s="14" t="s">
        <v>166</v>
      </c>
      <c r="E442" s="23" t="s">
        <v>8657</v>
      </c>
      <c r="F442" s="21">
        <v>9</v>
      </c>
      <c r="G442" s="14" t="s">
        <v>8658</v>
      </c>
      <c r="H442" s="14" t="s">
        <v>166</v>
      </c>
      <c r="I442" s="14" t="s">
        <v>8659</v>
      </c>
      <c r="J442" s="14" t="s">
        <v>8660</v>
      </c>
      <c r="K442" s="14" t="s">
        <v>207</v>
      </c>
      <c r="L442" s="14" t="s">
        <v>208</v>
      </c>
      <c r="M442" s="14" t="s">
        <v>209</v>
      </c>
      <c r="N442" s="14" t="s">
        <v>348</v>
      </c>
      <c r="O442" s="14" t="s">
        <v>211</v>
      </c>
      <c r="P442" s="14" t="s">
        <v>8661</v>
      </c>
      <c r="Q442" s="14" t="s">
        <v>166</v>
      </c>
      <c r="R442" s="14" t="s">
        <v>177</v>
      </c>
      <c r="S442" s="14" t="s">
        <v>178</v>
      </c>
      <c r="T442" s="14" t="s">
        <v>179</v>
      </c>
      <c r="U442" s="14" t="s">
        <v>8662</v>
      </c>
      <c r="V442" s="14" t="s">
        <v>8663</v>
      </c>
      <c r="W442" s="21" t="s">
        <v>8664</v>
      </c>
      <c r="X442" s="14" t="s">
        <v>8665</v>
      </c>
      <c r="Y442" s="14" t="s">
        <v>8666</v>
      </c>
      <c r="Z442" s="14" t="s">
        <v>166</v>
      </c>
      <c r="AA442" s="14" t="s">
        <v>242</v>
      </c>
      <c r="AB442" s="14" t="s">
        <v>243</v>
      </c>
      <c r="AC442" s="14" t="s">
        <v>244</v>
      </c>
      <c r="AD442" s="14" t="s">
        <v>243</v>
      </c>
      <c r="AE442" s="14" t="s">
        <v>243</v>
      </c>
      <c r="AF442" s="14" t="s">
        <v>166</v>
      </c>
      <c r="AG442" s="14" t="s">
        <v>246</v>
      </c>
      <c r="AH442" s="21">
        <v>2</v>
      </c>
      <c r="AI442" s="3">
        <f>HYPERLINK("https://my.pitchbook.com/?d=247156-48T","247156-48T")</f>
      </c>
      <c r="AJ442" s="19" t="s">
        <v>166</v>
      </c>
      <c r="AK442" s="19">
        <v>45455</v>
      </c>
      <c r="AL442" s="18">
        <v>4.3</v>
      </c>
      <c r="AM442" s="14" t="s">
        <v>247</v>
      </c>
      <c r="AN442" s="18">
        <v>9.57</v>
      </c>
      <c r="AO442" s="18">
        <v>13.88</v>
      </c>
      <c r="AP442" s="14" t="s">
        <v>185</v>
      </c>
      <c r="AQ442" s="21" t="s">
        <v>166</v>
      </c>
      <c r="AR442" s="21" t="s">
        <v>166</v>
      </c>
      <c r="AS442" s="17">
        <v>30.99</v>
      </c>
      <c r="AT442" s="18">
        <v>4.8</v>
      </c>
      <c r="AU442" s="21" t="s">
        <v>186</v>
      </c>
      <c r="AV442" s="21" t="s">
        <v>166</v>
      </c>
      <c r="AW442" s="18">
        <v>0.9</v>
      </c>
      <c r="AX442" s="21" t="s">
        <v>166</v>
      </c>
      <c r="AY442" s="14" t="s">
        <v>217</v>
      </c>
      <c r="AZ442" s="14" t="s">
        <v>217</v>
      </c>
      <c r="BA442" s="14" t="s">
        <v>166</v>
      </c>
      <c r="BB442" s="21" t="s">
        <v>166</v>
      </c>
      <c r="BC442" s="14" t="s">
        <v>179</v>
      </c>
      <c r="BD442" s="14" t="s">
        <v>8667</v>
      </c>
      <c r="BE442" s="14" t="s">
        <v>189</v>
      </c>
      <c r="BF442" s="18">
        <v>4.3</v>
      </c>
      <c r="BG442" s="14" t="s">
        <v>190</v>
      </c>
      <c r="BH442" s="14" t="s">
        <v>166</v>
      </c>
      <c r="BI442" s="14" t="s">
        <v>166</v>
      </c>
      <c r="BJ442" s="18" t="s">
        <v>166</v>
      </c>
      <c r="BK442" s="18" t="s">
        <v>166</v>
      </c>
      <c r="BL442" s="14" t="s">
        <v>191</v>
      </c>
      <c r="BM442" s="14" t="s">
        <v>178</v>
      </c>
      <c r="BN442" s="14" t="s">
        <v>177</v>
      </c>
      <c r="BO442" s="22" t="s">
        <v>166</v>
      </c>
      <c r="BP442" s="14" t="s">
        <v>8668</v>
      </c>
      <c r="BQ442" s="21">
        <v>9</v>
      </c>
      <c r="BR442" s="14" t="s">
        <v>166</v>
      </c>
      <c r="BS442" s="21" t="s">
        <v>166</v>
      </c>
      <c r="BT442" s="14" t="s">
        <v>8669</v>
      </c>
      <c r="BU442" s="14" t="s">
        <v>166</v>
      </c>
      <c r="BV442" s="14" t="s">
        <v>8670</v>
      </c>
      <c r="BW442" s="14" t="s">
        <v>166</v>
      </c>
      <c r="BX442" s="14" t="s">
        <v>166</v>
      </c>
      <c r="BY442" s="14" t="s">
        <v>166</v>
      </c>
      <c r="BZ442" s="14" t="s">
        <v>166</v>
      </c>
      <c r="CA442" s="14" t="s">
        <v>166</v>
      </c>
      <c r="CB442" s="14" t="s">
        <v>166</v>
      </c>
      <c r="CC442" s="14" t="s">
        <v>166</v>
      </c>
      <c r="CD442" s="14" t="s">
        <v>166</v>
      </c>
      <c r="CE442" s="18" t="s">
        <v>166</v>
      </c>
      <c r="CF442" s="16" t="s">
        <v>166</v>
      </c>
      <c r="CG442" s="17" t="s">
        <v>166</v>
      </c>
      <c r="CH442" s="16" t="s">
        <v>166</v>
      </c>
      <c r="CI442" s="16" t="s">
        <v>166</v>
      </c>
      <c r="CJ442" s="16" t="s">
        <v>166</v>
      </c>
      <c r="CK442" s="16" t="s">
        <v>166</v>
      </c>
      <c r="CL442" s="16" t="s">
        <v>166</v>
      </c>
      <c r="CM442" s="20" t="s">
        <v>166</v>
      </c>
      <c r="CN442" s="16" t="s">
        <v>166</v>
      </c>
      <c r="CO442" s="16" t="s">
        <v>166</v>
      </c>
      <c r="CP442" s="16" t="s">
        <v>166</v>
      </c>
      <c r="CQ442" s="16" t="s">
        <v>166</v>
      </c>
      <c r="CR442" s="16" t="s">
        <v>166</v>
      </c>
      <c r="CS442" s="16" t="s">
        <v>166</v>
      </c>
      <c r="CT442" s="16" t="s">
        <v>166</v>
      </c>
      <c r="CU442" s="16" t="s">
        <v>166</v>
      </c>
      <c r="CV442" s="16" t="s">
        <v>166</v>
      </c>
      <c r="CW442" s="16" t="s">
        <v>166</v>
      </c>
      <c r="CX442" s="16" t="s">
        <v>166</v>
      </c>
      <c r="CY442" s="16" t="s">
        <v>166</v>
      </c>
      <c r="CZ442" s="16" t="s">
        <v>166</v>
      </c>
      <c r="DA442" s="16" t="s">
        <v>166</v>
      </c>
      <c r="DB442" s="16" t="s">
        <v>166</v>
      </c>
      <c r="DC442" s="16" t="s">
        <v>166</v>
      </c>
      <c r="DD442" s="16" t="s">
        <v>166</v>
      </c>
      <c r="DE442" s="17" t="s">
        <v>166</v>
      </c>
      <c r="DF442" s="22">
        <v>3</v>
      </c>
      <c r="DG442" s="14" t="s">
        <v>673</v>
      </c>
      <c r="DH442" s="14" t="s">
        <v>193</v>
      </c>
      <c r="DI442" s="14" t="s">
        <v>194</v>
      </c>
      <c r="DJ442" s="14" t="s">
        <v>674</v>
      </c>
      <c r="DK442" s="14" t="s">
        <v>257</v>
      </c>
      <c r="DL442" s="21" t="s">
        <v>791</v>
      </c>
      <c r="DM442" s="14" t="s">
        <v>198</v>
      </c>
      <c r="DN442" s="13" t="s">
        <v>8671</v>
      </c>
      <c r="DO442" s="20">
        <v>2023</v>
      </c>
      <c r="DP442" s="14" t="s">
        <v>166</v>
      </c>
      <c r="DQ442" s="14" t="s">
        <v>166</v>
      </c>
      <c r="DR442" s="18" t="s">
        <v>166</v>
      </c>
      <c r="DS442" s="16" t="s">
        <v>166</v>
      </c>
      <c r="DT442" s="19" t="s">
        <v>166</v>
      </c>
      <c r="DU442" s="14" t="s">
        <v>166</v>
      </c>
      <c r="DV442" s="18" t="s">
        <v>166</v>
      </c>
      <c r="DW442" s="18" t="s">
        <v>166</v>
      </c>
      <c r="DX442" s="16" t="s">
        <v>166</v>
      </c>
      <c r="DY442" s="16" t="s">
        <v>166</v>
      </c>
      <c r="DZ442" s="17" t="s">
        <v>166</v>
      </c>
      <c r="EA442" s="16" t="s">
        <v>166</v>
      </c>
      <c r="EB442" s="16" t="s">
        <v>166</v>
      </c>
      <c r="EC442" s="16" t="s">
        <v>166</v>
      </c>
      <c r="ED442" s="17" t="s">
        <v>166</v>
      </c>
      <c r="EE442" s="17" t="s">
        <v>166</v>
      </c>
      <c r="EF442" s="17" t="s">
        <v>166</v>
      </c>
      <c r="EG442" s="17" t="s">
        <v>166</v>
      </c>
      <c r="EH442" s="16" t="s">
        <v>166</v>
      </c>
      <c r="EI442" s="16" t="s">
        <v>166</v>
      </c>
      <c r="EJ442" s="16" t="s">
        <v>166</v>
      </c>
      <c r="EK442" s="16" t="s">
        <v>166</v>
      </c>
      <c r="EL442" s="16" t="s">
        <v>166</v>
      </c>
      <c r="EM442" s="16" t="s">
        <v>166</v>
      </c>
      <c r="EN442" s="16" t="s">
        <v>166</v>
      </c>
      <c r="EO442" s="16" t="s">
        <v>166</v>
      </c>
      <c r="EP442" s="16" t="s">
        <v>166</v>
      </c>
      <c r="EQ442" s="16" t="s">
        <v>166</v>
      </c>
      <c r="ER442" s="16" t="s">
        <v>166</v>
      </c>
      <c r="ES442" s="16" t="s">
        <v>166</v>
      </c>
      <c r="ET442" s="14" t="s">
        <v>166</v>
      </c>
      <c r="EU442" s="16" t="s">
        <v>166</v>
      </c>
      <c r="EV442" s="16" t="s">
        <v>166</v>
      </c>
      <c r="EW442" s="16" t="s">
        <v>166</v>
      </c>
      <c r="EX442" s="14" t="s">
        <v>190</v>
      </c>
      <c r="EY442" s="14" t="s">
        <v>166</v>
      </c>
      <c r="EZ442" s="16" t="s">
        <v>166</v>
      </c>
      <c r="FA442" s="15" t="s">
        <v>166</v>
      </c>
      <c r="FB442" s="15" t="s">
        <v>166</v>
      </c>
      <c r="FC442" s="15" t="s">
        <v>166</v>
      </c>
      <c r="FD442" s="15" t="s">
        <v>166</v>
      </c>
      <c r="FE442" s="15" t="s">
        <v>166</v>
      </c>
      <c r="FF442" s="15" t="s">
        <v>166</v>
      </c>
      <c r="FG442" s="14" t="s">
        <v>166</v>
      </c>
      <c r="FH442" s="3">
        <f>HYPERLINK("https://my.pitchbook.com?c=247156-48T","View Company Online")</f>
      </c>
    </row>
    <row r="443">
      <c r="A443" s="25" t="s">
        <v>8672</v>
      </c>
      <c r="B443" s="25" t="s">
        <v>8673</v>
      </c>
      <c r="C443" s="25" t="s">
        <v>8674</v>
      </c>
      <c r="D443" s="25" t="s">
        <v>166</v>
      </c>
      <c r="E443" s="34" t="s">
        <v>8675</v>
      </c>
      <c r="F443" s="32">
        <v>6</v>
      </c>
      <c r="G443" s="25" t="s">
        <v>8676</v>
      </c>
      <c r="H443" s="25" t="s">
        <v>166</v>
      </c>
      <c r="I443" s="25" t="s">
        <v>8677</v>
      </c>
      <c r="J443" s="25" t="s">
        <v>8678</v>
      </c>
      <c r="K443" s="25" t="s">
        <v>207</v>
      </c>
      <c r="L443" s="25" t="s">
        <v>208</v>
      </c>
      <c r="M443" s="25" t="s">
        <v>209</v>
      </c>
      <c r="N443" s="25" t="s">
        <v>269</v>
      </c>
      <c r="O443" s="25" t="s">
        <v>665</v>
      </c>
      <c r="P443" s="25" t="s">
        <v>8679</v>
      </c>
      <c r="Q443" s="25" t="s">
        <v>166</v>
      </c>
      <c r="R443" s="25" t="s">
        <v>177</v>
      </c>
      <c r="S443" s="25" t="s">
        <v>178</v>
      </c>
      <c r="T443" s="25" t="s">
        <v>179</v>
      </c>
      <c r="U443" s="25" t="s">
        <v>8680</v>
      </c>
      <c r="V443" s="25" t="s">
        <v>8681</v>
      </c>
      <c r="W443" s="32" t="s">
        <v>8682</v>
      </c>
      <c r="X443" s="25" t="s">
        <v>8683</v>
      </c>
      <c r="Y443" s="25" t="s">
        <v>8684</v>
      </c>
      <c r="Z443" s="25" t="s">
        <v>166</v>
      </c>
      <c r="AA443" s="25" t="s">
        <v>166</v>
      </c>
      <c r="AB443" s="25" t="s">
        <v>166</v>
      </c>
      <c r="AC443" s="25" t="s">
        <v>166</v>
      </c>
      <c r="AD443" s="25" t="s">
        <v>166</v>
      </c>
      <c r="AE443" s="25" t="s">
        <v>166</v>
      </c>
      <c r="AF443" s="25" t="s">
        <v>166</v>
      </c>
      <c r="AG443" s="25" t="s">
        <v>166</v>
      </c>
      <c r="AH443" s="32">
        <v>1</v>
      </c>
      <c r="AI443" s="4">
        <f>HYPERLINK("https://my.pitchbook.com/?d=199778-59T","199778-59T")</f>
      </c>
      <c r="AJ443" s="30" t="s">
        <v>166</v>
      </c>
      <c r="AK443" s="30">
        <v>44571</v>
      </c>
      <c r="AL443" s="29">
        <v>2.6</v>
      </c>
      <c r="AM443" s="25" t="s">
        <v>185</v>
      </c>
      <c r="AN443" s="29" t="s">
        <v>166</v>
      </c>
      <c r="AO443" s="29" t="s">
        <v>166</v>
      </c>
      <c r="AP443" s="25" t="s">
        <v>166</v>
      </c>
      <c r="AQ443" s="32" t="s">
        <v>166</v>
      </c>
      <c r="AR443" s="32" t="s">
        <v>166</v>
      </c>
      <c r="AS443" s="28" t="s">
        <v>166</v>
      </c>
      <c r="AT443" s="29">
        <v>2.6</v>
      </c>
      <c r="AU443" s="32" t="s">
        <v>186</v>
      </c>
      <c r="AV443" s="32" t="s">
        <v>166</v>
      </c>
      <c r="AW443" s="29" t="s">
        <v>166</v>
      </c>
      <c r="AX443" s="32" t="s">
        <v>166</v>
      </c>
      <c r="AY443" s="25" t="s">
        <v>217</v>
      </c>
      <c r="AZ443" s="25" t="s">
        <v>217</v>
      </c>
      <c r="BA443" s="25" t="s">
        <v>166</v>
      </c>
      <c r="BB443" s="32" t="s">
        <v>166</v>
      </c>
      <c r="BC443" s="25" t="s">
        <v>179</v>
      </c>
      <c r="BD443" s="25" t="s">
        <v>8685</v>
      </c>
      <c r="BE443" s="25" t="s">
        <v>189</v>
      </c>
      <c r="BF443" s="29">
        <v>2.6</v>
      </c>
      <c r="BG443" s="25" t="s">
        <v>190</v>
      </c>
      <c r="BH443" s="25" t="s">
        <v>166</v>
      </c>
      <c r="BI443" s="25" t="s">
        <v>166</v>
      </c>
      <c r="BJ443" s="29" t="s">
        <v>166</v>
      </c>
      <c r="BK443" s="29" t="s">
        <v>166</v>
      </c>
      <c r="BL443" s="25" t="s">
        <v>191</v>
      </c>
      <c r="BM443" s="25" t="s">
        <v>178</v>
      </c>
      <c r="BN443" s="25" t="s">
        <v>177</v>
      </c>
      <c r="BO443" s="33" t="s">
        <v>166</v>
      </c>
      <c r="BP443" s="25" t="s">
        <v>8686</v>
      </c>
      <c r="BQ443" s="32">
        <v>6</v>
      </c>
      <c r="BR443" s="25" t="s">
        <v>166</v>
      </c>
      <c r="BS443" s="32" t="s">
        <v>166</v>
      </c>
      <c r="BT443" s="25" t="s">
        <v>166</v>
      </c>
      <c r="BU443" s="25" t="s">
        <v>166</v>
      </c>
      <c r="BV443" s="25" t="s">
        <v>8687</v>
      </c>
      <c r="BW443" s="25" t="s">
        <v>166</v>
      </c>
      <c r="BX443" s="25" t="s">
        <v>166</v>
      </c>
      <c r="BY443" s="25" t="s">
        <v>166</v>
      </c>
      <c r="BZ443" s="25" t="s">
        <v>166</v>
      </c>
      <c r="CA443" s="25" t="s">
        <v>166</v>
      </c>
      <c r="CB443" s="25" t="s">
        <v>166</v>
      </c>
      <c r="CC443" s="25" t="s">
        <v>166</v>
      </c>
      <c r="CD443" s="25" t="s">
        <v>166</v>
      </c>
      <c r="CE443" s="29" t="s">
        <v>166</v>
      </c>
      <c r="CF443" s="27" t="s">
        <v>166</v>
      </c>
      <c r="CG443" s="28" t="s">
        <v>166</v>
      </c>
      <c r="CH443" s="27" t="s">
        <v>166</v>
      </c>
      <c r="CI443" s="27" t="s">
        <v>166</v>
      </c>
      <c r="CJ443" s="27" t="s">
        <v>166</v>
      </c>
      <c r="CK443" s="27" t="s">
        <v>166</v>
      </c>
      <c r="CL443" s="27" t="s">
        <v>166</v>
      </c>
      <c r="CM443" s="31" t="s">
        <v>166</v>
      </c>
      <c r="CN443" s="27" t="s">
        <v>166</v>
      </c>
      <c r="CO443" s="27" t="s">
        <v>166</v>
      </c>
      <c r="CP443" s="27" t="s">
        <v>166</v>
      </c>
      <c r="CQ443" s="27" t="s">
        <v>166</v>
      </c>
      <c r="CR443" s="27" t="s">
        <v>166</v>
      </c>
      <c r="CS443" s="27" t="s">
        <v>166</v>
      </c>
      <c r="CT443" s="27" t="s">
        <v>166</v>
      </c>
      <c r="CU443" s="27" t="s">
        <v>166</v>
      </c>
      <c r="CV443" s="27" t="s">
        <v>166</v>
      </c>
      <c r="CW443" s="27" t="s">
        <v>166</v>
      </c>
      <c r="CX443" s="27" t="s">
        <v>166</v>
      </c>
      <c r="CY443" s="27" t="s">
        <v>166</v>
      </c>
      <c r="CZ443" s="27" t="s">
        <v>166</v>
      </c>
      <c r="DA443" s="27" t="s">
        <v>166</v>
      </c>
      <c r="DB443" s="27" t="s">
        <v>166</v>
      </c>
      <c r="DC443" s="27" t="s">
        <v>166</v>
      </c>
      <c r="DD443" s="27" t="s">
        <v>166</v>
      </c>
      <c r="DE443" s="28" t="s">
        <v>166</v>
      </c>
      <c r="DF443" s="33">
        <v>15</v>
      </c>
      <c r="DG443" s="25" t="s">
        <v>1191</v>
      </c>
      <c r="DH443" s="25" t="s">
        <v>193</v>
      </c>
      <c r="DI443" s="25" t="s">
        <v>194</v>
      </c>
      <c r="DJ443" s="25" t="s">
        <v>1192</v>
      </c>
      <c r="DK443" s="25" t="s">
        <v>1023</v>
      </c>
      <c r="DL443" s="32" t="s">
        <v>8688</v>
      </c>
      <c r="DM443" s="25" t="s">
        <v>198</v>
      </c>
      <c r="DN443" s="24" t="s">
        <v>8689</v>
      </c>
      <c r="DO443" s="31">
        <v>2021</v>
      </c>
      <c r="DP443" s="25" t="s">
        <v>166</v>
      </c>
      <c r="DQ443" s="25" t="s">
        <v>166</v>
      </c>
      <c r="DR443" s="29" t="s">
        <v>166</v>
      </c>
      <c r="DS443" s="27" t="s">
        <v>166</v>
      </c>
      <c r="DT443" s="30" t="s">
        <v>166</v>
      </c>
      <c r="DU443" s="25" t="s">
        <v>166</v>
      </c>
      <c r="DV443" s="29" t="s">
        <v>166</v>
      </c>
      <c r="DW443" s="29" t="s">
        <v>166</v>
      </c>
      <c r="DX443" s="27" t="s">
        <v>166</v>
      </c>
      <c r="DY443" s="27" t="s">
        <v>166</v>
      </c>
      <c r="DZ443" s="28" t="s">
        <v>166</v>
      </c>
      <c r="EA443" s="27" t="s">
        <v>166</v>
      </c>
      <c r="EB443" s="27" t="s">
        <v>166</v>
      </c>
      <c r="EC443" s="27" t="s">
        <v>166</v>
      </c>
      <c r="ED443" s="28" t="s">
        <v>166</v>
      </c>
      <c r="EE443" s="28" t="s">
        <v>166</v>
      </c>
      <c r="EF443" s="28" t="s">
        <v>166</v>
      </c>
      <c r="EG443" s="28" t="s">
        <v>166</v>
      </c>
      <c r="EH443" s="27" t="s">
        <v>166</v>
      </c>
      <c r="EI443" s="27" t="s">
        <v>166</v>
      </c>
      <c r="EJ443" s="27" t="s">
        <v>166</v>
      </c>
      <c r="EK443" s="27" t="s">
        <v>166</v>
      </c>
      <c r="EL443" s="27" t="s">
        <v>166</v>
      </c>
      <c r="EM443" s="27" t="s">
        <v>166</v>
      </c>
      <c r="EN443" s="27" t="s">
        <v>166</v>
      </c>
      <c r="EO443" s="27" t="s">
        <v>166</v>
      </c>
      <c r="EP443" s="27" t="s">
        <v>166</v>
      </c>
      <c r="EQ443" s="27" t="s">
        <v>166</v>
      </c>
      <c r="ER443" s="27" t="s">
        <v>166</v>
      </c>
      <c r="ES443" s="27" t="s">
        <v>166</v>
      </c>
      <c r="ET443" s="25" t="s">
        <v>166</v>
      </c>
      <c r="EU443" s="27" t="s">
        <v>166</v>
      </c>
      <c r="EV443" s="27" t="s">
        <v>166</v>
      </c>
      <c r="EW443" s="27" t="s">
        <v>166</v>
      </c>
      <c r="EX443" s="25" t="s">
        <v>190</v>
      </c>
      <c r="EY443" s="25" t="s">
        <v>166</v>
      </c>
      <c r="EZ443" s="27" t="s">
        <v>166</v>
      </c>
      <c r="FA443" s="26" t="s">
        <v>166</v>
      </c>
      <c r="FB443" s="26" t="s">
        <v>166</v>
      </c>
      <c r="FC443" s="26" t="s">
        <v>166</v>
      </c>
      <c r="FD443" s="26" t="s">
        <v>166</v>
      </c>
      <c r="FE443" s="26" t="s">
        <v>166</v>
      </c>
      <c r="FF443" s="26" t="s">
        <v>166</v>
      </c>
      <c r="FG443" s="25" t="s">
        <v>166</v>
      </c>
      <c r="FH443" s="4">
        <f>HYPERLINK("https://my.pitchbook.com?c=199778-59T","View Company Online")</f>
      </c>
    </row>
    <row r="444">
      <c r="A444" s="14" t="s">
        <v>8690</v>
      </c>
      <c r="B444" s="14" t="s">
        <v>8691</v>
      </c>
      <c r="C444" s="14" t="s">
        <v>8692</v>
      </c>
      <c r="D444" s="14" t="s">
        <v>166</v>
      </c>
      <c r="E444" s="23" t="s">
        <v>8693</v>
      </c>
      <c r="F444" s="21">
        <v>8</v>
      </c>
      <c r="G444" s="14" t="s">
        <v>8694</v>
      </c>
      <c r="H444" s="14" t="s">
        <v>166</v>
      </c>
      <c r="I444" s="14" t="s">
        <v>8695</v>
      </c>
      <c r="J444" s="14" t="s">
        <v>8696</v>
      </c>
      <c r="K444" s="14" t="s">
        <v>207</v>
      </c>
      <c r="L444" s="14" t="s">
        <v>208</v>
      </c>
      <c r="M444" s="14" t="s">
        <v>296</v>
      </c>
      <c r="N444" s="14" t="s">
        <v>1666</v>
      </c>
      <c r="O444" s="14" t="s">
        <v>325</v>
      </c>
      <c r="P444" s="14" t="s">
        <v>8697</v>
      </c>
      <c r="Q444" s="14" t="s">
        <v>166</v>
      </c>
      <c r="R444" s="14" t="s">
        <v>177</v>
      </c>
      <c r="S444" s="14" t="s">
        <v>178</v>
      </c>
      <c r="T444" s="14" t="s">
        <v>179</v>
      </c>
      <c r="U444" s="14" t="s">
        <v>8698</v>
      </c>
      <c r="V444" s="14" t="s">
        <v>8699</v>
      </c>
      <c r="W444" s="21" t="s">
        <v>166</v>
      </c>
      <c r="X444" s="14" t="s">
        <v>8700</v>
      </c>
      <c r="Y444" s="14" t="s">
        <v>8701</v>
      </c>
      <c r="Z444" s="14" t="s">
        <v>8702</v>
      </c>
      <c r="AA444" s="14" t="s">
        <v>242</v>
      </c>
      <c r="AB444" s="14" t="s">
        <v>243</v>
      </c>
      <c r="AC444" s="14" t="s">
        <v>244</v>
      </c>
      <c r="AD444" s="14" t="s">
        <v>243</v>
      </c>
      <c r="AE444" s="14" t="s">
        <v>243</v>
      </c>
      <c r="AF444" s="14" t="s">
        <v>166</v>
      </c>
      <c r="AG444" s="14" t="s">
        <v>246</v>
      </c>
      <c r="AH444" s="21">
        <v>1</v>
      </c>
      <c r="AI444" s="3">
        <f>HYPERLINK("https://my.pitchbook.com/?d=168096-25T","168096-25T")</f>
      </c>
      <c r="AJ444" s="19" t="s">
        <v>166</v>
      </c>
      <c r="AK444" s="19">
        <v>44263</v>
      </c>
      <c r="AL444" s="18">
        <v>2.5</v>
      </c>
      <c r="AM444" s="14" t="s">
        <v>185</v>
      </c>
      <c r="AN444" s="18">
        <v>12.5</v>
      </c>
      <c r="AO444" s="18">
        <v>15</v>
      </c>
      <c r="AP444" s="14" t="s">
        <v>185</v>
      </c>
      <c r="AQ444" s="21" t="s">
        <v>166</v>
      </c>
      <c r="AR444" s="21" t="s">
        <v>166</v>
      </c>
      <c r="AS444" s="17" t="s">
        <v>166</v>
      </c>
      <c r="AT444" s="18">
        <v>2.5</v>
      </c>
      <c r="AU444" s="21" t="s">
        <v>186</v>
      </c>
      <c r="AV444" s="21" t="s">
        <v>166</v>
      </c>
      <c r="AW444" s="18">
        <v>2.35</v>
      </c>
      <c r="AX444" s="21" t="s">
        <v>166</v>
      </c>
      <c r="AY444" s="14" t="s">
        <v>217</v>
      </c>
      <c r="AZ444" s="14" t="s">
        <v>217</v>
      </c>
      <c r="BA444" s="14" t="s">
        <v>166</v>
      </c>
      <c r="BB444" s="21" t="s">
        <v>166</v>
      </c>
      <c r="BC444" s="14" t="s">
        <v>179</v>
      </c>
      <c r="BD444" s="14" t="s">
        <v>8703</v>
      </c>
      <c r="BE444" s="14" t="s">
        <v>189</v>
      </c>
      <c r="BF444" s="18">
        <v>2.5</v>
      </c>
      <c r="BG444" s="14" t="s">
        <v>190</v>
      </c>
      <c r="BH444" s="14" t="s">
        <v>166</v>
      </c>
      <c r="BI444" s="14" t="s">
        <v>166</v>
      </c>
      <c r="BJ444" s="18" t="s">
        <v>166</v>
      </c>
      <c r="BK444" s="18" t="s">
        <v>166</v>
      </c>
      <c r="BL444" s="14" t="s">
        <v>191</v>
      </c>
      <c r="BM444" s="14" t="s">
        <v>178</v>
      </c>
      <c r="BN444" s="14" t="s">
        <v>177</v>
      </c>
      <c r="BO444" s="22" t="s">
        <v>166</v>
      </c>
      <c r="BP444" s="14" t="s">
        <v>8704</v>
      </c>
      <c r="BQ444" s="21">
        <v>8</v>
      </c>
      <c r="BR444" s="14" t="s">
        <v>166</v>
      </c>
      <c r="BS444" s="21" t="s">
        <v>166</v>
      </c>
      <c r="BT444" s="14" t="s">
        <v>8705</v>
      </c>
      <c r="BU444" s="14" t="s">
        <v>166</v>
      </c>
      <c r="BV444" s="14" t="s">
        <v>8706</v>
      </c>
      <c r="BW444" s="14" t="s">
        <v>166</v>
      </c>
      <c r="BX444" s="14" t="s">
        <v>166</v>
      </c>
      <c r="BY444" s="14" t="s">
        <v>166</v>
      </c>
      <c r="BZ444" s="14" t="s">
        <v>8707</v>
      </c>
      <c r="CA444" s="14" t="s">
        <v>8707</v>
      </c>
      <c r="CB444" s="14" t="s">
        <v>166</v>
      </c>
      <c r="CC444" s="14" t="s">
        <v>166</v>
      </c>
      <c r="CD444" s="14" t="s">
        <v>166</v>
      </c>
      <c r="CE444" s="18" t="s">
        <v>166</v>
      </c>
      <c r="CF444" s="16" t="s">
        <v>166</v>
      </c>
      <c r="CG444" s="17" t="s">
        <v>166</v>
      </c>
      <c r="CH444" s="16" t="s">
        <v>166</v>
      </c>
      <c r="CI444" s="16" t="s">
        <v>166</v>
      </c>
      <c r="CJ444" s="16" t="s">
        <v>166</v>
      </c>
      <c r="CK444" s="16" t="s">
        <v>166</v>
      </c>
      <c r="CL444" s="16" t="s">
        <v>166</v>
      </c>
      <c r="CM444" s="20" t="s">
        <v>166</v>
      </c>
      <c r="CN444" s="16" t="s">
        <v>166</v>
      </c>
      <c r="CO444" s="16" t="s">
        <v>166</v>
      </c>
      <c r="CP444" s="16" t="s">
        <v>166</v>
      </c>
      <c r="CQ444" s="16" t="s">
        <v>166</v>
      </c>
      <c r="CR444" s="16" t="s">
        <v>166</v>
      </c>
      <c r="CS444" s="16" t="s">
        <v>166</v>
      </c>
      <c r="CT444" s="16" t="s">
        <v>166</v>
      </c>
      <c r="CU444" s="16" t="s">
        <v>166</v>
      </c>
      <c r="CV444" s="16" t="s">
        <v>166</v>
      </c>
      <c r="CW444" s="16" t="s">
        <v>166</v>
      </c>
      <c r="CX444" s="16" t="s">
        <v>166</v>
      </c>
      <c r="CY444" s="16" t="s">
        <v>166</v>
      </c>
      <c r="CZ444" s="16" t="s">
        <v>166</v>
      </c>
      <c r="DA444" s="16" t="s">
        <v>166</v>
      </c>
      <c r="DB444" s="16" t="s">
        <v>166</v>
      </c>
      <c r="DC444" s="16" t="s">
        <v>166</v>
      </c>
      <c r="DD444" s="16" t="s">
        <v>166</v>
      </c>
      <c r="DE444" s="17" t="s">
        <v>166</v>
      </c>
      <c r="DF444" s="22">
        <v>21</v>
      </c>
      <c r="DG444" s="14" t="s">
        <v>309</v>
      </c>
      <c r="DH444" s="14" t="s">
        <v>193</v>
      </c>
      <c r="DI444" s="14" t="s">
        <v>194</v>
      </c>
      <c r="DJ444" s="14" t="s">
        <v>310</v>
      </c>
      <c r="DK444" s="14" t="s">
        <v>310</v>
      </c>
      <c r="DL444" s="21" t="s">
        <v>4265</v>
      </c>
      <c r="DM444" s="14" t="s">
        <v>198</v>
      </c>
      <c r="DN444" s="13" t="s">
        <v>8708</v>
      </c>
      <c r="DO444" s="20">
        <v>2020</v>
      </c>
      <c r="DP444" s="14" t="s">
        <v>166</v>
      </c>
      <c r="DQ444" s="14" t="s">
        <v>166</v>
      </c>
      <c r="DR444" s="18" t="s">
        <v>166</v>
      </c>
      <c r="DS444" s="16" t="s">
        <v>166</v>
      </c>
      <c r="DT444" s="19" t="s">
        <v>166</v>
      </c>
      <c r="DU444" s="14" t="s">
        <v>166</v>
      </c>
      <c r="DV444" s="18" t="s">
        <v>166</v>
      </c>
      <c r="DW444" s="18" t="s">
        <v>166</v>
      </c>
      <c r="DX444" s="16" t="s">
        <v>166</v>
      </c>
      <c r="DY444" s="16" t="s">
        <v>166</v>
      </c>
      <c r="DZ444" s="17" t="s">
        <v>166</v>
      </c>
      <c r="EA444" s="16" t="s">
        <v>166</v>
      </c>
      <c r="EB444" s="16" t="s">
        <v>166</v>
      </c>
      <c r="EC444" s="16" t="s">
        <v>166</v>
      </c>
      <c r="ED444" s="17" t="s">
        <v>166</v>
      </c>
      <c r="EE444" s="17" t="s">
        <v>166</v>
      </c>
      <c r="EF444" s="17" t="s">
        <v>166</v>
      </c>
      <c r="EG444" s="17" t="s">
        <v>166</v>
      </c>
      <c r="EH444" s="16" t="s">
        <v>166</v>
      </c>
      <c r="EI444" s="16" t="s">
        <v>166</v>
      </c>
      <c r="EJ444" s="16" t="s">
        <v>166</v>
      </c>
      <c r="EK444" s="16" t="s">
        <v>166</v>
      </c>
      <c r="EL444" s="16" t="s">
        <v>166</v>
      </c>
      <c r="EM444" s="16" t="s">
        <v>166</v>
      </c>
      <c r="EN444" s="16" t="s">
        <v>166</v>
      </c>
      <c r="EO444" s="16" t="s">
        <v>166</v>
      </c>
      <c r="EP444" s="16" t="s">
        <v>166</v>
      </c>
      <c r="EQ444" s="16" t="s">
        <v>166</v>
      </c>
      <c r="ER444" s="16" t="s">
        <v>166</v>
      </c>
      <c r="ES444" s="16" t="s">
        <v>166</v>
      </c>
      <c r="ET444" s="14" t="s">
        <v>166</v>
      </c>
      <c r="EU444" s="16" t="s">
        <v>166</v>
      </c>
      <c r="EV444" s="16" t="s">
        <v>166</v>
      </c>
      <c r="EW444" s="16" t="s">
        <v>166</v>
      </c>
      <c r="EX444" s="14" t="s">
        <v>190</v>
      </c>
      <c r="EY444" s="14" t="s">
        <v>166</v>
      </c>
      <c r="EZ444" s="16" t="s">
        <v>166</v>
      </c>
      <c r="FA444" s="15" t="s">
        <v>166</v>
      </c>
      <c r="FB444" s="15" t="s">
        <v>166</v>
      </c>
      <c r="FC444" s="15" t="s">
        <v>166</v>
      </c>
      <c r="FD444" s="15" t="s">
        <v>166</v>
      </c>
      <c r="FE444" s="15" t="s">
        <v>166</v>
      </c>
      <c r="FF444" s="15" t="s">
        <v>166</v>
      </c>
      <c r="FG444" s="14" t="s">
        <v>166</v>
      </c>
      <c r="FH444" s="3">
        <f>HYPERLINK("https://my.pitchbook.com?c=168096-25T","View Company Online")</f>
      </c>
    </row>
    <row r="445">
      <c r="A445" s="25" t="s">
        <v>8709</v>
      </c>
      <c r="B445" s="25" t="s">
        <v>8710</v>
      </c>
      <c r="C445" s="25" t="s">
        <v>8711</v>
      </c>
      <c r="D445" s="25" t="s">
        <v>166</v>
      </c>
      <c r="E445" s="34" t="s">
        <v>8712</v>
      </c>
      <c r="F445" s="32">
        <v>5</v>
      </c>
      <c r="G445" s="25" t="s">
        <v>8713</v>
      </c>
      <c r="H445" s="25" t="s">
        <v>166</v>
      </c>
      <c r="I445" s="25" t="s">
        <v>8714</v>
      </c>
      <c r="J445" s="25" t="s">
        <v>8715</v>
      </c>
      <c r="K445" s="25" t="s">
        <v>207</v>
      </c>
      <c r="L445" s="25" t="s">
        <v>208</v>
      </c>
      <c r="M445" s="25" t="s">
        <v>209</v>
      </c>
      <c r="N445" s="25" t="s">
        <v>396</v>
      </c>
      <c r="O445" s="25" t="s">
        <v>665</v>
      </c>
      <c r="P445" s="25" t="s">
        <v>8716</v>
      </c>
      <c r="Q445" s="25" t="s">
        <v>8717</v>
      </c>
      <c r="R445" s="25" t="s">
        <v>177</v>
      </c>
      <c r="S445" s="25" t="s">
        <v>178</v>
      </c>
      <c r="T445" s="25" t="s">
        <v>179</v>
      </c>
      <c r="U445" s="25" t="s">
        <v>8718</v>
      </c>
      <c r="V445" s="25" t="s">
        <v>8719</v>
      </c>
      <c r="W445" s="32" t="s">
        <v>8720</v>
      </c>
      <c r="X445" s="25" t="s">
        <v>8721</v>
      </c>
      <c r="Y445" s="25" t="s">
        <v>8722</v>
      </c>
      <c r="Z445" s="25" t="s">
        <v>166</v>
      </c>
      <c r="AA445" s="25" t="s">
        <v>166</v>
      </c>
      <c r="AB445" s="25" t="s">
        <v>166</v>
      </c>
      <c r="AC445" s="25" t="s">
        <v>166</v>
      </c>
      <c r="AD445" s="25" t="s">
        <v>166</v>
      </c>
      <c r="AE445" s="25" t="s">
        <v>166</v>
      </c>
      <c r="AF445" s="25" t="s">
        <v>166</v>
      </c>
      <c r="AG445" s="25" t="s">
        <v>166</v>
      </c>
      <c r="AH445" s="32">
        <v>2</v>
      </c>
      <c r="AI445" s="4">
        <f>HYPERLINK("https://my.pitchbook.com/?d=228849-94T","228849-94T")</f>
      </c>
      <c r="AJ445" s="30" t="s">
        <v>166</v>
      </c>
      <c r="AK445" s="30">
        <v>45055</v>
      </c>
      <c r="AL445" s="29">
        <v>3.1</v>
      </c>
      <c r="AM445" s="25" t="s">
        <v>185</v>
      </c>
      <c r="AN445" s="29" t="s">
        <v>166</v>
      </c>
      <c r="AO445" s="29" t="s">
        <v>166</v>
      </c>
      <c r="AP445" s="25" t="s">
        <v>166</v>
      </c>
      <c r="AQ445" s="32" t="s">
        <v>166</v>
      </c>
      <c r="AR445" s="32" t="s">
        <v>166</v>
      </c>
      <c r="AS445" s="28" t="s">
        <v>166</v>
      </c>
      <c r="AT445" s="29">
        <v>3.6</v>
      </c>
      <c r="AU445" s="32" t="s">
        <v>186</v>
      </c>
      <c r="AV445" s="32" t="s">
        <v>166</v>
      </c>
      <c r="AW445" s="29" t="s">
        <v>166</v>
      </c>
      <c r="AX445" s="32" t="s">
        <v>166</v>
      </c>
      <c r="AY445" s="25" t="s">
        <v>187</v>
      </c>
      <c r="AZ445" s="25" t="s">
        <v>166</v>
      </c>
      <c r="BA445" s="25" t="s">
        <v>166</v>
      </c>
      <c r="BB445" s="32" t="s">
        <v>166</v>
      </c>
      <c r="BC445" s="25" t="s">
        <v>179</v>
      </c>
      <c r="BD445" s="25" t="s">
        <v>8723</v>
      </c>
      <c r="BE445" s="25" t="s">
        <v>189</v>
      </c>
      <c r="BF445" s="29">
        <v>3.1</v>
      </c>
      <c r="BG445" s="25" t="s">
        <v>190</v>
      </c>
      <c r="BH445" s="25" t="s">
        <v>166</v>
      </c>
      <c r="BI445" s="25" t="s">
        <v>166</v>
      </c>
      <c r="BJ445" s="29" t="s">
        <v>166</v>
      </c>
      <c r="BK445" s="29" t="s">
        <v>166</v>
      </c>
      <c r="BL445" s="25" t="s">
        <v>191</v>
      </c>
      <c r="BM445" s="25" t="s">
        <v>178</v>
      </c>
      <c r="BN445" s="25" t="s">
        <v>177</v>
      </c>
      <c r="BO445" s="33" t="s">
        <v>166</v>
      </c>
      <c r="BP445" s="25" t="s">
        <v>8724</v>
      </c>
      <c r="BQ445" s="32">
        <v>4</v>
      </c>
      <c r="BR445" s="25" t="s">
        <v>914</v>
      </c>
      <c r="BS445" s="32">
        <v>1</v>
      </c>
      <c r="BT445" s="25" t="s">
        <v>166</v>
      </c>
      <c r="BU445" s="25" t="s">
        <v>166</v>
      </c>
      <c r="BV445" s="25" t="s">
        <v>8725</v>
      </c>
      <c r="BW445" s="25" t="s">
        <v>166</v>
      </c>
      <c r="BX445" s="25" t="s">
        <v>166</v>
      </c>
      <c r="BY445" s="25" t="s">
        <v>166</v>
      </c>
      <c r="BZ445" s="25" t="s">
        <v>166</v>
      </c>
      <c r="CA445" s="25" t="s">
        <v>166</v>
      </c>
      <c r="CB445" s="25" t="s">
        <v>166</v>
      </c>
      <c r="CC445" s="25" t="s">
        <v>166</v>
      </c>
      <c r="CD445" s="25" t="s">
        <v>166</v>
      </c>
      <c r="CE445" s="29" t="s">
        <v>166</v>
      </c>
      <c r="CF445" s="27" t="s">
        <v>166</v>
      </c>
      <c r="CG445" s="28" t="s">
        <v>166</v>
      </c>
      <c r="CH445" s="27" t="s">
        <v>166</v>
      </c>
      <c r="CI445" s="27" t="s">
        <v>166</v>
      </c>
      <c r="CJ445" s="27" t="s">
        <v>166</v>
      </c>
      <c r="CK445" s="27" t="s">
        <v>166</v>
      </c>
      <c r="CL445" s="27" t="s">
        <v>166</v>
      </c>
      <c r="CM445" s="31" t="s">
        <v>166</v>
      </c>
      <c r="CN445" s="27" t="s">
        <v>166</v>
      </c>
      <c r="CO445" s="27" t="s">
        <v>166</v>
      </c>
      <c r="CP445" s="27" t="s">
        <v>166</v>
      </c>
      <c r="CQ445" s="27" t="s">
        <v>166</v>
      </c>
      <c r="CR445" s="27" t="s">
        <v>166</v>
      </c>
      <c r="CS445" s="27" t="s">
        <v>166</v>
      </c>
      <c r="CT445" s="27" t="s">
        <v>166</v>
      </c>
      <c r="CU445" s="27" t="s">
        <v>166</v>
      </c>
      <c r="CV445" s="27" t="s">
        <v>166</v>
      </c>
      <c r="CW445" s="27" t="s">
        <v>166</v>
      </c>
      <c r="CX445" s="27" t="s">
        <v>166</v>
      </c>
      <c r="CY445" s="27" t="s">
        <v>166</v>
      </c>
      <c r="CZ445" s="27" t="s">
        <v>166</v>
      </c>
      <c r="DA445" s="27" t="s">
        <v>166</v>
      </c>
      <c r="DB445" s="27" t="s">
        <v>166</v>
      </c>
      <c r="DC445" s="27" t="s">
        <v>166</v>
      </c>
      <c r="DD445" s="27" t="s">
        <v>166</v>
      </c>
      <c r="DE445" s="28" t="s">
        <v>166</v>
      </c>
      <c r="DF445" s="33">
        <v>6</v>
      </c>
      <c r="DG445" s="25" t="s">
        <v>673</v>
      </c>
      <c r="DH445" s="25" t="s">
        <v>193</v>
      </c>
      <c r="DI445" s="25" t="s">
        <v>194</v>
      </c>
      <c r="DJ445" s="25" t="s">
        <v>674</v>
      </c>
      <c r="DK445" s="25" t="s">
        <v>257</v>
      </c>
      <c r="DL445" s="32" t="s">
        <v>1794</v>
      </c>
      <c r="DM445" s="25" t="s">
        <v>198</v>
      </c>
      <c r="DN445" s="24" t="s">
        <v>8726</v>
      </c>
      <c r="DO445" s="31">
        <v>2022</v>
      </c>
      <c r="DP445" s="25" t="s">
        <v>166</v>
      </c>
      <c r="DQ445" s="25" t="s">
        <v>166</v>
      </c>
      <c r="DR445" s="29" t="s">
        <v>166</v>
      </c>
      <c r="DS445" s="27" t="s">
        <v>166</v>
      </c>
      <c r="DT445" s="30" t="s">
        <v>166</v>
      </c>
      <c r="DU445" s="25" t="s">
        <v>166</v>
      </c>
      <c r="DV445" s="29" t="s">
        <v>166</v>
      </c>
      <c r="DW445" s="29" t="s">
        <v>166</v>
      </c>
      <c r="DX445" s="27" t="s">
        <v>166</v>
      </c>
      <c r="DY445" s="27" t="s">
        <v>166</v>
      </c>
      <c r="DZ445" s="28" t="s">
        <v>166</v>
      </c>
      <c r="EA445" s="27" t="s">
        <v>166</v>
      </c>
      <c r="EB445" s="27" t="s">
        <v>166</v>
      </c>
      <c r="EC445" s="27" t="s">
        <v>166</v>
      </c>
      <c r="ED445" s="28" t="s">
        <v>166</v>
      </c>
      <c r="EE445" s="28" t="s">
        <v>166</v>
      </c>
      <c r="EF445" s="28" t="s">
        <v>166</v>
      </c>
      <c r="EG445" s="28" t="s">
        <v>166</v>
      </c>
      <c r="EH445" s="27" t="s">
        <v>166</v>
      </c>
      <c r="EI445" s="27" t="s">
        <v>166</v>
      </c>
      <c r="EJ445" s="27" t="s">
        <v>166</v>
      </c>
      <c r="EK445" s="27" t="s">
        <v>166</v>
      </c>
      <c r="EL445" s="27" t="s">
        <v>166</v>
      </c>
      <c r="EM445" s="27" t="s">
        <v>166</v>
      </c>
      <c r="EN445" s="27" t="s">
        <v>166</v>
      </c>
      <c r="EO445" s="27" t="s">
        <v>166</v>
      </c>
      <c r="EP445" s="27" t="s">
        <v>166</v>
      </c>
      <c r="EQ445" s="27" t="s">
        <v>166</v>
      </c>
      <c r="ER445" s="27" t="s">
        <v>166</v>
      </c>
      <c r="ES445" s="27" t="s">
        <v>166</v>
      </c>
      <c r="ET445" s="25" t="s">
        <v>166</v>
      </c>
      <c r="EU445" s="27" t="s">
        <v>166</v>
      </c>
      <c r="EV445" s="27" t="s">
        <v>166</v>
      </c>
      <c r="EW445" s="27" t="s">
        <v>166</v>
      </c>
      <c r="EX445" s="25" t="s">
        <v>190</v>
      </c>
      <c r="EY445" s="25" t="s">
        <v>166</v>
      </c>
      <c r="EZ445" s="27" t="s">
        <v>166</v>
      </c>
      <c r="FA445" s="26" t="s">
        <v>166</v>
      </c>
      <c r="FB445" s="26" t="s">
        <v>166</v>
      </c>
      <c r="FC445" s="26" t="s">
        <v>166</v>
      </c>
      <c r="FD445" s="26" t="s">
        <v>166</v>
      </c>
      <c r="FE445" s="26" t="s">
        <v>166</v>
      </c>
      <c r="FF445" s="26" t="s">
        <v>166</v>
      </c>
      <c r="FG445" s="25" t="s">
        <v>166</v>
      </c>
      <c r="FH445" s="4">
        <f>HYPERLINK("https://my.pitchbook.com?c=228849-94T","View Company Online")</f>
      </c>
    </row>
    <row r="446">
      <c r="A446" s="14" t="s">
        <v>8727</v>
      </c>
      <c r="B446" s="14" t="s">
        <v>8728</v>
      </c>
      <c r="C446" s="14" t="s">
        <v>8729</v>
      </c>
      <c r="D446" s="14" t="s">
        <v>166</v>
      </c>
      <c r="E446" s="23" t="s">
        <v>8730</v>
      </c>
      <c r="F446" s="21">
        <v>15</v>
      </c>
      <c r="G446" s="14" t="s">
        <v>8731</v>
      </c>
      <c r="H446" s="14" t="s">
        <v>166</v>
      </c>
      <c r="I446" s="14" t="s">
        <v>8732</v>
      </c>
      <c r="J446" s="14" t="s">
        <v>8733</v>
      </c>
      <c r="K446" s="14" t="s">
        <v>1455</v>
      </c>
      <c r="L446" s="14" t="s">
        <v>1456</v>
      </c>
      <c r="M446" s="14" t="s">
        <v>3445</v>
      </c>
      <c r="N446" s="14" t="s">
        <v>3446</v>
      </c>
      <c r="O446" s="14" t="s">
        <v>8734</v>
      </c>
      <c r="P446" s="14" t="s">
        <v>8735</v>
      </c>
      <c r="Q446" s="14" t="s">
        <v>166</v>
      </c>
      <c r="R446" s="14" t="s">
        <v>177</v>
      </c>
      <c r="S446" s="14" t="s">
        <v>178</v>
      </c>
      <c r="T446" s="14" t="s">
        <v>179</v>
      </c>
      <c r="U446" s="14" t="s">
        <v>8736</v>
      </c>
      <c r="V446" s="14" t="s">
        <v>8737</v>
      </c>
      <c r="W446" s="21" t="s">
        <v>166</v>
      </c>
      <c r="X446" s="14" t="s">
        <v>8738</v>
      </c>
      <c r="Y446" s="14" t="s">
        <v>8739</v>
      </c>
      <c r="Z446" s="14" t="s">
        <v>166</v>
      </c>
      <c r="AA446" s="14" t="s">
        <v>242</v>
      </c>
      <c r="AB446" s="14" t="s">
        <v>243</v>
      </c>
      <c r="AC446" s="14" t="s">
        <v>244</v>
      </c>
      <c r="AD446" s="14" t="s">
        <v>243</v>
      </c>
      <c r="AE446" s="14" t="s">
        <v>243</v>
      </c>
      <c r="AF446" s="14" t="s">
        <v>166</v>
      </c>
      <c r="AG446" s="14" t="s">
        <v>246</v>
      </c>
      <c r="AH446" s="21">
        <v>1</v>
      </c>
      <c r="AI446" s="3">
        <f>HYPERLINK("https://my.pitchbook.com/?d=178764-76T","178764-76T")</f>
      </c>
      <c r="AJ446" s="19" t="s">
        <v>166</v>
      </c>
      <c r="AK446" s="19">
        <v>44431</v>
      </c>
      <c r="AL446" s="18">
        <v>8</v>
      </c>
      <c r="AM446" s="14" t="s">
        <v>185</v>
      </c>
      <c r="AN446" s="18">
        <v>16</v>
      </c>
      <c r="AO446" s="18">
        <v>23.52</v>
      </c>
      <c r="AP446" s="14" t="s">
        <v>185</v>
      </c>
      <c r="AQ446" s="21" t="s">
        <v>166</v>
      </c>
      <c r="AR446" s="21" t="s">
        <v>166</v>
      </c>
      <c r="AS446" s="17">
        <v>31.97</v>
      </c>
      <c r="AT446" s="18">
        <v>8</v>
      </c>
      <c r="AU446" s="21" t="s">
        <v>186</v>
      </c>
      <c r="AV446" s="21" t="s">
        <v>166</v>
      </c>
      <c r="AW446" s="18">
        <v>1.12</v>
      </c>
      <c r="AX446" s="21" t="s">
        <v>166</v>
      </c>
      <c r="AY446" s="14" t="s">
        <v>217</v>
      </c>
      <c r="AZ446" s="14" t="s">
        <v>217</v>
      </c>
      <c r="BA446" s="14" t="s">
        <v>166</v>
      </c>
      <c r="BB446" s="21" t="s">
        <v>166</v>
      </c>
      <c r="BC446" s="14" t="s">
        <v>179</v>
      </c>
      <c r="BD446" s="14" t="s">
        <v>8740</v>
      </c>
      <c r="BE446" s="14" t="s">
        <v>189</v>
      </c>
      <c r="BF446" s="18">
        <v>7.52</v>
      </c>
      <c r="BG446" s="14" t="s">
        <v>190</v>
      </c>
      <c r="BH446" s="14" t="s">
        <v>166</v>
      </c>
      <c r="BI446" s="14" t="s">
        <v>166</v>
      </c>
      <c r="BJ446" s="18">
        <v>0.48</v>
      </c>
      <c r="BK446" s="18" t="s">
        <v>166</v>
      </c>
      <c r="BL446" s="14" t="s">
        <v>191</v>
      </c>
      <c r="BM446" s="14" t="s">
        <v>178</v>
      </c>
      <c r="BN446" s="14" t="s">
        <v>177</v>
      </c>
      <c r="BO446" s="22" t="s">
        <v>166</v>
      </c>
      <c r="BP446" s="14" t="s">
        <v>8741</v>
      </c>
      <c r="BQ446" s="21">
        <v>15</v>
      </c>
      <c r="BR446" s="14" t="s">
        <v>166</v>
      </c>
      <c r="BS446" s="21" t="s">
        <v>166</v>
      </c>
      <c r="BT446" s="14" t="s">
        <v>166</v>
      </c>
      <c r="BU446" s="14" t="s">
        <v>166</v>
      </c>
      <c r="BV446" s="14" t="s">
        <v>8742</v>
      </c>
      <c r="BW446" s="14" t="s">
        <v>166</v>
      </c>
      <c r="BX446" s="14" t="s">
        <v>166</v>
      </c>
      <c r="BY446" s="14" t="s">
        <v>166</v>
      </c>
      <c r="BZ446" s="14" t="s">
        <v>166</v>
      </c>
      <c r="CA446" s="14" t="s">
        <v>166</v>
      </c>
      <c r="CB446" s="14" t="s">
        <v>166</v>
      </c>
      <c r="CC446" s="14" t="s">
        <v>166</v>
      </c>
      <c r="CD446" s="14" t="s">
        <v>166</v>
      </c>
      <c r="CE446" s="18" t="s">
        <v>166</v>
      </c>
      <c r="CF446" s="16" t="s">
        <v>166</v>
      </c>
      <c r="CG446" s="17" t="s">
        <v>166</v>
      </c>
      <c r="CH446" s="16" t="s">
        <v>166</v>
      </c>
      <c r="CI446" s="16" t="s">
        <v>166</v>
      </c>
      <c r="CJ446" s="16" t="s">
        <v>166</v>
      </c>
      <c r="CK446" s="16" t="s">
        <v>166</v>
      </c>
      <c r="CL446" s="16" t="s">
        <v>166</v>
      </c>
      <c r="CM446" s="20" t="s">
        <v>166</v>
      </c>
      <c r="CN446" s="16" t="s">
        <v>166</v>
      </c>
      <c r="CO446" s="16" t="s">
        <v>166</v>
      </c>
      <c r="CP446" s="16" t="s">
        <v>166</v>
      </c>
      <c r="CQ446" s="16" t="s">
        <v>166</v>
      </c>
      <c r="CR446" s="16" t="s">
        <v>166</v>
      </c>
      <c r="CS446" s="16" t="s">
        <v>166</v>
      </c>
      <c r="CT446" s="16" t="s">
        <v>166</v>
      </c>
      <c r="CU446" s="16" t="s">
        <v>166</v>
      </c>
      <c r="CV446" s="16" t="s">
        <v>166</v>
      </c>
      <c r="CW446" s="16" t="s">
        <v>166</v>
      </c>
      <c r="CX446" s="16" t="s">
        <v>166</v>
      </c>
      <c r="CY446" s="16">
        <v>0.06</v>
      </c>
      <c r="CZ446" s="16" t="s">
        <v>166</v>
      </c>
      <c r="DA446" s="16" t="s">
        <v>166</v>
      </c>
      <c r="DB446" s="16" t="s">
        <v>166</v>
      </c>
      <c r="DC446" s="16" t="s">
        <v>166</v>
      </c>
      <c r="DD446" s="16" t="s">
        <v>166</v>
      </c>
      <c r="DE446" s="17" t="s">
        <v>166</v>
      </c>
      <c r="DF446" s="22">
        <v>24</v>
      </c>
      <c r="DG446" s="14" t="s">
        <v>8743</v>
      </c>
      <c r="DH446" s="14" t="s">
        <v>193</v>
      </c>
      <c r="DI446" s="14" t="s">
        <v>194</v>
      </c>
      <c r="DJ446" s="14" t="s">
        <v>8744</v>
      </c>
      <c r="DK446" s="14" t="s">
        <v>196</v>
      </c>
      <c r="DL446" s="21" t="s">
        <v>166</v>
      </c>
      <c r="DM446" s="14" t="s">
        <v>198</v>
      </c>
      <c r="DN446" s="13" t="s">
        <v>8745</v>
      </c>
      <c r="DO446" s="20">
        <v>2018</v>
      </c>
      <c r="DP446" s="14" t="s">
        <v>166</v>
      </c>
      <c r="DQ446" s="14" t="s">
        <v>8746</v>
      </c>
      <c r="DR446" s="18">
        <v>0.48</v>
      </c>
      <c r="DS446" s="16" t="s">
        <v>166</v>
      </c>
      <c r="DT446" s="19" t="s">
        <v>166</v>
      </c>
      <c r="DU446" s="14" t="s">
        <v>166</v>
      </c>
      <c r="DV446" s="18" t="s">
        <v>166</v>
      </c>
      <c r="DW446" s="18" t="s">
        <v>166</v>
      </c>
      <c r="DX446" s="16" t="s">
        <v>166</v>
      </c>
      <c r="DY446" s="16" t="s">
        <v>166</v>
      </c>
      <c r="DZ446" s="17" t="s">
        <v>166</v>
      </c>
      <c r="EA446" s="16" t="s">
        <v>166</v>
      </c>
      <c r="EB446" s="16" t="s">
        <v>166</v>
      </c>
      <c r="EC446" s="16" t="s">
        <v>166</v>
      </c>
      <c r="ED446" s="17" t="s">
        <v>166</v>
      </c>
      <c r="EE446" s="17" t="s">
        <v>166</v>
      </c>
      <c r="EF446" s="17" t="s">
        <v>166</v>
      </c>
      <c r="EG446" s="17" t="s">
        <v>166</v>
      </c>
      <c r="EH446" s="16" t="s">
        <v>166</v>
      </c>
      <c r="EI446" s="16" t="s">
        <v>166</v>
      </c>
      <c r="EJ446" s="16" t="s">
        <v>166</v>
      </c>
      <c r="EK446" s="16" t="s">
        <v>166</v>
      </c>
      <c r="EL446" s="16" t="s">
        <v>166</v>
      </c>
      <c r="EM446" s="16" t="s">
        <v>166</v>
      </c>
      <c r="EN446" s="16" t="s">
        <v>166</v>
      </c>
      <c r="EO446" s="16" t="s">
        <v>166</v>
      </c>
      <c r="EP446" s="16" t="s">
        <v>166</v>
      </c>
      <c r="EQ446" s="16" t="s">
        <v>166</v>
      </c>
      <c r="ER446" s="16" t="s">
        <v>166</v>
      </c>
      <c r="ES446" s="16" t="s">
        <v>166</v>
      </c>
      <c r="ET446" s="14" t="s">
        <v>166</v>
      </c>
      <c r="EU446" s="16" t="s">
        <v>166</v>
      </c>
      <c r="EV446" s="16" t="s">
        <v>166</v>
      </c>
      <c r="EW446" s="16" t="s">
        <v>166</v>
      </c>
      <c r="EX446" s="14" t="s">
        <v>190</v>
      </c>
      <c r="EY446" s="14" t="s">
        <v>190</v>
      </c>
      <c r="EZ446" s="16" t="s">
        <v>166</v>
      </c>
      <c r="FA446" s="15" t="s">
        <v>166</v>
      </c>
      <c r="FB446" s="15" t="s">
        <v>166</v>
      </c>
      <c r="FC446" s="15" t="s">
        <v>166</v>
      </c>
      <c r="FD446" s="15" t="s">
        <v>166</v>
      </c>
      <c r="FE446" s="15" t="s">
        <v>166</v>
      </c>
      <c r="FF446" s="15" t="s">
        <v>166</v>
      </c>
      <c r="FG446" s="14" t="s">
        <v>166</v>
      </c>
      <c r="FH446" s="3">
        <f>HYPERLINK("https://my.pitchbook.com?c=178764-76T","View Company Online")</f>
      </c>
    </row>
    <row r="447">
      <c r="A447" s="25" t="s">
        <v>8747</v>
      </c>
      <c r="B447" s="25" t="s">
        <v>8748</v>
      </c>
      <c r="C447" s="25" t="s">
        <v>8749</v>
      </c>
      <c r="D447" s="25" t="s">
        <v>166</v>
      </c>
      <c r="E447" s="34" t="s">
        <v>8750</v>
      </c>
      <c r="F447" s="32">
        <v>2</v>
      </c>
      <c r="G447" s="25" t="s">
        <v>8751</v>
      </c>
      <c r="H447" s="25" t="s">
        <v>166</v>
      </c>
      <c r="I447" s="25" t="s">
        <v>8752</v>
      </c>
      <c r="J447" s="25" t="s">
        <v>8753</v>
      </c>
      <c r="K447" s="25" t="s">
        <v>207</v>
      </c>
      <c r="L447" s="25" t="s">
        <v>208</v>
      </c>
      <c r="M447" s="25" t="s">
        <v>209</v>
      </c>
      <c r="N447" s="25" t="s">
        <v>684</v>
      </c>
      <c r="O447" s="25" t="s">
        <v>166</v>
      </c>
      <c r="P447" s="25" t="s">
        <v>8754</v>
      </c>
      <c r="Q447" s="25" t="s">
        <v>166</v>
      </c>
      <c r="R447" s="25" t="s">
        <v>177</v>
      </c>
      <c r="S447" s="25" t="s">
        <v>178</v>
      </c>
      <c r="T447" s="25" t="s">
        <v>179</v>
      </c>
      <c r="U447" s="25" t="s">
        <v>8755</v>
      </c>
      <c r="V447" s="25" t="s">
        <v>8756</v>
      </c>
      <c r="W447" s="32" t="s">
        <v>166</v>
      </c>
      <c r="X447" s="25" t="s">
        <v>166</v>
      </c>
      <c r="Y447" s="25" t="s">
        <v>8757</v>
      </c>
      <c r="Z447" s="25" t="s">
        <v>166</v>
      </c>
      <c r="AA447" s="25" t="s">
        <v>166</v>
      </c>
      <c r="AB447" s="25" t="s">
        <v>166</v>
      </c>
      <c r="AC447" s="25" t="s">
        <v>166</v>
      </c>
      <c r="AD447" s="25" t="s">
        <v>166</v>
      </c>
      <c r="AE447" s="25" t="s">
        <v>166</v>
      </c>
      <c r="AF447" s="25" t="s">
        <v>166</v>
      </c>
      <c r="AG447" s="25" t="s">
        <v>166</v>
      </c>
      <c r="AH447" s="32">
        <v>2</v>
      </c>
      <c r="AI447" s="4">
        <f>HYPERLINK("https://my.pitchbook.com/?d=254490-94T","254490-94T")</f>
      </c>
      <c r="AJ447" s="30">
        <v>45303</v>
      </c>
      <c r="AK447" s="30">
        <v>45384</v>
      </c>
      <c r="AL447" s="29">
        <v>0.8</v>
      </c>
      <c r="AM447" s="25" t="s">
        <v>185</v>
      </c>
      <c r="AN447" s="29" t="s">
        <v>166</v>
      </c>
      <c r="AO447" s="29" t="s">
        <v>166</v>
      </c>
      <c r="AP447" s="25" t="s">
        <v>166</v>
      </c>
      <c r="AQ447" s="32" t="s">
        <v>166</v>
      </c>
      <c r="AR447" s="32" t="s">
        <v>166</v>
      </c>
      <c r="AS447" s="28" t="s">
        <v>166</v>
      </c>
      <c r="AT447" s="29">
        <v>0.82</v>
      </c>
      <c r="AU447" s="32" t="s">
        <v>186</v>
      </c>
      <c r="AV447" s="32" t="s">
        <v>166</v>
      </c>
      <c r="AW447" s="29" t="s">
        <v>166</v>
      </c>
      <c r="AX447" s="32" t="s">
        <v>166</v>
      </c>
      <c r="AY447" s="25" t="s">
        <v>217</v>
      </c>
      <c r="AZ447" s="25" t="s">
        <v>217</v>
      </c>
      <c r="BA447" s="25" t="s">
        <v>166</v>
      </c>
      <c r="BB447" s="32" t="s">
        <v>166</v>
      </c>
      <c r="BC447" s="25" t="s">
        <v>179</v>
      </c>
      <c r="BD447" s="25" t="s">
        <v>8758</v>
      </c>
      <c r="BE447" s="25" t="s">
        <v>189</v>
      </c>
      <c r="BF447" s="29" t="s">
        <v>166</v>
      </c>
      <c r="BG447" s="25" t="s">
        <v>190</v>
      </c>
      <c r="BH447" s="25" t="s">
        <v>166</v>
      </c>
      <c r="BI447" s="25" t="s">
        <v>166</v>
      </c>
      <c r="BJ447" s="29">
        <v>0.8</v>
      </c>
      <c r="BK447" s="29" t="s">
        <v>166</v>
      </c>
      <c r="BL447" s="25" t="s">
        <v>191</v>
      </c>
      <c r="BM447" s="25" t="s">
        <v>178</v>
      </c>
      <c r="BN447" s="25" t="s">
        <v>177</v>
      </c>
      <c r="BO447" s="33" t="s">
        <v>166</v>
      </c>
      <c r="BP447" s="25" t="s">
        <v>8759</v>
      </c>
      <c r="BQ447" s="32">
        <v>1</v>
      </c>
      <c r="BR447" s="25" t="s">
        <v>252</v>
      </c>
      <c r="BS447" s="32">
        <v>1</v>
      </c>
      <c r="BT447" s="25" t="s">
        <v>166</v>
      </c>
      <c r="BU447" s="25" t="s">
        <v>166</v>
      </c>
      <c r="BV447" s="25" t="s">
        <v>166</v>
      </c>
      <c r="BW447" s="25" t="s">
        <v>166</v>
      </c>
      <c r="BX447" s="25" t="s">
        <v>166</v>
      </c>
      <c r="BY447" s="25" t="s">
        <v>166</v>
      </c>
      <c r="BZ447" s="25" t="s">
        <v>166</v>
      </c>
      <c r="CA447" s="25" t="s">
        <v>166</v>
      </c>
      <c r="CB447" s="25" t="s">
        <v>166</v>
      </c>
      <c r="CC447" s="25" t="s">
        <v>166</v>
      </c>
      <c r="CD447" s="25" t="s">
        <v>166</v>
      </c>
      <c r="CE447" s="29" t="s">
        <v>166</v>
      </c>
      <c r="CF447" s="27" t="s">
        <v>166</v>
      </c>
      <c r="CG447" s="28" t="s">
        <v>166</v>
      </c>
      <c r="CH447" s="27" t="s">
        <v>166</v>
      </c>
      <c r="CI447" s="27" t="s">
        <v>166</v>
      </c>
      <c r="CJ447" s="27" t="s">
        <v>166</v>
      </c>
      <c r="CK447" s="27" t="s">
        <v>166</v>
      </c>
      <c r="CL447" s="27" t="s">
        <v>166</v>
      </c>
      <c r="CM447" s="31" t="s">
        <v>166</v>
      </c>
      <c r="CN447" s="27" t="s">
        <v>166</v>
      </c>
      <c r="CO447" s="27" t="s">
        <v>166</v>
      </c>
      <c r="CP447" s="27" t="s">
        <v>166</v>
      </c>
      <c r="CQ447" s="27" t="s">
        <v>166</v>
      </c>
      <c r="CR447" s="27" t="s">
        <v>166</v>
      </c>
      <c r="CS447" s="27" t="s">
        <v>166</v>
      </c>
      <c r="CT447" s="27" t="s">
        <v>166</v>
      </c>
      <c r="CU447" s="27" t="s">
        <v>166</v>
      </c>
      <c r="CV447" s="27" t="s">
        <v>166</v>
      </c>
      <c r="CW447" s="27" t="s">
        <v>166</v>
      </c>
      <c r="CX447" s="27" t="s">
        <v>166</v>
      </c>
      <c r="CY447" s="27" t="s">
        <v>166</v>
      </c>
      <c r="CZ447" s="27" t="s">
        <v>166</v>
      </c>
      <c r="DA447" s="27" t="s">
        <v>166</v>
      </c>
      <c r="DB447" s="27" t="s">
        <v>166</v>
      </c>
      <c r="DC447" s="27" t="s">
        <v>166</v>
      </c>
      <c r="DD447" s="27" t="s">
        <v>166</v>
      </c>
      <c r="DE447" s="28" t="s">
        <v>166</v>
      </c>
      <c r="DF447" s="33">
        <v>8</v>
      </c>
      <c r="DG447" s="25" t="s">
        <v>726</v>
      </c>
      <c r="DH447" s="25" t="s">
        <v>193</v>
      </c>
      <c r="DI447" s="25" t="s">
        <v>194</v>
      </c>
      <c r="DJ447" s="25" t="s">
        <v>727</v>
      </c>
      <c r="DK447" s="25" t="s">
        <v>728</v>
      </c>
      <c r="DL447" s="32" t="s">
        <v>8440</v>
      </c>
      <c r="DM447" s="25" t="s">
        <v>198</v>
      </c>
      <c r="DN447" s="24" t="s">
        <v>8760</v>
      </c>
      <c r="DO447" s="31">
        <v>2021</v>
      </c>
      <c r="DP447" s="25" t="s">
        <v>166</v>
      </c>
      <c r="DQ447" s="25" t="s">
        <v>8761</v>
      </c>
      <c r="DR447" s="29">
        <v>0.8</v>
      </c>
      <c r="DS447" s="27" t="s">
        <v>166</v>
      </c>
      <c r="DT447" s="30" t="s">
        <v>166</v>
      </c>
      <c r="DU447" s="25" t="s">
        <v>166</v>
      </c>
      <c r="DV447" s="29" t="s">
        <v>166</v>
      </c>
      <c r="DW447" s="29" t="s">
        <v>166</v>
      </c>
      <c r="DX447" s="27" t="s">
        <v>166</v>
      </c>
      <c r="DY447" s="27" t="s">
        <v>166</v>
      </c>
      <c r="DZ447" s="28" t="s">
        <v>166</v>
      </c>
      <c r="EA447" s="27" t="s">
        <v>166</v>
      </c>
      <c r="EB447" s="27" t="s">
        <v>166</v>
      </c>
      <c r="EC447" s="27" t="s">
        <v>166</v>
      </c>
      <c r="ED447" s="28" t="s">
        <v>166</v>
      </c>
      <c r="EE447" s="28" t="s">
        <v>166</v>
      </c>
      <c r="EF447" s="28" t="s">
        <v>166</v>
      </c>
      <c r="EG447" s="28" t="s">
        <v>166</v>
      </c>
      <c r="EH447" s="27" t="s">
        <v>166</v>
      </c>
      <c r="EI447" s="27" t="s">
        <v>166</v>
      </c>
      <c r="EJ447" s="27" t="s">
        <v>166</v>
      </c>
      <c r="EK447" s="27" t="s">
        <v>166</v>
      </c>
      <c r="EL447" s="27" t="s">
        <v>166</v>
      </c>
      <c r="EM447" s="27" t="s">
        <v>166</v>
      </c>
      <c r="EN447" s="27" t="s">
        <v>166</v>
      </c>
      <c r="EO447" s="27" t="s">
        <v>166</v>
      </c>
      <c r="EP447" s="27" t="s">
        <v>166</v>
      </c>
      <c r="EQ447" s="27" t="s">
        <v>166</v>
      </c>
      <c r="ER447" s="27" t="s">
        <v>166</v>
      </c>
      <c r="ES447" s="27" t="s">
        <v>166</v>
      </c>
      <c r="ET447" s="25" t="s">
        <v>166</v>
      </c>
      <c r="EU447" s="27" t="s">
        <v>166</v>
      </c>
      <c r="EV447" s="27" t="s">
        <v>166</v>
      </c>
      <c r="EW447" s="27" t="s">
        <v>166</v>
      </c>
      <c r="EX447" s="25" t="s">
        <v>190</v>
      </c>
      <c r="EY447" s="25" t="s">
        <v>190</v>
      </c>
      <c r="EZ447" s="27" t="s">
        <v>166</v>
      </c>
      <c r="FA447" s="26" t="s">
        <v>166</v>
      </c>
      <c r="FB447" s="26" t="s">
        <v>166</v>
      </c>
      <c r="FC447" s="26" t="s">
        <v>166</v>
      </c>
      <c r="FD447" s="26" t="s">
        <v>166</v>
      </c>
      <c r="FE447" s="26" t="s">
        <v>166</v>
      </c>
      <c r="FF447" s="26" t="s">
        <v>166</v>
      </c>
      <c r="FG447" s="25" t="s">
        <v>166</v>
      </c>
      <c r="FH447" s="4">
        <f>HYPERLINK("https://my.pitchbook.com?c=254490-94T","View Company Online")</f>
      </c>
    </row>
    <row r="448">
      <c r="A448" s="14" t="s">
        <v>8762</v>
      </c>
      <c r="B448" s="14" t="s">
        <v>8763</v>
      </c>
      <c r="C448" s="14" t="s">
        <v>8764</v>
      </c>
      <c r="D448" s="14" t="s">
        <v>166</v>
      </c>
      <c r="E448" s="23" t="s">
        <v>8765</v>
      </c>
      <c r="F448" s="21">
        <v>13</v>
      </c>
      <c r="G448" s="14" t="s">
        <v>8766</v>
      </c>
      <c r="H448" s="14" t="s">
        <v>166</v>
      </c>
      <c r="I448" s="14" t="s">
        <v>8767</v>
      </c>
      <c r="J448" s="14" t="s">
        <v>8768</v>
      </c>
      <c r="K448" s="14" t="s">
        <v>207</v>
      </c>
      <c r="L448" s="14" t="s">
        <v>208</v>
      </c>
      <c r="M448" s="14" t="s">
        <v>639</v>
      </c>
      <c r="N448" s="14" t="s">
        <v>8769</v>
      </c>
      <c r="O448" s="14" t="s">
        <v>8770</v>
      </c>
      <c r="P448" s="14" t="s">
        <v>8771</v>
      </c>
      <c r="Q448" s="14" t="s">
        <v>166</v>
      </c>
      <c r="R448" s="14" t="s">
        <v>177</v>
      </c>
      <c r="S448" s="14" t="s">
        <v>178</v>
      </c>
      <c r="T448" s="14" t="s">
        <v>179</v>
      </c>
      <c r="U448" s="14" t="s">
        <v>8772</v>
      </c>
      <c r="V448" s="14" t="s">
        <v>8773</v>
      </c>
      <c r="W448" s="21" t="s">
        <v>166</v>
      </c>
      <c r="X448" s="14" t="s">
        <v>8774</v>
      </c>
      <c r="Y448" s="14" t="s">
        <v>8775</v>
      </c>
      <c r="Z448" s="14" t="s">
        <v>8776</v>
      </c>
      <c r="AA448" s="14" t="s">
        <v>166</v>
      </c>
      <c r="AB448" s="14" t="s">
        <v>166</v>
      </c>
      <c r="AC448" s="14" t="s">
        <v>166</v>
      </c>
      <c r="AD448" s="14" t="s">
        <v>166</v>
      </c>
      <c r="AE448" s="14" t="s">
        <v>166</v>
      </c>
      <c r="AF448" s="14" t="s">
        <v>166</v>
      </c>
      <c r="AG448" s="14" t="s">
        <v>166</v>
      </c>
      <c r="AH448" s="21">
        <v>1</v>
      </c>
      <c r="AI448" s="3">
        <f>HYPERLINK("https://my.pitchbook.com/?d=167525-38T","167525-38T")</f>
      </c>
      <c r="AJ448" s="19" t="s">
        <v>166</v>
      </c>
      <c r="AK448" s="19">
        <v>44253</v>
      </c>
      <c r="AL448" s="18">
        <v>3.5</v>
      </c>
      <c r="AM448" s="14" t="s">
        <v>185</v>
      </c>
      <c r="AN448" s="18" t="s">
        <v>166</v>
      </c>
      <c r="AO448" s="18" t="s">
        <v>166</v>
      </c>
      <c r="AP448" s="14" t="s">
        <v>166</v>
      </c>
      <c r="AQ448" s="21" t="s">
        <v>166</v>
      </c>
      <c r="AR448" s="21" t="s">
        <v>166</v>
      </c>
      <c r="AS448" s="17" t="s">
        <v>166</v>
      </c>
      <c r="AT448" s="18">
        <v>3.5</v>
      </c>
      <c r="AU448" s="21" t="s">
        <v>186</v>
      </c>
      <c r="AV448" s="21" t="s">
        <v>166</v>
      </c>
      <c r="AW448" s="18" t="s">
        <v>166</v>
      </c>
      <c r="AX448" s="21" t="s">
        <v>166</v>
      </c>
      <c r="AY448" s="14" t="s">
        <v>217</v>
      </c>
      <c r="AZ448" s="14" t="s">
        <v>217</v>
      </c>
      <c r="BA448" s="14" t="s">
        <v>166</v>
      </c>
      <c r="BB448" s="21" t="s">
        <v>166</v>
      </c>
      <c r="BC448" s="14" t="s">
        <v>179</v>
      </c>
      <c r="BD448" s="14" t="s">
        <v>8777</v>
      </c>
      <c r="BE448" s="14" t="s">
        <v>189</v>
      </c>
      <c r="BF448" s="18">
        <v>3.5</v>
      </c>
      <c r="BG448" s="14" t="s">
        <v>190</v>
      </c>
      <c r="BH448" s="14" t="s">
        <v>166</v>
      </c>
      <c r="BI448" s="14" t="s">
        <v>166</v>
      </c>
      <c r="BJ448" s="18" t="s">
        <v>166</v>
      </c>
      <c r="BK448" s="18" t="s">
        <v>166</v>
      </c>
      <c r="BL448" s="14" t="s">
        <v>191</v>
      </c>
      <c r="BM448" s="14" t="s">
        <v>178</v>
      </c>
      <c r="BN448" s="14" t="s">
        <v>177</v>
      </c>
      <c r="BO448" s="22">
        <v>14</v>
      </c>
      <c r="BP448" s="14" t="s">
        <v>8778</v>
      </c>
      <c r="BQ448" s="21">
        <v>13</v>
      </c>
      <c r="BR448" s="14" t="s">
        <v>166</v>
      </c>
      <c r="BS448" s="21" t="s">
        <v>166</v>
      </c>
      <c r="BT448" s="14" t="s">
        <v>8779</v>
      </c>
      <c r="BU448" s="14" t="s">
        <v>166</v>
      </c>
      <c r="BV448" s="14" t="s">
        <v>8780</v>
      </c>
      <c r="BW448" s="14" t="s">
        <v>166</v>
      </c>
      <c r="BX448" s="14" t="s">
        <v>166</v>
      </c>
      <c r="BY448" s="14" t="s">
        <v>166</v>
      </c>
      <c r="BZ448" s="14" t="s">
        <v>996</v>
      </c>
      <c r="CA448" s="14" t="s">
        <v>996</v>
      </c>
      <c r="CB448" s="14" t="s">
        <v>166</v>
      </c>
      <c r="CC448" s="14" t="s">
        <v>166</v>
      </c>
      <c r="CD448" s="14" t="s">
        <v>166</v>
      </c>
      <c r="CE448" s="18" t="s">
        <v>166</v>
      </c>
      <c r="CF448" s="16" t="s">
        <v>166</v>
      </c>
      <c r="CG448" s="17" t="s">
        <v>166</v>
      </c>
      <c r="CH448" s="16" t="s">
        <v>166</v>
      </c>
      <c r="CI448" s="16" t="s">
        <v>166</v>
      </c>
      <c r="CJ448" s="16" t="s">
        <v>166</v>
      </c>
      <c r="CK448" s="16" t="s">
        <v>166</v>
      </c>
      <c r="CL448" s="16" t="s">
        <v>166</v>
      </c>
      <c r="CM448" s="20" t="s">
        <v>166</v>
      </c>
      <c r="CN448" s="16" t="s">
        <v>166</v>
      </c>
      <c r="CO448" s="16" t="s">
        <v>166</v>
      </c>
      <c r="CP448" s="16" t="s">
        <v>166</v>
      </c>
      <c r="CQ448" s="16" t="s">
        <v>166</v>
      </c>
      <c r="CR448" s="16" t="s">
        <v>166</v>
      </c>
      <c r="CS448" s="16" t="s">
        <v>166</v>
      </c>
      <c r="CT448" s="16" t="s">
        <v>166</v>
      </c>
      <c r="CU448" s="16" t="s">
        <v>166</v>
      </c>
      <c r="CV448" s="16" t="s">
        <v>166</v>
      </c>
      <c r="CW448" s="16" t="s">
        <v>166</v>
      </c>
      <c r="CX448" s="16" t="s">
        <v>166</v>
      </c>
      <c r="CY448" s="16" t="s">
        <v>166</v>
      </c>
      <c r="CZ448" s="16" t="s">
        <v>166</v>
      </c>
      <c r="DA448" s="16" t="s">
        <v>166</v>
      </c>
      <c r="DB448" s="16" t="s">
        <v>166</v>
      </c>
      <c r="DC448" s="16" t="s">
        <v>166</v>
      </c>
      <c r="DD448" s="16" t="s">
        <v>166</v>
      </c>
      <c r="DE448" s="17" t="s">
        <v>166</v>
      </c>
      <c r="DF448" s="22">
        <v>27</v>
      </c>
      <c r="DG448" s="14" t="s">
        <v>673</v>
      </c>
      <c r="DH448" s="14" t="s">
        <v>193</v>
      </c>
      <c r="DI448" s="14" t="s">
        <v>194</v>
      </c>
      <c r="DJ448" s="14" t="s">
        <v>674</v>
      </c>
      <c r="DK448" s="14" t="s">
        <v>257</v>
      </c>
      <c r="DL448" s="21" t="s">
        <v>4459</v>
      </c>
      <c r="DM448" s="14" t="s">
        <v>198</v>
      </c>
      <c r="DN448" s="13" t="s">
        <v>8781</v>
      </c>
      <c r="DO448" s="20">
        <v>2019</v>
      </c>
      <c r="DP448" s="14" t="s">
        <v>166</v>
      </c>
      <c r="DQ448" s="14" t="s">
        <v>166</v>
      </c>
      <c r="DR448" s="18" t="s">
        <v>166</v>
      </c>
      <c r="DS448" s="16" t="s">
        <v>166</v>
      </c>
      <c r="DT448" s="19" t="s">
        <v>166</v>
      </c>
      <c r="DU448" s="14" t="s">
        <v>166</v>
      </c>
      <c r="DV448" s="18" t="s">
        <v>166</v>
      </c>
      <c r="DW448" s="18" t="s">
        <v>166</v>
      </c>
      <c r="DX448" s="16" t="s">
        <v>166</v>
      </c>
      <c r="DY448" s="16" t="s">
        <v>166</v>
      </c>
      <c r="DZ448" s="17" t="s">
        <v>166</v>
      </c>
      <c r="EA448" s="16" t="s">
        <v>166</v>
      </c>
      <c r="EB448" s="16" t="s">
        <v>166</v>
      </c>
      <c r="EC448" s="16" t="s">
        <v>166</v>
      </c>
      <c r="ED448" s="17" t="s">
        <v>166</v>
      </c>
      <c r="EE448" s="17" t="s">
        <v>166</v>
      </c>
      <c r="EF448" s="17" t="s">
        <v>166</v>
      </c>
      <c r="EG448" s="17" t="s">
        <v>166</v>
      </c>
      <c r="EH448" s="16" t="s">
        <v>166</v>
      </c>
      <c r="EI448" s="16" t="s">
        <v>166</v>
      </c>
      <c r="EJ448" s="16" t="s">
        <v>166</v>
      </c>
      <c r="EK448" s="16" t="s">
        <v>166</v>
      </c>
      <c r="EL448" s="16" t="s">
        <v>166</v>
      </c>
      <c r="EM448" s="16" t="s">
        <v>166</v>
      </c>
      <c r="EN448" s="16" t="s">
        <v>166</v>
      </c>
      <c r="EO448" s="16" t="s">
        <v>166</v>
      </c>
      <c r="EP448" s="16" t="s">
        <v>166</v>
      </c>
      <c r="EQ448" s="16" t="s">
        <v>166</v>
      </c>
      <c r="ER448" s="16" t="s">
        <v>166</v>
      </c>
      <c r="ES448" s="16" t="s">
        <v>166</v>
      </c>
      <c r="ET448" s="14" t="s">
        <v>166</v>
      </c>
      <c r="EU448" s="16" t="s">
        <v>166</v>
      </c>
      <c r="EV448" s="16" t="s">
        <v>166</v>
      </c>
      <c r="EW448" s="16" t="s">
        <v>166</v>
      </c>
      <c r="EX448" s="14" t="s">
        <v>190</v>
      </c>
      <c r="EY448" s="14" t="s">
        <v>166</v>
      </c>
      <c r="EZ448" s="16" t="s">
        <v>166</v>
      </c>
      <c r="FA448" s="15" t="s">
        <v>166</v>
      </c>
      <c r="FB448" s="15" t="s">
        <v>166</v>
      </c>
      <c r="FC448" s="15" t="s">
        <v>166</v>
      </c>
      <c r="FD448" s="15" t="s">
        <v>166</v>
      </c>
      <c r="FE448" s="15" t="s">
        <v>166</v>
      </c>
      <c r="FF448" s="15" t="s">
        <v>166</v>
      </c>
      <c r="FG448" s="14" t="s">
        <v>166</v>
      </c>
      <c r="FH448" s="3">
        <f>HYPERLINK("https://my.pitchbook.com?c=167525-38T","View Company Online")</f>
      </c>
    </row>
    <row r="449">
      <c r="A449" s="25" t="s">
        <v>8782</v>
      </c>
      <c r="B449" s="25" t="s">
        <v>8783</v>
      </c>
      <c r="C449" s="25" t="s">
        <v>8784</v>
      </c>
      <c r="D449" s="25" t="s">
        <v>166</v>
      </c>
      <c r="E449" s="34" t="s">
        <v>8785</v>
      </c>
      <c r="F449" s="32">
        <v>3</v>
      </c>
      <c r="G449" s="25" t="s">
        <v>8786</v>
      </c>
      <c r="H449" s="25" t="s">
        <v>166</v>
      </c>
      <c r="I449" s="25" t="s">
        <v>8787</v>
      </c>
      <c r="J449" s="25" t="s">
        <v>8788</v>
      </c>
      <c r="K449" s="25" t="s">
        <v>207</v>
      </c>
      <c r="L449" s="25" t="s">
        <v>208</v>
      </c>
      <c r="M449" s="25" t="s">
        <v>209</v>
      </c>
      <c r="N449" s="25" t="s">
        <v>5087</v>
      </c>
      <c r="O449" s="25" t="s">
        <v>665</v>
      </c>
      <c r="P449" s="25" t="s">
        <v>8789</v>
      </c>
      <c r="Q449" s="25" t="s">
        <v>166</v>
      </c>
      <c r="R449" s="25" t="s">
        <v>177</v>
      </c>
      <c r="S449" s="25" t="s">
        <v>178</v>
      </c>
      <c r="T449" s="25" t="s">
        <v>179</v>
      </c>
      <c r="U449" s="25" t="s">
        <v>8790</v>
      </c>
      <c r="V449" s="25" t="s">
        <v>8791</v>
      </c>
      <c r="W449" s="32" t="s">
        <v>8792</v>
      </c>
      <c r="X449" s="25" t="s">
        <v>166</v>
      </c>
      <c r="Y449" s="25" t="s">
        <v>8793</v>
      </c>
      <c r="Z449" s="25" t="s">
        <v>166</v>
      </c>
      <c r="AA449" s="25" t="s">
        <v>242</v>
      </c>
      <c r="AB449" s="25" t="s">
        <v>243</v>
      </c>
      <c r="AC449" s="25" t="s">
        <v>244</v>
      </c>
      <c r="AD449" s="25" t="s">
        <v>243</v>
      </c>
      <c r="AE449" s="25" t="s">
        <v>243</v>
      </c>
      <c r="AF449" s="25" t="s">
        <v>245</v>
      </c>
      <c r="AG449" s="25" t="s">
        <v>807</v>
      </c>
      <c r="AH449" s="32">
        <v>1</v>
      </c>
      <c r="AI449" s="4">
        <f>HYPERLINK("https://my.pitchbook.com/?d=156273-58T","156273-58T")</f>
      </c>
      <c r="AJ449" s="30" t="s">
        <v>166</v>
      </c>
      <c r="AK449" s="30">
        <v>44033</v>
      </c>
      <c r="AL449" s="29">
        <v>4</v>
      </c>
      <c r="AM449" s="25" t="s">
        <v>185</v>
      </c>
      <c r="AN449" s="29">
        <v>8.5</v>
      </c>
      <c r="AO449" s="29">
        <v>12.5</v>
      </c>
      <c r="AP449" s="25" t="s">
        <v>185</v>
      </c>
      <c r="AQ449" s="32" t="s">
        <v>166</v>
      </c>
      <c r="AR449" s="32" t="s">
        <v>166</v>
      </c>
      <c r="AS449" s="28">
        <v>32</v>
      </c>
      <c r="AT449" s="29">
        <v>4</v>
      </c>
      <c r="AU449" s="32" t="s">
        <v>186</v>
      </c>
      <c r="AV449" s="32" t="s">
        <v>166</v>
      </c>
      <c r="AW449" s="29">
        <v>0.77</v>
      </c>
      <c r="AX449" s="32" t="s">
        <v>166</v>
      </c>
      <c r="AY449" s="25" t="s">
        <v>217</v>
      </c>
      <c r="AZ449" s="25" t="s">
        <v>217</v>
      </c>
      <c r="BA449" s="25" t="s">
        <v>166</v>
      </c>
      <c r="BB449" s="32" t="s">
        <v>166</v>
      </c>
      <c r="BC449" s="25" t="s">
        <v>179</v>
      </c>
      <c r="BD449" s="25" t="s">
        <v>8788</v>
      </c>
      <c r="BE449" s="25" t="s">
        <v>189</v>
      </c>
      <c r="BF449" s="29">
        <v>4</v>
      </c>
      <c r="BG449" s="25" t="s">
        <v>190</v>
      </c>
      <c r="BH449" s="25" t="s">
        <v>166</v>
      </c>
      <c r="BI449" s="25" t="s">
        <v>166</v>
      </c>
      <c r="BJ449" s="29" t="s">
        <v>166</v>
      </c>
      <c r="BK449" s="29" t="s">
        <v>166</v>
      </c>
      <c r="BL449" s="25" t="s">
        <v>191</v>
      </c>
      <c r="BM449" s="25" t="s">
        <v>178</v>
      </c>
      <c r="BN449" s="25" t="s">
        <v>177</v>
      </c>
      <c r="BO449" s="33" t="s">
        <v>166</v>
      </c>
      <c r="BP449" s="25" t="s">
        <v>8794</v>
      </c>
      <c r="BQ449" s="32">
        <v>3</v>
      </c>
      <c r="BR449" s="25" t="s">
        <v>166</v>
      </c>
      <c r="BS449" s="32" t="s">
        <v>166</v>
      </c>
      <c r="BT449" s="25" t="s">
        <v>166</v>
      </c>
      <c r="BU449" s="25" t="s">
        <v>166</v>
      </c>
      <c r="BV449" s="25" t="s">
        <v>8795</v>
      </c>
      <c r="BW449" s="25" t="s">
        <v>166</v>
      </c>
      <c r="BX449" s="25" t="s">
        <v>166</v>
      </c>
      <c r="BY449" s="25" t="s">
        <v>166</v>
      </c>
      <c r="BZ449" s="25" t="s">
        <v>166</v>
      </c>
      <c r="CA449" s="25" t="s">
        <v>166</v>
      </c>
      <c r="CB449" s="25" t="s">
        <v>166</v>
      </c>
      <c r="CC449" s="25" t="s">
        <v>166</v>
      </c>
      <c r="CD449" s="25" t="s">
        <v>166</v>
      </c>
      <c r="CE449" s="29" t="s">
        <v>166</v>
      </c>
      <c r="CF449" s="27" t="s">
        <v>166</v>
      </c>
      <c r="CG449" s="28" t="s">
        <v>166</v>
      </c>
      <c r="CH449" s="27" t="s">
        <v>166</v>
      </c>
      <c r="CI449" s="27" t="s">
        <v>166</v>
      </c>
      <c r="CJ449" s="27" t="s">
        <v>166</v>
      </c>
      <c r="CK449" s="27" t="s">
        <v>166</v>
      </c>
      <c r="CL449" s="27" t="s">
        <v>166</v>
      </c>
      <c r="CM449" s="31" t="s">
        <v>166</v>
      </c>
      <c r="CN449" s="27" t="s">
        <v>166</v>
      </c>
      <c r="CO449" s="27" t="s">
        <v>166</v>
      </c>
      <c r="CP449" s="27" t="s">
        <v>166</v>
      </c>
      <c r="CQ449" s="27" t="s">
        <v>166</v>
      </c>
      <c r="CR449" s="27" t="s">
        <v>166</v>
      </c>
      <c r="CS449" s="27" t="s">
        <v>166</v>
      </c>
      <c r="CT449" s="27" t="s">
        <v>166</v>
      </c>
      <c r="CU449" s="27" t="s">
        <v>166</v>
      </c>
      <c r="CV449" s="27" t="s">
        <v>166</v>
      </c>
      <c r="CW449" s="27" t="s">
        <v>166</v>
      </c>
      <c r="CX449" s="27" t="s">
        <v>166</v>
      </c>
      <c r="CY449" s="27" t="s">
        <v>166</v>
      </c>
      <c r="CZ449" s="27" t="s">
        <v>166</v>
      </c>
      <c r="DA449" s="27" t="s">
        <v>166</v>
      </c>
      <c r="DB449" s="27" t="s">
        <v>166</v>
      </c>
      <c r="DC449" s="27" t="s">
        <v>166</v>
      </c>
      <c r="DD449" s="27" t="s">
        <v>166</v>
      </c>
      <c r="DE449" s="28" t="s">
        <v>166</v>
      </c>
      <c r="DF449" s="33">
        <v>12</v>
      </c>
      <c r="DG449" s="25" t="s">
        <v>3138</v>
      </c>
      <c r="DH449" s="25" t="s">
        <v>193</v>
      </c>
      <c r="DI449" s="25" t="s">
        <v>194</v>
      </c>
      <c r="DJ449" s="25" t="s">
        <v>3139</v>
      </c>
      <c r="DK449" s="25" t="s">
        <v>257</v>
      </c>
      <c r="DL449" s="32" t="s">
        <v>3080</v>
      </c>
      <c r="DM449" s="25" t="s">
        <v>198</v>
      </c>
      <c r="DN449" s="24" t="s">
        <v>8796</v>
      </c>
      <c r="DO449" s="31">
        <v>2020</v>
      </c>
      <c r="DP449" s="25" t="s">
        <v>166</v>
      </c>
      <c r="DQ449" s="25" t="s">
        <v>166</v>
      </c>
      <c r="DR449" s="29" t="s">
        <v>166</v>
      </c>
      <c r="DS449" s="27" t="s">
        <v>166</v>
      </c>
      <c r="DT449" s="30" t="s">
        <v>166</v>
      </c>
      <c r="DU449" s="25" t="s">
        <v>166</v>
      </c>
      <c r="DV449" s="29" t="s">
        <v>166</v>
      </c>
      <c r="DW449" s="29" t="s">
        <v>166</v>
      </c>
      <c r="DX449" s="27" t="s">
        <v>166</v>
      </c>
      <c r="DY449" s="27" t="s">
        <v>166</v>
      </c>
      <c r="DZ449" s="28" t="s">
        <v>166</v>
      </c>
      <c r="EA449" s="27" t="s">
        <v>166</v>
      </c>
      <c r="EB449" s="27" t="s">
        <v>166</v>
      </c>
      <c r="EC449" s="27" t="s">
        <v>166</v>
      </c>
      <c r="ED449" s="28" t="s">
        <v>166</v>
      </c>
      <c r="EE449" s="28" t="s">
        <v>166</v>
      </c>
      <c r="EF449" s="28" t="s">
        <v>166</v>
      </c>
      <c r="EG449" s="28" t="s">
        <v>166</v>
      </c>
      <c r="EH449" s="27" t="s">
        <v>166</v>
      </c>
      <c r="EI449" s="27" t="s">
        <v>166</v>
      </c>
      <c r="EJ449" s="27" t="s">
        <v>166</v>
      </c>
      <c r="EK449" s="27" t="s">
        <v>166</v>
      </c>
      <c r="EL449" s="27" t="s">
        <v>166</v>
      </c>
      <c r="EM449" s="27" t="s">
        <v>166</v>
      </c>
      <c r="EN449" s="27" t="s">
        <v>166</v>
      </c>
      <c r="EO449" s="27" t="s">
        <v>166</v>
      </c>
      <c r="EP449" s="27" t="s">
        <v>166</v>
      </c>
      <c r="EQ449" s="27" t="s">
        <v>166</v>
      </c>
      <c r="ER449" s="27" t="s">
        <v>166</v>
      </c>
      <c r="ES449" s="27" t="s">
        <v>166</v>
      </c>
      <c r="ET449" s="25" t="s">
        <v>166</v>
      </c>
      <c r="EU449" s="27" t="s">
        <v>166</v>
      </c>
      <c r="EV449" s="27" t="s">
        <v>166</v>
      </c>
      <c r="EW449" s="27" t="s">
        <v>166</v>
      </c>
      <c r="EX449" s="25" t="s">
        <v>190</v>
      </c>
      <c r="EY449" s="25" t="s">
        <v>166</v>
      </c>
      <c r="EZ449" s="27" t="s">
        <v>166</v>
      </c>
      <c r="FA449" s="26" t="s">
        <v>166</v>
      </c>
      <c r="FB449" s="26" t="s">
        <v>166</v>
      </c>
      <c r="FC449" s="26" t="s">
        <v>166</v>
      </c>
      <c r="FD449" s="26" t="s">
        <v>166</v>
      </c>
      <c r="FE449" s="26" t="s">
        <v>166</v>
      </c>
      <c r="FF449" s="26" t="s">
        <v>166</v>
      </c>
      <c r="FG449" s="25" t="s">
        <v>166</v>
      </c>
      <c r="FH449" s="4">
        <f>HYPERLINK("https://my.pitchbook.com?c=156273-58T","View Company Online")</f>
      </c>
    </row>
    <row r="450">
      <c r="A450" s="14" t="s">
        <v>8797</v>
      </c>
      <c r="B450" s="14" t="s">
        <v>8798</v>
      </c>
      <c r="C450" s="14" t="s">
        <v>8799</v>
      </c>
      <c r="D450" s="14" t="s">
        <v>166</v>
      </c>
      <c r="E450" s="23" t="s">
        <v>8800</v>
      </c>
      <c r="F450" s="21">
        <v>5</v>
      </c>
      <c r="G450" s="14" t="s">
        <v>8801</v>
      </c>
      <c r="H450" s="14" t="s">
        <v>166</v>
      </c>
      <c r="I450" s="14" t="s">
        <v>8802</v>
      </c>
      <c r="J450" s="14" t="s">
        <v>8803</v>
      </c>
      <c r="K450" s="14" t="s">
        <v>207</v>
      </c>
      <c r="L450" s="14" t="s">
        <v>208</v>
      </c>
      <c r="M450" s="14" t="s">
        <v>296</v>
      </c>
      <c r="N450" s="14" t="s">
        <v>1052</v>
      </c>
      <c r="O450" s="14" t="s">
        <v>2931</v>
      </c>
      <c r="P450" s="14" t="s">
        <v>8804</v>
      </c>
      <c r="Q450" s="14" t="s">
        <v>166</v>
      </c>
      <c r="R450" s="14" t="s">
        <v>177</v>
      </c>
      <c r="S450" s="14" t="s">
        <v>178</v>
      </c>
      <c r="T450" s="14" t="s">
        <v>179</v>
      </c>
      <c r="U450" s="14" t="s">
        <v>8805</v>
      </c>
      <c r="V450" s="14" t="s">
        <v>8806</v>
      </c>
      <c r="W450" s="21" t="s">
        <v>166</v>
      </c>
      <c r="X450" s="14" t="s">
        <v>8807</v>
      </c>
      <c r="Y450" s="14" t="s">
        <v>8808</v>
      </c>
      <c r="Z450" s="14" t="s">
        <v>166</v>
      </c>
      <c r="AA450" s="14" t="s">
        <v>242</v>
      </c>
      <c r="AB450" s="14" t="s">
        <v>243</v>
      </c>
      <c r="AC450" s="14" t="s">
        <v>244</v>
      </c>
      <c r="AD450" s="14" t="s">
        <v>243</v>
      </c>
      <c r="AE450" s="14" t="s">
        <v>243</v>
      </c>
      <c r="AF450" s="14" t="s">
        <v>166</v>
      </c>
      <c r="AG450" s="14" t="s">
        <v>246</v>
      </c>
      <c r="AH450" s="21">
        <v>1</v>
      </c>
      <c r="AI450" s="3">
        <f>HYPERLINK("https://my.pitchbook.com/?d=133276-33T","133276-33T")</f>
      </c>
      <c r="AJ450" s="19" t="s">
        <v>166</v>
      </c>
      <c r="AK450" s="19">
        <v>43895</v>
      </c>
      <c r="AL450" s="18">
        <v>4.48</v>
      </c>
      <c r="AM450" s="14" t="s">
        <v>185</v>
      </c>
      <c r="AN450" s="18">
        <v>25</v>
      </c>
      <c r="AO450" s="18">
        <v>29.48</v>
      </c>
      <c r="AP450" s="14" t="s">
        <v>185</v>
      </c>
      <c r="AQ450" s="21" t="s">
        <v>166</v>
      </c>
      <c r="AR450" s="21" t="s">
        <v>166</v>
      </c>
      <c r="AS450" s="17">
        <v>15.19</v>
      </c>
      <c r="AT450" s="18">
        <v>4.48</v>
      </c>
      <c r="AU450" s="21" t="s">
        <v>186</v>
      </c>
      <c r="AV450" s="21" t="s">
        <v>166</v>
      </c>
      <c r="AW450" s="18">
        <v>1.7</v>
      </c>
      <c r="AX450" s="21" t="s">
        <v>166</v>
      </c>
      <c r="AY450" s="14" t="s">
        <v>217</v>
      </c>
      <c r="AZ450" s="14" t="s">
        <v>217</v>
      </c>
      <c r="BA450" s="14" t="s">
        <v>166</v>
      </c>
      <c r="BB450" s="21" t="s">
        <v>166</v>
      </c>
      <c r="BC450" s="14" t="s">
        <v>179</v>
      </c>
      <c r="BD450" s="14" t="s">
        <v>8809</v>
      </c>
      <c r="BE450" s="14" t="s">
        <v>189</v>
      </c>
      <c r="BF450" s="18">
        <v>4.48</v>
      </c>
      <c r="BG450" s="14" t="s">
        <v>190</v>
      </c>
      <c r="BH450" s="14" t="s">
        <v>166</v>
      </c>
      <c r="BI450" s="14" t="s">
        <v>166</v>
      </c>
      <c r="BJ450" s="18" t="s">
        <v>166</v>
      </c>
      <c r="BK450" s="18" t="s">
        <v>166</v>
      </c>
      <c r="BL450" s="14" t="s">
        <v>191</v>
      </c>
      <c r="BM450" s="14" t="s">
        <v>178</v>
      </c>
      <c r="BN450" s="14" t="s">
        <v>177</v>
      </c>
      <c r="BO450" s="22" t="s">
        <v>166</v>
      </c>
      <c r="BP450" s="14" t="s">
        <v>8810</v>
      </c>
      <c r="BQ450" s="21">
        <v>5</v>
      </c>
      <c r="BR450" s="14" t="s">
        <v>166</v>
      </c>
      <c r="BS450" s="21" t="s">
        <v>166</v>
      </c>
      <c r="BT450" s="14" t="s">
        <v>166</v>
      </c>
      <c r="BU450" s="14" t="s">
        <v>166</v>
      </c>
      <c r="BV450" s="14" t="s">
        <v>8811</v>
      </c>
      <c r="BW450" s="14" t="s">
        <v>166</v>
      </c>
      <c r="BX450" s="14" t="s">
        <v>166</v>
      </c>
      <c r="BY450" s="14" t="s">
        <v>166</v>
      </c>
      <c r="BZ450" s="14" t="s">
        <v>8812</v>
      </c>
      <c r="CA450" s="14" t="s">
        <v>166</v>
      </c>
      <c r="CB450" s="14" t="s">
        <v>166</v>
      </c>
      <c r="CC450" s="14" t="s">
        <v>8812</v>
      </c>
      <c r="CD450" s="14" t="s">
        <v>166</v>
      </c>
      <c r="CE450" s="18" t="s">
        <v>166</v>
      </c>
      <c r="CF450" s="16" t="s">
        <v>166</v>
      </c>
      <c r="CG450" s="17" t="s">
        <v>166</v>
      </c>
      <c r="CH450" s="16" t="s">
        <v>166</v>
      </c>
      <c r="CI450" s="16" t="s">
        <v>166</v>
      </c>
      <c r="CJ450" s="16" t="s">
        <v>166</v>
      </c>
      <c r="CK450" s="16" t="s">
        <v>166</v>
      </c>
      <c r="CL450" s="16" t="s">
        <v>166</v>
      </c>
      <c r="CM450" s="20" t="s">
        <v>166</v>
      </c>
      <c r="CN450" s="16" t="s">
        <v>166</v>
      </c>
      <c r="CO450" s="16" t="s">
        <v>166</v>
      </c>
      <c r="CP450" s="16" t="s">
        <v>166</v>
      </c>
      <c r="CQ450" s="16" t="s">
        <v>166</v>
      </c>
      <c r="CR450" s="16" t="s">
        <v>166</v>
      </c>
      <c r="CS450" s="16" t="s">
        <v>166</v>
      </c>
      <c r="CT450" s="16" t="s">
        <v>166</v>
      </c>
      <c r="CU450" s="16" t="s">
        <v>166</v>
      </c>
      <c r="CV450" s="16" t="s">
        <v>166</v>
      </c>
      <c r="CW450" s="16" t="s">
        <v>166</v>
      </c>
      <c r="CX450" s="16" t="s">
        <v>166</v>
      </c>
      <c r="CY450" s="16" t="s">
        <v>166</v>
      </c>
      <c r="CZ450" s="16" t="s">
        <v>166</v>
      </c>
      <c r="DA450" s="16" t="s">
        <v>166</v>
      </c>
      <c r="DB450" s="16" t="s">
        <v>166</v>
      </c>
      <c r="DC450" s="16" t="s">
        <v>166</v>
      </c>
      <c r="DD450" s="16" t="s">
        <v>166</v>
      </c>
      <c r="DE450" s="17" t="s">
        <v>166</v>
      </c>
      <c r="DF450" s="22">
        <v>19</v>
      </c>
      <c r="DG450" s="14" t="s">
        <v>673</v>
      </c>
      <c r="DH450" s="14" t="s">
        <v>193</v>
      </c>
      <c r="DI450" s="14" t="s">
        <v>194</v>
      </c>
      <c r="DJ450" s="14" t="s">
        <v>674</v>
      </c>
      <c r="DK450" s="14" t="s">
        <v>257</v>
      </c>
      <c r="DL450" s="21" t="s">
        <v>1599</v>
      </c>
      <c r="DM450" s="14" t="s">
        <v>198</v>
      </c>
      <c r="DN450" s="13" t="s">
        <v>8813</v>
      </c>
      <c r="DO450" s="20">
        <v>2018</v>
      </c>
      <c r="DP450" s="14" t="s">
        <v>166</v>
      </c>
      <c r="DQ450" s="14" t="s">
        <v>166</v>
      </c>
      <c r="DR450" s="18" t="s">
        <v>166</v>
      </c>
      <c r="DS450" s="16" t="s">
        <v>166</v>
      </c>
      <c r="DT450" s="19" t="s">
        <v>166</v>
      </c>
      <c r="DU450" s="14" t="s">
        <v>166</v>
      </c>
      <c r="DV450" s="18" t="s">
        <v>166</v>
      </c>
      <c r="DW450" s="18" t="s">
        <v>166</v>
      </c>
      <c r="DX450" s="16" t="s">
        <v>166</v>
      </c>
      <c r="DY450" s="16" t="s">
        <v>166</v>
      </c>
      <c r="DZ450" s="17" t="s">
        <v>166</v>
      </c>
      <c r="EA450" s="16" t="s">
        <v>166</v>
      </c>
      <c r="EB450" s="16" t="s">
        <v>166</v>
      </c>
      <c r="EC450" s="16" t="s">
        <v>166</v>
      </c>
      <c r="ED450" s="17" t="s">
        <v>166</v>
      </c>
      <c r="EE450" s="17" t="s">
        <v>166</v>
      </c>
      <c r="EF450" s="17" t="s">
        <v>166</v>
      </c>
      <c r="EG450" s="17" t="s">
        <v>166</v>
      </c>
      <c r="EH450" s="16" t="s">
        <v>166</v>
      </c>
      <c r="EI450" s="16" t="s">
        <v>166</v>
      </c>
      <c r="EJ450" s="16" t="s">
        <v>166</v>
      </c>
      <c r="EK450" s="16" t="s">
        <v>166</v>
      </c>
      <c r="EL450" s="16" t="s">
        <v>166</v>
      </c>
      <c r="EM450" s="16" t="s">
        <v>166</v>
      </c>
      <c r="EN450" s="16" t="s">
        <v>166</v>
      </c>
      <c r="EO450" s="16" t="s">
        <v>166</v>
      </c>
      <c r="EP450" s="16" t="s">
        <v>166</v>
      </c>
      <c r="EQ450" s="16" t="s">
        <v>166</v>
      </c>
      <c r="ER450" s="16" t="s">
        <v>166</v>
      </c>
      <c r="ES450" s="16" t="s">
        <v>166</v>
      </c>
      <c r="ET450" s="14" t="s">
        <v>166</v>
      </c>
      <c r="EU450" s="16" t="s">
        <v>166</v>
      </c>
      <c r="EV450" s="16" t="s">
        <v>166</v>
      </c>
      <c r="EW450" s="16" t="s">
        <v>166</v>
      </c>
      <c r="EX450" s="14" t="s">
        <v>190</v>
      </c>
      <c r="EY450" s="14" t="s">
        <v>166</v>
      </c>
      <c r="EZ450" s="16" t="s">
        <v>166</v>
      </c>
      <c r="FA450" s="15" t="s">
        <v>166</v>
      </c>
      <c r="FB450" s="15" t="s">
        <v>166</v>
      </c>
      <c r="FC450" s="15" t="s">
        <v>166</v>
      </c>
      <c r="FD450" s="15" t="s">
        <v>166</v>
      </c>
      <c r="FE450" s="15" t="s">
        <v>166</v>
      </c>
      <c r="FF450" s="15" t="s">
        <v>166</v>
      </c>
      <c r="FG450" s="14" t="s">
        <v>166</v>
      </c>
      <c r="FH450" s="3">
        <f>HYPERLINK("https://my.pitchbook.com?c=133276-33T","View Company Online")</f>
      </c>
    </row>
    <row r="451">
      <c r="A451" s="25" t="s">
        <v>8814</v>
      </c>
      <c r="B451" s="25" t="s">
        <v>8815</v>
      </c>
      <c r="C451" s="25" t="s">
        <v>8816</v>
      </c>
      <c r="D451" s="25" t="s">
        <v>166</v>
      </c>
      <c r="E451" s="34" t="s">
        <v>8817</v>
      </c>
      <c r="F451" s="32">
        <v>5</v>
      </c>
      <c r="G451" s="25" t="s">
        <v>8818</v>
      </c>
      <c r="H451" s="25" t="s">
        <v>166</v>
      </c>
      <c r="I451" s="25" t="s">
        <v>8819</v>
      </c>
      <c r="J451" s="25" t="s">
        <v>8820</v>
      </c>
      <c r="K451" s="25" t="s">
        <v>207</v>
      </c>
      <c r="L451" s="25" t="s">
        <v>208</v>
      </c>
      <c r="M451" s="25" t="s">
        <v>209</v>
      </c>
      <c r="N451" s="25" t="s">
        <v>8821</v>
      </c>
      <c r="O451" s="25" t="s">
        <v>2250</v>
      </c>
      <c r="P451" s="25" t="s">
        <v>8822</v>
      </c>
      <c r="Q451" s="25" t="s">
        <v>166</v>
      </c>
      <c r="R451" s="25" t="s">
        <v>177</v>
      </c>
      <c r="S451" s="25" t="s">
        <v>178</v>
      </c>
      <c r="T451" s="25" t="s">
        <v>179</v>
      </c>
      <c r="U451" s="25" t="s">
        <v>8823</v>
      </c>
      <c r="V451" s="25" t="s">
        <v>8824</v>
      </c>
      <c r="W451" s="32" t="s">
        <v>8825</v>
      </c>
      <c r="X451" s="25" t="s">
        <v>166</v>
      </c>
      <c r="Y451" s="25" t="s">
        <v>8826</v>
      </c>
      <c r="Z451" s="25" t="s">
        <v>8827</v>
      </c>
      <c r="AA451" s="25" t="s">
        <v>242</v>
      </c>
      <c r="AB451" s="25" t="s">
        <v>243</v>
      </c>
      <c r="AC451" s="25" t="s">
        <v>244</v>
      </c>
      <c r="AD451" s="25" t="s">
        <v>243</v>
      </c>
      <c r="AE451" s="25" t="s">
        <v>243</v>
      </c>
      <c r="AF451" s="25" t="s">
        <v>166</v>
      </c>
      <c r="AG451" s="25" t="s">
        <v>246</v>
      </c>
      <c r="AH451" s="32">
        <v>2</v>
      </c>
      <c r="AI451" s="4">
        <f>HYPERLINK("https://my.pitchbook.com/?d=232556-59T","232556-59T")</f>
      </c>
      <c r="AJ451" s="30">
        <v>45121</v>
      </c>
      <c r="AK451" s="30">
        <v>45217</v>
      </c>
      <c r="AL451" s="29">
        <v>3.5</v>
      </c>
      <c r="AM451" s="25" t="s">
        <v>185</v>
      </c>
      <c r="AN451" s="29">
        <v>10</v>
      </c>
      <c r="AO451" s="29">
        <v>13.5</v>
      </c>
      <c r="AP451" s="25" t="s">
        <v>185</v>
      </c>
      <c r="AQ451" s="32" t="s">
        <v>166</v>
      </c>
      <c r="AR451" s="32" t="s">
        <v>166</v>
      </c>
      <c r="AS451" s="28">
        <v>26.95</v>
      </c>
      <c r="AT451" s="29">
        <v>3.55</v>
      </c>
      <c r="AU451" s="32" t="s">
        <v>186</v>
      </c>
      <c r="AV451" s="32" t="s">
        <v>166</v>
      </c>
      <c r="AW451" s="29">
        <v>0.95</v>
      </c>
      <c r="AX451" s="32" t="s">
        <v>166</v>
      </c>
      <c r="AY451" s="25" t="s">
        <v>217</v>
      </c>
      <c r="AZ451" s="25" t="s">
        <v>217</v>
      </c>
      <c r="BA451" s="25" t="s">
        <v>166</v>
      </c>
      <c r="BB451" s="32" t="s">
        <v>166</v>
      </c>
      <c r="BC451" s="25" t="s">
        <v>179</v>
      </c>
      <c r="BD451" s="25" t="s">
        <v>8828</v>
      </c>
      <c r="BE451" s="25" t="s">
        <v>189</v>
      </c>
      <c r="BF451" s="29">
        <v>3.5</v>
      </c>
      <c r="BG451" s="25" t="s">
        <v>190</v>
      </c>
      <c r="BH451" s="25" t="s">
        <v>166</v>
      </c>
      <c r="BI451" s="25" t="s">
        <v>166</v>
      </c>
      <c r="BJ451" s="29" t="s">
        <v>166</v>
      </c>
      <c r="BK451" s="29" t="s">
        <v>166</v>
      </c>
      <c r="BL451" s="25" t="s">
        <v>191</v>
      </c>
      <c r="BM451" s="25" t="s">
        <v>178</v>
      </c>
      <c r="BN451" s="25" t="s">
        <v>177</v>
      </c>
      <c r="BO451" s="33" t="s">
        <v>166</v>
      </c>
      <c r="BP451" s="25" t="s">
        <v>8829</v>
      </c>
      <c r="BQ451" s="32">
        <v>4</v>
      </c>
      <c r="BR451" s="25" t="s">
        <v>8830</v>
      </c>
      <c r="BS451" s="32">
        <v>1</v>
      </c>
      <c r="BT451" s="25" t="s">
        <v>3879</v>
      </c>
      <c r="BU451" s="25" t="s">
        <v>166</v>
      </c>
      <c r="BV451" s="25" t="s">
        <v>166</v>
      </c>
      <c r="BW451" s="25" t="s">
        <v>166</v>
      </c>
      <c r="BX451" s="25" t="s">
        <v>166</v>
      </c>
      <c r="BY451" s="25" t="s">
        <v>166</v>
      </c>
      <c r="BZ451" s="25" t="s">
        <v>166</v>
      </c>
      <c r="CA451" s="25" t="s">
        <v>166</v>
      </c>
      <c r="CB451" s="25" t="s">
        <v>166</v>
      </c>
      <c r="CC451" s="25" t="s">
        <v>166</v>
      </c>
      <c r="CD451" s="25" t="s">
        <v>166</v>
      </c>
      <c r="CE451" s="29" t="s">
        <v>166</v>
      </c>
      <c r="CF451" s="27" t="s">
        <v>166</v>
      </c>
      <c r="CG451" s="28" t="s">
        <v>166</v>
      </c>
      <c r="CH451" s="27" t="s">
        <v>166</v>
      </c>
      <c r="CI451" s="27" t="s">
        <v>166</v>
      </c>
      <c r="CJ451" s="27" t="s">
        <v>166</v>
      </c>
      <c r="CK451" s="27" t="s">
        <v>166</v>
      </c>
      <c r="CL451" s="27" t="s">
        <v>166</v>
      </c>
      <c r="CM451" s="31" t="s">
        <v>166</v>
      </c>
      <c r="CN451" s="27" t="s">
        <v>166</v>
      </c>
      <c r="CO451" s="27" t="s">
        <v>166</v>
      </c>
      <c r="CP451" s="27" t="s">
        <v>166</v>
      </c>
      <c r="CQ451" s="27" t="s">
        <v>166</v>
      </c>
      <c r="CR451" s="27" t="s">
        <v>166</v>
      </c>
      <c r="CS451" s="27" t="s">
        <v>166</v>
      </c>
      <c r="CT451" s="27" t="s">
        <v>166</v>
      </c>
      <c r="CU451" s="27" t="s">
        <v>166</v>
      </c>
      <c r="CV451" s="27" t="s">
        <v>166</v>
      </c>
      <c r="CW451" s="27" t="s">
        <v>166</v>
      </c>
      <c r="CX451" s="27" t="s">
        <v>166</v>
      </c>
      <c r="CY451" s="27" t="s">
        <v>166</v>
      </c>
      <c r="CZ451" s="27" t="s">
        <v>166</v>
      </c>
      <c r="DA451" s="27" t="s">
        <v>166</v>
      </c>
      <c r="DB451" s="27" t="s">
        <v>166</v>
      </c>
      <c r="DC451" s="27" t="s">
        <v>166</v>
      </c>
      <c r="DD451" s="27" t="s">
        <v>166</v>
      </c>
      <c r="DE451" s="28" t="s">
        <v>166</v>
      </c>
      <c r="DF451" s="33">
        <v>2</v>
      </c>
      <c r="DG451" s="25" t="s">
        <v>2541</v>
      </c>
      <c r="DH451" s="25" t="s">
        <v>193</v>
      </c>
      <c r="DI451" s="25" t="s">
        <v>194</v>
      </c>
      <c r="DJ451" s="25" t="s">
        <v>2542</v>
      </c>
      <c r="DK451" s="25" t="s">
        <v>196</v>
      </c>
      <c r="DL451" s="32" t="s">
        <v>8831</v>
      </c>
      <c r="DM451" s="25" t="s">
        <v>198</v>
      </c>
      <c r="DN451" s="24" t="s">
        <v>8832</v>
      </c>
      <c r="DO451" s="31">
        <v>2021</v>
      </c>
      <c r="DP451" s="25" t="s">
        <v>166</v>
      </c>
      <c r="DQ451" s="25" t="s">
        <v>166</v>
      </c>
      <c r="DR451" s="29" t="s">
        <v>166</v>
      </c>
      <c r="DS451" s="27" t="s">
        <v>166</v>
      </c>
      <c r="DT451" s="30" t="s">
        <v>166</v>
      </c>
      <c r="DU451" s="25" t="s">
        <v>166</v>
      </c>
      <c r="DV451" s="29" t="s">
        <v>166</v>
      </c>
      <c r="DW451" s="29" t="s">
        <v>166</v>
      </c>
      <c r="DX451" s="27" t="s">
        <v>166</v>
      </c>
      <c r="DY451" s="27" t="s">
        <v>166</v>
      </c>
      <c r="DZ451" s="28" t="s">
        <v>166</v>
      </c>
      <c r="EA451" s="27" t="s">
        <v>166</v>
      </c>
      <c r="EB451" s="27" t="s">
        <v>166</v>
      </c>
      <c r="EC451" s="27" t="s">
        <v>166</v>
      </c>
      <c r="ED451" s="28" t="s">
        <v>166</v>
      </c>
      <c r="EE451" s="28" t="s">
        <v>166</v>
      </c>
      <c r="EF451" s="28" t="s">
        <v>166</v>
      </c>
      <c r="EG451" s="28" t="s">
        <v>166</v>
      </c>
      <c r="EH451" s="27" t="s">
        <v>166</v>
      </c>
      <c r="EI451" s="27" t="s">
        <v>166</v>
      </c>
      <c r="EJ451" s="27" t="s">
        <v>166</v>
      </c>
      <c r="EK451" s="27" t="s">
        <v>166</v>
      </c>
      <c r="EL451" s="27" t="s">
        <v>166</v>
      </c>
      <c r="EM451" s="27" t="s">
        <v>166</v>
      </c>
      <c r="EN451" s="27" t="s">
        <v>166</v>
      </c>
      <c r="EO451" s="27" t="s">
        <v>166</v>
      </c>
      <c r="EP451" s="27" t="s">
        <v>166</v>
      </c>
      <c r="EQ451" s="27" t="s">
        <v>166</v>
      </c>
      <c r="ER451" s="27" t="s">
        <v>166</v>
      </c>
      <c r="ES451" s="27" t="s">
        <v>166</v>
      </c>
      <c r="ET451" s="25" t="s">
        <v>166</v>
      </c>
      <c r="EU451" s="27" t="s">
        <v>166</v>
      </c>
      <c r="EV451" s="27" t="s">
        <v>166</v>
      </c>
      <c r="EW451" s="27" t="s">
        <v>166</v>
      </c>
      <c r="EX451" s="25" t="s">
        <v>190</v>
      </c>
      <c r="EY451" s="25" t="s">
        <v>166</v>
      </c>
      <c r="EZ451" s="27" t="s">
        <v>166</v>
      </c>
      <c r="FA451" s="26" t="s">
        <v>166</v>
      </c>
      <c r="FB451" s="26" t="s">
        <v>166</v>
      </c>
      <c r="FC451" s="26" t="s">
        <v>166</v>
      </c>
      <c r="FD451" s="26" t="s">
        <v>166</v>
      </c>
      <c r="FE451" s="26" t="s">
        <v>166</v>
      </c>
      <c r="FF451" s="26" t="s">
        <v>166</v>
      </c>
      <c r="FG451" s="25" t="s">
        <v>166</v>
      </c>
      <c r="FH451" s="4">
        <f>HYPERLINK("https://my.pitchbook.com?c=232556-59T","View Company Online")</f>
      </c>
    </row>
    <row r="452">
      <c r="A452" s="14" t="s">
        <v>8833</v>
      </c>
      <c r="B452" s="14" t="s">
        <v>8834</v>
      </c>
      <c r="C452" s="14" t="s">
        <v>8835</v>
      </c>
      <c r="D452" s="14" t="s">
        <v>166</v>
      </c>
      <c r="E452" s="23" t="s">
        <v>8836</v>
      </c>
      <c r="F452" s="21">
        <v>2</v>
      </c>
      <c r="G452" s="14" t="s">
        <v>8837</v>
      </c>
      <c r="H452" s="14" t="s">
        <v>166</v>
      </c>
      <c r="I452" s="14" t="s">
        <v>8838</v>
      </c>
      <c r="J452" s="14" t="s">
        <v>8839</v>
      </c>
      <c r="K452" s="14" t="s">
        <v>207</v>
      </c>
      <c r="L452" s="14" t="s">
        <v>208</v>
      </c>
      <c r="M452" s="14" t="s">
        <v>209</v>
      </c>
      <c r="N452" s="14" t="s">
        <v>8840</v>
      </c>
      <c r="O452" s="14" t="s">
        <v>8841</v>
      </c>
      <c r="P452" s="14" t="s">
        <v>8842</v>
      </c>
      <c r="Q452" s="14" t="s">
        <v>166</v>
      </c>
      <c r="R452" s="14" t="s">
        <v>177</v>
      </c>
      <c r="S452" s="14" t="s">
        <v>178</v>
      </c>
      <c r="T452" s="14" t="s">
        <v>1401</v>
      </c>
      <c r="U452" s="14" t="s">
        <v>8843</v>
      </c>
      <c r="V452" s="14" t="s">
        <v>8844</v>
      </c>
      <c r="W452" s="21" t="s">
        <v>8845</v>
      </c>
      <c r="X452" s="14" t="s">
        <v>8846</v>
      </c>
      <c r="Y452" s="14" t="s">
        <v>8847</v>
      </c>
      <c r="Z452" s="14" t="s">
        <v>166</v>
      </c>
      <c r="AA452" s="14" t="s">
        <v>166</v>
      </c>
      <c r="AB452" s="14" t="s">
        <v>166</v>
      </c>
      <c r="AC452" s="14" t="s">
        <v>166</v>
      </c>
      <c r="AD452" s="14" t="s">
        <v>166</v>
      </c>
      <c r="AE452" s="14" t="s">
        <v>166</v>
      </c>
      <c r="AF452" s="14" t="s">
        <v>166</v>
      </c>
      <c r="AG452" s="14" t="s">
        <v>166</v>
      </c>
      <c r="AH452" s="21">
        <v>2</v>
      </c>
      <c r="AI452" s="3">
        <f>HYPERLINK("https://my.pitchbook.com/?d=248714-47T","248714-47T")</f>
      </c>
      <c r="AJ452" s="19" t="s">
        <v>166</v>
      </c>
      <c r="AK452" s="19">
        <v>45251</v>
      </c>
      <c r="AL452" s="18">
        <v>5</v>
      </c>
      <c r="AM452" s="14" t="s">
        <v>185</v>
      </c>
      <c r="AN452" s="18" t="s">
        <v>166</v>
      </c>
      <c r="AO452" s="18" t="s">
        <v>166</v>
      </c>
      <c r="AP452" s="14" t="s">
        <v>166</v>
      </c>
      <c r="AQ452" s="21" t="s">
        <v>166</v>
      </c>
      <c r="AR452" s="21" t="s">
        <v>166</v>
      </c>
      <c r="AS452" s="17" t="s">
        <v>166</v>
      </c>
      <c r="AT452" s="18">
        <v>5.25</v>
      </c>
      <c r="AU452" s="21" t="s">
        <v>186</v>
      </c>
      <c r="AV452" s="21" t="s">
        <v>166</v>
      </c>
      <c r="AW452" s="18" t="s">
        <v>166</v>
      </c>
      <c r="AX452" s="21" t="s">
        <v>6753</v>
      </c>
      <c r="AY452" s="14" t="s">
        <v>249</v>
      </c>
      <c r="AZ452" s="14" t="s">
        <v>6753</v>
      </c>
      <c r="BA452" s="14" t="s">
        <v>166</v>
      </c>
      <c r="BB452" s="21" t="s">
        <v>166</v>
      </c>
      <c r="BC452" s="14" t="s">
        <v>179</v>
      </c>
      <c r="BD452" s="14" t="s">
        <v>8848</v>
      </c>
      <c r="BE452" s="14" t="s">
        <v>189</v>
      </c>
      <c r="BF452" s="18">
        <v>5</v>
      </c>
      <c r="BG452" s="14" t="s">
        <v>190</v>
      </c>
      <c r="BH452" s="14" t="s">
        <v>166</v>
      </c>
      <c r="BI452" s="14" t="s">
        <v>166</v>
      </c>
      <c r="BJ452" s="18" t="s">
        <v>166</v>
      </c>
      <c r="BK452" s="18" t="s">
        <v>166</v>
      </c>
      <c r="BL452" s="14" t="s">
        <v>191</v>
      </c>
      <c r="BM452" s="14" t="s">
        <v>178</v>
      </c>
      <c r="BN452" s="14" t="s">
        <v>177</v>
      </c>
      <c r="BO452" s="22" t="s">
        <v>166</v>
      </c>
      <c r="BP452" s="14" t="s">
        <v>8836</v>
      </c>
      <c r="BQ452" s="21">
        <v>2</v>
      </c>
      <c r="BR452" s="14" t="s">
        <v>166</v>
      </c>
      <c r="BS452" s="21" t="s">
        <v>166</v>
      </c>
      <c r="BT452" s="14" t="s">
        <v>166</v>
      </c>
      <c r="BU452" s="14" t="s">
        <v>166</v>
      </c>
      <c r="BV452" s="14" t="s">
        <v>8849</v>
      </c>
      <c r="BW452" s="14" t="s">
        <v>166</v>
      </c>
      <c r="BX452" s="14" t="s">
        <v>166</v>
      </c>
      <c r="BY452" s="14" t="s">
        <v>166</v>
      </c>
      <c r="BZ452" s="14" t="s">
        <v>166</v>
      </c>
      <c r="CA452" s="14" t="s">
        <v>166</v>
      </c>
      <c r="CB452" s="14" t="s">
        <v>166</v>
      </c>
      <c r="CC452" s="14" t="s">
        <v>166</v>
      </c>
      <c r="CD452" s="14" t="s">
        <v>166</v>
      </c>
      <c r="CE452" s="18" t="s">
        <v>166</v>
      </c>
      <c r="CF452" s="16" t="s">
        <v>166</v>
      </c>
      <c r="CG452" s="17" t="s">
        <v>166</v>
      </c>
      <c r="CH452" s="16" t="s">
        <v>166</v>
      </c>
      <c r="CI452" s="16" t="s">
        <v>166</v>
      </c>
      <c r="CJ452" s="16" t="s">
        <v>166</v>
      </c>
      <c r="CK452" s="16" t="s">
        <v>166</v>
      </c>
      <c r="CL452" s="16" t="s">
        <v>166</v>
      </c>
      <c r="CM452" s="20" t="s">
        <v>166</v>
      </c>
      <c r="CN452" s="16" t="s">
        <v>166</v>
      </c>
      <c r="CO452" s="16" t="s">
        <v>166</v>
      </c>
      <c r="CP452" s="16" t="s">
        <v>166</v>
      </c>
      <c r="CQ452" s="16" t="s">
        <v>166</v>
      </c>
      <c r="CR452" s="16" t="s">
        <v>166</v>
      </c>
      <c r="CS452" s="16" t="s">
        <v>166</v>
      </c>
      <c r="CT452" s="16" t="s">
        <v>166</v>
      </c>
      <c r="CU452" s="16" t="s">
        <v>166</v>
      </c>
      <c r="CV452" s="16" t="s">
        <v>166</v>
      </c>
      <c r="CW452" s="16" t="s">
        <v>166</v>
      </c>
      <c r="CX452" s="16" t="s">
        <v>166</v>
      </c>
      <c r="CY452" s="16" t="s">
        <v>166</v>
      </c>
      <c r="CZ452" s="16" t="s">
        <v>166</v>
      </c>
      <c r="DA452" s="16" t="s">
        <v>166</v>
      </c>
      <c r="DB452" s="16" t="s">
        <v>166</v>
      </c>
      <c r="DC452" s="16" t="s">
        <v>166</v>
      </c>
      <c r="DD452" s="16" t="s">
        <v>166</v>
      </c>
      <c r="DE452" s="17" t="s">
        <v>166</v>
      </c>
      <c r="DF452" s="22">
        <v>48</v>
      </c>
      <c r="DG452" s="14" t="s">
        <v>7705</v>
      </c>
      <c r="DH452" s="14" t="s">
        <v>193</v>
      </c>
      <c r="DI452" s="14" t="s">
        <v>194</v>
      </c>
      <c r="DJ452" s="14" t="s">
        <v>5730</v>
      </c>
      <c r="DK452" s="14" t="s">
        <v>7706</v>
      </c>
      <c r="DL452" s="21" t="s">
        <v>7707</v>
      </c>
      <c r="DM452" s="14" t="s">
        <v>198</v>
      </c>
      <c r="DN452" s="13" t="s">
        <v>8850</v>
      </c>
      <c r="DO452" s="20">
        <v>2012</v>
      </c>
      <c r="DP452" s="14" t="s">
        <v>166</v>
      </c>
      <c r="DQ452" s="14" t="s">
        <v>166</v>
      </c>
      <c r="DR452" s="18" t="s">
        <v>166</v>
      </c>
      <c r="DS452" s="16" t="s">
        <v>166</v>
      </c>
      <c r="DT452" s="19" t="s">
        <v>166</v>
      </c>
      <c r="DU452" s="14" t="s">
        <v>166</v>
      </c>
      <c r="DV452" s="18" t="s">
        <v>166</v>
      </c>
      <c r="DW452" s="18" t="s">
        <v>166</v>
      </c>
      <c r="DX452" s="16" t="s">
        <v>166</v>
      </c>
      <c r="DY452" s="16" t="s">
        <v>166</v>
      </c>
      <c r="DZ452" s="17" t="s">
        <v>166</v>
      </c>
      <c r="EA452" s="16" t="s">
        <v>166</v>
      </c>
      <c r="EB452" s="16" t="s">
        <v>166</v>
      </c>
      <c r="EC452" s="16" t="s">
        <v>166</v>
      </c>
      <c r="ED452" s="17" t="s">
        <v>166</v>
      </c>
      <c r="EE452" s="17" t="s">
        <v>166</v>
      </c>
      <c r="EF452" s="17" t="s">
        <v>166</v>
      </c>
      <c r="EG452" s="17" t="s">
        <v>166</v>
      </c>
      <c r="EH452" s="16" t="s">
        <v>166</v>
      </c>
      <c r="EI452" s="16" t="s">
        <v>166</v>
      </c>
      <c r="EJ452" s="16" t="s">
        <v>166</v>
      </c>
      <c r="EK452" s="16" t="s">
        <v>166</v>
      </c>
      <c r="EL452" s="16" t="s">
        <v>166</v>
      </c>
      <c r="EM452" s="16" t="s">
        <v>166</v>
      </c>
      <c r="EN452" s="16" t="s">
        <v>166</v>
      </c>
      <c r="EO452" s="16" t="s">
        <v>166</v>
      </c>
      <c r="EP452" s="16" t="s">
        <v>166</v>
      </c>
      <c r="EQ452" s="16" t="s">
        <v>166</v>
      </c>
      <c r="ER452" s="16" t="s">
        <v>166</v>
      </c>
      <c r="ES452" s="16" t="s">
        <v>166</v>
      </c>
      <c r="ET452" s="14" t="s">
        <v>166</v>
      </c>
      <c r="EU452" s="16" t="s">
        <v>166</v>
      </c>
      <c r="EV452" s="16" t="s">
        <v>166</v>
      </c>
      <c r="EW452" s="16" t="s">
        <v>166</v>
      </c>
      <c r="EX452" s="14" t="s">
        <v>190</v>
      </c>
      <c r="EY452" s="14" t="s">
        <v>166</v>
      </c>
      <c r="EZ452" s="16" t="s">
        <v>166</v>
      </c>
      <c r="FA452" s="15" t="s">
        <v>166</v>
      </c>
      <c r="FB452" s="15" t="s">
        <v>166</v>
      </c>
      <c r="FC452" s="15" t="s">
        <v>166</v>
      </c>
      <c r="FD452" s="15" t="s">
        <v>166</v>
      </c>
      <c r="FE452" s="15" t="s">
        <v>166</v>
      </c>
      <c r="FF452" s="15" t="s">
        <v>166</v>
      </c>
      <c r="FG452" s="14" t="s">
        <v>166</v>
      </c>
      <c r="FH452" s="3">
        <f>HYPERLINK("https://my.pitchbook.com?c=248714-47T","View Company Online")</f>
      </c>
    </row>
    <row r="453">
      <c r="A453" s="25" t="s">
        <v>8851</v>
      </c>
      <c r="B453" s="25" t="s">
        <v>8852</v>
      </c>
      <c r="C453" s="25" t="s">
        <v>8853</v>
      </c>
      <c r="D453" s="25" t="s">
        <v>166</v>
      </c>
      <c r="E453" s="34" t="s">
        <v>8854</v>
      </c>
      <c r="F453" s="32">
        <v>1</v>
      </c>
      <c r="G453" s="25" t="s">
        <v>8855</v>
      </c>
      <c r="H453" s="25" t="s">
        <v>166</v>
      </c>
      <c r="I453" s="25" t="s">
        <v>8856</v>
      </c>
      <c r="J453" s="25" t="s">
        <v>8857</v>
      </c>
      <c r="K453" s="25" t="s">
        <v>207</v>
      </c>
      <c r="L453" s="25" t="s">
        <v>208</v>
      </c>
      <c r="M453" s="25" t="s">
        <v>209</v>
      </c>
      <c r="N453" s="25" t="s">
        <v>269</v>
      </c>
      <c r="O453" s="25" t="s">
        <v>8858</v>
      </c>
      <c r="P453" s="25" t="s">
        <v>8859</v>
      </c>
      <c r="Q453" s="25" t="s">
        <v>166</v>
      </c>
      <c r="R453" s="25" t="s">
        <v>177</v>
      </c>
      <c r="S453" s="25" t="s">
        <v>178</v>
      </c>
      <c r="T453" s="25" t="s">
        <v>179</v>
      </c>
      <c r="U453" s="25" t="s">
        <v>8860</v>
      </c>
      <c r="V453" s="25" t="s">
        <v>8861</v>
      </c>
      <c r="W453" s="32" t="s">
        <v>8862</v>
      </c>
      <c r="X453" s="25" t="s">
        <v>8863</v>
      </c>
      <c r="Y453" s="25" t="s">
        <v>8864</v>
      </c>
      <c r="Z453" s="25" t="s">
        <v>8865</v>
      </c>
      <c r="AA453" s="25" t="s">
        <v>242</v>
      </c>
      <c r="AB453" s="25" t="s">
        <v>243</v>
      </c>
      <c r="AC453" s="25" t="s">
        <v>244</v>
      </c>
      <c r="AD453" s="25" t="s">
        <v>243</v>
      </c>
      <c r="AE453" s="25" t="s">
        <v>243</v>
      </c>
      <c r="AF453" s="25" t="s">
        <v>166</v>
      </c>
      <c r="AG453" s="25" t="s">
        <v>246</v>
      </c>
      <c r="AH453" s="32">
        <v>1</v>
      </c>
      <c r="AI453" s="4">
        <f>HYPERLINK("https://my.pitchbook.com/?d=248286-79T","248286-79T")</f>
      </c>
      <c r="AJ453" s="30">
        <v>45280</v>
      </c>
      <c r="AK453" s="30">
        <v>45427</v>
      </c>
      <c r="AL453" s="29">
        <v>3.14</v>
      </c>
      <c r="AM453" s="25" t="s">
        <v>185</v>
      </c>
      <c r="AN453" s="29">
        <v>10</v>
      </c>
      <c r="AO453" s="29">
        <v>13.14</v>
      </c>
      <c r="AP453" s="25" t="s">
        <v>185</v>
      </c>
      <c r="AQ453" s="32" t="s">
        <v>166</v>
      </c>
      <c r="AR453" s="32" t="s">
        <v>166</v>
      </c>
      <c r="AS453" s="28">
        <v>27.04</v>
      </c>
      <c r="AT453" s="29">
        <v>3.14</v>
      </c>
      <c r="AU453" s="32" t="s">
        <v>186</v>
      </c>
      <c r="AV453" s="32" t="s">
        <v>166</v>
      </c>
      <c r="AW453" s="29">
        <v>3.9</v>
      </c>
      <c r="AX453" s="32" t="s">
        <v>248</v>
      </c>
      <c r="AY453" s="25" t="s">
        <v>187</v>
      </c>
      <c r="AZ453" s="25" t="s">
        <v>248</v>
      </c>
      <c r="BA453" s="25" t="s">
        <v>166</v>
      </c>
      <c r="BB453" s="32" t="s">
        <v>166</v>
      </c>
      <c r="BC453" s="25" t="s">
        <v>179</v>
      </c>
      <c r="BD453" s="25" t="s">
        <v>8857</v>
      </c>
      <c r="BE453" s="25" t="s">
        <v>189</v>
      </c>
      <c r="BF453" s="29">
        <v>3.14</v>
      </c>
      <c r="BG453" s="25" t="s">
        <v>190</v>
      </c>
      <c r="BH453" s="25" t="s">
        <v>166</v>
      </c>
      <c r="BI453" s="25" t="s">
        <v>166</v>
      </c>
      <c r="BJ453" s="29" t="s">
        <v>166</v>
      </c>
      <c r="BK453" s="29" t="s">
        <v>166</v>
      </c>
      <c r="BL453" s="25" t="s">
        <v>191</v>
      </c>
      <c r="BM453" s="25" t="s">
        <v>178</v>
      </c>
      <c r="BN453" s="25" t="s">
        <v>177</v>
      </c>
      <c r="BO453" s="33" t="s">
        <v>166</v>
      </c>
      <c r="BP453" s="25" t="s">
        <v>8854</v>
      </c>
      <c r="BQ453" s="32">
        <v>1</v>
      </c>
      <c r="BR453" s="25" t="s">
        <v>166</v>
      </c>
      <c r="BS453" s="32" t="s">
        <v>166</v>
      </c>
      <c r="BT453" s="25" t="s">
        <v>8854</v>
      </c>
      <c r="BU453" s="25" t="s">
        <v>166</v>
      </c>
      <c r="BV453" s="25" t="s">
        <v>8866</v>
      </c>
      <c r="BW453" s="25" t="s">
        <v>166</v>
      </c>
      <c r="BX453" s="25" t="s">
        <v>166</v>
      </c>
      <c r="BY453" s="25" t="s">
        <v>166</v>
      </c>
      <c r="BZ453" s="25" t="s">
        <v>8867</v>
      </c>
      <c r="CA453" s="25" t="s">
        <v>8867</v>
      </c>
      <c r="CB453" s="25" t="s">
        <v>166</v>
      </c>
      <c r="CC453" s="25" t="s">
        <v>166</v>
      </c>
      <c r="CD453" s="25" t="s">
        <v>166</v>
      </c>
      <c r="CE453" s="29" t="s">
        <v>166</v>
      </c>
      <c r="CF453" s="27" t="s">
        <v>166</v>
      </c>
      <c r="CG453" s="28" t="s">
        <v>166</v>
      </c>
      <c r="CH453" s="27" t="s">
        <v>166</v>
      </c>
      <c r="CI453" s="27" t="s">
        <v>166</v>
      </c>
      <c r="CJ453" s="27" t="s">
        <v>166</v>
      </c>
      <c r="CK453" s="27" t="s">
        <v>166</v>
      </c>
      <c r="CL453" s="27" t="s">
        <v>166</v>
      </c>
      <c r="CM453" s="31" t="s">
        <v>166</v>
      </c>
      <c r="CN453" s="27" t="s">
        <v>166</v>
      </c>
      <c r="CO453" s="27" t="s">
        <v>166</v>
      </c>
      <c r="CP453" s="27" t="s">
        <v>166</v>
      </c>
      <c r="CQ453" s="27" t="s">
        <v>166</v>
      </c>
      <c r="CR453" s="27" t="s">
        <v>166</v>
      </c>
      <c r="CS453" s="27" t="s">
        <v>166</v>
      </c>
      <c r="CT453" s="27" t="s">
        <v>166</v>
      </c>
      <c r="CU453" s="27" t="s">
        <v>166</v>
      </c>
      <c r="CV453" s="27" t="s">
        <v>166</v>
      </c>
      <c r="CW453" s="27" t="s">
        <v>166</v>
      </c>
      <c r="CX453" s="27" t="s">
        <v>166</v>
      </c>
      <c r="CY453" s="27" t="s">
        <v>166</v>
      </c>
      <c r="CZ453" s="27" t="s">
        <v>166</v>
      </c>
      <c r="DA453" s="27" t="s">
        <v>166</v>
      </c>
      <c r="DB453" s="27" t="s">
        <v>166</v>
      </c>
      <c r="DC453" s="27" t="s">
        <v>166</v>
      </c>
      <c r="DD453" s="27" t="s">
        <v>166</v>
      </c>
      <c r="DE453" s="28" t="s">
        <v>166</v>
      </c>
      <c r="DF453" s="33" t="s">
        <v>166</v>
      </c>
      <c r="DG453" s="25" t="s">
        <v>8868</v>
      </c>
      <c r="DH453" s="25" t="s">
        <v>193</v>
      </c>
      <c r="DI453" s="25" t="s">
        <v>194</v>
      </c>
      <c r="DJ453" s="25" t="s">
        <v>8869</v>
      </c>
      <c r="DK453" s="25" t="s">
        <v>454</v>
      </c>
      <c r="DL453" s="32" t="s">
        <v>8870</v>
      </c>
      <c r="DM453" s="25" t="s">
        <v>198</v>
      </c>
      <c r="DN453" s="24" t="s">
        <v>8871</v>
      </c>
      <c r="DO453" s="31">
        <v>2020</v>
      </c>
      <c r="DP453" s="25" t="s">
        <v>166</v>
      </c>
      <c r="DQ453" s="25" t="s">
        <v>166</v>
      </c>
      <c r="DR453" s="29" t="s">
        <v>166</v>
      </c>
      <c r="DS453" s="27" t="s">
        <v>166</v>
      </c>
      <c r="DT453" s="30" t="s">
        <v>166</v>
      </c>
      <c r="DU453" s="25" t="s">
        <v>166</v>
      </c>
      <c r="DV453" s="29" t="s">
        <v>166</v>
      </c>
      <c r="DW453" s="29" t="s">
        <v>166</v>
      </c>
      <c r="DX453" s="27" t="s">
        <v>166</v>
      </c>
      <c r="DY453" s="27" t="s">
        <v>166</v>
      </c>
      <c r="DZ453" s="28" t="s">
        <v>166</v>
      </c>
      <c r="EA453" s="27" t="s">
        <v>166</v>
      </c>
      <c r="EB453" s="27" t="s">
        <v>166</v>
      </c>
      <c r="EC453" s="27" t="s">
        <v>166</v>
      </c>
      <c r="ED453" s="28" t="s">
        <v>166</v>
      </c>
      <c r="EE453" s="28" t="s">
        <v>166</v>
      </c>
      <c r="EF453" s="28" t="s">
        <v>166</v>
      </c>
      <c r="EG453" s="28" t="s">
        <v>166</v>
      </c>
      <c r="EH453" s="27" t="s">
        <v>166</v>
      </c>
      <c r="EI453" s="27" t="s">
        <v>166</v>
      </c>
      <c r="EJ453" s="27" t="s">
        <v>166</v>
      </c>
      <c r="EK453" s="27" t="s">
        <v>166</v>
      </c>
      <c r="EL453" s="27" t="s">
        <v>166</v>
      </c>
      <c r="EM453" s="27" t="s">
        <v>166</v>
      </c>
      <c r="EN453" s="27" t="s">
        <v>166</v>
      </c>
      <c r="EO453" s="27" t="s">
        <v>166</v>
      </c>
      <c r="EP453" s="27" t="s">
        <v>166</v>
      </c>
      <c r="EQ453" s="27" t="s">
        <v>166</v>
      </c>
      <c r="ER453" s="27" t="s">
        <v>166</v>
      </c>
      <c r="ES453" s="27" t="s">
        <v>166</v>
      </c>
      <c r="ET453" s="25" t="s">
        <v>166</v>
      </c>
      <c r="EU453" s="27" t="s">
        <v>166</v>
      </c>
      <c r="EV453" s="27" t="s">
        <v>166</v>
      </c>
      <c r="EW453" s="27" t="s">
        <v>166</v>
      </c>
      <c r="EX453" s="25" t="s">
        <v>190</v>
      </c>
      <c r="EY453" s="25" t="s">
        <v>166</v>
      </c>
      <c r="EZ453" s="27" t="s">
        <v>166</v>
      </c>
      <c r="FA453" s="26" t="s">
        <v>166</v>
      </c>
      <c r="FB453" s="26" t="s">
        <v>166</v>
      </c>
      <c r="FC453" s="26" t="s">
        <v>166</v>
      </c>
      <c r="FD453" s="26" t="s">
        <v>166</v>
      </c>
      <c r="FE453" s="26" t="s">
        <v>166</v>
      </c>
      <c r="FF453" s="26" t="s">
        <v>166</v>
      </c>
      <c r="FG453" s="25" t="s">
        <v>166</v>
      </c>
      <c r="FH453" s="4">
        <f>HYPERLINK("https://my.pitchbook.com?c=248286-79T","View Company Online")</f>
      </c>
    </row>
    <row r="454">
      <c r="A454" s="14" t="s">
        <v>8872</v>
      </c>
      <c r="B454" s="14" t="s">
        <v>8873</v>
      </c>
      <c r="C454" s="14" t="s">
        <v>8874</v>
      </c>
      <c r="D454" s="14" t="s">
        <v>166</v>
      </c>
      <c r="E454" s="23" t="s">
        <v>8875</v>
      </c>
      <c r="F454" s="21">
        <v>12</v>
      </c>
      <c r="G454" s="14" t="s">
        <v>8876</v>
      </c>
      <c r="H454" s="14" t="s">
        <v>166</v>
      </c>
      <c r="I454" s="14" t="s">
        <v>8877</v>
      </c>
      <c r="J454" s="14" t="s">
        <v>8878</v>
      </c>
      <c r="K454" s="14" t="s">
        <v>207</v>
      </c>
      <c r="L454" s="14" t="s">
        <v>208</v>
      </c>
      <c r="M454" s="14" t="s">
        <v>1261</v>
      </c>
      <c r="N454" s="14" t="s">
        <v>8879</v>
      </c>
      <c r="O454" s="14" t="s">
        <v>8880</v>
      </c>
      <c r="P454" s="14" t="s">
        <v>8881</v>
      </c>
      <c r="Q454" s="14" t="s">
        <v>166</v>
      </c>
      <c r="R454" s="14" t="s">
        <v>177</v>
      </c>
      <c r="S454" s="14" t="s">
        <v>178</v>
      </c>
      <c r="T454" s="14" t="s">
        <v>179</v>
      </c>
      <c r="U454" s="14" t="s">
        <v>8882</v>
      </c>
      <c r="V454" s="14" t="s">
        <v>8883</v>
      </c>
      <c r="W454" s="21" t="s">
        <v>166</v>
      </c>
      <c r="X454" s="14" t="s">
        <v>8884</v>
      </c>
      <c r="Y454" s="14" t="s">
        <v>8885</v>
      </c>
      <c r="Z454" s="14" t="s">
        <v>8886</v>
      </c>
      <c r="AA454" s="14" t="s">
        <v>166</v>
      </c>
      <c r="AB454" s="14" t="s">
        <v>166</v>
      </c>
      <c r="AC454" s="14" t="s">
        <v>166</v>
      </c>
      <c r="AD454" s="14" t="s">
        <v>166</v>
      </c>
      <c r="AE454" s="14" t="s">
        <v>166</v>
      </c>
      <c r="AF454" s="14" t="s">
        <v>166</v>
      </c>
      <c r="AG454" s="14" t="s">
        <v>166</v>
      </c>
      <c r="AH454" s="21">
        <v>1</v>
      </c>
      <c r="AI454" s="3">
        <f>HYPERLINK("https://my.pitchbook.com/?d=157920-13T","157920-13T")</f>
      </c>
      <c r="AJ454" s="19" t="s">
        <v>166</v>
      </c>
      <c r="AK454" s="19">
        <v>44124</v>
      </c>
      <c r="AL454" s="18">
        <v>3.5</v>
      </c>
      <c r="AM454" s="14" t="s">
        <v>185</v>
      </c>
      <c r="AN454" s="18" t="s">
        <v>166</v>
      </c>
      <c r="AO454" s="18" t="s">
        <v>166</v>
      </c>
      <c r="AP454" s="14" t="s">
        <v>166</v>
      </c>
      <c r="AQ454" s="21" t="s">
        <v>166</v>
      </c>
      <c r="AR454" s="21" t="s">
        <v>166</v>
      </c>
      <c r="AS454" s="17" t="s">
        <v>166</v>
      </c>
      <c r="AT454" s="18">
        <v>3.5</v>
      </c>
      <c r="AU454" s="21" t="s">
        <v>186</v>
      </c>
      <c r="AV454" s="21" t="s">
        <v>166</v>
      </c>
      <c r="AW454" s="18" t="s">
        <v>166</v>
      </c>
      <c r="AX454" s="21" t="s">
        <v>166</v>
      </c>
      <c r="AY454" s="14" t="s">
        <v>217</v>
      </c>
      <c r="AZ454" s="14" t="s">
        <v>217</v>
      </c>
      <c r="BA454" s="14" t="s">
        <v>166</v>
      </c>
      <c r="BB454" s="21" t="s">
        <v>166</v>
      </c>
      <c r="BC454" s="14" t="s">
        <v>179</v>
      </c>
      <c r="BD454" s="14" t="s">
        <v>8887</v>
      </c>
      <c r="BE454" s="14" t="s">
        <v>189</v>
      </c>
      <c r="BF454" s="18">
        <v>3.5</v>
      </c>
      <c r="BG454" s="14" t="s">
        <v>190</v>
      </c>
      <c r="BH454" s="14" t="s">
        <v>166</v>
      </c>
      <c r="BI454" s="14" t="s">
        <v>166</v>
      </c>
      <c r="BJ454" s="18" t="s">
        <v>166</v>
      </c>
      <c r="BK454" s="18" t="s">
        <v>166</v>
      </c>
      <c r="BL454" s="14" t="s">
        <v>191</v>
      </c>
      <c r="BM454" s="14" t="s">
        <v>358</v>
      </c>
      <c r="BN454" s="14" t="s">
        <v>177</v>
      </c>
      <c r="BO454" s="22" t="s">
        <v>166</v>
      </c>
      <c r="BP454" s="14" t="s">
        <v>8888</v>
      </c>
      <c r="BQ454" s="21">
        <v>12</v>
      </c>
      <c r="BR454" s="14" t="s">
        <v>166</v>
      </c>
      <c r="BS454" s="21" t="s">
        <v>166</v>
      </c>
      <c r="BT454" s="14" t="s">
        <v>8889</v>
      </c>
      <c r="BU454" s="14" t="s">
        <v>166</v>
      </c>
      <c r="BV454" s="14" t="s">
        <v>8890</v>
      </c>
      <c r="BW454" s="14" t="s">
        <v>166</v>
      </c>
      <c r="BX454" s="14" t="s">
        <v>166</v>
      </c>
      <c r="BY454" s="14" t="s">
        <v>166</v>
      </c>
      <c r="BZ454" s="14" t="s">
        <v>166</v>
      </c>
      <c r="CA454" s="14" t="s">
        <v>166</v>
      </c>
      <c r="CB454" s="14" t="s">
        <v>166</v>
      </c>
      <c r="CC454" s="14" t="s">
        <v>166</v>
      </c>
      <c r="CD454" s="14" t="s">
        <v>166</v>
      </c>
      <c r="CE454" s="18" t="s">
        <v>166</v>
      </c>
      <c r="CF454" s="16" t="s">
        <v>166</v>
      </c>
      <c r="CG454" s="17" t="s">
        <v>166</v>
      </c>
      <c r="CH454" s="16" t="s">
        <v>166</v>
      </c>
      <c r="CI454" s="16" t="s">
        <v>166</v>
      </c>
      <c r="CJ454" s="16" t="s">
        <v>166</v>
      </c>
      <c r="CK454" s="16" t="s">
        <v>166</v>
      </c>
      <c r="CL454" s="16" t="s">
        <v>166</v>
      </c>
      <c r="CM454" s="20" t="s">
        <v>166</v>
      </c>
      <c r="CN454" s="16" t="s">
        <v>166</v>
      </c>
      <c r="CO454" s="16" t="s">
        <v>166</v>
      </c>
      <c r="CP454" s="16" t="s">
        <v>166</v>
      </c>
      <c r="CQ454" s="16" t="s">
        <v>166</v>
      </c>
      <c r="CR454" s="16" t="s">
        <v>166</v>
      </c>
      <c r="CS454" s="16" t="s">
        <v>166</v>
      </c>
      <c r="CT454" s="16" t="s">
        <v>166</v>
      </c>
      <c r="CU454" s="16" t="s">
        <v>166</v>
      </c>
      <c r="CV454" s="16" t="s">
        <v>166</v>
      </c>
      <c r="CW454" s="16" t="s">
        <v>166</v>
      </c>
      <c r="CX454" s="16" t="s">
        <v>166</v>
      </c>
      <c r="CY454" s="16" t="s">
        <v>166</v>
      </c>
      <c r="CZ454" s="16" t="s">
        <v>166</v>
      </c>
      <c r="DA454" s="16" t="s">
        <v>166</v>
      </c>
      <c r="DB454" s="16" t="s">
        <v>166</v>
      </c>
      <c r="DC454" s="16" t="s">
        <v>166</v>
      </c>
      <c r="DD454" s="16" t="s">
        <v>166</v>
      </c>
      <c r="DE454" s="17" t="s">
        <v>166</v>
      </c>
      <c r="DF454" s="22">
        <v>18</v>
      </c>
      <c r="DG454" s="14" t="s">
        <v>384</v>
      </c>
      <c r="DH454" s="14" t="s">
        <v>193</v>
      </c>
      <c r="DI454" s="14" t="s">
        <v>194</v>
      </c>
      <c r="DJ454" s="14" t="s">
        <v>385</v>
      </c>
      <c r="DK454" s="14" t="s">
        <v>386</v>
      </c>
      <c r="DL454" s="21" t="s">
        <v>166</v>
      </c>
      <c r="DM454" s="14" t="s">
        <v>198</v>
      </c>
      <c r="DN454" s="13" t="s">
        <v>8891</v>
      </c>
      <c r="DO454" s="20">
        <v>2020</v>
      </c>
      <c r="DP454" s="14" t="s">
        <v>166</v>
      </c>
      <c r="DQ454" s="14" t="s">
        <v>166</v>
      </c>
      <c r="DR454" s="18" t="s">
        <v>166</v>
      </c>
      <c r="DS454" s="16" t="s">
        <v>166</v>
      </c>
      <c r="DT454" s="19" t="s">
        <v>166</v>
      </c>
      <c r="DU454" s="14" t="s">
        <v>166</v>
      </c>
      <c r="DV454" s="18" t="s">
        <v>166</v>
      </c>
      <c r="DW454" s="18" t="s">
        <v>166</v>
      </c>
      <c r="DX454" s="16" t="s">
        <v>166</v>
      </c>
      <c r="DY454" s="16" t="s">
        <v>166</v>
      </c>
      <c r="DZ454" s="17" t="s">
        <v>166</v>
      </c>
      <c r="EA454" s="16" t="s">
        <v>166</v>
      </c>
      <c r="EB454" s="16" t="s">
        <v>166</v>
      </c>
      <c r="EC454" s="16" t="s">
        <v>166</v>
      </c>
      <c r="ED454" s="17" t="s">
        <v>166</v>
      </c>
      <c r="EE454" s="17" t="s">
        <v>166</v>
      </c>
      <c r="EF454" s="17" t="s">
        <v>166</v>
      </c>
      <c r="EG454" s="17" t="s">
        <v>166</v>
      </c>
      <c r="EH454" s="16" t="s">
        <v>166</v>
      </c>
      <c r="EI454" s="16" t="s">
        <v>166</v>
      </c>
      <c r="EJ454" s="16" t="s">
        <v>166</v>
      </c>
      <c r="EK454" s="16" t="s">
        <v>166</v>
      </c>
      <c r="EL454" s="16" t="s">
        <v>166</v>
      </c>
      <c r="EM454" s="16" t="s">
        <v>166</v>
      </c>
      <c r="EN454" s="16" t="s">
        <v>166</v>
      </c>
      <c r="EO454" s="16" t="s">
        <v>166</v>
      </c>
      <c r="EP454" s="16" t="s">
        <v>166</v>
      </c>
      <c r="EQ454" s="16" t="s">
        <v>166</v>
      </c>
      <c r="ER454" s="16" t="s">
        <v>166</v>
      </c>
      <c r="ES454" s="16" t="s">
        <v>166</v>
      </c>
      <c r="ET454" s="14" t="s">
        <v>166</v>
      </c>
      <c r="EU454" s="16" t="s">
        <v>166</v>
      </c>
      <c r="EV454" s="16" t="s">
        <v>166</v>
      </c>
      <c r="EW454" s="16" t="s">
        <v>166</v>
      </c>
      <c r="EX454" s="14" t="s">
        <v>190</v>
      </c>
      <c r="EY454" s="14" t="s">
        <v>166</v>
      </c>
      <c r="EZ454" s="16" t="s">
        <v>166</v>
      </c>
      <c r="FA454" s="15">
        <v>1</v>
      </c>
      <c r="FB454" s="15">
        <v>1</v>
      </c>
      <c r="FC454" s="15" t="s">
        <v>166</v>
      </c>
      <c r="FD454" s="15" t="s">
        <v>166</v>
      </c>
      <c r="FE454" s="15" t="s">
        <v>166</v>
      </c>
      <c r="FF454" s="15">
        <v>1</v>
      </c>
      <c r="FG454" s="14" t="s">
        <v>166</v>
      </c>
      <c r="FH454" s="3">
        <f>HYPERLINK("https://my.pitchbook.com?c=157920-13T","View Company Online")</f>
      </c>
    </row>
    <row r="455">
      <c r="A455" s="25" t="s">
        <v>8892</v>
      </c>
      <c r="B455" s="25" t="s">
        <v>8893</v>
      </c>
      <c r="C455" s="25" t="s">
        <v>8894</v>
      </c>
      <c r="D455" s="25" t="s">
        <v>166</v>
      </c>
      <c r="E455" s="34" t="s">
        <v>8895</v>
      </c>
      <c r="F455" s="32">
        <v>6</v>
      </c>
      <c r="G455" s="25" t="s">
        <v>8896</v>
      </c>
      <c r="H455" s="25" t="s">
        <v>166</v>
      </c>
      <c r="I455" s="25" t="s">
        <v>8897</v>
      </c>
      <c r="J455" s="25" t="s">
        <v>8898</v>
      </c>
      <c r="K455" s="25" t="s">
        <v>207</v>
      </c>
      <c r="L455" s="25" t="s">
        <v>208</v>
      </c>
      <c r="M455" s="25" t="s">
        <v>1261</v>
      </c>
      <c r="N455" s="25" t="s">
        <v>8899</v>
      </c>
      <c r="O455" s="25" t="s">
        <v>8900</v>
      </c>
      <c r="P455" s="25" t="s">
        <v>8901</v>
      </c>
      <c r="Q455" s="25" t="s">
        <v>166</v>
      </c>
      <c r="R455" s="25" t="s">
        <v>177</v>
      </c>
      <c r="S455" s="25" t="s">
        <v>178</v>
      </c>
      <c r="T455" s="25" t="s">
        <v>179</v>
      </c>
      <c r="U455" s="25" t="s">
        <v>8902</v>
      </c>
      <c r="V455" s="25" t="s">
        <v>8903</v>
      </c>
      <c r="W455" s="32" t="s">
        <v>166</v>
      </c>
      <c r="X455" s="25" t="s">
        <v>166</v>
      </c>
      <c r="Y455" s="25" t="s">
        <v>8904</v>
      </c>
      <c r="Z455" s="25" t="s">
        <v>8905</v>
      </c>
      <c r="AA455" s="25" t="s">
        <v>166</v>
      </c>
      <c r="AB455" s="25" t="s">
        <v>166</v>
      </c>
      <c r="AC455" s="25" t="s">
        <v>166</v>
      </c>
      <c r="AD455" s="25" t="s">
        <v>166</v>
      </c>
      <c r="AE455" s="25" t="s">
        <v>166</v>
      </c>
      <c r="AF455" s="25" t="s">
        <v>166</v>
      </c>
      <c r="AG455" s="25" t="s">
        <v>166</v>
      </c>
      <c r="AH455" s="32">
        <v>3</v>
      </c>
      <c r="AI455" s="4">
        <f>HYPERLINK("https://my.pitchbook.com/?d=180405-37T","180405-37T")</f>
      </c>
      <c r="AJ455" s="30" t="s">
        <v>166</v>
      </c>
      <c r="AK455" s="30">
        <v>44197</v>
      </c>
      <c r="AL455" s="29">
        <v>2</v>
      </c>
      <c r="AM455" s="25" t="s">
        <v>185</v>
      </c>
      <c r="AN455" s="29" t="s">
        <v>166</v>
      </c>
      <c r="AO455" s="29" t="s">
        <v>166</v>
      </c>
      <c r="AP455" s="25" t="s">
        <v>166</v>
      </c>
      <c r="AQ455" s="32" t="s">
        <v>166</v>
      </c>
      <c r="AR455" s="32" t="s">
        <v>166</v>
      </c>
      <c r="AS455" s="28" t="s">
        <v>166</v>
      </c>
      <c r="AT455" s="29">
        <v>2.4</v>
      </c>
      <c r="AU455" s="32" t="s">
        <v>186</v>
      </c>
      <c r="AV455" s="32" t="s">
        <v>166</v>
      </c>
      <c r="AW455" s="29" t="s">
        <v>166</v>
      </c>
      <c r="AX455" s="32" t="s">
        <v>166</v>
      </c>
      <c r="AY455" s="25" t="s">
        <v>187</v>
      </c>
      <c r="AZ455" s="25" t="s">
        <v>166</v>
      </c>
      <c r="BA455" s="25" t="s">
        <v>166</v>
      </c>
      <c r="BB455" s="32" t="s">
        <v>166</v>
      </c>
      <c r="BC455" s="25" t="s">
        <v>179</v>
      </c>
      <c r="BD455" s="25" t="s">
        <v>8906</v>
      </c>
      <c r="BE455" s="25" t="s">
        <v>189</v>
      </c>
      <c r="BF455" s="29">
        <v>2</v>
      </c>
      <c r="BG455" s="25" t="s">
        <v>190</v>
      </c>
      <c r="BH455" s="25" t="s">
        <v>166</v>
      </c>
      <c r="BI455" s="25" t="s">
        <v>166</v>
      </c>
      <c r="BJ455" s="29" t="s">
        <v>166</v>
      </c>
      <c r="BK455" s="29" t="s">
        <v>166</v>
      </c>
      <c r="BL455" s="25" t="s">
        <v>191</v>
      </c>
      <c r="BM455" s="25" t="s">
        <v>178</v>
      </c>
      <c r="BN455" s="25" t="s">
        <v>177</v>
      </c>
      <c r="BO455" s="33" t="s">
        <v>166</v>
      </c>
      <c r="BP455" s="25" t="s">
        <v>8895</v>
      </c>
      <c r="BQ455" s="32">
        <v>6</v>
      </c>
      <c r="BR455" s="25" t="s">
        <v>166</v>
      </c>
      <c r="BS455" s="32" t="s">
        <v>166</v>
      </c>
      <c r="BT455" s="25" t="s">
        <v>166</v>
      </c>
      <c r="BU455" s="25" t="s">
        <v>166</v>
      </c>
      <c r="BV455" s="25" t="s">
        <v>2692</v>
      </c>
      <c r="BW455" s="25" t="s">
        <v>166</v>
      </c>
      <c r="BX455" s="25" t="s">
        <v>166</v>
      </c>
      <c r="BY455" s="25" t="s">
        <v>166</v>
      </c>
      <c r="BZ455" s="25" t="s">
        <v>166</v>
      </c>
      <c r="CA455" s="25" t="s">
        <v>166</v>
      </c>
      <c r="CB455" s="25" t="s">
        <v>166</v>
      </c>
      <c r="CC455" s="25" t="s">
        <v>166</v>
      </c>
      <c r="CD455" s="25" t="s">
        <v>166</v>
      </c>
      <c r="CE455" s="29" t="s">
        <v>166</v>
      </c>
      <c r="CF455" s="27" t="s">
        <v>166</v>
      </c>
      <c r="CG455" s="28" t="s">
        <v>166</v>
      </c>
      <c r="CH455" s="27" t="s">
        <v>166</v>
      </c>
      <c r="CI455" s="27" t="s">
        <v>166</v>
      </c>
      <c r="CJ455" s="27" t="s">
        <v>166</v>
      </c>
      <c r="CK455" s="27" t="s">
        <v>166</v>
      </c>
      <c r="CL455" s="27" t="s">
        <v>166</v>
      </c>
      <c r="CM455" s="31" t="s">
        <v>166</v>
      </c>
      <c r="CN455" s="27" t="s">
        <v>166</v>
      </c>
      <c r="CO455" s="27" t="s">
        <v>166</v>
      </c>
      <c r="CP455" s="27" t="s">
        <v>166</v>
      </c>
      <c r="CQ455" s="27" t="s">
        <v>166</v>
      </c>
      <c r="CR455" s="27" t="s">
        <v>166</v>
      </c>
      <c r="CS455" s="27" t="s">
        <v>166</v>
      </c>
      <c r="CT455" s="27" t="s">
        <v>166</v>
      </c>
      <c r="CU455" s="27" t="s">
        <v>166</v>
      </c>
      <c r="CV455" s="27" t="s">
        <v>166</v>
      </c>
      <c r="CW455" s="27" t="s">
        <v>166</v>
      </c>
      <c r="CX455" s="27" t="s">
        <v>166</v>
      </c>
      <c r="CY455" s="27" t="s">
        <v>166</v>
      </c>
      <c r="CZ455" s="27" t="s">
        <v>166</v>
      </c>
      <c r="DA455" s="27" t="s">
        <v>166</v>
      </c>
      <c r="DB455" s="27" t="s">
        <v>166</v>
      </c>
      <c r="DC455" s="27" t="s">
        <v>166</v>
      </c>
      <c r="DD455" s="27" t="s">
        <v>166</v>
      </c>
      <c r="DE455" s="28" t="s">
        <v>166</v>
      </c>
      <c r="DF455" s="33">
        <v>8</v>
      </c>
      <c r="DG455" s="25" t="s">
        <v>673</v>
      </c>
      <c r="DH455" s="25" t="s">
        <v>193</v>
      </c>
      <c r="DI455" s="25" t="s">
        <v>194</v>
      </c>
      <c r="DJ455" s="25" t="s">
        <v>674</v>
      </c>
      <c r="DK455" s="25" t="s">
        <v>257</v>
      </c>
      <c r="DL455" s="32" t="s">
        <v>1866</v>
      </c>
      <c r="DM455" s="25" t="s">
        <v>198</v>
      </c>
      <c r="DN455" s="24" t="s">
        <v>8907</v>
      </c>
      <c r="DO455" s="31">
        <v>2020</v>
      </c>
      <c r="DP455" s="25" t="s">
        <v>166</v>
      </c>
      <c r="DQ455" s="25" t="s">
        <v>166</v>
      </c>
      <c r="DR455" s="29" t="s">
        <v>166</v>
      </c>
      <c r="DS455" s="27" t="s">
        <v>166</v>
      </c>
      <c r="DT455" s="30" t="s">
        <v>166</v>
      </c>
      <c r="DU455" s="25" t="s">
        <v>166</v>
      </c>
      <c r="DV455" s="29" t="s">
        <v>166</v>
      </c>
      <c r="DW455" s="29" t="s">
        <v>166</v>
      </c>
      <c r="DX455" s="27" t="s">
        <v>166</v>
      </c>
      <c r="DY455" s="27" t="s">
        <v>166</v>
      </c>
      <c r="DZ455" s="28" t="s">
        <v>166</v>
      </c>
      <c r="EA455" s="27" t="s">
        <v>166</v>
      </c>
      <c r="EB455" s="27" t="s">
        <v>166</v>
      </c>
      <c r="EC455" s="27" t="s">
        <v>166</v>
      </c>
      <c r="ED455" s="28" t="s">
        <v>166</v>
      </c>
      <c r="EE455" s="28" t="s">
        <v>166</v>
      </c>
      <c r="EF455" s="28" t="s">
        <v>166</v>
      </c>
      <c r="EG455" s="28" t="s">
        <v>166</v>
      </c>
      <c r="EH455" s="27" t="s">
        <v>166</v>
      </c>
      <c r="EI455" s="27" t="s">
        <v>166</v>
      </c>
      <c r="EJ455" s="27" t="s">
        <v>166</v>
      </c>
      <c r="EK455" s="27" t="s">
        <v>166</v>
      </c>
      <c r="EL455" s="27" t="s">
        <v>166</v>
      </c>
      <c r="EM455" s="27" t="s">
        <v>166</v>
      </c>
      <c r="EN455" s="27" t="s">
        <v>166</v>
      </c>
      <c r="EO455" s="27" t="s">
        <v>166</v>
      </c>
      <c r="EP455" s="27" t="s">
        <v>166</v>
      </c>
      <c r="EQ455" s="27" t="s">
        <v>166</v>
      </c>
      <c r="ER455" s="27" t="s">
        <v>166</v>
      </c>
      <c r="ES455" s="27" t="s">
        <v>166</v>
      </c>
      <c r="ET455" s="25" t="s">
        <v>166</v>
      </c>
      <c r="EU455" s="27" t="s">
        <v>166</v>
      </c>
      <c r="EV455" s="27" t="s">
        <v>166</v>
      </c>
      <c r="EW455" s="27" t="s">
        <v>166</v>
      </c>
      <c r="EX455" s="25" t="s">
        <v>190</v>
      </c>
      <c r="EY455" s="25" t="s">
        <v>166</v>
      </c>
      <c r="EZ455" s="27" t="s">
        <v>166</v>
      </c>
      <c r="FA455" s="26" t="s">
        <v>166</v>
      </c>
      <c r="FB455" s="26" t="s">
        <v>166</v>
      </c>
      <c r="FC455" s="26" t="s">
        <v>166</v>
      </c>
      <c r="FD455" s="26" t="s">
        <v>166</v>
      </c>
      <c r="FE455" s="26" t="s">
        <v>166</v>
      </c>
      <c r="FF455" s="26" t="s">
        <v>166</v>
      </c>
      <c r="FG455" s="25" t="s">
        <v>166</v>
      </c>
      <c r="FH455" s="4">
        <f>HYPERLINK("https://my.pitchbook.com?c=180405-37T","View Company Online")</f>
      </c>
    </row>
    <row r="456">
      <c r="A456" s="14" t="s">
        <v>8908</v>
      </c>
      <c r="B456" s="14" t="s">
        <v>8909</v>
      </c>
      <c r="C456" s="14" t="s">
        <v>8910</v>
      </c>
      <c r="D456" s="14" t="s">
        <v>166</v>
      </c>
      <c r="E456" s="23" t="s">
        <v>8911</v>
      </c>
      <c r="F456" s="21">
        <v>7</v>
      </c>
      <c r="G456" s="14" t="s">
        <v>8912</v>
      </c>
      <c r="H456" s="14" t="s">
        <v>166</v>
      </c>
      <c r="I456" s="14" t="s">
        <v>8913</v>
      </c>
      <c r="J456" s="14" t="s">
        <v>8914</v>
      </c>
      <c r="K456" s="14" t="s">
        <v>1455</v>
      </c>
      <c r="L456" s="14" t="s">
        <v>1984</v>
      </c>
      <c r="M456" s="14" t="s">
        <v>2112</v>
      </c>
      <c r="N456" s="14" t="s">
        <v>6453</v>
      </c>
      <c r="O456" s="14" t="s">
        <v>166</v>
      </c>
      <c r="P456" s="14" t="s">
        <v>8915</v>
      </c>
      <c r="Q456" s="14" t="s">
        <v>166</v>
      </c>
      <c r="R456" s="14" t="s">
        <v>177</v>
      </c>
      <c r="S456" s="14" t="s">
        <v>178</v>
      </c>
      <c r="T456" s="14" t="s">
        <v>179</v>
      </c>
      <c r="U456" s="14" t="s">
        <v>8916</v>
      </c>
      <c r="V456" s="14" t="s">
        <v>8917</v>
      </c>
      <c r="W456" s="21" t="s">
        <v>8918</v>
      </c>
      <c r="X456" s="14" t="s">
        <v>8919</v>
      </c>
      <c r="Y456" s="14" t="s">
        <v>8920</v>
      </c>
      <c r="Z456" s="14" t="s">
        <v>166</v>
      </c>
      <c r="AA456" s="14" t="s">
        <v>166</v>
      </c>
      <c r="AB456" s="14" t="s">
        <v>166</v>
      </c>
      <c r="AC456" s="14" t="s">
        <v>166</v>
      </c>
      <c r="AD456" s="14" t="s">
        <v>166</v>
      </c>
      <c r="AE456" s="14" t="s">
        <v>166</v>
      </c>
      <c r="AF456" s="14" t="s">
        <v>166</v>
      </c>
      <c r="AG456" s="14" t="s">
        <v>166</v>
      </c>
      <c r="AH456" s="21">
        <v>1</v>
      </c>
      <c r="AI456" s="3">
        <f>HYPERLINK("https://my.pitchbook.com/?d=192026-80T","192026-80T")</f>
      </c>
      <c r="AJ456" s="19" t="s">
        <v>166</v>
      </c>
      <c r="AK456" s="19">
        <v>44501</v>
      </c>
      <c r="AL456" s="18">
        <v>3.6</v>
      </c>
      <c r="AM456" s="14" t="s">
        <v>185</v>
      </c>
      <c r="AN456" s="18" t="s">
        <v>166</v>
      </c>
      <c r="AO456" s="18" t="s">
        <v>166</v>
      </c>
      <c r="AP456" s="14" t="s">
        <v>166</v>
      </c>
      <c r="AQ456" s="21" t="s">
        <v>166</v>
      </c>
      <c r="AR456" s="21" t="s">
        <v>166</v>
      </c>
      <c r="AS456" s="17" t="s">
        <v>166</v>
      </c>
      <c r="AT456" s="18">
        <v>3.6</v>
      </c>
      <c r="AU456" s="21" t="s">
        <v>186</v>
      </c>
      <c r="AV456" s="21" t="s">
        <v>166</v>
      </c>
      <c r="AW456" s="18" t="s">
        <v>166</v>
      </c>
      <c r="AX456" s="21" t="s">
        <v>166</v>
      </c>
      <c r="AY456" s="14" t="s">
        <v>217</v>
      </c>
      <c r="AZ456" s="14" t="s">
        <v>217</v>
      </c>
      <c r="BA456" s="14" t="s">
        <v>166</v>
      </c>
      <c r="BB456" s="21" t="s">
        <v>166</v>
      </c>
      <c r="BC456" s="14" t="s">
        <v>179</v>
      </c>
      <c r="BD456" s="14" t="s">
        <v>8921</v>
      </c>
      <c r="BE456" s="14" t="s">
        <v>189</v>
      </c>
      <c r="BF456" s="18">
        <v>3.6</v>
      </c>
      <c r="BG456" s="14" t="s">
        <v>190</v>
      </c>
      <c r="BH456" s="14" t="s">
        <v>166</v>
      </c>
      <c r="BI456" s="14" t="s">
        <v>166</v>
      </c>
      <c r="BJ456" s="18" t="s">
        <v>166</v>
      </c>
      <c r="BK456" s="18" t="s">
        <v>166</v>
      </c>
      <c r="BL456" s="14" t="s">
        <v>191</v>
      </c>
      <c r="BM456" s="14" t="s">
        <v>178</v>
      </c>
      <c r="BN456" s="14" t="s">
        <v>177</v>
      </c>
      <c r="BO456" s="22" t="s">
        <v>166</v>
      </c>
      <c r="BP456" s="14" t="s">
        <v>8922</v>
      </c>
      <c r="BQ456" s="21">
        <v>7</v>
      </c>
      <c r="BR456" s="14" t="s">
        <v>166</v>
      </c>
      <c r="BS456" s="21" t="s">
        <v>166</v>
      </c>
      <c r="BT456" s="14" t="s">
        <v>166</v>
      </c>
      <c r="BU456" s="14" t="s">
        <v>166</v>
      </c>
      <c r="BV456" s="14" t="s">
        <v>166</v>
      </c>
      <c r="BW456" s="14" t="s">
        <v>166</v>
      </c>
      <c r="BX456" s="14" t="s">
        <v>166</v>
      </c>
      <c r="BY456" s="14" t="s">
        <v>166</v>
      </c>
      <c r="BZ456" s="14" t="s">
        <v>166</v>
      </c>
      <c r="CA456" s="14" t="s">
        <v>166</v>
      </c>
      <c r="CB456" s="14" t="s">
        <v>166</v>
      </c>
      <c r="CC456" s="14" t="s">
        <v>166</v>
      </c>
      <c r="CD456" s="14" t="s">
        <v>166</v>
      </c>
      <c r="CE456" s="18" t="s">
        <v>166</v>
      </c>
      <c r="CF456" s="16" t="s">
        <v>166</v>
      </c>
      <c r="CG456" s="17" t="s">
        <v>166</v>
      </c>
      <c r="CH456" s="16" t="s">
        <v>166</v>
      </c>
      <c r="CI456" s="16" t="s">
        <v>166</v>
      </c>
      <c r="CJ456" s="16" t="s">
        <v>166</v>
      </c>
      <c r="CK456" s="16" t="s">
        <v>166</v>
      </c>
      <c r="CL456" s="16" t="s">
        <v>166</v>
      </c>
      <c r="CM456" s="20" t="s">
        <v>166</v>
      </c>
      <c r="CN456" s="16" t="s">
        <v>166</v>
      </c>
      <c r="CO456" s="16" t="s">
        <v>166</v>
      </c>
      <c r="CP456" s="16" t="s">
        <v>166</v>
      </c>
      <c r="CQ456" s="16" t="s">
        <v>166</v>
      </c>
      <c r="CR456" s="16" t="s">
        <v>166</v>
      </c>
      <c r="CS456" s="16" t="s">
        <v>166</v>
      </c>
      <c r="CT456" s="16" t="s">
        <v>166</v>
      </c>
      <c r="CU456" s="16" t="s">
        <v>166</v>
      </c>
      <c r="CV456" s="16" t="s">
        <v>166</v>
      </c>
      <c r="CW456" s="16" t="s">
        <v>166</v>
      </c>
      <c r="CX456" s="16" t="s">
        <v>166</v>
      </c>
      <c r="CY456" s="16" t="s">
        <v>166</v>
      </c>
      <c r="CZ456" s="16" t="s">
        <v>166</v>
      </c>
      <c r="DA456" s="16" t="s">
        <v>166</v>
      </c>
      <c r="DB456" s="16" t="s">
        <v>166</v>
      </c>
      <c r="DC456" s="16" t="s">
        <v>166</v>
      </c>
      <c r="DD456" s="16" t="s">
        <v>166</v>
      </c>
      <c r="DE456" s="17" t="s">
        <v>166</v>
      </c>
      <c r="DF456" s="22">
        <v>8</v>
      </c>
      <c r="DG456" s="14" t="s">
        <v>8923</v>
      </c>
      <c r="DH456" s="14" t="s">
        <v>193</v>
      </c>
      <c r="DI456" s="14" t="s">
        <v>194</v>
      </c>
      <c r="DJ456" s="14" t="s">
        <v>8924</v>
      </c>
      <c r="DK456" s="14" t="s">
        <v>257</v>
      </c>
      <c r="DL456" s="21" t="s">
        <v>8925</v>
      </c>
      <c r="DM456" s="14" t="s">
        <v>198</v>
      </c>
      <c r="DN456" s="13" t="s">
        <v>8926</v>
      </c>
      <c r="DO456" s="20">
        <v>2021</v>
      </c>
      <c r="DP456" s="14" t="s">
        <v>166</v>
      </c>
      <c r="DQ456" s="14" t="s">
        <v>166</v>
      </c>
      <c r="DR456" s="18" t="s">
        <v>166</v>
      </c>
      <c r="DS456" s="16" t="s">
        <v>166</v>
      </c>
      <c r="DT456" s="19" t="s">
        <v>166</v>
      </c>
      <c r="DU456" s="14" t="s">
        <v>166</v>
      </c>
      <c r="DV456" s="18" t="s">
        <v>166</v>
      </c>
      <c r="DW456" s="18" t="s">
        <v>166</v>
      </c>
      <c r="DX456" s="16" t="s">
        <v>166</v>
      </c>
      <c r="DY456" s="16" t="s">
        <v>166</v>
      </c>
      <c r="DZ456" s="17" t="s">
        <v>166</v>
      </c>
      <c r="EA456" s="16" t="s">
        <v>166</v>
      </c>
      <c r="EB456" s="16" t="s">
        <v>166</v>
      </c>
      <c r="EC456" s="16" t="s">
        <v>166</v>
      </c>
      <c r="ED456" s="17" t="s">
        <v>166</v>
      </c>
      <c r="EE456" s="17" t="s">
        <v>166</v>
      </c>
      <c r="EF456" s="17" t="s">
        <v>166</v>
      </c>
      <c r="EG456" s="17" t="s">
        <v>166</v>
      </c>
      <c r="EH456" s="16" t="s">
        <v>166</v>
      </c>
      <c r="EI456" s="16" t="s">
        <v>166</v>
      </c>
      <c r="EJ456" s="16" t="s">
        <v>166</v>
      </c>
      <c r="EK456" s="16" t="s">
        <v>166</v>
      </c>
      <c r="EL456" s="16" t="s">
        <v>166</v>
      </c>
      <c r="EM456" s="16" t="s">
        <v>166</v>
      </c>
      <c r="EN456" s="16" t="s">
        <v>166</v>
      </c>
      <c r="EO456" s="16" t="s">
        <v>166</v>
      </c>
      <c r="EP456" s="16" t="s">
        <v>166</v>
      </c>
      <c r="EQ456" s="16" t="s">
        <v>166</v>
      </c>
      <c r="ER456" s="16" t="s">
        <v>166</v>
      </c>
      <c r="ES456" s="16" t="s">
        <v>166</v>
      </c>
      <c r="ET456" s="14" t="s">
        <v>166</v>
      </c>
      <c r="EU456" s="16" t="s">
        <v>166</v>
      </c>
      <c r="EV456" s="16" t="s">
        <v>166</v>
      </c>
      <c r="EW456" s="16" t="s">
        <v>166</v>
      </c>
      <c r="EX456" s="14" t="s">
        <v>190</v>
      </c>
      <c r="EY456" s="14" t="s">
        <v>166</v>
      </c>
      <c r="EZ456" s="16" t="s">
        <v>166</v>
      </c>
      <c r="FA456" s="15" t="s">
        <v>166</v>
      </c>
      <c r="FB456" s="15" t="s">
        <v>166</v>
      </c>
      <c r="FC456" s="15" t="s">
        <v>166</v>
      </c>
      <c r="FD456" s="15" t="s">
        <v>166</v>
      </c>
      <c r="FE456" s="15" t="s">
        <v>166</v>
      </c>
      <c r="FF456" s="15" t="s">
        <v>166</v>
      </c>
      <c r="FG456" s="14" t="s">
        <v>166</v>
      </c>
      <c r="FH456" s="3">
        <f>HYPERLINK("https://my.pitchbook.com?c=192026-80T","View Company Online")</f>
      </c>
    </row>
    <row r="457">
      <c r="A457" s="25" t="s">
        <v>8927</v>
      </c>
      <c r="B457" s="25" t="s">
        <v>8928</v>
      </c>
      <c r="C457" s="25" t="s">
        <v>8929</v>
      </c>
      <c r="D457" s="25" t="s">
        <v>166</v>
      </c>
      <c r="E457" s="34" t="s">
        <v>8930</v>
      </c>
      <c r="F457" s="32">
        <v>1</v>
      </c>
      <c r="G457" s="25" t="s">
        <v>8931</v>
      </c>
      <c r="H457" s="25" t="s">
        <v>166</v>
      </c>
      <c r="I457" s="25" t="s">
        <v>8932</v>
      </c>
      <c r="J457" s="25" t="s">
        <v>8933</v>
      </c>
      <c r="K457" s="25" t="s">
        <v>321</v>
      </c>
      <c r="L457" s="25" t="s">
        <v>322</v>
      </c>
      <c r="M457" s="25" t="s">
        <v>322</v>
      </c>
      <c r="N457" s="25" t="s">
        <v>2410</v>
      </c>
      <c r="O457" s="25" t="s">
        <v>2931</v>
      </c>
      <c r="P457" s="25" t="s">
        <v>8934</v>
      </c>
      <c r="Q457" s="25" t="s">
        <v>2555</v>
      </c>
      <c r="R457" s="25" t="s">
        <v>177</v>
      </c>
      <c r="S457" s="25" t="s">
        <v>178</v>
      </c>
      <c r="T457" s="25" t="s">
        <v>179</v>
      </c>
      <c r="U457" s="25" t="s">
        <v>8935</v>
      </c>
      <c r="V457" s="25" t="s">
        <v>8936</v>
      </c>
      <c r="W457" s="32" t="s">
        <v>166</v>
      </c>
      <c r="X457" s="25" t="s">
        <v>166</v>
      </c>
      <c r="Y457" s="25" t="s">
        <v>8937</v>
      </c>
      <c r="Z457" s="25" t="s">
        <v>8938</v>
      </c>
      <c r="AA457" s="25" t="s">
        <v>166</v>
      </c>
      <c r="AB457" s="25" t="s">
        <v>166</v>
      </c>
      <c r="AC457" s="25" t="s">
        <v>166</v>
      </c>
      <c r="AD457" s="25" t="s">
        <v>166</v>
      </c>
      <c r="AE457" s="25" t="s">
        <v>166</v>
      </c>
      <c r="AF457" s="25" t="s">
        <v>166</v>
      </c>
      <c r="AG457" s="25" t="s">
        <v>166</v>
      </c>
      <c r="AH457" s="32">
        <v>1</v>
      </c>
      <c r="AI457" s="4">
        <f>HYPERLINK("https://my.pitchbook.com/?d=194919-49T","194919-49T")</f>
      </c>
      <c r="AJ457" s="30" t="s">
        <v>166</v>
      </c>
      <c r="AK457" s="30">
        <v>44707</v>
      </c>
      <c r="AL457" s="29">
        <v>5</v>
      </c>
      <c r="AM457" s="25" t="s">
        <v>185</v>
      </c>
      <c r="AN457" s="29" t="s">
        <v>166</v>
      </c>
      <c r="AO457" s="29" t="s">
        <v>166</v>
      </c>
      <c r="AP457" s="25" t="s">
        <v>166</v>
      </c>
      <c r="AQ457" s="32" t="s">
        <v>166</v>
      </c>
      <c r="AR457" s="32" t="s">
        <v>166</v>
      </c>
      <c r="AS457" s="28" t="s">
        <v>166</v>
      </c>
      <c r="AT457" s="29">
        <v>5</v>
      </c>
      <c r="AU457" s="32" t="s">
        <v>186</v>
      </c>
      <c r="AV457" s="32" t="s">
        <v>166</v>
      </c>
      <c r="AW457" s="29" t="s">
        <v>166</v>
      </c>
      <c r="AX457" s="32" t="s">
        <v>166</v>
      </c>
      <c r="AY457" s="25" t="s">
        <v>217</v>
      </c>
      <c r="AZ457" s="25" t="s">
        <v>217</v>
      </c>
      <c r="BA457" s="25" t="s">
        <v>166</v>
      </c>
      <c r="BB457" s="32" t="s">
        <v>166</v>
      </c>
      <c r="BC457" s="25" t="s">
        <v>179</v>
      </c>
      <c r="BD457" s="25" t="s">
        <v>8933</v>
      </c>
      <c r="BE457" s="25" t="s">
        <v>189</v>
      </c>
      <c r="BF457" s="29">
        <v>5</v>
      </c>
      <c r="BG457" s="25" t="s">
        <v>190</v>
      </c>
      <c r="BH457" s="25" t="s">
        <v>166</v>
      </c>
      <c r="BI457" s="25" t="s">
        <v>166</v>
      </c>
      <c r="BJ457" s="29" t="s">
        <v>166</v>
      </c>
      <c r="BK457" s="29" t="s">
        <v>166</v>
      </c>
      <c r="BL457" s="25" t="s">
        <v>191</v>
      </c>
      <c r="BM457" s="25" t="s">
        <v>178</v>
      </c>
      <c r="BN457" s="25" t="s">
        <v>177</v>
      </c>
      <c r="BO457" s="33" t="s">
        <v>166</v>
      </c>
      <c r="BP457" s="25" t="s">
        <v>8939</v>
      </c>
      <c r="BQ457" s="32">
        <v>1</v>
      </c>
      <c r="BR457" s="25" t="s">
        <v>166</v>
      </c>
      <c r="BS457" s="32" t="s">
        <v>166</v>
      </c>
      <c r="BT457" s="25" t="s">
        <v>8930</v>
      </c>
      <c r="BU457" s="25" t="s">
        <v>166</v>
      </c>
      <c r="BV457" s="25" t="s">
        <v>166</v>
      </c>
      <c r="BW457" s="25" t="s">
        <v>166</v>
      </c>
      <c r="BX457" s="25" t="s">
        <v>166</v>
      </c>
      <c r="BY457" s="25" t="s">
        <v>166</v>
      </c>
      <c r="BZ457" s="25" t="s">
        <v>166</v>
      </c>
      <c r="CA457" s="25" t="s">
        <v>166</v>
      </c>
      <c r="CB457" s="25" t="s">
        <v>166</v>
      </c>
      <c r="CC457" s="25" t="s">
        <v>166</v>
      </c>
      <c r="CD457" s="25" t="s">
        <v>166</v>
      </c>
      <c r="CE457" s="29" t="s">
        <v>166</v>
      </c>
      <c r="CF457" s="27" t="s">
        <v>166</v>
      </c>
      <c r="CG457" s="28" t="s">
        <v>166</v>
      </c>
      <c r="CH457" s="27" t="s">
        <v>166</v>
      </c>
      <c r="CI457" s="27" t="s">
        <v>166</v>
      </c>
      <c r="CJ457" s="27" t="s">
        <v>166</v>
      </c>
      <c r="CK457" s="27" t="s">
        <v>166</v>
      </c>
      <c r="CL457" s="27" t="s">
        <v>166</v>
      </c>
      <c r="CM457" s="31" t="s">
        <v>166</v>
      </c>
      <c r="CN457" s="27" t="s">
        <v>166</v>
      </c>
      <c r="CO457" s="27" t="s">
        <v>166</v>
      </c>
      <c r="CP457" s="27" t="s">
        <v>166</v>
      </c>
      <c r="CQ457" s="27" t="s">
        <v>166</v>
      </c>
      <c r="CR457" s="27" t="s">
        <v>166</v>
      </c>
      <c r="CS457" s="27" t="s">
        <v>166</v>
      </c>
      <c r="CT457" s="27" t="s">
        <v>166</v>
      </c>
      <c r="CU457" s="27" t="s">
        <v>166</v>
      </c>
      <c r="CV457" s="27" t="s">
        <v>166</v>
      </c>
      <c r="CW457" s="27" t="s">
        <v>166</v>
      </c>
      <c r="CX457" s="27" t="s">
        <v>166</v>
      </c>
      <c r="CY457" s="27" t="s">
        <v>166</v>
      </c>
      <c r="CZ457" s="27" t="s">
        <v>166</v>
      </c>
      <c r="DA457" s="27" t="s">
        <v>166</v>
      </c>
      <c r="DB457" s="27" t="s">
        <v>166</v>
      </c>
      <c r="DC457" s="27" t="s">
        <v>166</v>
      </c>
      <c r="DD457" s="27" t="s">
        <v>166</v>
      </c>
      <c r="DE457" s="28" t="s">
        <v>166</v>
      </c>
      <c r="DF457" s="33" t="s">
        <v>166</v>
      </c>
      <c r="DG457" s="25" t="s">
        <v>309</v>
      </c>
      <c r="DH457" s="25" t="s">
        <v>193</v>
      </c>
      <c r="DI457" s="25" t="s">
        <v>194</v>
      </c>
      <c r="DJ457" s="25" t="s">
        <v>310</v>
      </c>
      <c r="DK457" s="25" t="s">
        <v>310</v>
      </c>
      <c r="DL457" s="32" t="s">
        <v>8940</v>
      </c>
      <c r="DM457" s="25" t="s">
        <v>198</v>
      </c>
      <c r="DN457" s="24" t="s">
        <v>8941</v>
      </c>
      <c r="DO457" s="31">
        <v>2022</v>
      </c>
      <c r="DP457" s="25" t="s">
        <v>166</v>
      </c>
      <c r="DQ457" s="25" t="s">
        <v>166</v>
      </c>
      <c r="DR457" s="29" t="s">
        <v>166</v>
      </c>
      <c r="DS457" s="27" t="s">
        <v>166</v>
      </c>
      <c r="DT457" s="30" t="s">
        <v>166</v>
      </c>
      <c r="DU457" s="25" t="s">
        <v>166</v>
      </c>
      <c r="DV457" s="29" t="s">
        <v>166</v>
      </c>
      <c r="DW457" s="29" t="s">
        <v>166</v>
      </c>
      <c r="DX457" s="27" t="s">
        <v>166</v>
      </c>
      <c r="DY457" s="27" t="s">
        <v>166</v>
      </c>
      <c r="DZ457" s="28" t="s">
        <v>166</v>
      </c>
      <c r="EA457" s="27" t="s">
        <v>166</v>
      </c>
      <c r="EB457" s="27" t="s">
        <v>166</v>
      </c>
      <c r="EC457" s="27" t="s">
        <v>166</v>
      </c>
      <c r="ED457" s="28" t="s">
        <v>166</v>
      </c>
      <c r="EE457" s="28" t="s">
        <v>166</v>
      </c>
      <c r="EF457" s="28" t="s">
        <v>166</v>
      </c>
      <c r="EG457" s="28" t="s">
        <v>166</v>
      </c>
      <c r="EH457" s="27" t="s">
        <v>166</v>
      </c>
      <c r="EI457" s="27" t="s">
        <v>166</v>
      </c>
      <c r="EJ457" s="27" t="s">
        <v>166</v>
      </c>
      <c r="EK457" s="27" t="s">
        <v>166</v>
      </c>
      <c r="EL457" s="27" t="s">
        <v>166</v>
      </c>
      <c r="EM457" s="27" t="s">
        <v>166</v>
      </c>
      <c r="EN457" s="27" t="s">
        <v>166</v>
      </c>
      <c r="EO457" s="27" t="s">
        <v>166</v>
      </c>
      <c r="EP457" s="27" t="s">
        <v>166</v>
      </c>
      <c r="EQ457" s="27" t="s">
        <v>166</v>
      </c>
      <c r="ER457" s="27" t="s">
        <v>166</v>
      </c>
      <c r="ES457" s="27" t="s">
        <v>166</v>
      </c>
      <c r="ET457" s="25" t="s">
        <v>166</v>
      </c>
      <c r="EU457" s="27" t="s">
        <v>166</v>
      </c>
      <c r="EV457" s="27" t="s">
        <v>166</v>
      </c>
      <c r="EW457" s="27" t="s">
        <v>166</v>
      </c>
      <c r="EX457" s="25" t="s">
        <v>190</v>
      </c>
      <c r="EY457" s="25" t="s">
        <v>166</v>
      </c>
      <c r="EZ457" s="27" t="s">
        <v>166</v>
      </c>
      <c r="FA457" s="26" t="s">
        <v>166</v>
      </c>
      <c r="FB457" s="26" t="s">
        <v>166</v>
      </c>
      <c r="FC457" s="26" t="s">
        <v>166</v>
      </c>
      <c r="FD457" s="26" t="s">
        <v>166</v>
      </c>
      <c r="FE457" s="26" t="s">
        <v>166</v>
      </c>
      <c r="FF457" s="26" t="s">
        <v>166</v>
      </c>
      <c r="FG457" s="25" t="s">
        <v>166</v>
      </c>
      <c r="FH457" s="4">
        <f>HYPERLINK("https://my.pitchbook.com?c=194919-49T","View Company Online")</f>
      </c>
    </row>
    <row r="458">
      <c r="A458" s="14" t="s">
        <v>8942</v>
      </c>
      <c r="B458" s="14" t="s">
        <v>8943</v>
      </c>
      <c r="C458" s="14" t="s">
        <v>8944</v>
      </c>
      <c r="D458" s="14" t="s">
        <v>166</v>
      </c>
      <c r="E458" s="23" t="s">
        <v>8945</v>
      </c>
      <c r="F458" s="21">
        <v>3</v>
      </c>
      <c r="G458" s="14" t="s">
        <v>8946</v>
      </c>
      <c r="H458" s="14" t="s">
        <v>166</v>
      </c>
      <c r="I458" s="14" t="s">
        <v>8947</v>
      </c>
      <c r="J458" s="14" t="s">
        <v>8948</v>
      </c>
      <c r="K458" s="14" t="s">
        <v>171</v>
      </c>
      <c r="L458" s="14" t="s">
        <v>172</v>
      </c>
      <c r="M458" s="14" t="s">
        <v>8949</v>
      </c>
      <c r="N458" s="14" t="s">
        <v>8950</v>
      </c>
      <c r="O458" s="14" t="s">
        <v>8951</v>
      </c>
      <c r="P458" s="14" t="s">
        <v>8952</v>
      </c>
      <c r="Q458" s="14" t="s">
        <v>166</v>
      </c>
      <c r="R458" s="14" t="s">
        <v>177</v>
      </c>
      <c r="S458" s="14" t="s">
        <v>178</v>
      </c>
      <c r="T458" s="14" t="s">
        <v>179</v>
      </c>
      <c r="U458" s="14" t="s">
        <v>8953</v>
      </c>
      <c r="V458" s="14" t="s">
        <v>8954</v>
      </c>
      <c r="W458" s="21" t="s">
        <v>8955</v>
      </c>
      <c r="X458" s="14" t="s">
        <v>8956</v>
      </c>
      <c r="Y458" s="14" t="s">
        <v>8957</v>
      </c>
      <c r="Z458" s="14" t="s">
        <v>8958</v>
      </c>
      <c r="AA458" s="14" t="s">
        <v>242</v>
      </c>
      <c r="AB458" s="14" t="s">
        <v>243</v>
      </c>
      <c r="AC458" s="14" t="s">
        <v>244</v>
      </c>
      <c r="AD458" s="14" t="s">
        <v>243</v>
      </c>
      <c r="AE458" s="14" t="s">
        <v>243</v>
      </c>
      <c r="AF458" s="14" t="s">
        <v>166</v>
      </c>
      <c r="AG458" s="14" t="s">
        <v>807</v>
      </c>
      <c r="AH458" s="21">
        <v>1</v>
      </c>
      <c r="AI458" s="3">
        <f>HYPERLINK("https://my.pitchbook.com/?d=187568-29T","187568-29T")</f>
      </c>
      <c r="AJ458" s="19" t="s">
        <v>166</v>
      </c>
      <c r="AK458" s="19">
        <v>44573</v>
      </c>
      <c r="AL458" s="18">
        <v>1.9</v>
      </c>
      <c r="AM458" s="14" t="s">
        <v>185</v>
      </c>
      <c r="AN458" s="18">
        <v>3</v>
      </c>
      <c r="AO458" s="18">
        <v>4.9</v>
      </c>
      <c r="AP458" s="14" t="s">
        <v>185</v>
      </c>
      <c r="AQ458" s="21" t="s">
        <v>166</v>
      </c>
      <c r="AR458" s="21" t="s">
        <v>166</v>
      </c>
      <c r="AS458" s="17">
        <v>38.78</v>
      </c>
      <c r="AT458" s="18">
        <v>1.9</v>
      </c>
      <c r="AU458" s="21" t="s">
        <v>186</v>
      </c>
      <c r="AV458" s="21" t="s">
        <v>166</v>
      </c>
      <c r="AW458" s="18">
        <v>0.7</v>
      </c>
      <c r="AX458" s="21" t="s">
        <v>166</v>
      </c>
      <c r="AY458" s="14" t="s">
        <v>217</v>
      </c>
      <c r="AZ458" s="14" t="s">
        <v>217</v>
      </c>
      <c r="BA458" s="14" t="s">
        <v>166</v>
      </c>
      <c r="BB458" s="21" t="s">
        <v>166</v>
      </c>
      <c r="BC458" s="14" t="s">
        <v>179</v>
      </c>
      <c r="BD458" s="14" t="s">
        <v>8948</v>
      </c>
      <c r="BE458" s="14" t="s">
        <v>189</v>
      </c>
      <c r="BF458" s="18">
        <v>1.9</v>
      </c>
      <c r="BG458" s="14" t="s">
        <v>190</v>
      </c>
      <c r="BH458" s="14" t="s">
        <v>166</v>
      </c>
      <c r="BI458" s="14" t="s">
        <v>166</v>
      </c>
      <c r="BJ458" s="18" t="s">
        <v>166</v>
      </c>
      <c r="BK458" s="18" t="s">
        <v>166</v>
      </c>
      <c r="BL458" s="14" t="s">
        <v>191</v>
      </c>
      <c r="BM458" s="14" t="s">
        <v>178</v>
      </c>
      <c r="BN458" s="14" t="s">
        <v>177</v>
      </c>
      <c r="BO458" s="22" t="s">
        <v>166</v>
      </c>
      <c r="BP458" s="14" t="s">
        <v>8959</v>
      </c>
      <c r="BQ458" s="21">
        <v>3</v>
      </c>
      <c r="BR458" s="14" t="s">
        <v>166</v>
      </c>
      <c r="BS458" s="21" t="s">
        <v>166</v>
      </c>
      <c r="BT458" s="14" t="s">
        <v>8960</v>
      </c>
      <c r="BU458" s="14" t="s">
        <v>166</v>
      </c>
      <c r="BV458" s="14" t="s">
        <v>8961</v>
      </c>
      <c r="BW458" s="14" t="s">
        <v>166</v>
      </c>
      <c r="BX458" s="14" t="s">
        <v>166</v>
      </c>
      <c r="BY458" s="14" t="s">
        <v>166</v>
      </c>
      <c r="BZ458" s="14" t="s">
        <v>8962</v>
      </c>
      <c r="CA458" s="14" t="s">
        <v>166</v>
      </c>
      <c r="CB458" s="14" t="s">
        <v>166</v>
      </c>
      <c r="CC458" s="14" t="s">
        <v>8962</v>
      </c>
      <c r="CD458" s="14" t="s">
        <v>166</v>
      </c>
      <c r="CE458" s="18" t="s">
        <v>166</v>
      </c>
      <c r="CF458" s="16" t="s">
        <v>166</v>
      </c>
      <c r="CG458" s="17" t="s">
        <v>166</v>
      </c>
      <c r="CH458" s="16" t="s">
        <v>166</v>
      </c>
      <c r="CI458" s="16" t="s">
        <v>166</v>
      </c>
      <c r="CJ458" s="16" t="s">
        <v>166</v>
      </c>
      <c r="CK458" s="16" t="s">
        <v>166</v>
      </c>
      <c r="CL458" s="16" t="s">
        <v>166</v>
      </c>
      <c r="CM458" s="20" t="s">
        <v>166</v>
      </c>
      <c r="CN458" s="16" t="s">
        <v>166</v>
      </c>
      <c r="CO458" s="16" t="s">
        <v>166</v>
      </c>
      <c r="CP458" s="16" t="s">
        <v>166</v>
      </c>
      <c r="CQ458" s="16" t="s">
        <v>166</v>
      </c>
      <c r="CR458" s="16" t="s">
        <v>166</v>
      </c>
      <c r="CS458" s="16" t="s">
        <v>166</v>
      </c>
      <c r="CT458" s="16" t="s">
        <v>166</v>
      </c>
      <c r="CU458" s="16" t="s">
        <v>166</v>
      </c>
      <c r="CV458" s="16" t="s">
        <v>166</v>
      </c>
      <c r="CW458" s="16" t="s">
        <v>166</v>
      </c>
      <c r="CX458" s="16" t="s">
        <v>166</v>
      </c>
      <c r="CY458" s="16" t="s">
        <v>166</v>
      </c>
      <c r="CZ458" s="16" t="s">
        <v>166</v>
      </c>
      <c r="DA458" s="16" t="s">
        <v>166</v>
      </c>
      <c r="DB458" s="16" t="s">
        <v>166</v>
      </c>
      <c r="DC458" s="16" t="s">
        <v>166</v>
      </c>
      <c r="DD458" s="16" t="s">
        <v>166</v>
      </c>
      <c r="DE458" s="17" t="s">
        <v>166</v>
      </c>
      <c r="DF458" s="22">
        <v>87</v>
      </c>
      <c r="DG458" s="14" t="s">
        <v>8963</v>
      </c>
      <c r="DH458" s="14" t="s">
        <v>193</v>
      </c>
      <c r="DI458" s="14" t="s">
        <v>194</v>
      </c>
      <c r="DJ458" s="14" t="s">
        <v>8964</v>
      </c>
      <c r="DK458" s="14" t="s">
        <v>1138</v>
      </c>
      <c r="DL458" s="21" t="s">
        <v>8965</v>
      </c>
      <c r="DM458" s="14" t="s">
        <v>198</v>
      </c>
      <c r="DN458" s="13" t="s">
        <v>8966</v>
      </c>
      <c r="DO458" s="20">
        <v>2018</v>
      </c>
      <c r="DP458" s="14" t="s">
        <v>166</v>
      </c>
      <c r="DQ458" s="14" t="s">
        <v>166</v>
      </c>
      <c r="DR458" s="18" t="s">
        <v>166</v>
      </c>
      <c r="DS458" s="16" t="s">
        <v>166</v>
      </c>
      <c r="DT458" s="19" t="s">
        <v>166</v>
      </c>
      <c r="DU458" s="14" t="s">
        <v>166</v>
      </c>
      <c r="DV458" s="18" t="s">
        <v>166</v>
      </c>
      <c r="DW458" s="18" t="s">
        <v>166</v>
      </c>
      <c r="DX458" s="16" t="s">
        <v>166</v>
      </c>
      <c r="DY458" s="16" t="s">
        <v>166</v>
      </c>
      <c r="DZ458" s="17" t="s">
        <v>166</v>
      </c>
      <c r="EA458" s="16" t="s">
        <v>166</v>
      </c>
      <c r="EB458" s="16" t="s">
        <v>166</v>
      </c>
      <c r="EC458" s="16" t="s">
        <v>166</v>
      </c>
      <c r="ED458" s="17" t="s">
        <v>166</v>
      </c>
      <c r="EE458" s="17" t="s">
        <v>166</v>
      </c>
      <c r="EF458" s="17" t="s">
        <v>166</v>
      </c>
      <c r="EG458" s="17" t="s">
        <v>166</v>
      </c>
      <c r="EH458" s="16" t="s">
        <v>166</v>
      </c>
      <c r="EI458" s="16" t="s">
        <v>166</v>
      </c>
      <c r="EJ458" s="16" t="s">
        <v>166</v>
      </c>
      <c r="EK458" s="16" t="s">
        <v>166</v>
      </c>
      <c r="EL458" s="16" t="s">
        <v>166</v>
      </c>
      <c r="EM458" s="16" t="s">
        <v>166</v>
      </c>
      <c r="EN458" s="16" t="s">
        <v>166</v>
      </c>
      <c r="EO458" s="16" t="s">
        <v>166</v>
      </c>
      <c r="EP458" s="16" t="s">
        <v>166</v>
      </c>
      <c r="EQ458" s="16" t="s">
        <v>166</v>
      </c>
      <c r="ER458" s="16" t="s">
        <v>166</v>
      </c>
      <c r="ES458" s="16" t="s">
        <v>166</v>
      </c>
      <c r="ET458" s="14" t="s">
        <v>166</v>
      </c>
      <c r="EU458" s="16" t="s">
        <v>166</v>
      </c>
      <c r="EV458" s="16" t="s">
        <v>166</v>
      </c>
      <c r="EW458" s="16" t="s">
        <v>166</v>
      </c>
      <c r="EX458" s="14" t="s">
        <v>190</v>
      </c>
      <c r="EY458" s="14" t="s">
        <v>166</v>
      </c>
      <c r="EZ458" s="16" t="s">
        <v>166</v>
      </c>
      <c r="FA458" s="15" t="s">
        <v>166</v>
      </c>
      <c r="FB458" s="15" t="s">
        <v>166</v>
      </c>
      <c r="FC458" s="15" t="s">
        <v>166</v>
      </c>
      <c r="FD458" s="15" t="s">
        <v>166</v>
      </c>
      <c r="FE458" s="15" t="s">
        <v>166</v>
      </c>
      <c r="FF458" s="15" t="s">
        <v>166</v>
      </c>
      <c r="FG458" s="14" t="s">
        <v>166</v>
      </c>
      <c r="FH458" s="3">
        <f>HYPERLINK("https://my.pitchbook.com?c=187568-29T","View Company Online")</f>
      </c>
    </row>
    <row r="459">
      <c r="A459" s="25" t="s">
        <v>8967</v>
      </c>
      <c r="B459" s="25" t="s">
        <v>8968</v>
      </c>
      <c r="C459" s="25" t="s">
        <v>8969</v>
      </c>
      <c r="D459" s="25" t="s">
        <v>166</v>
      </c>
      <c r="E459" s="34" t="s">
        <v>8970</v>
      </c>
      <c r="F459" s="32">
        <v>5</v>
      </c>
      <c r="G459" s="25" t="s">
        <v>8971</v>
      </c>
      <c r="H459" s="25" t="s">
        <v>166</v>
      </c>
      <c r="I459" s="25" t="s">
        <v>8972</v>
      </c>
      <c r="J459" s="25" t="s">
        <v>8973</v>
      </c>
      <c r="K459" s="25" t="s">
        <v>207</v>
      </c>
      <c r="L459" s="25" t="s">
        <v>208</v>
      </c>
      <c r="M459" s="25" t="s">
        <v>1766</v>
      </c>
      <c r="N459" s="25" t="s">
        <v>2089</v>
      </c>
      <c r="O459" s="25" t="s">
        <v>8974</v>
      </c>
      <c r="P459" s="25" t="s">
        <v>8975</v>
      </c>
      <c r="Q459" s="25" t="s">
        <v>166</v>
      </c>
      <c r="R459" s="25" t="s">
        <v>177</v>
      </c>
      <c r="S459" s="25" t="s">
        <v>178</v>
      </c>
      <c r="T459" s="25" t="s">
        <v>179</v>
      </c>
      <c r="U459" s="25" t="s">
        <v>8976</v>
      </c>
      <c r="V459" s="25" t="s">
        <v>8977</v>
      </c>
      <c r="W459" s="32" t="s">
        <v>8978</v>
      </c>
      <c r="X459" s="25" t="s">
        <v>8979</v>
      </c>
      <c r="Y459" s="25" t="s">
        <v>8980</v>
      </c>
      <c r="Z459" s="25" t="s">
        <v>166</v>
      </c>
      <c r="AA459" s="25" t="s">
        <v>166</v>
      </c>
      <c r="AB459" s="25" t="s">
        <v>166</v>
      </c>
      <c r="AC459" s="25" t="s">
        <v>166</v>
      </c>
      <c r="AD459" s="25" t="s">
        <v>166</v>
      </c>
      <c r="AE459" s="25" t="s">
        <v>166</v>
      </c>
      <c r="AF459" s="25" t="s">
        <v>166</v>
      </c>
      <c r="AG459" s="25" t="s">
        <v>166</v>
      </c>
      <c r="AH459" s="32">
        <v>5</v>
      </c>
      <c r="AI459" s="4">
        <f>HYPERLINK("https://my.pitchbook.com/?d=167525-92T","167525-92T")</f>
      </c>
      <c r="AJ459" s="30" t="s">
        <v>166</v>
      </c>
      <c r="AK459" s="30">
        <v>44363</v>
      </c>
      <c r="AL459" s="29">
        <v>0.53</v>
      </c>
      <c r="AM459" s="25" t="s">
        <v>185</v>
      </c>
      <c r="AN459" s="29" t="s">
        <v>166</v>
      </c>
      <c r="AO459" s="29" t="s">
        <v>166</v>
      </c>
      <c r="AP459" s="25" t="s">
        <v>166</v>
      </c>
      <c r="AQ459" s="32" t="s">
        <v>166</v>
      </c>
      <c r="AR459" s="32" t="s">
        <v>166</v>
      </c>
      <c r="AS459" s="28" t="s">
        <v>166</v>
      </c>
      <c r="AT459" s="29">
        <v>0.65</v>
      </c>
      <c r="AU459" s="32" t="s">
        <v>186</v>
      </c>
      <c r="AV459" s="32" t="s">
        <v>166</v>
      </c>
      <c r="AW459" s="29" t="s">
        <v>166</v>
      </c>
      <c r="AX459" s="32" t="s">
        <v>166</v>
      </c>
      <c r="AY459" s="25" t="s">
        <v>217</v>
      </c>
      <c r="AZ459" s="25" t="s">
        <v>217</v>
      </c>
      <c r="BA459" s="25" t="s">
        <v>166</v>
      </c>
      <c r="BB459" s="32" t="s">
        <v>166</v>
      </c>
      <c r="BC459" s="25" t="s">
        <v>179</v>
      </c>
      <c r="BD459" s="25" t="s">
        <v>8981</v>
      </c>
      <c r="BE459" s="25" t="s">
        <v>189</v>
      </c>
      <c r="BF459" s="29">
        <v>0.53</v>
      </c>
      <c r="BG459" s="25" t="s">
        <v>190</v>
      </c>
      <c r="BH459" s="25" t="s">
        <v>166</v>
      </c>
      <c r="BI459" s="25" t="s">
        <v>166</v>
      </c>
      <c r="BJ459" s="29" t="s">
        <v>166</v>
      </c>
      <c r="BK459" s="29" t="s">
        <v>166</v>
      </c>
      <c r="BL459" s="25" t="s">
        <v>191</v>
      </c>
      <c r="BM459" s="25" t="s">
        <v>178</v>
      </c>
      <c r="BN459" s="25" t="s">
        <v>177</v>
      </c>
      <c r="BO459" s="33" t="s">
        <v>166</v>
      </c>
      <c r="BP459" s="25" t="s">
        <v>8982</v>
      </c>
      <c r="BQ459" s="32">
        <v>5</v>
      </c>
      <c r="BR459" s="25" t="s">
        <v>166</v>
      </c>
      <c r="BS459" s="32" t="s">
        <v>166</v>
      </c>
      <c r="BT459" s="25" t="s">
        <v>8983</v>
      </c>
      <c r="BU459" s="25" t="s">
        <v>166</v>
      </c>
      <c r="BV459" s="25" t="s">
        <v>8984</v>
      </c>
      <c r="BW459" s="25" t="s">
        <v>166</v>
      </c>
      <c r="BX459" s="25" t="s">
        <v>166</v>
      </c>
      <c r="BY459" s="25" t="s">
        <v>166</v>
      </c>
      <c r="BZ459" s="25" t="s">
        <v>166</v>
      </c>
      <c r="CA459" s="25" t="s">
        <v>166</v>
      </c>
      <c r="CB459" s="25" t="s">
        <v>166</v>
      </c>
      <c r="CC459" s="25" t="s">
        <v>166</v>
      </c>
      <c r="CD459" s="25" t="s">
        <v>166</v>
      </c>
      <c r="CE459" s="29" t="s">
        <v>166</v>
      </c>
      <c r="CF459" s="27" t="s">
        <v>166</v>
      </c>
      <c r="CG459" s="28" t="s">
        <v>166</v>
      </c>
      <c r="CH459" s="27" t="s">
        <v>166</v>
      </c>
      <c r="CI459" s="27" t="s">
        <v>166</v>
      </c>
      <c r="CJ459" s="27" t="s">
        <v>166</v>
      </c>
      <c r="CK459" s="27" t="s">
        <v>166</v>
      </c>
      <c r="CL459" s="27" t="s">
        <v>166</v>
      </c>
      <c r="CM459" s="31" t="s">
        <v>166</v>
      </c>
      <c r="CN459" s="27" t="s">
        <v>166</v>
      </c>
      <c r="CO459" s="27" t="s">
        <v>166</v>
      </c>
      <c r="CP459" s="27" t="s">
        <v>166</v>
      </c>
      <c r="CQ459" s="27" t="s">
        <v>166</v>
      </c>
      <c r="CR459" s="27" t="s">
        <v>166</v>
      </c>
      <c r="CS459" s="27" t="s">
        <v>166</v>
      </c>
      <c r="CT459" s="27" t="s">
        <v>166</v>
      </c>
      <c r="CU459" s="27" t="s">
        <v>166</v>
      </c>
      <c r="CV459" s="27" t="s">
        <v>166</v>
      </c>
      <c r="CW459" s="27" t="s">
        <v>166</v>
      </c>
      <c r="CX459" s="27" t="s">
        <v>166</v>
      </c>
      <c r="CY459" s="27" t="s">
        <v>166</v>
      </c>
      <c r="CZ459" s="27" t="s">
        <v>166</v>
      </c>
      <c r="DA459" s="27" t="s">
        <v>166</v>
      </c>
      <c r="DB459" s="27" t="s">
        <v>166</v>
      </c>
      <c r="DC459" s="27" t="s">
        <v>166</v>
      </c>
      <c r="DD459" s="27" t="s">
        <v>166</v>
      </c>
      <c r="DE459" s="28" t="s">
        <v>166</v>
      </c>
      <c r="DF459" s="33">
        <v>10</v>
      </c>
      <c r="DG459" s="25" t="s">
        <v>5531</v>
      </c>
      <c r="DH459" s="25" t="s">
        <v>193</v>
      </c>
      <c r="DI459" s="25" t="s">
        <v>194</v>
      </c>
      <c r="DJ459" s="25" t="s">
        <v>5532</v>
      </c>
      <c r="DK459" s="25" t="s">
        <v>257</v>
      </c>
      <c r="DL459" s="32" t="s">
        <v>5533</v>
      </c>
      <c r="DM459" s="25" t="s">
        <v>198</v>
      </c>
      <c r="DN459" s="24" t="s">
        <v>8985</v>
      </c>
      <c r="DO459" s="31">
        <v>2018</v>
      </c>
      <c r="DP459" s="25" t="s">
        <v>166</v>
      </c>
      <c r="DQ459" s="25" t="s">
        <v>166</v>
      </c>
      <c r="DR459" s="29" t="s">
        <v>166</v>
      </c>
      <c r="DS459" s="27" t="s">
        <v>166</v>
      </c>
      <c r="DT459" s="30" t="s">
        <v>166</v>
      </c>
      <c r="DU459" s="25" t="s">
        <v>166</v>
      </c>
      <c r="DV459" s="29" t="s">
        <v>166</v>
      </c>
      <c r="DW459" s="29" t="s">
        <v>166</v>
      </c>
      <c r="DX459" s="27" t="s">
        <v>166</v>
      </c>
      <c r="DY459" s="27" t="s">
        <v>166</v>
      </c>
      <c r="DZ459" s="28" t="s">
        <v>166</v>
      </c>
      <c r="EA459" s="27" t="s">
        <v>166</v>
      </c>
      <c r="EB459" s="27" t="s">
        <v>166</v>
      </c>
      <c r="EC459" s="27" t="s">
        <v>166</v>
      </c>
      <c r="ED459" s="28" t="s">
        <v>166</v>
      </c>
      <c r="EE459" s="28" t="s">
        <v>166</v>
      </c>
      <c r="EF459" s="28" t="s">
        <v>166</v>
      </c>
      <c r="EG459" s="28" t="s">
        <v>166</v>
      </c>
      <c r="EH459" s="27" t="s">
        <v>166</v>
      </c>
      <c r="EI459" s="27" t="s">
        <v>166</v>
      </c>
      <c r="EJ459" s="27" t="s">
        <v>166</v>
      </c>
      <c r="EK459" s="27" t="s">
        <v>166</v>
      </c>
      <c r="EL459" s="27" t="s">
        <v>166</v>
      </c>
      <c r="EM459" s="27" t="s">
        <v>166</v>
      </c>
      <c r="EN459" s="27" t="s">
        <v>166</v>
      </c>
      <c r="EO459" s="27" t="s">
        <v>166</v>
      </c>
      <c r="EP459" s="27" t="s">
        <v>166</v>
      </c>
      <c r="EQ459" s="27" t="s">
        <v>166</v>
      </c>
      <c r="ER459" s="27" t="s">
        <v>166</v>
      </c>
      <c r="ES459" s="27" t="s">
        <v>166</v>
      </c>
      <c r="ET459" s="25" t="s">
        <v>166</v>
      </c>
      <c r="EU459" s="27" t="s">
        <v>166</v>
      </c>
      <c r="EV459" s="27" t="s">
        <v>166</v>
      </c>
      <c r="EW459" s="27" t="s">
        <v>166</v>
      </c>
      <c r="EX459" s="25" t="s">
        <v>190</v>
      </c>
      <c r="EY459" s="25" t="s">
        <v>166</v>
      </c>
      <c r="EZ459" s="27" t="s">
        <v>166</v>
      </c>
      <c r="FA459" s="26" t="s">
        <v>166</v>
      </c>
      <c r="FB459" s="26" t="s">
        <v>166</v>
      </c>
      <c r="FC459" s="26" t="s">
        <v>166</v>
      </c>
      <c r="FD459" s="26" t="s">
        <v>166</v>
      </c>
      <c r="FE459" s="26" t="s">
        <v>166</v>
      </c>
      <c r="FF459" s="26" t="s">
        <v>166</v>
      </c>
      <c r="FG459" s="25" t="s">
        <v>166</v>
      </c>
      <c r="FH459" s="4">
        <f>HYPERLINK("https://my.pitchbook.com?c=167525-92T","View Company Online")</f>
      </c>
    </row>
    <row r="460">
      <c r="A460" s="14" t="s">
        <v>8986</v>
      </c>
      <c r="B460" s="14" t="s">
        <v>8987</v>
      </c>
      <c r="C460" s="14" t="s">
        <v>8988</v>
      </c>
      <c r="D460" s="14" t="s">
        <v>166</v>
      </c>
      <c r="E460" s="23" t="s">
        <v>8989</v>
      </c>
      <c r="F460" s="21">
        <v>17</v>
      </c>
      <c r="G460" s="14" t="s">
        <v>8990</v>
      </c>
      <c r="H460" s="14" t="s">
        <v>166</v>
      </c>
      <c r="I460" s="14" t="s">
        <v>8991</v>
      </c>
      <c r="J460" s="14" t="s">
        <v>8992</v>
      </c>
      <c r="K460" s="14" t="s">
        <v>207</v>
      </c>
      <c r="L460" s="14" t="s">
        <v>208</v>
      </c>
      <c r="M460" s="14" t="s">
        <v>209</v>
      </c>
      <c r="N460" s="14" t="s">
        <v>269</v>
      </c>
      <c r="O460" s="14" t="s">
        <v>8993</v>
      </c>
      <c r="P460" s="14" t="s">
        <v>8994</v>
      </c>
      <c r="Q460" s="14" t="s">
        <v>166</v>
      </c>
      <c r="R460" s="14" t="s">
        <v>177</v>
      </c>
      <c r="S460" s="14" t="s">
        <v>178</v>
      </c>
      <c r="T460" s="14" t="s">
        <v>179</v>
      </c>
      <c r="U460" s="14" t="s">
        <v>8995</v>
      </c>
      <c r="V460" s="14" t="s">
        <v>8996</v>
      </c>
      <c r="W460" s="21" t="s">
        <v>8997</v>
      </c>
      <c r="X460" s="14" t="s">
        <v>8998</v>
      </c>
      <c r="Y460" s="14" t="s">
        <v>8999</v>
      </c>
      <c r="Z460" s="14" t="s">
        <v>166</v>
      </c>
      <c r="AA460" s="14" t="s">
        <v>166</v>
      </c>
      <c r="AB460" s="14" t="s">
        <v>166</v>
      </c>
      <c r="AC460" s="14" t="s">
        <v>166</v>
      </c>
      <c r="AD460" s="14" t="s">
        <v>166</v>
      </c>
      <c r="AE460" s="14" t="s">
        <v>166</v>
      </c>
      <c r="AF460" s="14" t="s">
        <v>166</v>
      </c>
      <c r="AG460" s="14" t="s">
        <v>166</v>
      </c>
      <c r="AH460" s="21">
        <v>1</v>
      </c>
      <c r="AI460" s="3">
        <f>HYPERLINK("https://my.pitchbook.com/?d=208019-35T","208019-35T")</f>
      </c>
      <c r="AJ460" s="19">
        <v>44815</v>
      </c>
      <c r="AK460" s="19">
        <v>44874</v>
      </c>
      <c r="AL460" s="18">
        <v>3</v>
      </c>
      <c r="AM460" s="14" t="s">
        <v>185</v>
      </c>
      <c r="AN460" s="18" t="s">
        <v>166</v>
      </c>
      <c r="AO460" s="18" t="s">
        <v>166</v>
      </c>
      <c r="AP460" s="14" t="s">
        <v>166</v>
      </c>
      <c r="AQ460" s="21" t="s">
        <v>166</v>
      </c>
      <c r="AR460" s="21" t="s">
        <v>166</v>
      </c>
      <c r="AS460" s="17" t="s">
        <v>166</v>
      </c>
      <c r="AT460" s="18">
        <v>3</v>
      </c>
      <c r="AU460" s="21" t="s">
        <v>186</v>
      </c>
      <c r="AV460" s="21" t="s">
        <v>166</v>
      </c>
      <c r="AW460" s="18" t="s">
        <v>166</v>
      </c>
      <c r="AX460" s="21" t="s">
        <v>166</v>
      </c>
      <c r="AY460" s="14" t="s">
        <v>217</v>
      </c>
      <c r="AZ460" s="14" t="s">
        <v>217</v>
      </c>
      <c r="BA460" s="14" t="s">
        <v>166</v>
      </c>
      <c r="BB460" s="21" t="s">
        <v>166</v>
      </c>
      <c r="BC460" s="14" t="s">
        <v>179</v>
      </c>
      <c r="BD460" s="14" t="s">
        <v>9000</v>
      </c>
      <c r="BE460" s="14" t="s">
        <v>189</v>
      </c>
      <c r="BF460" s="18">
        <v>3</v>
      </c>
      <c r="BG460" s="14" t="s">
        <v>190</v>
      </c>
      <c r="BH460" s="14" t="s">
        <v>166</v>
      </c>
      <c r="BI460" s="14" t="s">
        <v>166</v>
      </c>
      <c r="BJ460" s="18" t="s">
        <v>166</v>
      </c>
      <c r="BK460" s="18" t="s">
        <v>166</v>
      </c>
      <c r="BL460" s="14" t="s">
        <v>191</v>
      </c>
      <c r="BM460" s="14" t="s">
        <v>178</v>
      </c>
      <c r="BN460" s="14" t="s">
        <v>177</v>
      </c>
      <c r="BO460" s="22">
        <v>8</v>
      </c>
      <c r="BP460" s="14" t="s">
        <v>9001</v>
      </c>
      <c r="BQ460" s="21">
        <v>17</v>
      </c>
      <c r="BR460" s="14" t="s">
        <v>166</v>
      </c>
      <c r="BS460" s="21" t="s">
        <v>166</v>
      </c>
      <c r="BT460" s="14" t="s">
        <v>166</v>
      </c>
      <c r="BU460" s="14" t="s">
        <v>166</v>
      </c>
      <c r="BV460" s="14" t="s">
        <v>9002</v>
      </c>
      <c r="BW460" s="14" t="s">
        <v>166</v>
      </c>
      <c r="BX460" s="14" t="s">
        <v>166</v>
      </c>
      <c r="BY460" s="14" t="s">
        <v>166</v>
      </c>
      <c r="BZ460" s="14" t="s">
        <v>166</v>
      </c>
      <c r="CA460" s="14" t="s">
        <v>166</v>
      </c>
      <c r="CB460" s="14" t="s">
        <v>166</v>
      </c>
      <c r="CC460" s="14" t="s">
        <v>166</v>
      </c>
      <c r="CD460" s="14" t="s">
        <v>166</v>
      </c>
      <c r="CE460" s="18" t="s">
        <v>166</v>
      </c>
      <c r="CF460" s="16" t="s">
        <v>166</v>
      </c>
      <c r="CG460" s="17" t="s">
        <v>166</v>
      </c>
      <c r="CH460" s="16" t="s">
        <v>166</v>
      </c>
      <c r="CI460" s="16" t="s">
        <v>166</v>
      </c>
      <c r="CJ460" s="16" t="s">
        <v>166</v>
      </c>
      <c r="CK460" s="16" t="s">
        <v>166</v>
      </c>
      <c r="CL460" s="16" t="s">
        <v>166</v>
      </c>
      <c r="CM460" s="20" t="s">
        <v>166</v>
      </c>
      <c r="CN460" s="16" t="s">
        <v>166</v>
      </c>
      <c r="CO460" s="16" t="s">
        <v>166</v>
      </c>
      <c r="CP460" s="16" t="s">
        <v>166</v>
      </c>
      <c r="CQ460" s="16" t="s">
        <v>166</v>
      </c>
      <c r="CR460" s="16" t="s">
        <v>166</v>
      </c>
      <c r="CS460" s="16" t="s">
        <v>166</v>
      </c>
      <c r="CT460" s="16" t="s">
        <v>166</v>
      </c>
      <c r="CU460" s="16" t="s">
        <v>166</v>
      </c>
      <c r="CV460" s="16" t="s">
        <v>166</v>
      </c>
      <c r="CW460" s="16" t="s">
        <v>166</v>
      </c>
      <c r="CX460" s="16" t="s">
        <v>166</v>
      </c>
      <c r="CY460" s="16" t="s">
        <v>166</v>
      </c>
      <c r="CZ460" s="16" t="s">
        <v>166</v>
      </c>
      <c r="DA460" s="16" t="s">
        <v>166</v>
      </c>
      <c r="DB460" s="16" t="s">
        <v>166</v>
      </c>
      <c r="DC460" s="16" t="s">
        <v>166</v>
      </c>
      <c r="DD460" s="16" t="s">
        <v>166</v>
      </c>
      <c r="DE460" s="17" t="s">
        <v>166</v>
      </c>
      <c r="DF460" s="22">
        <v>17</v>
      </c>
      <c r="DG460" s="14" t="s">
        <v>309</v>
      </c>
      <c r="DH460" s="14" t="s">
        <v>193</v>
      </c>
      <c r="DI460" s="14" t="s">
        <v>194</v>
      </c>
      <c r="DJ460" s="14" t="s">
        <v>310</v>
      </c>
      <c r="DK460" s="14" t="s">
        <v>310</v>
      </c>
      <c r="DL460" s="21" t="s">
        <v>4265</v>
      </c>
      <c r="DM460" s="14" t="s">
        <v>198</v>
      </c>
      <c r="DN460" s="13" t="s">
        <v>9003</v>
      </c>
      <c r="DO460" s="20">
        <v>2017</v>
      </c>
      <c r="DP460" s="14" t="s">
        <v>166</v>
      </c>
      <c r="DQ460" s="14" t="s">
        <v>166</v>
      </c>
      <c r="DR460" s="18" t="s">
        <v>166</v>
      </c>
      <c r="DS460" s="16" t="s">
        <v>166</v>
      </c>
      <c r="DT460" s="19" t="s">
        <v>166</v>
      </c>
      <c r="DU460" s="14" t="s">
        <v>166</v>
      </c>
      <c r="DV460" s="18" t="s">
        <v>166</v>
      </c>
      <c r="DW460" s="18" t="s">
        <v>166</v>
      </c>
      <c r="DX460" s="16" t="s">
        <v>166</v>
      </c>
      <c r="DY460" s="16" t="s">
        <v>166</v>
      </c>
      <c r="DZ460" s="17" t="s">
        <v>166</v>
      </c>
      <c r="EA460" s="16" t="s">
        <v>166</v>
      </c>
      <c r="EB460" s="16" t="s">
        <v>166</v>
      </c>
      <c r="EC460" s="16" t="s">
        <v>166</v>
      </c>
      <c r="ED460" s="17" t="s">
        <v>166</v>
      </c>
      <c r="EE460" s="17" t="s">
        <v>166</v>
      </c>
      <c r="EF460" s="17" t="s">
        <v>166</v>
      </c>
      <c r="EG460" s="17" t="s">
        <v>166</v>
      </c>
      <c r="EH460" s="16" t="s">
        <v>166</v>
      </c>
      <c r="EI460" s="16" t="s">
        <v>166</v>
      </c>
      <c r="EJ460" s="16" t="s">
        <v>166</v>
      </c>
      <c r="EK460" s="16" t="s">
        <v>166</v>
      </c>
      <c r="EL460" s="16" t="s">
        <v>166</v>
      </c>
      <c r="EM460" s="16" t="s">
        <v>166</v>
      </c>
      <c r="EN460" s="16" t="s">
        <v>166</v>
      </c>
      <c r="EO460" s="16" t="s">
        <v>166</v>
      </c>
      <c r="EP460" s="16" t="s">
        <v>166</v>
      </c>
      <c r="EQ460" s="16" t="s">
        <v>166</v>
      </c>
      <c r="ER460" s="16" t="s">
        <v>166</v>
      </c>
      <c r="ES460" s="16" t="s">
        <v>166</v>
      </c>
      <c r="ET460" s="14" t="s">
        <v>166</v>
      </c>
      <c r="EU460" s="16" t="s">
        <v>166</v>
      </c>
      <c r="EV460" s="16" t="s">
        <v>166</v>
      </c>
      <c r="EW460" s="16" t="s">
        <v>166</v>
      </c>
      <c r="EX460" s="14" t="s">
        <v>190</v>
      </c>
      <c r="EY460" s="14" t="s">
        <v>166</v>
      </c>
      <c r="EZ460" s="16" t="s">
        <v>166</v>
      </c>
      <c r="FA460" s="15" t="s">
        <v>166</v>
      </c>
      <c r="FB460" s="15" t="s">
        <v>166</v>
      </c>
      <c r="FC460" s="15" t="s">
        <v>166</v>
      </c>
      <c r="FD460" s="15" t="s">
        <v>166</v>
      </c>
      <c r="FE460" s="15" t="s">
        <v>166</v>
      </c>
      <c r="FF460" s="15" t="s">
        <v>166</v>
      </c>
      <c r="FG460" s="14" t="s">
        <v>166</v>
      </c>
      <c r="FH460" s="3">
        <f>HYPERLINK("https://my.pitchbook.com?c=208019-35T","View Company Online")</f>
      </c>
    </row>
    <row r="461">
      <c r="A461" s="25" t="s">
        <v>9004</v>
      </c>
      <c r="B461" s="25" t="s">
        <v>9005</v>
      </c>
      <c r="C461" s="25" t="s">
        <v>9006</v>
      </c>
      <c r="D461" s="25" t="s">
        <v>166</v>
      </c>
      <c r="E461" s="34" t="s">
        <v>9007</v>
      </c>
      <c r="F461" s="32">
        <v>2</v>
      </c>
      <c r="G461" s="25" t="s">
        <v>9008</v>
      </c>
      <c r="H461" s="25" t="s">
        <v>166</v>
      </c>
      <c r="I461" s="25" t="s">
        <v>9009</v>
      </c>
      <c r="J461" s="25" t="s">
        <v>9010</v>
      </c>
      <c r="K461" s="25" t="s">
        <v>171</v>
      </c>
      <c r="L461" s="25" t="s">
        <v>172</v>
      </c>
      <c r="M461" s="25" t="s">
        <v>173</v>
      </c>
      <c r="N461" s="25" t="s">
        <v>2890</v>
      </c>
      <c r="O461" s="25" t="s">
        <v>4487</v>
      </c>
      <c r="P461" s="25" t="s">
        <v>9011</v>
      </c>
      <c r="Q461" s="25" t="s">
        <v>166</v>
      </c>
      <c r="R461" s="25" t="s">
        <v>177</v>
      </c>
      <c r="S461" s="25" t="s">
        <v>178</v>
      </c>
      <c r="T461" s="25" t="s">
        <v>179</v>
      </c>
      <c r="U461" s="25" t="s">
        <v>9012</v>
      </c>
      <c r="V461" s="25" t="s">
        <v>9013</v>
      </c>
      <c r="W461" s="32" t="s">
        <v>166</v>
      </c>
      <c r="X461" s="25" t="s">
        <v>9014</v>
      </c>
      <c r="Y461" s="25" t="s">
        <v>9015</v>
      </c>
      <c r="Z461" s="25" t="s">
        <v>166</v>
      </c>
      <c r="AA461" s="25" t="s">
        <v>166</v>
      </c>
      <c r="AB461" s="25" t="s">
        <v>166</v>
      </c>
      <c r="AC461" s="25" t="s">
        <v>166</v>
      </c>
      <c r="AD461" s="25" t="s">
        <v>166</v>
      </c>
      <c r="AE461" s="25" t="s">
        <v>166</v>
      </c>
      <c r="AF461" s="25" t="s">
        <v>166</v>
      </c>
      <c r="AG461" s="25" t="s">
        <v>166</v>
      </c>
      <c r="AH461" s="32">
        <v>1</v>
      </c>
      <c r="AI461" s="4">
        <f>HYPERLINK("https://my.pitchbook.com/?d=188461-72T","188461-72T")</f>
      </c>
      <c r="AJ461" s="30" t="s">
        <v>166</v>
      </c>
      <c r="AK461" s="30">
        <v>44485</v>
      </c>
      <c r="AL461" s="29">
        <v>3.75</v>
      </c>
      <c r="AM461" s="25" t="s">
        <v>185</v>
      </c>
      <c r="AN461" s="29" t="s">
        <v>166</v>
      </c>
      <c r="AO461" s="29" t="s">
        <v>166</v>
      </c>
      <c r="AP461" s="25" t="s">
        <v>166</v>
      </c>
      <c r="AQ461" s="32" t="s">
        <v>166</v>
      </c>
      <c r="AR461" s="32" t="s">
        <v>166</v>
      </c>
      <c r="AS461" s="28" t="s">
        <v>166</v>
      </c>
      <c r="AT461" s="29">
        <v>3.75</v>
      </c>
      <c r="AU461" s="32" t="s">
        <v>186</v>
      </c>
      <c r="AV461" s="32" t="s">
        <v>166</v>
      </c>
      <c r="AW461" s="29" t="s">
        <v>166</v>
      </c>
      <c r="AX461" s="32" t="s">
        <v>166</v>
      </c>
      <c r="AY461" s="25" t="s">
        <v>217</v>
      </c>
      <c r="AZ461" s="25" t="s">
        <v>217</v>
      </c>
      <c r="BA461" s="25" t="s">
        <v>166</v>
      </c>
      <c r="BB461" s="32" t="s">
        <v>166</v>
      </c>
      <c r="BC461" s="25" t="s">
        <v>179</v>
      </c>
      <c r="BD461" s="25" t="s">
        <v>9010</v>
      </c>
      <c r="BE461" s="25" t="s">
        <v>189</v>
      </c>
      <c r="BF461" s="29">
        <v>3.75</v>
      </c>
      <c r="BG461" s="25" t="s">
        <v>190</v>
      </c>
      <c r="BH461" s="25" t="s">
        <v>166</v>
      </c>
      <c r="BI461" s="25" t="s">
        <v>166</v>
      </c>
      <c r="BJ461" s="29" t="s">
        <v>166</v>
      </c>
      <c r="BK461" s="29" t="s">
        <v>166</v>
      </c>
      <c r="BL461" s="25" t="s">
        <v>191</v>
      </c>
      <c r="BM461" s="25" t="s">
        <v>178</v>
      </c>
      <c r="BN461" s="25" t="s">
        <v>177</v>
      </c>
      <c r="BO461" s="33" t="s">
        <v>166</v>
      </c>
      <c r="BP461" s="25" t="s">
        <v>9007</v>
      </c>
      <c r="BQ461" s="32">
        <v>2</v>
      </c>
      <c r="BR461" s="25" t="s">
        <v>166</v>
      </c>
      <c r="BS461" s="32" t="s">
        <v>166</v>
      </c>
      <c r="BT461" s="25" t="s">
        <v>166</v>
      </c>
      <c r="BU461" s="25" t="s">
        <v>166</v>
      </c>
      <c r="BV461" s="25" t="s">
        <v>9016</v>
      </c>
      <c r="BW461" s="25" t="s">
        <v>166</v>
      </c>
      <c r="BX461" s="25" t="s">
        <v>166</v>
      </c>
      <c r="BY461" s="25" t="s">
        <v>166</v>
      </c>
      <c r="BZ461" s="25" t="s">
        <v>166</v>
      </c>
      <c r="CA461" s="25" t="s">
        <v>166</v>
      </c>
      <c r="CB461" s="25" t="s">
        <v>166</v>
      </c>
      <c r="CC461" s="25" t="s">
        <v>166</v>
      </c>
      <c r="CD461" s="25" t="s">
        <v>166</v>
      </c>
      <c r="CE461" s="29" t="s">
        <v>166</v>
      </c>
      <c r="CF461" s="27" t="s">
        <v>166</v>
      </c>
      <c r="CG461" s="28" t="s">
        <v>166</v>
      </c>
      <c r="CH461" s="27" t="s">
        <v>166</v>
      </c>
      <c r="CI461" s="27" t="s">
        <v>166</v>
      </c>
      <c r="CJ461" s="27" t="s">
        <v>166</v>
      </c>
      <c r="CK461" s="27" t="s">
        <v>166</v>
      </c>
      <c r="CL461" s="27" t="s">
        <v>166</v>
      </c>
      <c r="CM461" s="31" t="s">
        <v>166</v>
      </c>
      <c r="CN461" s="27" t="s">
        <v>166</v>
      </c>
      <c r="CO461" s="27" t="s">
        <v>166</v>
      </c>
      <c r="CP461" s="27" t="s">
        <v>166</v>
      </c>
      <c r="CQ461" s="27" t="s">
        <v>166</v>
      </c>
      <c r="CR461" s="27" t="s">
        <v>166</v>
      </c>
      <c r="CS461" s="27" t="s">
        <v>166</v>
      </c>
      <c r="CT461" s="27" t="s">
        <v>166</v>
      </c>
      <c r="CU461" s="27" t="s">
        <v>166</v>
      </c>
      <c r="CV461" s="27" t="s">
        <v>166</v>
      </c>
      <c r="CW461" s="27" t="s">
        <v>166</v>
      </c>
      <c r="CX461" s="27" t="s">
        <v>166</v>
      </c>
      <c r="CY461" s="27" t="s">
        <v>166</v>
      </c>
      <c r="CZ461" s="27" t="s">
        <v>166</v>
      </c>
      <c r="DA461" s="27" t="s">
        <v>166</v>
      </c>
      <c r="DB461" s="27" t="s">
        <v>166</v>
      </c>
      <c r="DC461" s="27" t="s">
        <v>166</v>
      </c>
      <c r="DD461" s="27" t="s">
        <v>166</v>
      </c>
      <c r="DE461" s="28" t="s">
        <v>166</v>
      </c>
      <c r="DF461" s="33">
        <v>8</v>
      </c>
      <c r="DG461" s="25" t="s">
        <v>309</v>
      </c>
      <c r="DH461" s="25" t="s">
        <v>193</v>
      </c>
      <c r="DI461" s="25" t="s">
        <v>194</v>
      </c>
      <c r="DJ461" s="25" t="s">
        <v>310</v>
      </c>
      <c r="DK461" s="25" t="s">
        <v>310</v>
      </c>
      <c r="DL461" s="32" t="s">
        <v>1910</v>
      </c>
      <c r="DM461" s="25" t="s">
        <v>198</v>
      </c>
      <c r="DN461" s="24" t="s">
        <v>9017</v>
      </c>
      <c r="DO461" s="31">
        <v>2021</v>
      </c>
      <c r="DP461" s="25" t="s">
        <v>166</v>
      </c>
      <c r="DQ461" s="25" t="s">
        <v>166</v>
      </c>
      <c r="DR461" s="29" t="s">
        <v>166</v>
      </c>
      <c r="DS461" s="27" t="s">
        <v>166</v>
      </c>
      <c r="DT461" s="30" t="s">
        <v>166</v>
      </c>
      <c r="DU461" s="25" t="s">
        <v>166</v>
      </c>
      <c r="DV461" s="29" t="s">
        <v>166</v>
      </c>
      <c r="DW461" s="29" t="s">
        <v>166</v>
      </c>
      <c r="DX461" s="27" t="s">
        <v>166</v>
      </c>
      <c r="DY461" s="27" t="s">
        <v>166</v>
      </c>
      <c r="DZ461" s="28" t="s">
        <v>166</v>
      </c>
      <c r="EA461" s="27" t="s">
        <v>166</v>
      </c>
      <c r="EB461" s="27" t="s">
        <v>166</v>
      </c>
      <c r="EC461" s="27" t="s">
        <v>166</v>
      </c>
      <c r="ED461" s="28" t="s">
        <v>166</v>
      </c>
      <c r="EE461" s="28" t="s">
        <v>166</v>
      </c>
      <c r="EF461" s="28" t="s">
        <v>166</v>
      </c>
      <c r="EG461" s="28" t="s">
        <v>166</v>
      </c>
      <c r="EH461" s="27" t="s">
        <v>166</v>
      </c>
      <c r="EI461" s="27" t="s">
        <v>166</v>
      </c>
      <c r="EJ461" s="27" t="s">
        <v>166</v>
      </c>
      <c r="EK461" s="27" t="s">
        <v>166</v>
      </c>
      <c r="EL461" s="27" t="s">
        <v>166</v>
      </c>
      <c r="EM461" s="27" t="s">
        <v>166</v>
      </c>
      <c r="EN461" s="27" t="s">
        <v>166</v>
      </c>
      <c r="EO461" s="27" t="s">
        <v>166</v>
      </c>
      <c r="EP461" s="27" t="s">
        <v>166</v>
      </c>
      <c r="EQ461" s="27" t="s">
        <v>166</v>
      </c>
      <c r="ER461" s="27" t="s">
        <v>166</v>
      </c>
      <c r="ES461" s="27" t="s">
        <v>166</v>
      </c>
      <c r="ET461" s="25" t="s">
        <v>166</v>
      </c>
      <c r="EU461" s="27" t="s">
        <v>166</v>
      </c>
      <c r="EV461" s="27" t="s">
        <v>166</v>
      </c>
      <c r="EW461" s="27" t="s">
        <v>166</v>
      </c>
      <c r="EX461" s="25" t="s">
        <v>190</v>
      </c>
      <c r="EY461" s="25" t="s">
        <v>166</v>
      </c>
      <c r="EZ461" s="27" t="s">
        <v>166</v>
      </c>
      <c r="FA461" s="26" t="s">
        <v>166</v>
      </c>
      <c r="FB461" s="26" t="s">
        <v>166</v>
      </c>
      <c r="FC461" s="26" t="s">
        <v>166</v>
      </c>
      <c r="FD461" s="26" t="s">
        <v>166</v>
      </c>
      <c r="FE461" s="26" t="s">
        <v>166</v>
      </c>
      <c r="FF461" s="26" t="s">
        <v>166</v>
      </c>
      <c r="FG461" s="25" t="s">
        <v>166</v>
      </c>
      <c r="FH461" s="4">
        <f>HYPERLINK("https://my.pitchbook.com?c=188461-72T","View Company Online")</f>
      </c>
    </row>
    <row r="462">
      <c r="A462" s="14" t="s">
        <v>9018</v>
      </c>
      <c r="B462" s="14" t="s">
        <v>9019</v>
      </c>
      <c r="C462" s="14" t="s">
        <v>9020</v>
      </c>
      <c r="D462" s="14" t="s">
        <v>166</v>
      </c>
      <c r="E462" s="23" t="s">
        <v>9021</v>
      </c>
      <c r="F462" s="21">
        <v>6</v>
      </c>
      <c r="G462" s="14" t="s">
        <v>9022</v>
      </c>
      <c r="H462" s="14" t="s">
        <v>166</v>
      </c>
      <c r="I462" s="14" t="s">
        <v>9023</v>
      </c>
      <c r="J462" s="14" t="s">
        <v>9024</v>
      </c>
      <c r="K462" s="14" t="s">
        <v>207</v>
      </c>
      <c r="L462" s="14" t="s">
        <v>208</v>
      </c>
      <c r="M462" s="14" t="s">
        <v>839</v>
      </c>
      <c r="N462" s="14" t="s">
        <v>9025</v>
      </c>
      <c r="O462" s="14" t="s">
        <v>1295</v>
      </c>
      <c r="P462" s="14" t="s">
        <v>9026</v>
      </c>
      <c r="Q462" s="14" t="s">
        <v>166</v>
      </c>
      <c r="R462" s="14" t="s">
        <v>177</v>
      </c>
      <c r="S462" s="14" t="s">
        <v>178</v>
      </c>
      <c r="T462" s="14" t="s">
        <v>179</v>
      </c>
      <c r="U462" s="14" t="s">
        <v>9027</v>
      </c>
      <c r="V462" s="14" t="s">
        <v>9028</v>
      </c>
      <c r="W462" s="21" t="s">
        <v>166</v>
      </c>
      <c r="X462" s="14" t="s">
        <v>9029</v>
      </c>
      <c r="Y462" s="14" t="s">
        <v>9030</v>
      </c>
      <c r="Z462" s="14" t="s">
        <v>9031</v>
      </c>
      <c r="AA462" s="14" t="s">
        <v>166</v>
      </c>
      <c r="AB462" s="14" t="s">
        <v>166</v>
      </c>
      <c r="AC462" s="14" t="s">
        <v>166</v>
      </c>
      <c r="AD462" s="14" t="s">
        <v>166</v>
      </c>
      <c r="AE462" s="14" t="s">
        <v>166</v>
      </c>
      <c r="AF462" s="14" t="s">
        <v>166</v>
      </c>
      <c r="AG462" s="14" t="s">
        <v>166</v>
      </c>
      <c r="AH462" s="21">
        <v>3</v>
      </c>
      <c r="AI462" s="3">
        <f>HYPERLINK("https://my.pitchbook.com/?d=170333-47T","170333-47T")</f>
      </c>
      <c r="AJ462" s="19">
        <v>44256</v>
      </c>
      <c r="AK462" s="19">
        <v>44363</v>
      </c>
      <c r="AL462" s="18">
        <v>0.9</v>
      </c>
      <c r="AM462" s="14" t="s">
        <v>185</v>
      </c>
      <c r="AN462" s="18" t="s">
        <v>166</v>
      </c>
      <c r="AO462" s="18" t="s">
        <v>166</v>
      </c>
      <c r="AP462" s="14" t="s">
        <v>166</v>
      </c>
      <c r="AQ462" s="21" t="s">
        <v>166</v>
      </c>
      <c r="AR462" s="21" t="s">
        <v>166</v>
      </c>
      <c r="AS462" s="17" t="s">
        <v>166</v>
      </c>
      <c r="AT462" s="18">
        <v>0.97</v>
      </c>
      <c r="AU462" s="21" t="s">
        <v>186</v>
      </c>
      <c r="AV462" s="21" t="s">
        <v>166</v>
      </c>
      <c r="AW462" s="18" t="s">
        <v>166</v>
      </c>
      <c r="AX462" s="21" t="s">
        <v>166</v>
      </c>
      <c r="AY462" s="14" t="s">
        <v>217</v>
      </c>
      <c r="AZ462" s="14" t="s">
        <v>217</v>
      </c>
      <c r="BA462" s="14" t="s">
        <v>166</v>
      </c>
      <c r="BB462" s="21" t="s">
        <v>166</v>
      </c>
      <c r="BC462" s="14" t="s">
        <v>179</v>
      </c>
      <c r="BD462" s="14" t="s">
        <v>9024</v>
      </c>
      <c r="BE462" s="14" t="s">
        <v>189</v>
      </c>
      <c r="BF462" s="18">
        <v>0.9</v>
      </c>
      <c r="BG462" s="14" t="s">
        <v>190</v>
      </c>
      <c r="BH462" s="14" t="s">
        <v>166</v>
      </c>
      <c r="BI462" s="14" t="s">
        <v>166</v>
      </c>
      <c r="BJ462" s="18" t="s">
        <v>166</v>
      </c>
      <c r="BK462" s="18" t="s">
        <v>166</v>
      </c>
      <c r="BL462" s="14" t="s">
        <v>191</v>
      </c>
      <c r="BM462" s="14" t="s">
        <v>178</v>
      </c>
      <c r="BN462" s="14" t="s">
        <v>177</v>
      </c>
      <c r="BO462" s="22" t="s">
        <v>166</v>
      </c>
      <c r="BP462" s="14" t="s">
        <v>9032</v>
      </c>
      <c r="BQ462" s="21">
        <v>6</v>
      </c>
      <c r="BR462" s="14" t="s">
        <v>166</v>
      </c>
      <c r="BS462" s="21" t="s">
        <v>166</v>
      </c>
      <c r="BT462" s="14" t="s">
        <v>9033</v>
      </c>
      <c r="BU462" s="14" t="s">
        <v>166</v>
      </c>
      <c r="BV462" s="14" t="s">
        <v>9034</v>
      </c>
      <c r="BW462" s="14" t="s">
        <v>166</v>
      </c>
      <c r="BX462" s="14" t="s">
        <v>166</v>
      </c>
      <c r="BY462" s="14" t="s">
        <v>166</v>
      </c>
      <c r="BZ462" s="14" t="s">
        <v>166</v>
      </c>
      <c r="CA462" s="14" t="s">
        <v>166</v>
      </c>
      <c r="CB462" s="14" t="s">
        <v>166</v>
      </c>
      <c r="CC462" s="14" t="s">
        <v>166</v>
      </c>
      <c r="CD462" s="14" t="s">
        <v>166</v>
      </c>
      <c r="CE462" s="18" t="s">
        <v>166</v>
      </c>
      <c r="CF462" s="16" t="s">
        <v>166</v>
      </c>
      <c r="CG462" s="17" t="s">
        <v>166</v>
      </c>
      <c r="CH462" s="16" t="s">
        <v>166</v>
      </c>
      <c r="CI462" s="16" t="s">
        <v>166</v>
      </c>
      <c r="CJ462" s="16" t="s">
        <v>166</v>
      </c>
      <c r="CK462" s="16" t="s">
        <v>166</v>
      </c>
      <c r="CL462" s="16" t="s">
        <v>166</v>
      </c>
      <c r="CM462" s="20" t="s">
        <v>166</v>
      </c>
      <c r="CN462" s="16" t="s">
        <v>166</v>
      </c>
      <c r="CO462" s="16" t="s">
        <v>166</v>
      </c>
      <c r="CP462" s="16" t="s">
        <v>166</v>
      </c>
      <c r="CQ462" s="16" t="s">
        <v>166</v>
      </c>
      <c r="CR462" s="16" t="s">
        <v>166</v>
      </c>
      <c r="CS462" s="16" t="s">
        <v>166</v>
      </c>
      <c r="CT462" s="16" t="s">
        <v>166</v>
      </c>
      <c r="CU462" s="16" t="s">
        <v>166</v>
      </c>
      <c r="CV462" s="16" t="s">
        <v>166</v>
      </c>
      <c r="CW462" s="16" t="s">
        <v>166</v>
      </c>
      <c r="CX462" s="16" t="s">
        <v>166</v>
      </c>
      <c r="CY462" s="16" t="s">
        <v>166</v>
      </c>
      <c r="CZ462" s="16" t="s">
        <v>166</v>
      </c>
      <c r="DA462" s="16" t="s">
        <v>166</v>
      </c>
      <c r="DB462" s="16" t="s">
        <v>166</v>
      </c>
      <c r="DC462" s="16" t="s">
        <v>166</v>
      </c>
      <c r="DD462" s="16" t="s">
        <v>166</v>
      </c>
      <c r="DE462" s="17" t="s">
        <v>166</v>
      </c>
      <c r="DF462" s="22">
        <v>10</v>
      </c>
      <c r="DG462" s="14" t="s">
        <v>429</v>
      </c>
      <c r="DH462" s="14" t="s">
        <v>193</v>
      </c>
      <c r="DI462" s="14" t="s">
        <v>194</v>
      </c>
      <c r="DJ462" s="14" t="s">
        <v>430</v>
      </c>
      <c r="DK462" s="14" t="s">
        <v>431</v>
      </c>
      <c r="DL462" s="21" t="s">
        <v>9035</v>
      </c>
      <c r="DM462" s="14" t="s">
        <v>198</v>
      </c>
      <c r="DN462" s="13" t="s">
        <v>9036</v>
      </c>
      <c r="DO462" s="20">
        <v>2019</v>
      </c>
      <c r="DP462" s="14" t="s">
        <v>166</v>
      </c>
      <c r="DQ462" s="14" t="s">
        <v>166</v>
      </c>
      <c r="DR462" s="18" t="s">
        <v>166</v>
      </c>
      <c r="DS462" s="16" t="s">
        <v>166</v>
      </c>
      <c r="DT462" s="19" t="s">
        <v>166</v>
      </c>
      <c r="DU462" s="14" t="s">
        <v>166</v>
      </c>
      <c r="DV462" s="18" t="s">
        <v>166</v>
      </c>
      <c r="DW462" s="18" t="s">
        <v>166</v>
      </c>
      <c r="DX462" s="16" t="s">
        <v>166</v>
      </c>
      <c r="DY462" s="16" t="s">
        <v>166</v>
      </c>
      <c r="DZ462" s="17" t="s">
        <v>166</v>
      </c>
      <c r="EA462" s="16" t="s">
        <v>166</v>
      </c>
      <c r="EB462" s="16" t="s">
        <v>166</v>
      </c>
      <c r="EC462" s="16" t="s">
        <v>166</v>
      </c>
      <c r="ED462" s="17" t="s">
        <v>166</v>
      </c>
      <c r="EE462" s="17" t="s">
        <v>166</v>
      </c>
      <c r="EF462" s="17" t="s">
        <v>166</v>
      </c>
      <c r="EG462" s="17" t="s">
        <v>166</v>
      </c>
      <c r="EH462" s="16" t="s">
        <v>166</v>
      </c>
      <c r="EI462" s="16" t="s">
        <v>166</v>
      </c>
      <c r="EJ462" s="16" t="s">
        <v>166</v>
      </c>
      <c r="EK462" s="16" t="s">
        <v>166</v>
      </c>
      <c r="EL462" s="16" t="s">
        <v>166</v>
      </c>
      <c r="EM462" s="16" t="s">
        <v>166</v>
      </c>
      <c r="EN462" s="16" t="s">
        <v>166</v>
      </c>
      <c r="EO462" s="16" t="s">
        <v>166</v>
      </c>
      <c r="EP462" s="16" t="s">
        <v>166</v>
      </c>
      <c r="EQ462" s="16" t="s">
        <v>166</v>
      </c>
      <c r="ER462" s="16" t="s">
        <v>166</v>
      </c>
      <c r="ES462" s="16" t="s">
        <v>166</v>
      </c>
      <c r="ET462" s="14" t="s">
        <v>166</v>
      </c>
      <c r="EU462" s="16" t="s">
        <v>166</v>
      </c>
      <c r="EV462" s="16" t="s">
        <v>166</v>
      </c>
      <c r="EW462" s="16" t="s">
        <v>166</v>
      </c>
      <c r="EX462" s="14" t="s">
        <v>190</v>
      </c>
      <c r="EY462" s="14" t="s">
        <v>166</v>
      </c>
      <c r="EZ462" s="16" t="s">
        <v>166</v>
      </c>
      <c r="FA462" s="15" t="s">
        <v>166</v>
      </c>
      <c r="FB462" s="15" t="s">
        <v>166</v>
      </c>
      <c r="FC462" s="15" t="s">
        <v>166</v>
      </c>
      <c r="FD462" s="15" t="s">
        <v>166</v>
      </c>
      <c r="FE462" s="15" t="s">
        <v>166</v>
      </c>
      <c r="FF462" s="15" t="s">
        <v>166</v>
      </c>
      <c r="FG462" s="14" t="s">
        <v>166</v>
      </c>
      <c r="FH462" s="3">
        <f>HYPERLINK("https://my.pitchbook.com?c=170333-47T","View Company Online")</f>
      </c>
    </row>
    <row r="463">
      <c r="A463" s="25" t="s">
        <v>9037</v>
      </c>
      <c r="B463" s="25" t="s">
        <v>9038</v>
      </c>
      <c r="C463" s="25" t="s">
        <v>9039</v>
      </c>
      <c r="D463" s="25" t="s">
        <v>166</v>
      </c>
      <c r="E463" s="34" t="s">
        <v>2631</v>
      </c>
      <c r="F463" s="32">
        <v>1</v>
      </c>
      <c r="G463" s="25" t="s">
        <v>9040</v>
      </c>
      <c r="H463" s="25" t="s">
        <v>166</v>
      </c>
      <c r="I463" s="25" t="s">
        <v>9041</v>
      </c>
      <c r="J463" s="25" t="s">
        <v>9042</v>
      </c>
      <c r="K463" s="25" t="s">
        <v>207</v>
      </c>
      <c r="L463" s="25" t="s">
        <v>208</v>
      </c>
      <c r="M463" s="25" t="s">
        <v>209</v>
      </c>
      <c r="N463" s="25" t="s">
        <v>684</v>
      </c>
      <c r="O463" s="25" t="s">
        <v>5780</v>
      </c>
      <c r="P463" s="25" t="s">
        <v>9043</v>
      </c>
      <c r="Q463" s="25" t="s">
        <v>8717</v>
      </c>
      <c r="R463" s="25" t="s">
        <v>177</v>
      </c>
      <c r="S463" s="25" t="s">
        <v>178</v>
      </c>
      <c r="T463" s="25" t="s">
        <v>9044</v>
      </c>
      <c r="U463" s="25" t="s">
        <v>9045</v>
      </c>
      <c r="V463" s="25" t="s">
        <v>9046</v>
      </c>
      <c r="W463" s="32" t="s">
        <v>9047</v>
      </c>
      <c r="X463" s="25" t="s">
        <v>166</v>
      </c>
      <c r="Y463" s="25" t="s">
        <v>9048</v>
      </c>
      <c r="Z463" s="25" t="s">
        <v>9049</v>
      </c>
      <c r="AA463" s="25" t="s">
        <v>166</v>
      </c>
      <c r="AB463" s="25" t="s">
        <v>166</v>
      </c>
      <c r="AC463" s="25" t="s">
        <v>166</v>
      </c>
      <c r="AD463" s="25" t="s">
        <v>166</v>
      </c>
      <c r="AE463" s="25" t="s">
        <v>166</v>
      </c>
      <c r="AF463" s="25" t="s">
        <v>166</v>
      </c>
      <c r="AG463" s="25" t="s">
        <v>166</v>
      </c>
      <c r="AH463" s="32">
        <v>1</v>
      </c>
      <c r="AI463" s="4">
        <f>HYPERLINK("https://my.pitchbook.com/?d=274580-83T","274580-83T")</f>
      </c>
      <c r="AJ463" s="30" t="s">
        <v>166</v>
      </c>
      <c r="AK463" s="30">
        <v>45509</v>
      </c>
      <c r="AL463" s="29">
        <v>0.4</v>
      </c>
      <c r="AM463" s="25" t="s">
        <v>185</v>
      </c>
      <c r="AN463" s="29" t="s">
        <v>166</v>
      </c>
      <c r="AO463" s="29" t="s">
        <v>166</v>
      </c>
      <c r="AP463" s="25" t="s">
        <v>166</v>
      </c>
      <c r="AQ463" s="32" t="s">
        <v>166</v>
      </c>
      <c r="AR463" s="32" t="s">
        <v>166</v>
      </c>
      <c r="AS463" s="28" t="s">
        <v>166</v>
      </c>
      <c r="AT463" s="29">
        <v>0.4</v>
      </c>
      <c r="AU463" s="32" t="s">
        <v>186</v>
      </c>
      <c r="AV463" s="32" t="s">
        <v>166</v>
      </c>
      <c r="AW463" s="29" t="s">
        <v>166</v>
      </c>
      <c r="AX463" s="32" t="s">
        <v>166</v>
      </c>
      <c r="AY463" s="25" t="s">
        <v>217</v>
      </c>
      <c r="AZ463" s="25" t="s">
        <v>217</v>
      </c>
      <c r="BA463" s="25" t="s">
        <v>166</v>
      </c>
      <c r="BB463" s="32" t="s">
        <v>166</v>
      </c>
      <c r="BC463" s="25" t="s">
        <v>179</v>
      </c>
      <c r="BD463" s="25" t="s">
        <v>9042</v>
      </c>
      <c r="BE463" s="25" t="s">
        <v>189</v>
      </c>
      <c r="BF463" s="29" t="s">
        <v>166</v>
      </c>
      <c r="BG463" s="25" t="s">
        <v>190</v>
      </c>
      <c r="BH463" s="25" t="s">
        <v>166</v>
      </c>
      <c r="BI463" s="25" t="s">
        <v>166</v>
      </c>
      <c r="BJ463" s="29">
        <v>0.15</v>
      </c>
      <c r="BK463" s="29" t="s">
        <v>166</v>
      </c>
      <c r="BL463" s="25" t="s">
        <v>191</v>
      </c>
      <c r="BM463" s="25" t="s">
        <v>178</v>
      </c>
      <c r="BN463" s="25" t="s">
        <v>177</v>
      </c>
      <c r="BO463" s="33" t="s">
        <v>166</v>
      </c>
      <c r="BP463" s="25" t="s">
        <v>2631</v>
      </c>
      <c r="BQ463" s="32">
        <v>1</v>
      </c>
      <c r="BR463" s="25" t="s">
        <v>166</v>
      </c>
      <c r="BS463" s="32" t="s">
        <v>166</v>
      </c>
      <c r="BT463" s="25" t="s">
        <v>166</v>
      </c>
      <c r="BU463" s="25" t="s">
        <v>166</v>
      </c>
      <c r="BV463" s="25" t="s">
        <v>166</v>
      </c>
      <c r="BW463" s="25" t="s">
        <v>166</v>
      </c>
      <c r="BX463" s="25" t="s">
        <v>166</v>
      </c>
      <c r="BY463" s="25" t="s">
        <v>166</v>
      </c>
      <c r="BZ463" s="25" t="s">
        <v>166</v>
      </c>
      <c r="CA463" s="25" t="s">
        <v>166</v>
      </c>
      <c r="CB463" s="25" t="s">
        <v>166</v>
      </c>
      <c r="CC463" s="25" t="s">
        <v>166</v>
      </c>
      <c r="CD463" s="25" t="s">
        <v>166</v>
      </c>
      <c r="CE463" s="29" t="s">
        <v>166</v>
      </c>
      <c r="CF463" s="27" t="s">
        <v>166</v>
      </c>
      <c r="CG463" s="28" t="s">
        <v>166</v>
      </c>
      <c r="CH463" s="27" t="s">
        <v>166</v>
      </c>
      <c r="CI463" s="27" t="s">
        <v>166</v>
      </c>
      <c r="CJ463" s="27" t="s">
        <v>166</v>
      </c>
      <c r="CK463" s="27" t="s">
        <v>166</v>
      </c>
      <c r="CL463" s="27" t="s">
        <v>166</v>
      </c>
      <c r="CM463" s="31" t="s">
        <v>166</v>
      </c>
      <c r="CN463" s="27" t="s">
        <v>166</v>
      </c>
      <c r="CO463" s="27" t="s">
        <v>166</v>
      </c>
      <c r="CP463" s="27" t="s">
        <v>166</v>
      </c>
      <c r="CQ463" s="27" t="s">
        <v>166</v>
      </c>
      <c r="CR463" s="27" t="s">
        <v>166</v>
      </c>
      <c r="CS463" s="27" t="s">
        <v>166</v>
      </c>
      <c r="CT463" s="27" t="s">
        <v>166</v>
      </c>
      <c r="CU463" s="27" t="s">
        <v>166</v>
      </c>
      <c r="CV463" s="27" t="s">
        <v>166</v>
      </c>
      <c r="CW463" s="27" t="s">
        <v>166</v>
      </c>
      <c r="CX463" s="27" t="s">
        <v>166</v>
      </c>
      <c r="CY463" s="27" t="s">
        <v>166</v>
      </c>
      <c r="CZ463" s="27" t="s">
        <v>166</v>
      </c>
      <c r="DA463" s="27" t="s">
        <v>166</v>
      </c>
      <c r="DB463" s="27" t="s">
        <v>166</v>
      </c>
      <c r="DC463" s="27" t="s">
        <v>166</v>
      </c>
      <c r="DD463" s="27" t="s">
        <v>166</v>
      </c>
      <c r="DE463" s="28" t="s">
        <v>166</v>
      </c>
      <c r="DF463" s="33" t="s">
        <v>166</v>
      </c>
      <c r="DG463" s="25" t="s">
        <v>8034</v>
      </c>
      <c r="DH463" s="25" t="s">
        <v>193</v>
      </c>
      <c r="DI463" s="25" t="s">
        <v>194</v>
      </c>
      <c r="DJ463" s="25" t="s">
        <v>8035</v>
      </c>
      <c r="DK463" s="25" t="s">
        <v>6539</v>
      </c>
      <c r="DL463" s="32" t="s">
        <v>9050</v>
      </c>
      <c r="DM463" s="25" t="s">
        <v>198</v>
      </c>
      <c r="DN463" s="24" t="s">
        <v>9051</v>
      </c>
      <c r="DO463" s="31">
        <v>2024</v>
      </c>
      <c r="DP463" s="25" t="s">
        <v>166</v>
      </c>
      <c r="DQ463" s="25" t="s">
        <v>260</v>
      </c>
      <c r="DR463" s="29">
        <v>0.15</v>
      </c>
      <c r="DS463" s="27" t="s">
        <v>166</v>
      </c>
      <c r="DT463" s="30" t="s">
        <v>166</v>
      </c>
      <c r="DU463" s="25" t="s">
        <v>166</v>
      </c>
      <c r="DV463" s="29" t="s">
        <v>166</v>
      </c>
      <c r="DW463" s="29" t="s">
        <v>166</v>
      </c>
      <c r="DX463" s="27" t="s">
        <v>166</v>
      </c>
      <c r="DY463" s="27" t="s">
        <v>166</v>
      </c>
      <c r="DZ463" s="28" t="s">
        <v>166</v>
      </c>
      <c r="EA463" s="27" t="s">
        <v>166</v>
      </c>
      <c r="EB463" s="27" t="s">
        <v>166</v>
      </c>
      <c r="EC463" s="27" t="s">
        <v>166</v>
      </c>
      <c r="ED463" s="28" t="s">
        <v>166</v>
      </c>
      <c r="EE463" s="28" t="s">
        <v>166</v>
      </c>
      <c r="EF463" s="28" t="s">
        <v>166</v>
      </c>
      <c r="EG463" s="28" t="s">
        <v>166</v>
      </c>
      <c r="EH463" s="27" t="s">
        <v>166</v>
      </c>
      <c r="EI463" s="27" t="s">
        <v>166</v>
      </c>
      <c r="EJ463" s="27" t="s">
        <v>166</v>
      </c>
      <c r="EK463" s="27" t="s">
        <v>166</v>
      </c>
      <c r="EL463" s="27" t="s">
        <v>166</v>
      </c>
      <c r="EM463" s="27" t="s">
        <v>166</v>
      </c>
      <c r="EN463" s="27" t="s">
        <v>166</v>
      </c>
      <c r="EO463" s="27" t="s">
        <v>166</v>
      </c>
      <c r="EP463" s="27" t="s">
        <v>166</v>
      </c>
      <c r="EQ463" s="27" t="s">
        <v>166</v>
      </c>
      <c r="ER463" s="27" t="s">
        <v>166</v>
      </c>
      <c r="ES463" s="27" t="s">
        <v>166</v>
      </c>
      <c r="ET463" s="25" t="s">
        <v>166</v>
      </c>
      <c r="EU463" s="27" t="s">
        <v>166</v>
      </c>
      <c r="EV463" s="27" t="s">
        <v>166</v>
      </c>
      <c r="EW463" s="27" t="s">
        <v>166</v>
      </c>
      <c r="EX463" s="25" t="s">
        <v>190</v>
      </c>
      <c r="EY463" s="25" t="s">
        <v>190</v>
      </c>
      <c r="EZ463" s="27" t="s">
        <v>166</v>
      </c>
      <c r="FA463" s="26" t="s">
        <v>166</v>
      </c>
      <c r="FB463" s="26" t="s">
        <v>166</v>
      </c>
      <c r="FC463" s="26" t="s">
        <v>166</v>
      </c>
      <c r="FD463" s="26" t="s">
        <v>166</v>
      </c>
      <c r="FE463" s="26" t="s">
        <v>166</v>
      </c>
      <c r="FF463" s="26" t="s">
        <v>166</v>
      </c>
      <c r="FG463" s="25" t="s">
        <v>166</v>
      </c>
      <c r="FH463" s="4">
        <f>HYPERLINK("https://my.pitchbook.com?c=274580-83T","View Company Online")</f>
      </c>
    </row>
    <row r="464">
      <c r="A464" s="14" t="s">
        <v>9052</v>
      </c>
      <c r="B464" s="14" t="s">
        <v>9053</v>
      </c>
      <c r="C464" s="14" t="s">
        <v>9054</v>
      </c>
      <c r="D464" s="14" t="s">
        <v>166</v>
      </c>
      <c r="E464" s="23" t="s">
        <v>9055</v>
      </c>
      <c r="F464" s="21">
        <v>2</v>
      </c>
      <c r="G464" s="14" t="s">
        <v>9056</v>
      </c>
      <c r="H464" s="14" t="s">
        <v>166</v>
      </c>
      <c r="I464" s="14" t="s">
        <v>9057</v>
      </c>
      <c r="J464" s="14" t="s">
        <v>9058</v>
      </c>
      <c r="K464" s="14" t="s">
        <v>1455</v>
      </c>
      <c r="L464" s="14" t="s">
        <v>1456</v>
      </c>
      <c r="M464" s="14" t="s">
        <v>1457</v>
      </c>
      <c r="N464" s="14" t="s">
        <v>9059</v>
      </c>
      <c r="O464" s="14" t="s">
        <v>9060</v>
      </c>
      <c r="P464" s="14" t="s">
        <v>9061</v>
      </c>
      <c r="Q464" s="14" t="s">
        <v>166</v>
      </c>
      <c r="R464" s="14" t="s">
        <v>177</v>
      </c>
      <c r="S464" s="14" t="s">
        <v>178</v>
      </c>
      <c r="T464" s="14" t="s">
        <v>179</v>
      </c>
      <c r="U464" s="14" t="s">
        <v>9062</v>
      </c>
      <c r="V464" s="14" t="s">
        <v>9063</v>
      </c>
      <c r="W464" s="21" t="s">
        <v>166</v>
      </c>
      <c r="X464" s="14" t="s">
        <v>166</v>
      </c>
      <c r="Y464" s="14" t="s">
        <v>9064</v>
      </c>
      <c r="Z464" s="14" t="s">
        <v>9065</v>
      </c>
      <c r="AA464" s="14" t="s">
        <v>166</v>
      </c>
      <c r="AB464" s="14" t="s">
        <v>166</v>
      </c>
      <c r="AC464" s="14" t="s">
        <v>166</v>
      </c>
      <c r="AD464" s="14" t="s">
        <v>166</v>
      </c>
      <c r="AE464" s="14" t="s">
        <v>166</v>
      </c>
      <c r="AF464" s="14" t="s">
        <v>166</v>
      </c>
      <c r="AG464" s="14" t="s">
        <v>166</v>
      </c>
      <c r="AH464" s="21">
        <v>1</v>
      </c>
      <c r="AI464" s="3">
        <f>HYPERLINK("https://my.pitchbook.com/?d=189409-69T","189409-69T")</f>
      </c>
      <c r="AJ464" s="19" t="s">
        <v>166</v>
      </c>
      <c r="AK464" s="19">
        <v>44551</v>
      </c>
      <c r="AL464" s="18">
        <v>0.75</v>
      </c>
      <c r="AM464" s="14" t="s">
        <v>185</v>
      </c>
      <c r="AN464" s="18" t="s">
        <v>166</v>
      </c>
      <c r="AO464" s="18" t="s">
        <v>166</v>
      </c>
      <c r="AP464" s="14" t="s">
        <v>166</v>
      </c>
      <c r="AQ464" s="21" t="s">
        <v>166</v>
      </c>
      <c r="AR464" s="21" t="s">
        <v>166</v>
      </c>
      <c r="AS464" s="17" t="s">
        <v>166</v>
      </c>
      <c r="AT464" s="18">
        <v>0.75</v>
      </c>
      <c r="AU464" s="21" t="s">
        <v>186</v>
      </c>
      <c r="AV464" s="21" t="s">
        <v>166</v>
      </c>
      <c r="AW464" s="18" t="s">
        <v>166</v>
      </c>
      <c r="AX464" s="21" t="s">
        <v>166</v>
      </c>
      <c r="AY464" s="14" t="s">
        <v>187</v>
      </c>
      <c r="AZ464" s="14" t="s">
        <v>166</v>
      </c>
      <c r="BA464" s="14" t="s">
        <v>166</v>
      </c>
      <c r="BB464" s="21" t="s">
        <v>166</v>
      </c>
      <c r="BC464" s="14" t="s">
        <v>179</v>
      </c>
      <c r="BD464" s="14" t="s">
        <v>9058</v>
      </c>
      <c r="BE464" s="14" t="s">
        <v>189</v>
      </c>
      <c r="BF464" s="18">
        <v>0.75</v>
      </c>
      <c r="BG464" s="14" t="s">
        <v>190</v>
      </c>
      <c r="BH464" s="14" t="s">
        <v>166</v>
      </c>
      <c r="BI464" s="14" t="s">
        <v>166</v>
      </c>
      <c r="BJ464" s="18" t="s">
        <v>166</v>
      </c>
      <c r="BK464" s="18" t="s">
        <v>166</v>
      </c>
      <c r="BL464" s="14" t="s">
        <v>191</v>
      </c>
      <c r="BM464" s="14" t="s">
        <v>178</v>
      </c>
      <c r="BN464" s="14" t="s">
        <v>177</v>
      </c>
      <c r="BO464" s="22" t="s">
        <v>166</v>
      </c>
      <c r="BP464" s="14" t="s">
        <v>9055</v>
      </c>
      <c r="BQ464" s="21">
        <v>2</v>
      </c>
      <c r="BR464" s="14" t="s">
        <v>166</v>
      </c>
      <c r="BS464" s="21" t="s">
        <v>166</v>
      </c>
      <c r="BT464" s="14" t="s">
        <v>166</v>
      </c>
      <c r="BU464" s="14" t="s">
        <v>166</v>
      </c>
      <c r="BV464" s="14" t="s">
        <v>166</v>
      </c>
      <c r="BW464" s="14" t="s">
        <v>166</v>
      </c>
      <c r="BX464" s="14" t="s">
        <v>166</v>
      </c>
      <c r="BY464" s="14" t="s">
        <v>166</v>
      </c>
      <c r="BZ464" s="14" t="s">
        <v>166</v>
      </c>
      <c r="CA464" s="14" t="s">
        <v>166</v>
      </c>
      <c r="CB464" s="14" t="s">
        <v>166</v>
      </c>
      <c r="CC464" s="14" t="s">
        <v>166</v>
      </c>
      <c r="CD464" s="14" t="s">
        <v>166</v>
      </c>
      <c r="CE464" s="18" t="s">
        <v>166</v>
      </c>
      <c r="CF464" s="16" t="s">
        <v>166</v>
      </c>
      <c r="CG464" s="17" t="s">
        <v>166</v>
      </c>
      <c r="CH464" s="16" t="s">
        <v>166</v>
      </c>
      <c r="CI464" s="16" t="s">
        <v>166</v>
      </c>
      <c r="CJ464" s="16" t="s">
        <v>166</v>
      </c>
      <c r="CK464" s="16" t="s">
        <v>166</v>
      </c>
      <c r="CL464" s="16" t="s">
        <v>166</v>
      </c>
      <c r="CM464" s="20" t="s">
        <v>166</v>
      </c>
      <c r="CN464" s="16" t="s">
        <v>166</v>
      </c>
      <c r="CO464" s="16" t="s">
        <v>166</v>
      </c>
      <c r="CP464" s="16" t="s">
        <v>166</v>
      </c>
      <c r="CQ464" s="16" t="s">
        <v>166</v>
      </c>
      <c r="CR464" s="16" t="s">
        <v>166</v>
      </c>
      <c r="CS464" s="16" t="s">
        <v>166</v>
      </c>
      <c r="CT464" s="16" t="s">
        <v>166</v>
      </c>
      <c r="CU464" s="16" t="s">
        <v>166</v>
      </c>
      <c r="CV464" s="16" t="s">
        <v>166</v>
      </c>
      <c r="CW464" s="16" t="s">
        <v>166</v>
      </c>
      <c r="CX464" s="16" t="s">
        <v>166</v>
      </c>
      <c r="CY464" s="16" t="s">
        <v>166</v>
      </c>
      <c r="CZ464" s="16" t="s">
        <v>166</v>
      </c>
      <c r="DA464" s="16" t="s">
        <v>166</v>
      </c>
      <c r="DB464" s="16" t="s">
        <v>166</v>
      </c>
      <c r="DC464" s="16" t="s">
        <v>166</v>
      </c>
      <c r="DD464" s="16" t="s">
        <v>166</v>
      </c>
      <c r="DE464" s="17" t="s">
        <v>166</v>
      </c>
      <c r="DF464" s="22">
        <v>3</v>
      </c>
      <c r="DG464" s="14" t="s">
        <v>9066</v>
      </c>
      <c r="DH464" s="14" t="s">
        <v>193</v>
      </c>
      <c r="DI464" s="14" t="s">
        <v>194</v>
      </c>
      <c r="DJ464" s="14" t="s">
        <v>9067</v>
      </c>
      <c r="DK464" s="14" t="s">
        <v>1063</v>
      </c>
      <c r="DL464" s="21" t="s">
        <v>9068</v>
      </c>
      <c r="DM464" s="14" t="s">
        <v>198</v>
      </c>
      <c r="DN464" s="13" t="s">
        <v>9069</v>
      </c>
      <c r="DO464" s="20">
        <v>2021</v>
      </c>
      <c r="DP464" s="14" t="s">
        <v>166</v>
      </c>
      <c r="DQ464" s="14" t="s">
        <v>166</v>
      </c>
      <c r="DR464" s="18" t="s">
        <v>166</v>
      </c>
      <c r="DS464" s="16" t="s">
        <v>166</v>
      </c>
      <c r="DT464" s="19" t="s">
        <v>166</v>
      </c>
      <c r="DU464" s="14" t="s">
        <v>166</v>
      </c>
      <c r="DV464" s="18" t="s">
        <v>166</v>
      </c>
      <c r="DW464" s="18" t="s">
        <v>166</v>
      </c>
      <c r="DX464" s="16" t="s">
        <v>166</v>
      </c>
      <c r="DY464" s="16" t="s">
        <v>166</v>
      </c>
      <c r="DZ464" s="17" t="s">
        <v>166</v>
      </c>
      <c r="EA464" s="16" t="s">
        <v>166</v>
      </c>
      <c r="EB464" s="16" t="s">
        <v>166</v>
      </c>
      <c r="EC464" s="16" t="s">
        <v>166</v>
      </c>
      <c r="ED464" s="17" t="s">
        <v>166</v>
      </c>
      <c r="EE464" s="17" t="s">
        <v>166</v>
      </c>
      <c r="EF464" s="17" t="s">
        <v>166</v>
      </c>
      <c r="EG464" s="17" t="s">
        <v>166</v>
      </c>
      <c r="EH464" s="16" t="s">
        <v>166</v>
      </c>
      <c r="EI464" s="16" t="s">
        <v>166</v>
      </c>
      <c r="EJ464" s="16" t="s">
        <v>166</v>
      </c>
      <c r="EK464" s="16" t="s">
        <v>166</v>
      </c>
      <c r="EL464" s="16" t="s">
        <v>166</v>
      </c>
      <c r="EM464" s="16" t="s">
        <v>166</v>
      </c>
      <c r="EN464" s="16" t="s">
        <v>166</v>
      </c>
      <c r="EO464" s="16" t="s">
        <v>166</v>
      </c>
      <c r="EP464" s="16" t="s">
        <v>166</v>
      </c>
      <c r="EQ464" s="16" t="s">
        <v>166</v>
      </c>
      <c r="ER464" s="16" t="s">
        <v>166</v>
      </c>
      <c r="ES464" s="16" t="s">
        <v>166</v>
      </c>
      <c r="ET464" s="14" t="s">
        <v>166</v>
      </c>
      <c r="EU464" s="16" t="s">
        <v>166</v>
      </c>
      <c r="EV464" s="16" t="s">
        <v>166</v>
      </c>
      <c r="EW464" s="16" t="s">
        <v>166</v>
      </c>
      <c r="EX464" s="14" t="s">
        <v>190</v>
      </c>
      <c r="EY464" s="14" t="s">
        <v>166</v>
      </c>
      <c r="EZ464" s="16" t="s">
        <v>166</v>
      </c>
      <c r="FA464" s="15" t="s">
        <v>166</v>
      </c>
      <c r="FB464" s="15" t="s">
        <v>166</v>
      </c>
      <c r="FC464" s="15" t="s">
        <v>166</v>
      </c>
      <c r="FD464" s="15" t="s">
        <v>166</v>
      </c>
      <c r="FE464" s="15" t="s">
        <v>166</v>
      </c>
      <c r="FF464" s="15" t="s">
        <v>166</v>
      </c>
      <c r="FG464" s="14" t="s">
        <v>166</v>
      </c>
      <c r="FH464" s="3">
        <f>HYPERLINK("https://my.pitchbook.com?c=189409-69T","View Company Online")</f>
      </c>
    </row>
    <row r="465">
      <c r="A465" s="25" t="s">
        <v>9070</v>
      </c>
      <c r="B465" s="25" t="s">
        <v>9071</v>
      </c>
      <c r="C465" s="25" t="s">
        <v>9072</v>
      </c>
      <c r="D465" s="25" t="s">
        <v>166</v>
      </c>
      <c r="E465" s="34" t="s">
        <v>9073</v>
      </c>
      <c r="F465" s="32">
        <v>10</v>
      </c>
      <c r="G465" s="25" t="s">
        <v>9074</v>
      </c>
      <c r="H465" s="25" t="s">
        <v>166</v>
      </c>
      <c r="I465" s="25" t="s">
        <v>9075</v>
      </c>
      <c r="J465" s="25" t="s">
        <v>9076</v>
      </c>
      <c r="K465" s="25" t="s">
        <v>1455</v>
      </c>
      <c r="L465" s="25" t="s">
        <v>1984</v>
      </c>
      <c r="M465" s="25" t="s">
        <v>2112</v>
      </c>
      <c r="N465" s="25" t="s">
        <v>9077</v>
      </c>
      <c r="O465" s="25" t="s">
        <v>6927</v>
      </c>
      <c r="P465" s="25" t="s">
        <v>9078</v>
      </c>
      <c r="Q465" s="25" t="s">
        <v>166</v>
      </c>
      <c r="R465" s="25" t="s">
        <v>177</v>
      </c>
      <c r="S465" s="25" t="s">
        <v>178</v>
      </c>
      <c r="T465" s="25" t="s">
        <v>179</v>
      </c>
      <c r="U465" s="25" t="s">
        <v>9079</v>
      </c>
      <c r="V465" s="25" t="s">
        <v>9080</v>
      </c>
      <c r="W465" s="32" t="s">
        <v>9081</v>
      </c>
      <c r="X465" s="25" t="s">
        <v>9082</v>
      </c>
      <c r="Y465" s="25" t="s">
        <v>9083</v>
      </c>
      <c r="Z465" s="25" t="s">
        <v>166</v>
      </c>
      <c r="AA465" s="25" t="s">
        <v>166</v>
      </c>
      <c r="AB465" s="25" t="s">
        <v>166</v>
      </c>
      <c r="AC465" s="25" t="s">
        <v>166</v>
      </c>
      <c r="AD465" s="25" t="s">
        <v>166</v>
      </c>
      <c r="AE465" s="25" t="s">
        <v>166</v>
      </c>
      <c r="AF465" s="25" t="s">
        <v>166</v>
      </c>
      <c r="AG465" s="25" t="s">
        <v>166</v>
      </c>
      <c r="AH465" s="32">
        <v>1</v>
      </c>
      <c r="AI465" s="4">
        <f>HYPERLINK("https://my.pitchbook.com/?d=247295-08T","247295-08T")</f>
      </c>
      <c r="AJ465" s="30">
        <v>45261</v>
      </c>
      <c r="AK465" s="30">
        <v>45379</v>
      </c>
      <c r="AL465" s="29">
        <v>1</v>
      </c>
      <c r="AM465" s="25" t="s">
        <v>185</v>
      </c>
      <c r="AN465" s="29" t="s">
        <v>166</v>
      </c>
      <c r="AO465" s="29" t="s">
        <v>166</v>
      </c>
      <c r="AP465" s="25" t="s">
        <v>166</v>
      </c>
      <c r="AQ465" s="32" t="s">
        <v>166</v>
      </c>
      <c r="AR465" s="32" t="s">
        <v>166</v>
      </c>
      <c r="AS465" s="28" t="s">
        <v>166</v>
      </c>
      <c r="AT465" s="29">
        <v>1</v>
      </c>
      <c r="AU465" s="32" t="s">
        <v>186</v>
      </c>
      <c r="AV465" s="32" t="s">
        <v>166</v>
      </c>
      <c r="AW465" s="29" t="s">
        <v>166</v>
      </c>
      <c r="AX465" s="32" t="s">
        <v>166</v>
      </c>
      <c r="AY465" s="25" t="s">
        <v>217</v>
      </c>
      <c r="AZ465" s="25" t="s">
        <v>217</v>
      </c>
      <c r="BA465" s="25" t="s">
        <v>166</v>
      </c>
      <c r="BB465" s="32" t="s">
        <v>166</v>
      </c>
      <c r="BC465" s="25" t="s">
        <v>179</v>
      </c>
      <c r="BD465" s="25" t="s">
        <v>9084</v>
      </c>
      <c r="BE465" s="25" t="s">
        <v>189</v>
      </c>
      <c r="BF465" s="29">
        <v>1</v>
      </c>
      <c r="BG465" s="25" t="s">
        <v>190</v>
      </c>
      <c r="BH465" s="25" t="s">
        <v>166</v>
      </c>
      <c r="BI465" s="25" t="s">
        <v>166</v>
      </c>
      <c r="BJ465" s="29" t="s">
        <v>166</v>
      </c>
      <c r="BK465" s="29" t="s">
        <v>166</v>
      </c>
      <c r="BL465" s="25" t="s">
        <v>191</v>
      </c>
      <c r="BM465" s="25" t="s">
        <v>178</v>
      </c>
      <c r="BN465" s="25" t="s">
        <v>177</v>
      </c>
      <c r="BO465" s="33" t="s">
        <v>166</v>
      </c>
      <c r="BP465" s="25" t="s">
        <v>9085</v>
      </c>
      <c r="BQ465" s="32">
        <v>10</v>
      </c>
      <c r="BR465" s="25" t="s">
        <v>166</v>
      </c>
      <c r="BS465" s="32" t="s">
        <v>166</v>
      </c>
      <c r="BT465" s="25" t="s">
        <v>9086</v>
      </c>
      <c r="BU465" s="25" t="s">
        <v>166</v>
      </c>
      <c r="BV465" s="25" t="s">
        <v>9087</v>
      </c>
      <c r="BW465" s="25" t="s">
        <v>166</v>
      </c>
      <c r="BX465" s="25" t="s">
        <v>166</v>
      </c>
      <c r="BY465" s="25" t="s">
        <v>166</v>
      </c>
      <c r="BZ465" s="25" t="s">
        <v>166</v>
      </c>
      <c r="CA465" s="25" t="s">
        <v>166</v>
      </c>
      <c r="CB465" s="25" t="s">
        <v>166</v>
      </c>
      <c r="CC465" s="25" t="s">
        <v>166</v>
      </c>
      <c r="CD465" s="25" t="s">
        <v>166</v>
      </c>
      <c r="CE465" s="29" t="s">
        <v>166</v>
      </c>
      <c r="CF465" s="27" t="s">
        <v>166</v>
      </c>
      <c r="CG465" s="28" t="s">
        <v>166</v>
      </c>
      <c r="CH465" s="27" t="s">
        <v>166</v>
      </c>
      <c r="CI465" s="27" t="s">
        <v>166</v>
      </c>
      <c r="CJ465" s="27" t="s">
        <v>166</v>
      </c>
      <c r="CK465" s="27" t="s">
        <v>166</v>
      </c>
      <c r="CL465" s="27" t="s">
        <v>166</v>
      </c>
      <c r="CM465" s="31" t="s">
        <v>166</v>
      </c>
      <c r="CN465" s="27" t="s">
        <v>166</v>
      </c>
      <c r="CO465" s="27" t="s">
        <v>166</v>
      </c>
      <c r="CP465" s="27" t="s">
        <v>166</v>
      </c>
      <c r="CQ465" s="27" t="s">
        <v>166</v>
      </c>
      <c r="CR465" s="27" t="s">
        <v>166</v>
      </c>
      <c r="CS465" s="27" t="s">
        <v>166</v>
      </c>
      <c r="CT465" s="27" t="s">
        <v>166</v>
      </c>
      <c r="CU465" s="27" t="s">
        <v>166</v>
      </c>
      <c r="CV465" s="27" t="s">
        <v>166</v>
      </c>
      <c r="CW465" s="27" t="s">
        <v>166</v>
      </c>
      <c r="CX465" s="27" t="s">
        <v>166</v>
      </c>
      <c r="CY465" s="27" t="s">
        <v>166</v>
      </c>
      <c r="CZ465" s="27" t="s">
        <v>166</v>
      </c>
      <c r="DA465" s="27" t="s">
        <v>166</v>
      </c>
      <c r="DB465" s="27" t="s">
        <v>166</v>
      </c>
      <c r="DC465" s="27" t="s">
        <v>166</v>
      </c>
      <c r="DD465" s="27" t="s">
        <v>166</v>
      </c>
      <c r="DE465" s="28" t="s">
        <v>166</v>
      </c>
      <c r="DF465" s="33">
        <v>9</v>
      </c>
      <c r="DG465" s="25" t="s">
        <v>429</v>
      </c>
      <c r="DH465" s="25" t="s">
        <v>193</v>
      </c>
      <c r="DI465" s="25" t="s">
        <v>194</v>
      </c>
      <c r="DJ465" s="25" t="s">
        <v>430</v>
      </c>
      <c r="DK465" s="25" t="s">
        <v>431</v>
      </c>
      <c r="DL465" s="32" t="s">
        <v>166</v>
      </c>
      <c r="DM465" s="25" t="s">
        <v>198</v>
      </c>
      <c r="DN465" s="24" t="s">
        <v>9088</v>
      </c>
      <c r="DO465" s="31">
        <v>2022</v>
      </c>
      <c r="DP465" s="25" t="s">
        <v>166</v>
      </c>
      <c r="DQ465" s="25" t="s">
        <v>166</v>
      </c>
      <c r="DR465" s="29" t="s">
        <v>166</v>
      </c>
      <c r="DS465" s="27" t="s">
        <v>166</v>
      </c>
      <c r="DT465" s="30" t="s">
        <v>166</v>
      </c>
      <c r="DU465" s="25" t="s">
        <v>166</v>
      </c>
      <c r="DV465" s="29" t="s">
        <v>166</v>
      </c>
      <c r="DW465" s="29" t="s">
        <v>166</v>
      </c>
      <c r="DX465" s="27" t="s">
        <v>166</v>
      </c>
      <c r="DY465" s="27" t="s">
        <v>166</v>
      </c>
      <c r="DZ465" s="28" t="s">
        <v>166</v>
      </c>
      <c r="EA465" s="27" t="s">
        <v>166</v>
      </c>
      <c r="EB465" s="27" t="s">
        <v>166</v>
      </c>
      <c r="EC465" s="27" t="s">
        <v>166</v>
      </c>
      <c r="ED465" s="28" t="s">
        <v>166</v>
      </c>
      <c r="EE465" s="28" t="s">
        <v>166</v>
      </c>
      <c r="EF465" s="28" t="s">
        <v>166</v>
      </c>
      <c r="EG465" s="28" t="s">
        <v>166</v>
      </c>
      <c r="EH465" s="27" t="s">
        <v>166</v>
      </c>
      <c r="EI465" s="27" t="s">
        <v>166</v>
      </c>
      <c r="EJ465" s="27" t="s">
        <v>166</v>
      </c>
      <c r="EK465" s="27" t="s">
        <v>166</v>
      </c>
      <c r="EL465" s="27" t="s">
        <v>166</v>
      </c>
      <c r="EM465" s="27" t="s">
        <v>166</v>
      </c>
      <c r="EN465" s="27" t="s">
        <v>166</v>
      </c>
      <c r="EO465" s="27" t="s">
        <v>166</v>
      </c>
      <c r="EP465" s="27" t="s">
        <v>166</v>
      </c>
      <c r="EQ465" s="27" t="s">
        <v>166</v>
      </c>
      <c r="ER465" s="27" t="s">
        <v>166</v>
      </c>
      <c r="ES465" s="27" t="s">
        <v>166</v>
      </c>
      <c r="ET465" s="25" t="s">
        <v>166</v>
      </c>
      <c r="EU465" s="27" t="s">
        <v>166</v>
      </c>
      <c r="EV465" s="27" t="s">
        <v>166</v>
      </c>
      <c r="EW465" s="27" t="s">
        <v>166</v>
      </c>
      <c r="EX465" s="25" t="s">
        <v>190</v>
      </c>
      <c r="EY465" s="25" t="s">
        <v>166</v>
      </c>
      <c r="EZ465" s="27" t="s">
        <v>166</v>
      </c>
      <c r="FA465" s="26" t="s">
        <v>166</v>
      </c>
      <c r="FB465" s="26" t="s">
        <v>166</v>
      </c>
      <c r="FC465" s="26" t="s">
        <v>166</v>
      </c>
      <c r="FD465" s="26" t="s">
        <v>166</v>
      </c>
      <c r="FE465" s="26" t="s">
        <v>166</v>
      </c>
      <c r="FF465" s="26" t="s">
        <v>166</v>
      </c>
      <c r="FG465" s="25" t="s">
        <v>166</v>
      </c>
      <c r="FH465" s="4">
        <f>HYPERLINK("https://my.pitchbook.com?c=247295-08T","View Company Online")</f>
      </c>
    </row>
    <row r="466">
      <c r="A466" s="14" t="s">
        <v>9089</v>
      </c>
      <c r="B466" s="14" t="s">
        <v>9090</v>
      </c>
      <c r="C466" s="14" t="s">
        <v>9091</v>
      </c>
      <c r="D466" s="14" t="s">
        <v>166</v>
      </c>
      <c r="E466" s="23" t="s">
        <v>9092</v>
      </c>
      <c r="F466" s="21">
        <v>7</v>
      </c>
      <c r="G466" s="14" t="s">
        <v>9093</v>
      </c>
      <c r="H466" s="14" t="s">
        <v>166</v>
      </c>
      <c r="I466" s="14" t="s">
        <v>9094</v>
      </c>
      <c r="J466" s="14" t="s">
        <v>9095</v>
      </c>
      <c r="K466" s="14" t="s">
        <v>207</v>
      </c>
      <c r="L466" s="14" t="s">
        <v>208</v>
      </c>
      <c r="M466" s="14" t="s">
        <v>296</v>
      </c>
      <c r="N466" s="14" t="s">
        <v>9096</v>
      </c>
      <c r="O466" s="14" t="s">
        <v>325</v>
      </c>
      <c r="P466" s="14" t="s">
        <v>9097</v>
      </c>
      <c r="Q466" s="14" t="s">
        <v>166</v>
      </c>
      <c r="R466" s="14" t="s">
        <v>177</v>
      </c>
      <c r="S466" s="14" t="s">
        <v>178</v>
      </c>
      <c r="T466" s="14" t="s">
        <v>179</v>
      </c>
      <c r="U466" s="14" t="s">
        <v>9098</v>
      </c>
      <c r="V466" s="14" t="s">
        <v>9099</v>
      </c>
      <c r="W466" s="21" t="s">
        <v>9100</v>
      </c>
      <c r="X466" s="14" t="s">
        <v>9101</v>
      </c>
      <c r="Y466" s="14" t="s">
        <v>9102</v>
      </c>
      <c r="Z466" s="14" t="s">
        <v>9103</v>
      </c>
      <c r="AA466" s="14" t="s">
        <v>242</v>
      </c>
      <c r="AB466" s="14" t="s">
        <v>243</v>
      </c>
      <c r="AC466" s="14" t="s">
        <v>244</v>
      </c>
      <c r="AD466" s="14" t="s">
        <v>243</v>
      </c>
      <c r="AE466" s="14" t="s">
        <v>243</v>
      </c>
      <c r="AF466" s="14" t="s">
        <v>245</v>
      </c>
      <c r="AG466" s="14" t="s">
        <v>246</v>
      </c>
      <c r="AH466" s="21">
        <v>1</v>
      </c>
      <c r="AI466" s="3">
        <f>HYPERLINK("https://my.pitchbook.com/?d=140986-27T","140986-27T")</f>
      </c>
      <c r="AJ466" s="19" t="s">
        <v>166</v>
      </c>
      <c r="AK466" s="19">
        <v>44033</v>
      </c>
      <c r="AL466" s="18">
        <v>12.5</v>
      </c>
      <c r="AM466" s="14" t="s">
        <v>185</v>
      </c>
      <c r="AN466" s="18">
        <v>30</v>
      </c>
      <c r="AO466" s="18">
        <v>42.5</v>
      </c>
      <c r="AP466" s="14" t="s">
        <v>185</v>
      </c>
      <c r="AQ466" s="21" t="s">
        <v>166</v>
      </c>
      <c r="AR466" s="21" t="s">
        <v>166</v>
      </c>
      <c r="AS466" s="17">
        <v>36.37</v>
      </c>
      <c r="AT466" s="18">
        <v>12.5</v>
      </c>
      <c r="AU466" s="21" t="s">
        <v>186</v>
      </c>
      <c r="AV466" s="21" t="s">
        <v>166</v>
      </c>
      <c r="AW466" s="18">
        <v>2.73</v>
      </c>
      <c r="AX466" s="21" t="s">
        <v>248</v>
      </c>
      <c r="AY466" s="14" t="s">
        <v>187</v>
      </c>
      <c r="AZ466" s="14" t="s">
        <v>248</v>
      </c>
      <c r="BA466" s="14" t="s">
        <v>166</v>
      </c>
      <c r="BB466" s="21" t="s">
        <v>166</v>
      </c>
      <c r="BC466" s="14" t="s">
        <v>179</v>
      </c>
      <c r="BD466" s="14" t="s">
        <v>9104</v>
      </c>
      <c r="BE466" s="14" t="s">
        <v>189</v>
      </c>
      <c r="BF466" s="18">
        <v>12.5</v>
      </c>
      <c r="BG466" s="14" t="s">
        <v>190</v>
      </c>
      <c r="BH466" s="14" t="s">
        <v>166</v>
      </c>
      <c r="BI466" s="14" t="s">
        <v>166</v>
      </c>
      <c r="BJ466" s="18" t="s">
        <v>166</v>
      </c>
      <c r="BK466" s="18" t="s">
        <v>166</v>
      </c>
      <c r="BL466" s="14" t="s">
        <v>191</v>
      </c>
      <c r="BM466" s="14" t="s">
        <v>178</v>
      </c>
      <c r="BN466" s="14" t="s">
        <v>177</v>
      </c>
      <c r="BO466" s="22" t="s">
        <v>166</v>
      </c>
      <c r="BP466" s="14" t="s">
        <v>9105</v>
      </c>
      <c r="BQ466" s="21">
        <v>7</v>
      </c>
      <c r="BR466" s="14" t="s">
        <v>166</v>
      </c>
      <c r="BS466" s="21" t="s">
        <v>166</v>
      </c>
      <c r="BT466" s="14" t="s">
        <v>166</v>
      </c>
      <c r="BU466" s="14" t="s">
        <v>166</v>
      </c>
      <c r="BV466" s="14" t="s">
        <v>9106</v>
      </c>
      <c r="BW466" s="14" t="s">
        <v>166</v>
      </c>
      <c r="BX466" s="14" t="s">
        <v>166</v>
      </c>
      <c r="BY466" s="14" t="s">
        <v>166</v>
      </c>
      <c r="BZ466" s="14" t="s">
        <v>9107</v>
      </c>
      <c r="CA466" s="14" t="s">
        <v>9107</v>
      </c>
      <c r="CB466" s="14" t="s">
        <v>166</v>
      </c>
      <c r="CC466" s="14" t="s">
        <v>166</v>
      </c>
      <c r="CD466" s="14" t="s">
        <v>166</v>
      </c>
      <c r="CE466" s="18" t="s">
        <v>166</v>
      </c>
      <c r="CF466" s="16" t="s">
        <v>166</v>
      </c>
      <c r="CG466" s="17" t="s">
        <v>166</v>
      </c>
      <c r="CH466" s="16" t="s">
        <v>166</v>
      </c>
      <c r="CI466" s="16" t="s">
        <v>166</v>
      </c>
      <c r="CJ466" s="16" t="s">
        <v>166</v>
      </c>
      <c r="CK466" s="16" t="s">
        <v>166</v>
      </c>
      <c r="CL466" s="16" t="s">
        <v>166</v>
      </c>
      <c r="CM466" s="20" t="s">
        <v>166</v>
      </c>
      <c r="CN466" s="16" t="s">
        <v>166</v>
      </c>
      <c r="CO466" s="16" t="s">
        <v>166</v>
      </c>
      <c r="CP466" s="16" t="s">
        <v>166</v>
      </c>
      <c r="CQ466" s="16" t="s">
        <v>166</v>
      </c>
      <c r="CR466" s="16" t="s">
        <v>166</v>
      </c>
      <c r="CS466" s="16" t="s">
        <v>166</v>
      </c>
      <c r="CT466" s="16" t="s">
        <v>166</v>
      </c>
      <c r="CU466" s="16" t="s">
        <v>166</v>
      </c>
      <c r="CV466" s="16" t="s">
        <v>166</v>
      </c>
      <c r="CW466" s="16" t="s">
        <v>166</v>
      </c>
      <c r="CX466" s="16" t="s">
        <v>166</v>
      </c>
      <c r="CY466" s="16" t="s">
        <v>166</v>
      </c>
      <c r="CZ466" s="16" t="s">
        <v>166</v>
      </c>
      <c r="DA466" s="16" t="s">
        <v>166</v>
      </c>
      <c r="DB466" s="16" t="s">
        <v>166</v>
      </c>
      <c r="DC466" s="16" t="s">
        <v>166</v>
      </c>
      <c r="DD466" s="16" t="s">
        <v>166</v>
      </c>
      <c r="DE466" s="17" t="s">
        <v>166</v>
      </c>
      <c r="DF466" s="22">
        <v>110</v>
      </c>
      <c r="DG466" s="14" t="s">
        <v>673</v>
      </c>
      <c r="DH466" s="14" t="s">
        <v>193</v>
      </c>
      <c r="DI466" s="14" t="s">
        <v>194</v>
      </c>
      <c r="DJ466" s="14" t="s">
        <v>674</v>
      </c>
      <c r="DK466" s="14" t="s">
        <v>257</v>
      </c>
      <c r="DL466" s="21" t="s">
        <v>8507</v>
      </c>
      <c r="DM466" s="14" t="s">
        <v>198</v>
      </c>
      <c r="DN466" s="13" t="s">
        <v>9108</v>
      </c>
      <c r="DO466" s="20">
        <v>2019</v>
      </c>
      <c r="DP466" s="14" t="s">
        <v>166</v>
      </c>
      <c r="DQ466" s="14" t="s">
        <v>166</v>
      </c>
      <c r="DR466" s="18" t="s">
        <v>166</v>
      </c>
      <c r="DS466" s="16" t="s">
        <v>166</v>
      </c>
      <c r="DT466" s="19" t="s">
        <v>166</v>
      </c>
      <c r="DU466" s="14" t="s">
        <v>166</v>
      </c>
      <c r="DV466" s="18" t="s">
        <v>166</v>
      </c>
      <c r="DW466" s="18" t="s">
        <v>166</v>
      </c>
      <c r="DX466" s="16" t="s">
        <v>166</v>
      </c>
      <c r="DY466" s="16" t="s">
        <v>166</v>
      </c>
      <c r="DZ466" s="17" t="s">
        <v>166</v>
      </c>
      <c r="EA466" s="16" t="s">
        <v>166</v>
      </c>
      <c r="EB466" s="16" t="s">
        <v>166</v>
      </c>
      <c r="EC466" s="16" t="s">
        <v>166</v>
      </c>
      <c r="ED466" s="17" t="s">
        <v>166</v>
      </c>
      <c r="EE466" s="17" t="s">
        <v>166</v>
      </c>
      <c r="EF466" s="17" t="s">
        <v>166</v>
      </c>
      <c r="EG466" s="17" t="s">
        <v>166</v>
      </c>
      <c r="EH466" s="16" t="s">
        <v>166</v>
      </c>
      <c r="EI466" s="16" t="s">
        <v>166</v>
      </c>
      <c r="EJ466" s="16" t="s">
        <v>166</v>
      </c>
      <c r="EK466" s="16" t="s">
        <v>166</v>
      </c>
      <c r="EL466" s="16" t="s">
        <v>166</v>
      </c>
      <c r="EM466" s="16" t="s">
        <v>166</v>
      </c>
      <c r="EN466" s="16" t="s">
        <v>166</v>
      </c>
      <c r="EO466" s="16" t="s">
        <v>166</v>
      </c>
      <c r="EP466" s="16" t="s">
        <v>166</v>
      </c>
      <c r="EQ466" s="16" t="s">
        <v>166</v>
      </c>
      <c r="ER466" s="16" t="s">
        <v>166</v>
      </c>
      <c r="ES466" s="16" t="s">
        <v>166</v>
      </c>
      <c r="ET466" s="14" t="s">
        <v>166</v>
      </c>
      <c r="EU466" s="16" t="s">
        <v>166</v>
      </c>
      <c r="EV466" s="16" t="s">
        <v>166</v>
      </c>
      <c r="EW466" s="16" t="s">
        <v>166</v>
      </c>
      <c r="EX466" s="14" t="s">
        <v>190</v>
      </c>
      <c r="EY466" s="14" t="s">
        <v>166</v>
      </c>
      <c r="EZ466" s="16" t="s">
        <v>166</v>
      </c>
      <c r="FA466" s="15" t="s">
        <v>166</v>
      </c>
      <c r="FB466" s="15" t="s">
        <v>166</v>
      </c>
      <c r="FC466" s="15" t="s">
        <v>166</v>
      </c>
      <c r="FD466" s="15" t="s">
        <v>166</v>
      </c>
      <c r="FE466" s="15" t="s">
        <v>166</v>
      </c>
      <c r="FF466" s="15" t="s">
        <v>166</v>
      </c>
      <c r="FG466" s="14" t="s">
        <v>166</v>
      </c>
      <c r="FH466" s="3">
        <f>HYPERLINK("https://my.pitchbook.com?c=140986-27T","View Company Online")</f>
      </c>
    </row>
    <row r="467">
      <c r="A467" s="25" t="s">
        <v>9109</v>
      </c>
      <c r="B467" s="25" t="s">
        <v>9110</v>
      </c>
      <c r="C467" s="25" t="s">
        <v>9111</v>
      </c>
      <c r="D467" s="25" t="s">
        <v>166</v>
      </c>
      <c r="E467" s="34" t="s">
        <v>9112</v>
      </c>
      <c r="F467" s="32">
        <v>12</v>
      </c>
      <c r="G467" s="25" t="s">
        <v>9113</v>
      </c>
      <c r="H467" s="25" t="s">
        <v>166</v>
      </c>
      <c r="I467" s="25" t="s">
        <v>9114</v>
      </c>
      <c r="J467" s="25" t="s">
        <v>9115</v>
      </c>
      <c r="K467" s="25" t="s">
        <v>207</v>
      </c>
      <c r="L467" s="25" t="s">
        <v>208</v>
      </c>
      <c r="M467" s="25" t="s">
        <v>209</v>
      </c>
      <c r="N467" s="25" t="s">
        <v>9116</v>
      </c>
      <c r="O467" s="25" t="s">
        <v>9117</v>
      </c>
      <c r="P467" s="25" t="s">
        <v>9118</v>
      </c>
      <c r="Q467" s="25" t="s">
        <v>166</v>
      </c>
      <c r="R467" s="25" t="s">
        <v>177</v>
      </c>
      <c r="S467" s="25" t="s">
        <v>178</v>
      </c>
      <c r="T467" s="25" t="s">
        <v>179</v>
      </c>
      <c r="U467" s="25" t="s">
        <v>9119</v>
      </c>
      <c r="V467" s="25" t="s">
        <v>9120</v>
      </c>
      <c r="W467" s="32" t="s">
        <v>9121</v>
      </c>
      <c r="X467" s="25" t="s">
        <v>9122</v>
      </c>
      <c r="Y467" s="25" t="s">
        <v>9123</v>
      </c>
      <c r="Z467" s="25" t="s">
        <v>9124</v>
      </c>
      <c r="AA467" s="25" t="s">
        <v>242</v>
      </c>
      <c r="AB467" s="25" t="s">
        <v>243</v>
      </c>
      <c r="AC467" s="25" t="s">
        <v>244</v>
      </c>
      <c r="AD467" s="25" t="s">
        <v>243</v>
      </c>
      <c r="AE467" s="25" t="s">
        <v>243</v>
      </c>
      <c r="AF467" s="25" t="s">
        <v>166</v>
      </c>
      <c r="AG467" s="25" t="s">
        <v>807</v>
      </c>
      <c r="AH467" s="32">
        <v>1</v>
      </c>
      <c r="AI467" s="4">
        <f>HYPERLINK("https://my.pitchbook.com/?d=139503-61T","139503-61T")</f>
      </c>
      <c r="AJ467" s="30">
        <v>43934</v>
      </c>
      <c r="AK467" s="30">
        <v>44013</v>
      </c>
      <c r="AL467" s="29">
        <v>2.25</v>
      </c>
      <c r="AM467" s="25" t="s">
        <v>185</v>
      </c>
      <c r="AN467" s="29">
        <v>5.5</v>
      </c>
      <c r="AO467" s="29">
        <v>6.25</v>
      </c>
      <c r="AP467" s="25" t="s">
        <v>185</v>
      </c>
      <c r="AQ467" s="32" t="s">
        <v>166</v>
      </c>
      <c r="AR467" s="32" t="s">
        <v>166</v>
      </c>
      <c r="AS467" s="28">
        <v>12</v>
      </c>
      <c r="AT467" s="29">
        <v>2.25</v>
      </c>
      <c r="AU467" s="32" t="s">
        <v>186</v>
      </c>
      <c r="AV467" s="32" t="s">
        <v>166</v>
      </c>
      <c r="AW467" s="29">
        <v>3.46</v>
      </c>
      <c r="AX467" s="32" t="s">
        <v>166</v>
      </c>
      <c r="AY467" s="25" t="s">
        <v>217</v>
      </c>
      <c r="AZ467" s="25" t="s">
        <v>217</v>
      </c>
      <c r="BA467" s="25" t="s">
        <v>166</v>
      </c>
      <c r="BB467" s="32" t="s">
        <v>166</v>
      </c>
      <c r="BC467" s="25" t="s">
        <v>179</v>
      </c>
      <c r="BD467" s="25" t="s">
        <v>9125</v>
      </c>
      <c r="BE467" s="25" t="s">
        <v>189</v>
      </c>
      <c r="BF467" s="29">
        <v>2.25</v>
      </c>
      <c r="BG467" s="25" t="s">
        <v>190</v>
      </c>
      <c r="BH467" s="25" t="s">
        <v>166</v>
      </c>
      <c r="BI467" s="25" t="s">
        <v>166</v>
      </c>
      <c r="BJ467" s="29" t="s">
        <v>166</v>
      </c>
      <c r="BK467" s="29" t="s">
        <v>166</v>
      </c>
      <c r="BL467" s="25" t="s">
        <v>191</v>
      </c>
      <c r="BM467" s="25" t="s">
        <v>178</v>
      </c>
      <c r="BN467" s="25" t="s">
        <v>177</v>
      </c>
      <c r="BO467" s="33" t="s">
        <v>166</v>
      </c>
      <c r="BP467" s="25" t="s">
        <v>9126</v>
      </c>
      <c r="BQ467" s="32">
        <v>12</v>
      </c>
      <c r="BR467" s="25" t="s">
        <v>166</v>
      </c>
      <c r="BS467" s="32" t="s">
        <v>166</v>
      </c>
      <c r="BT467" s="25" t="s">
        <v>9127</v>
      </c>
      <c r="BU467" s="25" t="s">
        <v>166</v>
      </c>
      <c r="BV467" s="25" t="s">
        <v>9128</v>
      </c>
      <c r="BW467" s="25" t="s">
        <v>166</v>
      </c>
      <c r="BX467" s="25" t="s">
        <v>166</v>
      </c>
      <c r="BY467" s="25" t="s">
        <v>166</v>
      </c>
      <c r="BZ467" s="25" t="s">
        <v>9129</v>
      </c>
      <c r="CA467" s="25" t="s">
        <v>166</v>
      </c>
      <c r="CB467" s="25" t="s">
        <v>166</v>
      </c>
      <c r="CC467" s="25" t="s">
        <v>9129</v>
      </c>
      <c r="CD467" s="25" t="s">
        <v>166</v>
      </c>
      <c r="CE467" s="29" t="s">
        <v>166</v>
      </c>
      <c r="CF467" s="27" t="s">
        <v>166</v>
      </c>
      <c r="CG467" s="28" t="s">
        <v>166</v>
      </c>
      <c r="CH467" s="27" t="s">
        <v>166</v>
      </c>
      <c r="CI467" s="27" t="s">
        <v>166</v>
      </c>
      <c r="CJ467" s="27" t="s">
        <v>166</v>
      </c>
      <c r="CK467" s="27" t="s">
        <v>166</v>
      </c>
      <c r="CL467" s="27" t="s">
        <v>166</v>
      </c>
      <c r="CM467" s="31" t="s">
        <v>166</v>
      </c>
      <c r="CN467" s="27" t="s">
        <v>166</v>
      </c>
      <c r="CO467" s="27" t="s">
        <v>166</v>
      </c>
      <c r="CP467" s="27" t="s">
        <v>166</v>
      </c>
      <c r="CQ467" s="27" t="s">
        <v>166</v>
      </c>
      <c r="CR467" s="27" t="s">
        <v>166</v>
      </c>
      <c r="CS467" s="27" t="s">
        <v>166</v>
      </c>
      <c r="CT467" s="27" t="s">
        <v>166</v>
      </c>
      <c r="CU467" s="27" t="s">
        <v>166</v>
      </c>
      <c r="CV467" s="27" t="s">
        <v>166</v>
      </c>
      <c r="CW467" s="27" t="s">
        <v>166</v>
      </c>
      <c r="CX467" s="27" t="s">
        <v>166</v>
      </c>
      <c r="CY467" s="27" t="s">
        <v>166</v>
      </c>
      <c r="CZ467" s="27" t="s">
        <v>166</v>
      </c>
      <c r="DA467" s="27" t="s">
        <v>166</v>
      </c>
      <c r="DB467" s="27" t="s">
        <v>166</v>
      </c>
      <c r="DC467" s="27" t="s">
        <v>166</v>
      </c>
      <c r="DD467" s="27" t="s">
        <v>166</v>
      </c>
      <c r="DE467" s="28" t="s">
        <v>166</v>
      </c>
      <c r="DF467" s="33">
        <v>13</v>
      </c>
      <c r="DG467" s="25" t="s">
        <v>9130</v>
      </c>
      <c r="DH467" s="25" t="s">
        <v>193</v>
      </c>
      <c r="DI467" s="25" t="s">
        <v>194</v>
      </c>
      <c r="DJ467" s="25" t="s">
        <v>9131</v>
      </c>
      <c r="DK467" s="25" t="s">
        <v>257</v>
      </c>
      <c r="DL467" s="32" t="s">
        <v>9132</v>
      </c>
      <c r="DM467" s="25" t="s">
        <v>198</v>
      </c>
      <c r="DN467" s="24" t="s">
        <v>9133</v>
      </c>
      <c r="DO467" s="31">
        <v>2018</v>
      </c>
      <c r="DP467" s="25" t="s">
        <v>166</v>
      </c>
      <c r="DQ467" s="25" t="s">
        <v>166</v>
      </c>
      <c r="DR467" s="29" t="s">
        <v>166</v>
      </c>
      <c r="DS467" s="27" t="s">
        <v>166</v>
      </c>
      <c r="DT467" s="30" t="s">
        <v>166</v>
      </c>
      <c r="DU467" s="25" t="s">
        <v>166</v>
      </c>
      <c r="DV467" s="29" t="s">
        <v>166</v>
      </c>
      <c r="DW467" s="29" t="s">
        <v>166</v>
      </c>
      <c r="DX467" s="27" t="s">
        <v>166</v>
      </c>
      <c r="DY467" s="27" t="s">
        <v>166</v>
      </c>
      <c r="DZ467" s="28" t="s">
        <v>166</v>
      </c>
      <c r="EA467" s="27" t="s">
        <v>166</v>
      </c>
      <c r="EB467" s="27" t="s">
        <v>166</v>
      </c>
      <c r="EC467" s="27" t="s">
        <v>166</v>
      </c>
      <c r="ED467" s="28" t="s">
        <v>166</v>
      </c>
      <c r="EE467" s="28" t="s">
        <v>166</v>
      </c>
      <c r="EF467" s="28" t="s">
        <v>166</v>
      </c>
      <c r="EG467" s="28" t="s">
        <v>166</v>
      </c>
      <c r="EH467" s="27" t="s">
        <v>166</v>
      </c>
      <c r="EI467" s="27" t="s">
        <v>166</v>
      </c>
      <c r="EJ467" s="27" t="s">
        <v>166</v>
      </c>
      <c r="EK467" s="27" t="s">
        <v>166</v>
      </c>
      <c r="EL467" s="27" t="s">
        <v>166</v>
      </c>
      <c r="EM467" s="27" t="s">
        <v>166</v>
      </c>
      <c r="EN467" s="27" t="s">
        <v>166</v>
      </c>
      <c r="EO467" s="27" t="s">
        <v>166</v>
      </c>
      <c r="EP467" s="27" t="s">
        <v>166</v>
      </c>
      <c r="EQ467" s="27" t="s">
        <v>166</v>
      </c>
      <c r="ER467" s="27" t="s">
        <v>166</v>
      </c>
      <c r="ES467" s="27" t="s">
        <v>166</v>
      </c>
      <c r="ET467" s="25" t="s">
        <v>166</v>
      </c>
      <c r="EU467" s="27" t="s">
        <v>166</v>
      </c>
      <c r="EV467" s="27" t="s">
        <v>166</v>
      </c>
      <c r="EW467" s="27" t="s">
        <v>166</v>
      </c>
      <c r="EX467" s="25" t="s">
        <v>190</v>
      </c>
      <c r="EY467" s="25" t="s">
        <v>166</v>
      </c>
      <c r="EZ467" s="27" t="s">
        <v>166</v>
      </c>
      <c r="FA467" s="26">
        <v>2</v>
      </c>
      <c r="FB467" s="26">
        <v>1</v>
      </c>
      <c r="FC467" s="26">
        <v>2</v>
      </c>
      <c r="FD467" s="26" t="s">
        <v>166</v>
      </c>
      <c r="FE467" s="26" t="s">
        <v>166</v>
      </c>
      <c r="FF467" s="26" t="s">
        <v>166</v>
      </c>
      <c r="FG467" s="25" t="s">
        <v>457</v>
      </c>
      <c r="FH467" s="4">
        <f>HYPERLINK("https://my.pitchbook.com?c=139503-61T","View Company Online")</f>
      </c>
    </row>
    <row r="468">
      <c r="A468" s="14" t="s">
        <v>9134</v>
      </c>
      <c r="B468" s="14" t="s">
        <v>9135</v>
      </c>
      <c r="C468" s="14" t="s">
        <v>9136</v>
      </c>
      <c r="D468" s="14" t="s">
        <v>166</v>
      </c>
      <c r="E468" s="23" t="s">
        <v>9137</v>
      </c>
      <c r="F468" s="21">
        <v>5</v>
      </c>
      <c r="G468" s="14" t="s">
        <v>9138</v>
      </c>
      <c r="H468" s="14" t="s">
        <v>166</v>
      </c>
      <c r="I468" s="14" t="s">
        <v>9139</v>
      </c>
      <c r="J468" s="14" t="s">
        <v>9140</v>
      </c>
      <c r="K468" s="14" t="s">
        <v>207</v>
      </c>
      <c r="L468" s="14" t="s">
        <v>208</v>
      </c>
      <c r="M468" s="14" t="s">
        <v>209</v>
      </c>
      <c r="N468" s="14" t="s">
        <v>860</v>
      </c>
      <c r="O468" s="14" t="s">
        <v>9141</v>
      </c>
      <c r="P468" s="14" t="s">
        <v>9142</v>
      </c>
      <c r="Q468" s="14" t="s">
        <v>166</v>
      </c>
      <c r="R468" s="14" t="s">
        <v>177</v>
      </c>
      <c r="S468" s="14" t="s">
        <v>178</v>
      </c>
      <c r="T468" s="14" t="s">
        <v>179</v>
      </c>
      <c r="U468" s="14" t="s">
        <v>9143</v>
      </c>
      <c r="V468" s="14" t="s">
        <v>9144</v>
      </c>
      <c r="W468" s="21" t="s">
        <v>166</v>
      </c>
      <c r="X468" s="14" t="s">
        <v>9145</v>
      </c>
      <c r="Y468" s="14" t="s">
        <v>9146</v>
      </c>
      <c r="Z468" s="14" t="s">
        <v>166</v>
      </c>
      <c r="AA468" s="14" t="s">
        <v>242</v>
      </c>
      <c r="AB468" s="14" t="s">
        <v>243</v>
      </c>
      <c r="AC468" s="14" t="s">
        <v>244</v>
      </c>
      <c r="AD468" s="14" t="s">
        <v>243</v>
      </c>
      <c r="AE468" s="14" t="s">
        <v>243</v>
      </c>
      <c r="AF468" s="14" t="s">
        <v>245</v>
      </c>
      <c r="AG468" s="14" t="s">
        <v>807</v>
      </c>
      <c r="AH468" s="21">
        <v>2</v>
      </c>
      <c r="AI468" s="3">
        <f>HYPERLINK("https://my.pitchbook.com/?d=203349-52T","203349-52T")</f>
      </c>
      <c r="AJ468" s="19">
        <v>44812</v>
      </c>
      <c r="AK468" s="19">
        <v>44876</v>
      </c>
      <c r="AL468" s="18">
        <v>1.5</v>
      </c>
      <c r="AM468" s="14" t="s">
        <v>185</v>
      </c>
      <c r="AN468" s="18">
        <v>5</v>
      </c>
      <c r="AO468" s="18">
        <v>6.5</v>
      </c>
      <c r="AP468" s="14" t="s">
        <v>185</v>
      </c>
      <c r="AQ468" s="21" t="s">
        <v>166</v>
      </c>
      <c r="AR468" s="21" t="s">
        <v>166</v>
      </c>
      <c r="AS468" s="17">
        <v>23.08</v>
      </c>
      <c r="AT468" s="18">
        <v>1.51</v>
      </c>
      <c r="AU468" s="21" t="s">
        <v>186</v>
      </c>
      <c r="AV468" s="21" t="s">
        <v>166</v>
      </c>
      <c r="AW468" s="18">
        <v>0.46</v>
      </c>
      <c r="AX468" s="21" t="s">
        <v>166</v>
      </c>
      <c r="AY468" s="14" t="s">
        <v>217</v>
      </c>
      <c r="AZ468" s="14" t="s">
        <v>217</v>
      </c>
      <c r="BA468" s="14" t="s">
        <v>166</v>
      </c>
      <c r="BB468" s="21" t="s">
        <v>166</v>
      </c>
      <c r="BC468" s="14" t="s">
        <v>179</v>
      </c>
      <c r="BD468" s="14" t="s">
        <v>9140</v>
      </c>
      <c r="BE468" s="14" t="s">
        <v>189</v>
      </c>
      <c r="BF468" s="18">
        <v>1.5</v>
      </c>
      <c r="BG468" s="14" t="s">
        <v>190</v>
      </c>
      <c r="BH468" s="14" t="s">
        <v>166</v>
      </c>
      <c r="BI468" s="14" t="s">
        <v>166</v>
      </c>
      <c r="BJ468" s="18" t="s">
        <v>166</v>
      </c>
      <c r="BK468" s="18" t="s">
        <v>166</v>
      </c>
      <c r="BL468" s="14" t="s">
        <v>191</v>
      </c>
      <c r="BM468" s="14" t="s">
        <v>178</v>
      </c>
      <c r="BN468" s="14" t="s">
        <v>177</v>
      </c>
      <c r="BO468" s="22">
        <v>2</v>
      </c>
      <c r="BP468" s="14" t="s">
        <v>9137</v>
      </c>
      <c r="BQ468" s="21">
        <v>5</v>
      </c>
      <c r="BR468" s="14" t="s">
        <v>166</v>
      </c>
      <c r="BS468" s="21" t="s">
        <v>166</v>
      </c>
      <c r="BT468" s="14" t="s">
        <v>9147</v>
      </c>
      <c r="BU468" s="14" t="s">
        <v>166</v>
      </c>
      <c r="BV468" s="14" t="s">
        <v>9148</v>
      </c>
      <c r="BW468" s="14" t="s">
        <v>166</v>
      </c>
      <c r="BX468" s="14" t="s">
        <v>166</v>
      </c>
      <c r="BY468" s="14" t="s">
        <v>166</v>
      </c>
      <c r="BZ468" s="14" t="s">
        <v>166</v>
      </c>
      <c r="CA468" s="14" t="s">
        <v>166</v>
      </c>
      <c r="CB468" s="14" t="s">
        <v>166</v>
      </c>
      <c r="CC468" s="14" t="s">
        <v>166</v>
      </c>
      <c r="CD468" s="14" t="s">
        <v>166</v>
      </c>
      <c r="CE468" s="18" t="s">
        <v>166</v>
      </c>
      <c r="CF468" s="16" t="s">
        <v>166</v>
      </c>
      <c r="CG468" s="17" t="s">
        <v>166</v>
      </c>
      <c r="CH468" s="16" t="s">
        <v>166</v>
      </c>
      <c r="CI468" s="16" t="s">
        <v>166</v>
      </c>
      <c r="CJ468" s="16" t="s">
        <v>166</v>
      </c>
      <c r="CK468" s="16" t="s">
        <v>166</v>
      </c>
      <c r="CL468" s="16" t="s">
        <v>166</v>
      </c>
      <c r="CM468" s="20" t="s">
        <v>166</v>
      </c>
      <c r="CN468" s="16" t="s">
        <v>166</v>
      </c>
      <c r="CO468" s="16" t="s">
        <v>166</v>
      </c>
      <c r="CP468" s="16" t="s">
        <v>166</v>
      </c>
      <c r="CQ468" s="16" t="s">
        <v>166</v>
      </c>
      <c r="CR468" s="16" t="s">
        <v>166</v>
      </c>
      <c r="CS468" s="16" t="s">
        <v>166</v>
      </c>
      <c r="CT468" s="16" t="s">
        <v>166</v>
      </c>
      <c r="CU468" s="16" t="s">
        <v>166</v>
      </c>
      <c r="CV468" s="16" t="s">
        <v>166</v>
      </c>
      <c r="CW468" s="16" t="s">
        <v>166</v>
      </c>
      <c r="CX468" s="16" t="s">
        <v>166</v>
      </c>
      <c r="CY468" s="16" t="s">
        <v>166</v>
      </c>
      <c r="CZ468" s="16" t="s">
        <v>166</v>
      </c>
      <c r="DA468" s="16" t="s">
        <v>166</v>
      </c>
      <c r="DB468" s="16" t="s">
        <v>166</v>
      </c>
      <c r="DC468" s="16" t="s">
        <v>166</v>
      </c>
      <c r="DD468" s="16" t="s">
        <v>166</v>
      </c>
      <c r="DE468" s="17" t="s">
        <v>166</v>
      </c>
      <c r="DF468" s="22">
        <v>8</v>
      </c>
      <c r="DG468" s="14" t="s">
        <v>543</v>
      </c>
      <c r="DH468" s="14" t="s">
        <v>193</v>
      </c>
      <c r="DI468" s="14" t="s">
        <v>194</v>
      </c>
      <c r="DJ468" s="14" t="s">
        <v>544</v>
      </c>
      <c r="DK468" s="14" t="s">
        <v>545</v>
      </c>
      <c r="DL468" s="21" t="s">
        <v>166</v>
      </c>
      <c r="DM468" s="14" t="s">
        <v>198</v>
      </c>
      <c r="DN468" s="13" t="s">
        <v>9149</v>
      </c>
      <c r="DO468" s="20">
        <v>2020</v>
      </c>
      <c r="DP468" s="14" t="s">
        <v>166</v>
      </c>
      <c r="DQ468" s="14" t="s">
        <v>166</v>
      </c>
      <c r="DR468" s="18" t="s">
        <v>166</v>
      </c>
      <c r="DS468" s="16" t="s">
        <v>166</v>
      </c>
      <c r="DT468" s="19" t="s">
        <v>166</v>
      </c>
      <c r="DU468" s="14" t="s">
        <v>166</v>
      </c>
      <c r="DV468" s="18" t="s">
        <v>166</v>
      </c>
      <c r="DW468" s="18" t="s">
        <v>166</v>
      </c>
      <c r="DX468" s="16" t="s">
        <v>166</v>
      </c>
      <c r="DY468" s="16" t="s">
        <v>166</v>
      </c>
      <c r="DZ468" s="17" t="s">
        <v>166</v>
      </c>
      <c r="EA468" s="16" t="s">
        <v>166</v>
      </c>
      <c r="EB468" s="16" t="s">
        <v>166</v>
      </c>
      <c r="EC468" s="16" t="s">
        <v>166</v>
      </c>
      <c r="ED468" s="17" t="s">
        <v>166</v>
      </c>
      <c r="EE468" s="17" t="s">
        <v>166</v>
      </c>
      <c r="EF468" s="17" t="s">
        <v>166</v>
      </c>
      <c r="EG468" s="17" t="s">
        <v>166</v>
      </c>
      <c r="EH468" s="16" t="s">
        <v>166</v>
      </c>
      <c r="EI468" s="16" t="s">
        <v>166</v>
      </c>
      <c r="EJ468" s="16" t="s">
        <v>166</v>
      </c>
      <c r="EK468" s="16" t="s">
        <v>166</v>
      </c>
      <c r="EL468" s="16" t="s">
        <v>166</v>
      </c>
      <c r="EM468" s="16" t="s">
        <v>166</v>
      </c>
      <c r="EN468" s="16" t="s">
        <v>166</v>
      </c>
      <c r="EO468" s="16" t="s">
        <v>166</v>
      </c>
      <c r="EP468" s="16" t="s">
        <v>166</v>
      </c>
      <c r="EQ468" s="16" t="s">
        <v>166</v>
      </c>
      <c r="ER468" s="16" t="s">
        <v>166</v>
      </c>
      <c r="ES468" s="16" t="s">
        <v>166</v>
      </c>
      <c r="ET468" s="14" t="s">
        <v>166</v>
      </c>
      <c r="EU468" s="16" t="s">
        <v>166</v>
      </c>
      <c r="EV468" s="16" t="s">
        <v>166</v>
      </c>
      <c r="EW468" s="16" t="s">
        <v>166</v>
      </c>
      <c r="EX468" s="14" t="s">
        <v>190</v>
      </c>
      <c r="EY468" s="14" t="s">
        <v>166</v>
      </c>
      <c r="EZ468" s="16" t="s">
        <v>166</v>
      </c>
      <c r="FA468" s="15" t="s">
        <v>166</v>
      </c>
      <c r="FB468" s="15" t="s">
        <v>166</v>
      </c>
      <c r="FC468" s="15" t="s">
        <v>166</v>
      </c>
      <c r="FD468" s="15" t="s">
        <v>166</v>
      </c>
      <c r="FE468" s="15" t="s">
        <v>166</v>
      </c>
      <c r="FF468" s="15" t="s">
        <v>166</v>
      </c>
      <c r="FG468" s="14" t="s">
        <v>166</v>
      </c>
      <c r="FH468" s="3">
        <f>HYPERLINK("https://my.pitchbook.com?c=203349-52T","View Company Online")</f>
      </c>
    </row>
    <row r="469">
      <c r="A469" s="25" t="s">
        <v>9150</v>
      </c>
      <c r="B469" s="25" t="s">
        <v>9151</v>
      </c>
      <c r="C469" s="25" t="s">
        <v>9152</v>
      </c>
      <c r="D469" s="25" t="s">
        <v>166</v>
      </c>
      <c r="E469" s="34" t="s">
        <v>9153</v>
      </c>
      <c r="F469" s="32">
        <v>3</v>
      </c>
      <c r="G469" s="25" t="s">
        <v>9154</v>
      </c>
      <c r="H469" s="25" t="s">
        <v>166</v>
      </c>
      <c r="I469" s="25" t="s">
        <v>9155</v>
      </c>
      <c r="J469" s="25" t="s">
        <v>9156</v>
      </c>
      <c r="K469" s="25" t="s">
        <v>171</v>
      </c>
      <c r="L469" s="25" t="s">
        <v>172</v>
      </c>
      <c r="M469" s="25" t="s">
        <v>1689</v>
      </c>
      <c r="N469" s="25" t="s">
        <v>2701</v>
      </c>
      <c r="O469" s="25" t="s">
        <v>1691</v>
      </c>
      <c r="P469" s="25" t="s">
        <v>9157</v>
      </c>
      <c r="Q469" s="25" t="s">
        <v>166</v>
      </c>
      <c r="R469" s="25" t="s">
        <v>177</v>
      </c>
      <c r="S469" s="25" t="s">
        <v>178</v>
      </c>
      <c r="T469" s="25" t="s">
        <v>179</v>
      </c>
      <c r="U469" s="25" t="s">
        <v>9158</v>
      </c>
      <c r="V469" s="25" t="s">
        <v>9159</v>
      </c>
      <c r="W469" s="32" t="s">
        <v>9160</v>
      </c>
      <c r="X469" s="25" t="s">
        <v>9161</v>
      </c>
      <c r="Y469" s="25" t="s">
        <v>9162</v>
      </c>
      <c r="Z469" s="25" t="s">
        <v>166</v>
      </c>
      <c r="AA469" s="25" t="s">
        <v>166</v>
      </c>
      <c r="AB469" s="25" t="s">
        <v>166</v>
      </c>
      <c r="AC469" s="25" t="s">
        <v>166</v>
      </c>
      <c r="AD469" s="25" t="s">
        <v>166</v>
      </c>
      <c r="AE469" s="25" t="s">
        <v>166</v>
      </c>
      <c r="AF469" s="25" t="s">
        <v>166</v>
      </c>
      <c r="AG469" s="25" t="s">
        <v>166</v>
      </c>
      <c r="AH469" s="32">
        <v>2</v>
      </c>
      <c r="AI469" s="4">
        <f>HYPERLINK("https://my.pitchbook.com/?d=164479-15T","164479-15T")</f>
      </c>
      <c r="AJ469" s="30" t="s">
        <v>166</v>
      </c>
      <c r="AK469" s="30">
        <v>43831</v>
      </c>
      <c r="AL469" s="29">
        <v>0.5</v>
      </c>
      <c r="AM469" s="25" t="s">
        <v>185</v>
      </c>
      <c r="AN469" s="29" t="s">
        <v>166</v>
      </c>
      <c r="AO469" s="29" t="s">
        <v>166</v>
      </c>
      <c r="AP469" s="25" t="s">
        <v>166</v>
      </c>
      <c r="AQ469" s="32" t="s">
        <v>166</v>
      </c>
      <c r="AR469" s="32" t="s">
        <v>166</v>
      </c>
      <c r="AS469" s="28" t="s">
        <v>166</v>
      </c>
      <c r="AT469" s="29">
        <v>0.5</v>
      </c>
      <c r="AU469" s="32" t="s">
        <v>186</v>
      </c>
      <c r="AV469" s="32" t="s">
        <v>166</v>
      </c>
      <c r="AW469" s="29" t="s">
        <v>166</v>
      </c>
      <c r="AX469" s="32" t="s">
        <v>166</v>
      </c>
      <c r="AY469" s="25" t="s">
        <v>187</v>
      </c>
      <c r="AZ469" s="25" t="s">
        <v>166</v>
      </c>
      <c r="BA469" s="25" t="s">
        <v>166</v>
      </c>
      <c r="BB469" s="32" t="s">
        <v>166</v>
      </c>
      <c r="BC469" s="25" t="s">
        <v>179</v>
      </c>
      <c r="BD469" s="25" t="s">
        <v>9163</v>
      </c>
      <c r="BE469" s="25" t="s">
        <v>189</v>
      </c>
      <c r="BF469" s="29">
        <v>0.5</v>
      </c>
      <c r="BG469" s="25" t="s">
        <v>190</v>
      </c>
      <c r="BH469" s="25" t="s">
        <v>166</v>
      </c>
      <c r="BI469" s="25" t="s">
        <v>166</v>
      </c>
      <c r="BJ469" s="29" t="s">
        <v>166</v>
      </c>
      <c r="BK469" s="29" t="s">
        <v>166</v>
      </c>
      <c r="BL469" s="25" t="s">
        <v>191</v>
      </c>
      <c r="BM469" s="25" t="s">
        <v>178</v>
      </c>
      <c r="BN469" s="25" t="s">
        <v>177</v>
      </c>
      <c r="BO469" s="33" t="s">
        <v>166</v>
      </c>
      <c r="BP469" s="25" t="s">
        <v>9164</v>
      </c>
      <c r="BQ469" s="32">
        <v>3</v>
      </c>
      <c r="BR469" s="25" t="s">
        <v>166</v>
      </c>
      <c r="BS469" s="32" t="s">
        <v>166</v>
      </c>
      <c r="BT469" s="25" t="s">
        <v>166</v>
      </c>
      <c r="BU469" s="25" t="s">
        <v>166</v>
      </c>
      <c r="BV469" s="25" t="s">
        <v>9165</v>
      </c>
      <c r="BW469" s="25" t="s">
        <v>166</v>
      </c>
      <c r="BX469" s="25" t="s">
        <v>166</v>
      </c>
      <c r="BY469" s="25" t="s">
        <v>166</v>
      </c>
      <c r="BZ469" s="25" t="s">
        <v>166</v>
      </c>
      <c r="CA469" s="25" t="s">
        <v>166</v>
      </c>
      <c r="CB469" s="25" t="s">
        <v>166</v>
      </c>
      <c r="CC469" s="25" t="s">
        <v>166</v>
      </c>
      <c r="CD469" s="25" t="s">
        <v>166</v>
      </c>
      <c r="CE469" s="29" t="s">
        <v>166</v>
      </c>
      <c r="CF469" s="27" t="s">
        <v>166</v>
      </c>
      <c r="CG469" s="28" t="s">
        <v>166</v>
      </c>
      <c r="CH469" s="27" t="s">
        <v>166</v>
      </c>
      <c r="CI469" s="27" t="s">
        <v>166</v>
      </c>
      <c r="CJ469" s="27" t="s">
        <v>166</v>
      </c>
      <c r="CK469" s="27" t="s">
        <v>166</v>
      </c>
      <c r="CL469" s="27" t="s">
        <v>166</v>
      </c>
      <c r="CM469" s="31" t="s">
        <v>166</v>
      </c>
      <c r="CN469" s="27" t="s">
        <v>166</v>
      </c>
      <c r="CO469" s="27" t="s">
        <v>166</v>
      </c>
      <c r="CP469" s="27" t="s">
        <v>166</v>
      </c>
      <c r="CQ469" s="27" t="s">
        <v>166</v>
      </c>
      <c r="CR469" s="27" t="s">
        <v>166</v>
      </c>
      <c r="CS469" s="27" t="s">
        <v>166</v>
      </c>
      <c r="CT469" s="27" t="s">
        <v>166</v>
      </c>
      <c r="CU469" s="27" t="s">
        <v>166</v>
      </c>
      <c r="CV469" s="27" t="s">
        <v>166</v>
      </c>
      <c r="CW469" s="27" t="s">
        <v>166</v>
      </c>
      <c r="CX469" s="27" t="s">
        <v>166</v>
      </c>
      <c r="CY469" s="27" t="s">
        <v>166</v>
      </c>
      <c r="CZ469" s="27" t="s">
        <v>166</v>
      </c>
      <c r="DA469" s="27" t="s">
        <v>166</v>
      </c>
      <c r="DB469" s="27" t="s">
        <v>166</v>
      </c>
      <c r="DC469" s="27" t="s">
        <v>166</v>
      </c>
      <c r="DD469" s="27" t="s">
        <v>166</v>
      </c>
      <c r="DE469" s="28" t="s">
        <v>166</v>
      </c>
      <c r="DF469" s="33">
        <v>3</v>
      </c>
      <c r="DG469" s="25" t="s">
        <v>2367</v>
      </c>
      <c r="DH469" s="25" t="s">
        <v>193</v>
      </c>
      <c r="DI469" s="25" t="s">
        <v>194</v>
      </c>
      <c r="DJ469" s="25" t="s">
        <v>2368</v>
      </c>
      <c r="DK469" s="25" t="s">
        <v>2369</v>
      </c>
      <c r="DL469" s="32" t="s">
        <v>9166</v>
      </c>
      <c r="DM469" s="25" t="s">
        <v>198</v>
      </c>
      <c r="DN469" s="24" t="s">
        <v>9167</v>
      </c>
      <c r="DO469" s="31">
        <v>2016</v>
      </c>
      <c r="DP469" s="25" t="s">
        <v>166</v>
      </c>
      <c r="DQ469" s="25" t="s">
        <v>166</v>
      </c>
      <c r="DR469" s="29" t="s">
        <v>166</v>
      </c>
      <c r="DS469" s="27" t="s">
        <v>166</v>
      </c>
      <c r="DT469" s="30" t="s">
        <v>166</v>
      </c>
      <c r="DU469" s="25" t="s">
        <v>166</v>
      </c>
      <c r="DV469" s="29" t="s">
        <v>166</v>
      </c>
      <c r="DW469" s="29" t="s">
        <v>166</v>
      </c>
      <c r="DX469" s="27" t="s">
        <v>166</v>
      </c>
      <c r="DY469" s="27" t="s">
        <v>166</v>
      </c>
      <c r="DZ469" s="28" t="s">
        <v>166</v>
      </c>
      <c r="EA469" s="27" t="s">
        <v>166</v>
      </c>
      <c r="EB469" s="27" t="s">
        <v>166</v>
      </c>
      <c r="EC469" s="27" t="s">
        <v>166</v>
      </c>
      <c r="ED469" s="28" t="s">
        <v>166</v>
      </c>
      <c r="EE469" s="28" t="s">
        <v>166</v>
      </c>
      <c r="EF469" s="28" t="s">
        <v>166</v>
      </c>
      <c r="EG469" s="28" t="s">
        <v>166</v>
      </c>
      <c r="EH469" s="27" t="s">
        <v>166</v>
      </c>
      <c r="EI469" s="27" t="s">
        <v>166</v>
      </c>
      <c r="EJ469" s="27" t="s">
        <v>166</v>
      </c>
      <c r="EK469" s="27" t="s">
        <v>166</v>
      </c>
      <c r="EL469" s="27" t="s">
        <v>166</v>
      </c>
      <c r="EM469" s="27" t="s">
        <v>166</v>
      </c>
      <c r="EN469" s="27" t="s">
        <v>166</v>
      </c>
      <c r="EO469" s="27" t="s">
        <v>166</v>
      </c>
      <c r="EP469" s="27" t="s">
        <v>166</v>
      </c>
      <c r="EQ469" s="27" t="s">
        <v>166</v>
      </c>
      <c r="ER469" s="27" t="s">
        <v>166</v>
      </c>
      <c r="ES469" s="27" t="s">
        <v>166</v>
      </c>
      <c r="ET469" s="25" t="s">
        <v>166</v>
      </c>
      <c r="EU469" s="27" t="s">
        <v>166</v>
      </c>
      <c r="EV469" s="27" t="s">
        <v>166</v>
      </c>
      <c r="EW469" s="27" t="s">
        <v>166</v>
      </c>
      <c r="EX469" s="25" t="s">
        <v>190</v>
      </c>
      <c r="EY469" s="25" t="s">
        <v>166</v>
      </c>
      <c r="EZ469" s="27" t="s">
        <v>166</v>
      </c>
      <c r="FA469" s="26" t="s">
        <v>166</v>
      </c>
      <c r="FB469" s="26" t="s">
        <v>166</v>
      </c>
      <c r="FC469" s="26" t="s">
        <v>166</v>
      </c>
      <c r="FD469" s="26" t="s">
        <v>166</v>
      </c>
      <c r="FE469" s="26" t="s">
        <v>166</v>
      </c>
      <c r="FF469" s="26" t="s">
        <v>166</v>
      </c>
      <c r="FG469" s="25" t="s">
        <v>166</v>
      </c>
      <c r="FH469" s="4">
        <f>HYPERLINK("https://my.pitchbook.com?c=164479-15T","View Company Online")</f>
      </c>
    </row>
    <row r="470">
      <c r="A470" s="14" t="s">
        <v>9168</v>
      </c>
      <c r="B470" s="14" t="s">
        <v>9169</v>
      </c>
      <c r="C470" s="14" t="s">
        <v>9170</v>
      </c>
      <c r="D470" s="14" t="s">
        <v>166</v>
      </c>
      <c r="E470" s="23" t="s">
        <v>9171</v>
      </c>
      <c r="F470" s="21">
        <v>1</v>
      </c>
      <c r="G470" s="14" t="s">
        <v>9172</v>
      </c>
      <c r="H470" s="14" t="s">
        <v>166</v>
      </c>
      <c r="I470" s="14" t="s">
        <v>9173</v>
      </c>
      <c r="J470" s="14" t="s">
        <v>9174</v>
      </c>
      <c r="K470" s="14" t="s">
        <v>207</v>
      </c>
      <c r="L470" s="14" t="s">
        <v>208</v>
      </c>
      <c r="M470" s="14" t="s">
        <v>296</v>
      </c>
      <c r="N470" s="14" t="s">
        <v>1052</v>
      </c>
      <c r="O470" s="14" t="s">
        <v>1318</v>
      </c>
      <c r="P470" s="14" t="s">
        <v>9175</v>
      </c>
      <c r="Q470" s="14" t="s">
        <v>166</v>
      </c>
      <c r="R470" s="14" t="s">
        <v>177</v>
      </c>
      <c r="S470" s="14" t="s">
        <v>178</v>
      </c>
      <c r="T470" s="14" t="s">
        <v>179</v>
      </c>
      <c r="U470" s="14" t="s">
        <v>9176</v>
      </c>
      <c r="V470" s="14" t="s">
        <v>9177</v>
      </c>
      <c r="W470" s="21" t="s">
        <v>166</v>
      </c>
      <c r="X470" s="14" t="s">
        <v>9178</v>
      </c>
      <c r="Y470" s="14" t="s">
        <v>9179</v>
      </c>
      <c r="Z470" s="14" t="s">
        <v>166</v>
      </c>
      <c r="AA470" s="14" t="s">
        <v>166</v>
      </c>
      <c r="AB470" s="14" t="s">
        <v>166</v>
      </c>
      <c r="AC470" s="14" t="s">
        <v>166</v>
      </c>
      <c r="AD470" s="14" t="s">
        <v>166</v>
      </c>
      <c r="AE470" s="14" t="s">
        <v>166</v>
      </c>
      <c r="AF470" s="14" t="s">
        <v>166</v>
      </c>
      <c r="AG470" s="14" t="s">
        <v>166</v>
      </c>
      <c r="AH470" s="21">
        <v>4</v>
      </c>
      <c r="AI470" s="3">
        <f>HYPERLINK("https://my.pitchbook.com/?d=257227-12T","257227-12T")</f>
      </c>
      <c r="AJ470" s="19" t="s">
        <v>166</v>
      </c>
      <c r="AK470" s="19">
        <v>45392</v>
      </c>
      <c r="AL470" s="18">
        <v>0.5</v>
      </c>
      <c r="AM470" s="14" t="s">
        <v>185</v>
      </c>
      <c r="AN470" s="18">
        <v>4.5</v>
      </c>
      <c r="AO470" s="18">
        <v>5</v>
      </c>
      <c r="AP470" s="14" t="s">
        <v>185</v>
      </c>
      <c r="AQ470" s="21" t="s">
        <v>166</v>
      </c>
      <c r="AR470" s="21" t="s">
        <v>166</v>
      </c>
      <c r="AS470" s="17">
        <v>10</v>
      </c>
      <c r="AT470" s="18">
        <v>0.5</v>
      </c>
      <c r="AU470" s="21" t="s">
        <v>186</v>
      </c>
      <c r="AV470" s="21" t="s">
        <v>166</v>
      </c>
      <c r="AW470" s="18" t="s">
        <v>166</v>
      </c>
      <c r="AX470" s="21" t="s">
        <v>166</v>
      </c>
      <c r="AY470" s="14" t="s">
        <v>187</v>
      </c>
      <c r="AZ470" s="14" t="s">
        <v>166</v>
      </c>
      <c r="BA470" s="14" t="s">
        <v>166</v>
      </c>
      <c r="BB470" s="21" t="s">
        <v>166</v>
      </c>
      <c r="BC470" s="14" t="s">
        <v>179</v>
      </c>
      <c r="BD470" s="14" t="s">
        <v>9174</v>
      </c>
      <c r="BE470" s="14" t="s">
        <v>189</v>
      </c>
      <c r="BF470" s="18">
        <v>0.5</v>
      </c>
      <c r="BG470" s="14" t="s">
        <v>190</v>
      </c>
      <c r="BH470" s="14" t="s">
        <v>166</v>
      </c>
      <c r="BI470" s="14" t="s">
        <v>166</v>
      </c>
      <c r="BJ470" s="18" t="s">
        <v>166</v>
      </c>
      <c r="BK470" s="18" t="s">
        <v>166</v>
      </c>
      <c r="BL470" s="14" t="s">
        <v>191</v>
      </c>
      <c r="BM470" s="14" t="s">
        <v>178</v>
      </c>
      <c r="BN470" s="14" t="s">
        <v>177</v>
      </c>
      <c r="BO470" s="22" t="s">
        <v>166</v>
      </c>
      <c r="BP470" s="14" t="s">
        <v>9180</v>
      </c>
      <c r="BQ470" s="21">
        <v>1</v>
      </c>
      <c r="BR470" s="14" t="s">
        <v>166</v>
      </c>
      <c r="BS470" s="21" t="s">
        <v>166</v>
      </c>
      <c r="BT470" s="14" t="s">
        <v>166</v>
      </c>
      <c r="BU470" s="14" t="s">
        <v>166</v>
      </c>
      <c r="BV470" s="14" t="s">
        <v>9181</v>
      </c>
      <c r="BW470" s="14" t="s">
        <v>166</v>
      </c>
      <c r="BX470" s="14" t="s">
        <v>166</v>
      </c>
      <c r="BY470" s="14" t="s">
        <v>166</v>
      </c>
      <c r="BZ470" s="14" t="s">
        <v>166</v>
      </c>
      <c r="CA470" s="14" t="s">
        <v>166</v>
      </c>
      <c r="CB470" s="14" t="s">
        <v>166</v>
      </c>
      <c r="CC470" s="14" t="s">
        <v>166</v>
      </c>
      <c r="CD470" s="14" t="s">
        <v>166</v>
      </c>
      <c r="CE470" s="18" t="s">
        <v>166</v>
      </c>
      <c r="CF470" s="16" t="s">
        <v>166</v>
      </c>
      <c r="CG470" s="17" t="s">
        <v>166</v>
      </c>
      <c r="CH470" s="16" t="s">
        <v>166</v>
      </c>
      <c r="CI470" s="16" t="s">
        <v>166</v>
      </c>
      <c r="CJ470" s="16" t="s">
        <v>166</v>
      </c>
      <c r="CK470" s="16" t="s">
        <v>166</v>
      </c>
      <c r="CL470" s="16" t="s">
        <v>166</v>
      </c>
      <c r="CM470" s="20" t="s">
        <v>166</v>
      </c>
      <c r="CN470" s="16" t="s">
        <v>166</v>
      </c>
      <c r="CO470" s="16" t="s">
        <v>166</v>
      </c>
      <c r="CP470" s="16" t="s">
        <v>166</v>
      </c>
      <c r="CQ470" s="16" t="s">
        <v>166</v>
      </c>
      <c r="CR470" s="16" t="s">
        <v>166</v>
      </c>
      <c r="CS470" s="16" t="s">
        <v>166</v>
      </c>
      <c r="CT470" s="16" t="s">
        <v>166</v>
      </c>
      <c r="CU470" s="16" t="s">
        <v>166</v>
      </c>
      <c r="CV470" s="16" t="s">
        <v>166</v>
      </c>
      <c r="CW470" s="16" t="s">
        <v>166</v>
      </c>
      <c r="CX470" s="16" t="s">
        <v>166</v>
      </c>
      <c r="CY470" s="16" t="s">
        <v>166</v>
      </c>
      <c r="CZ470" s="16" t="s">
        <v>166</v>
      </c>
      <c r="DA470" s="16" t="s">
        <v>166</v>
      </c>
      <c r="DB470" s="16" t="s">
        <v>166</v>
      </c>
      <c r="DC470" s="16" t="s">
        <v>166</v>
      </c>
      <c r="DD470" s="16" t="s">
        <v>166</v>
      </c>
      <c r="DE470" s="17" t="s">
        <v>166</v>
      </c>
      <c r="DF470" s="22">
        <v>3</v>
      </c>
      <c r="DG470" s="14" t="s">
        <v>1955</v>
      </c>
      <c r="DH470" s="14" t="s">
        <v>193</v>
      </c>
      <c r="DI470" s="14" t="s">
        <v>194</v>
      </c>
      <c r="DJ470" s="14" t="s">
        <v>1956</v>
      </c>
      <c r="DK470" s="14" t="s">
        <v>257</v>
      </c>
      <c r="DL470" s="21" t="s">
        <v>166</v>
      </c>
      <c r="DM470" s="14" t="s">
        <v>198</v>
      </c>
      <c r="DN470" s="13" t="s">
        <v>9182</v>
      </c>
      <c r="DO470" s="20">
        <v>2023</v>
      </c>
      <c r="DP470" s="14" t="s">
        <v>166</v>
      </c>
      <c r="DQ470" s="14" t="s">
        <v>166</v>
      </c>
      <c r="DR470" s="18" t="s">
        <v>166</v>
      </c>
      <c r="DS470" s="16" t="s">
        <v>166</v>
      </c>
      <c r="DT470" s="19" t="s">
        <v>166</v>
      </c>
      <c r="DU470" s="14" t="s">
        <v>166</v>
      </c>
      <c r="DV470" s="18" t="s">
        <v>166</v>
      </c>
      <c r="DW470" s="18" t="s">
        <v>166</v>
      </c>
      <c r="DX470" s="16" t="s">
        <v>166</v>
      </c>
      <c r="DY470" s="16" t="s">
        <v>166</v>
      </c>
      <c r="DZ470" s="17" t="s">
        <v>166</v>
      </c>
      <c r="EA470" s="16" t="s">
        <v>166</v>
      </c>
      <c r="EB470" s="16" t="s">
        <v>166</v>
      </c>
      <c r="EC470" s="16" t="s">
        <v>166</v>
      </c>
      <c r="ED470" s="17" t="s">
        <v>166</v>
      </c>
      <c r="EE470" s="17" t="s">
        <v>166</v>
      </c>
      <c r="EF470" s="17" t="s">
        <v>166</v>
      </c>
      <c r="EG470" s="17" t="s">
        <v>166</v>
      </c>
      <c r="EH470" s="16" t="s">
        <v>166</v>
      </c>
      <c r="EI470" s="16" t="s">
        <v>166</v>
      </c>
      <c r="EJ470" s="16" t="s">
        <v>166</v>
      </c>
      <c r="EK470" s="16" t="s">
        <v>166</v>
      </c>
      <c r="EL470" s="16" t="s">
        <v>166</v>
      </c>
      <c r="EM470" s="16" t="s">
        <v>166</v>
      </c>
      <c r="EN470" s="16" t="s">
        <v>166</v>
      </c>
      <c r="EO470" s="16" t="s">
        <v>166</v>
      </c>
      <c r="EP470" s="16" t="s">
        <v>166</v>
      </c>
      <c r="EQ470" s="16" t="s">
        <v>166</v>
      </c>
      <c r="ER470" s="16" t="s">
        <v>166</v>
      </c>
      <c r="ES470" s="16" t="s">
        <v>166</v>
      </c>
      <c r="ET470" s="14" t="s">
        <v>166</v>
      </c>
      <c r="EU470" s="16" t="s">
        <v>166</v>
      </c>
      <c r="EV470" s="16" t="s">
        <v>166</v>
      </c>
      <c r="EW470" s="16" t="s">
        <v>166</v>
      </c>
      <c r="EX470" s="14" t="s">
        <v>190</v>
      </c>
      <c r="EY470" s="14" t="s">
        <v>166</v>
      </c>
      <c r="EZ470" s="16" t="s">
        <v>166</v>
      </c>
      <c r="FA470" s="15" t="s">
        <v>166</v>
      </c>
      <c r="FB470" s="15" t="s">
        <v>166</v>
      </c>
      <c r="FC470" s="15" t="s">
        <v>166</v>
      </c>
      <c r="FD470" s="15" t="s">
        <v>166</v>
      </c>
      <c r="FE470" s="15" t="s">
        <v>166</v>
      </c>
      <c r="FF470" s="15" t="s">
        <v>166</v>
      </c>
      <c r="FG470" s="14" t="s">
        <v>166</v>
      </c>
      <c r="FH470" s="3">
        <f>HYPERLINK("https://my.pitchbook.com?c=257227-12T","View Company Online")</f>
      </c>
    </row>
    <row r="471">
      <c r="A471" s="25" t="s">
        <v>9183</v>
      </c>
      <c r="B471" s="25" t="s">
        <v>9184</v>
      </c>
      <c r="C471" s="25" t="s">
        <v>9185</v>
      </c>
      <c r="D471" s="25" t="s">
        <v>166</v>
      </c>
      <c r="E471" s="34" t="s">
        <v>9186</v>
      </c>
      <c r="F471" s="32">
        <v>11</v>
      </c>
      <c r="G471" s="25" t="s">
        <v>9187</v>
      </c>
      <c r="H471" s="25" t="s">
        <v>166</v>
      </c>
      <c r="I471" s="25" t="s">
        <v>9188</v>
      </c>
      <c r="J471" s="25" t="s">
        <v>9189</v>
      </c>
      <c r="K471" s="25" t="s">
        <v>207</v>
      </c>
      <c r="L471" s="25" t="s">
        <v>208</v>
      </c>
      <c r="M471" s="25" t="s">
        <v>209</v>
      </c>
      <c r="N471" s="25" t="s">
        <v>9190</v>
      </c>
      <c r="O471" s="25" t="s">
        <v>580</v>
      </c>
      <c r="P471" s="25" t="s">
        <v>9191</v>
      </c>
      <c r="Q471" s="25" t="s">
        <v>166</v>
      </c>
      <c r="R471" s="25" t="s">
        <v>177</v>
      </c>
      <c r="S471" s="25" t="s">
        <v>178</v>
      </c>
      <c r="T471" s="25" t="s">
        <v>179</v>
      </c>
      <c r="U471" s="25" t="s">
        <v>9192</v>
      </c>
      <c r="V471" s="25" t="s">
        <v>9193</v>
      </c>
      <c r="W471" s="32" t="s">
        <v>166</v>
      </c>
      <c r="X471" s="25" t="s">
        <v>9194</v>
      </c>
      <c r="Y471" s="25" t="s">
        <v>9195</v>
      </c>
      <c r="Z471" s="25" t="s">
        <v>9196</v>
      </c>
      <c r="AA471" s="25" t="s">
        <v>166</v>
      </c>
      <c r="AB471" s="25" t="s">
        <v>166</v>
      </c>
      <c r="AC471" s="25" t="s">
        <v>166</v>
      </c>
      <c r="AD471" s="25" t="s">
        <v>166</v>
      </c>
      <c r="AE471" s="25" t="s">
        <v>166</v>
      </c>
      <c r="AF471" s="25" t="s">
        <v>166</v>
      </c>
      <c r="AG471" s="25" t="s">
        <v>166</v>
      </c>
      <c r="AH471" s="32">
        <v>3</v>
      </c>
      <c r="AI471" s="4">
        <f>HYPERLINK("https://my.pitchbook.com/?d=209061-28T","209061-28T")</f>
      </c>
      <c r="AJ471" s="30" t="s">
        <v>166</v>
      </c>
      <c r="AK471" s="30">
        <v>44847</v>
      </c>
      <c r="AL471" s="29">
        <v>2</v>
      </c>
      <c r="AM471" s="25" t="s">
        <v>185</v>
      </c>
      <c r="AN471" s="29">
        <v>18</v>
      </c>
      <c r="AO471" s="29">
        <v>20</v>
      </c>
      <c r="AP471" s="25" t="s">
        <v>185</v>
      </c>
      <c r="AQ471" s="32" t="s">
        <v>166</v>
      </c>
      <c r="AR471" s="32" t="s">
        <v>166</v>
      </c>
      <c r="AS471" s="28" t="s">
        <v>166</v>
      </c>
      <c r="AT471" s="29">
        <v>2.5</v>
      </c>
      <c r="AU471" s="32" t="s">
        <v>186</v>
      </c>
      <c r="AV471" s="32" t="s">
        <v>166</v>
      </c>
      <c r="AW471" s="29" t="s">
        <v>166</v>
      </c>
      <c r="AX471" s="32" t="s">
        <v>166</v>
      </c>
      <c r="AY471" s="25" t="s">
        <v>187</v>
      </c>
      <c r="AZ471" s="25" t="s">
        <v>166</v>
      </c>
      <c r="BA471" s="25" t="s">
        <v>166</v>
      </c>
      <c r="BB471" s="32" t="s">
        <v>166</v>
      </c>
      <c r="BC471" s="25" t="s">
        <v>179</v>
      </c>
      <c r="BD471" s="25" t="s">
        <v>9197</v>
      </c>
      <c r="BE471" s="25" t="s">
        <v>189</v>
      </c>
      <c r="BF471" s="29">
        <v>2</v>
      </c>
      <c r="BG471" s="25" t="s">
        <v>190</v>
      </c>
      <c r="BH471" s="25" t="s">
        <v>166</v>
      </c>
      <c r="BI471" s="25" t="s">
        <v>166</v>
      </c>
      <c r="BJ471" s="29" t="s">
        <v>166</v>
      </c>
      <c r="BK471" s="29" t="s">
        <v>166</v>
      </c>
      <c r="BL471" s="25" t="s">
        <v>191</v>
      </c>
      <c r="BM471" s="25" t="s">
        <v>178</v>
      </c>
      <c r="BN471" s="25" t="s">
        <v>177</v>
      </c>
      <c r="BO471" s="33" t="s">
        <v>166</v>
      </c>
      <c r="BP471" s="25" t="s">
        <v>9198</v>
      </c>
      <c r="BQ471" s="32">
        <v>10</v>
      </c>
      <c r="BR471" s="25" t="s">
        <v>914</v>
      </c>
      <c r="BS471" s="32">
        <v>1</v>
      </c>
      <c r="BT471" s="25" t="s">
        <v>166</v>
      </c>
      <c r="BU471" s="25" t="s">
        <v>166</v>
      </c>
      <c r="BV471" s="25" t="s">
        <v>9199</v>
      </c>
      <c r="BW471" s="25" t="s">
        <v>166</v>
      </c>
      <c r="BX471" s="25" t="s">
        <v>166</v>
      </c>
      <c r="BY471" s="25" t="s">
        <v>166</v>
      </c>
      <c r="BZ471" s="25" t="s">
        <v>166</v>
      </c>
      <c r="CA471" s="25" t="s">
        <v>166</v>
      </c>
      <c r="CB471" s="25" t="s">
        <v>166</v>
      </c>
      <c r="CC471" s="25" t="s">
        <v>166</v>
      </c>
      <c r="CD471" s="25" t="s">
        <v>166</v>
      </c>
      <c r="CE471" s="29" t="s">
        <v>166</v>
      </c>
      <c r="CF471" s="27" t="s">
        <v>166</v>
      </c>
      <c r="CG471" s="28" t="s">
        <v>166</v>
      </c>
      <c r="CH471" s="27" t="s">
        <v>166</v>
      </c>
      <c r="CI471" s="27" t="s">
        <v>166</v>
      </c>
      <c r="CJ471" s="27" t="s">
        <v>166</v>
      </c>
      <c r="CK471" s="27" t="s">
        <v>166</v>
      </c>
      <c r="CL471" s="27" t="s">
        <v>166</v>
      </c>
      <c r="CM471" s="31" t="s">
        <v>166</v>
      </c>
      <c r="CN471" s="27" t="s">
        <v>166</v>
      </c>
      <c r="CO471" s="27" t="s">
        <v>166</v>
      </c>
      <c r="CP471" s="27" t="s">
        <v>166</v>
      </c>
      <c r="CQ471" s="27" t="s">
        <v>166</v>
      </c>
      <c r="CR471" s="27" t="s">
        <v>166</v>
      </c>
      <c r="CS471" s="27" t="s">
        <v>166</v>
      </c>
      <c r="CT471" s="27" t="s">
        <v>166</v>
      </c>
      <c r="CU471" s="27" t="s">
        <v>166</v>
      </c>
      <c r="CV471" s="27" t="s">
        <v>166</v>
      </c>
      <c r="CW471" s="27" t="s">
        <v>166</v>
      </c>
      <c r="CX471" s="27" t="s">
        <v>166</v>
      </c>
      <c r="CY471" s="27" t="s">
        <v>166</v>
      </c>
      <c r="CZ471" s="27" t="s">
        <v>166</v>
      </c>
      <c r="DA471" s="27" t="s">
        <v>166</v>
      </c>
      <c r="DB471" s="27" t="s">
        <v>166</v>
      </c>
      <c r="DC471" s="27" t="s">
        <v>166</v>
      </c>
      <c r="DD471" s="27" t="s">
        <v>166</v>
      </c>
      <c r="DE471" s="28" t="s">
        <v>166</v>
      </c>
      <c r="DF471" s="33">
        <v>9</v>
      </c>
      <c r="DG471" s="25" t="s">
        <v>673</v>
      </c>
      <c r="DH471" s="25" t="s">
        <v>193</v>
      </c>
      <c r="DI471" s="25" t="s">
        <v>194</v>
      </c>
      <c r="DJ471" s="25" t="s">
        <v>674</v>
      </c>
      <c r="DK471" s="25" t="s">
        <v>257</v>
      </c>
      <c r="DL471" s="32" t="s">
        <v>851</v>
      </c>
      <c r="DM471" s="25" t="s">
        <v>198</v>
      </c>
      <c r="DN471" s="24" t="s">
        <v>9200</v>
      </c>
      <c r="DO471" s="31">
        <v>2022</v>
      </c>
      <c r="DP471" s="25" t="s">
        <v>166</v>
      </c>
      <c r="DQ471" s="25" t="s">
        <v>166</v>
      </c>
      <c r="DR471" s="29" t="s">
        <v>166</v>
      </c>
      <c r="DS471" s="27" t="s">
        <v>166</v>
      </c>
      <c r="DT471" s="30" t="s">
        <v>166</v>
      </c>
      <c r="DU471" s="25" t="s">
        <v>166</v>
      </c>
      <c r="DV471" s="29" t="s">
        <v>166</v>
      </c>
      <c r="DW471" s="29" t="s">
        <v>166</v>
      </c>
      <c r="DX471" s="27" t="s">
        <v>166</v>
      </c>
      <c r="DY471" s="27" t="s">
        <v>166</v>
      </c>
      <c r="DZ471" s="28" t="s">
        <v>166</v>
      </c>
      <c r="EA471" s="27" t="s">
        <v>166</v>
      </c>
      <c r="EB471" s="27" t="s">
        <v>166</v>
      </c>
      <c r="EC471" s="27" t="s">
        <v>166</v>
      </c>
      <c r="ED471" s="28" t="s">
        <v>166</v>
      </c>
      <c r="EE471" s="28" t="s">
        <v>166</v>
      </c>
      <c r="EF471" s="28" t="s">
        <v>166</v>
      </c>
      <c r="EG471" s="28" t="s">
        <v>166</v>
      </c>
      <c r="EH471" s="27" t="s">
        <v>166</v>
      </c>
      <c r="EI471" s="27" t="s">
        <v>166</v>
      </c>
      <c r="EJ471" s="27" t="s">
        <v>166</v>
      </c>
      <c r="EK471" s="27" t="s">
        <v>166</v>
      </c>
      <c r="EL471" s="27" t="s">
        <v>166</v>
      </c>
      <c r="EM471" s="27" t="s">
        <v>166</v>
      </c>
      <c r="EN471" s="27" t="s">
        <v>166</v>
      </c>
      <c r="EO471" s="27" t="s">
        <v>166</v>
      </c>
      <c r="EP471" s="27" t="s">
        <v>166</v>
      </c>
      <c r="EQ471" s="27" t="s">
        <v>166</v>
      </c>
      <c r="ER471" s="27" t="s">
        <v>166</v>
      </c>
      <c r="ES471" s="27" t="s">
        <v>166</v>
      </c>
      <c r="ET471" s="25" t="s">
        <v>166</v>
      </c>
      <c r="EU471" s="27" t="s">
        <v>166</v>
      </c>
      <c r="EV471" s="27" t="s">
        <v>166</v>
      </c>
      <c r="EW471" s="27" t="s">
        <v>166</v>
      </c>
      <c r="EX471" s="25" t="s">
        <v>190</v>
      </c>
      <c r="EY471" s="25" t="s">
        <v>166</v>
      </c>
      <c r="EZ471" s="27" t="s">
        <v>166</v>
      </c>
      <c r="FA471" s="26" t="s">
        <v>166</v>
      </c>
      <c r="FB471" s="26" t="s">
        <v>166</v>
      </c>
      <c r="FC471" s="26" t="s">
        <v>166</v>
      </c>
      <c r="FD471" s="26" t="s">
        <v>166</v>
      </c>
      <c r="FE471" s="26" t="s">
        <v>166</v>
      </c>
      <c r="FF471" s="26" t="s">
        <v>166</v>
      </c>
      <c r="FG471" s="25" t="s">
        <v>166</v>
      </c>
      <c r="FH471" s="4">
        <f>HYPERLINK("https://my.pitchbook.com?c=209061-28T","View Company Online")</f>
      </c>
    </row>
    <row r="472">
      <c r="A472" s="14" t="s">
        <v>9201</v>
      </c>
      <c r="B472" s="14" t="s">
        <v>9202</v>
      </c>
      <c r="C472" s="14" t="s">
        <v>9203</v>
      </c>
      <c r="D472" s="14" t="s">
        <v>166</v>
      </c>
      <c r="E472" s="23" t="s">
        <v>9204</v>
      </c>
      <c r="F472" s="21">
        <v>19</v>
      </c>
      <c r="G472" s="14" t="s">
        <v>9205</v>
      </c>
      <c r="H472" s="14" t="s">
        <v>166</v>
      </c>
      <c r="I472" s="14" t="s">
        <v>9206</v>
      </c>
      <c r="J472" s="14" t="s">
        <v>9207</v>
      </c>
      <c r="K472" s="14" t="s">
        <v>207</v>
      </c>
      <c r="L472" s="14" t="s">
        <v>208</v>
      </c>
      <c r="M472" s="14" t="s">
        <v>839</v>
      </c>
      <c r="N472" s="14" t="s">
        <v>6472</v>
      </c>
      <c r="O472" s="14" t="s">
        <v>5780</v>
      </c>
      <c r="P472" s="14" t="s">
        <v>9208</v>
      </c>
      <c r="Q472" s="14" t="s">
        <v>926</v>
      </c>
      <c r="R472" s="14" t="s">
        <v>177</v>
      </c>
      <c r="S472" s="14" t="s">
        <v>178</v>
      </c>
      <c r="T472" s="14" t="s">
        <v>179</v>
      </c>
      <c r="U472" s="14" t="s">
        <v>9209</v>
      </c>
      <c r="V472" s="14" t="s">
        <v>9210</v>
      </c>
      <c r="W472" s="21" t="s">
        <v>166</v>
      </c>
      <c r="X472" s="14" t="s">
        <v>166</v>
      </c>
      <c r="Y472" s="14" t="s">
        <v>9211</v>
      </c>
      <c r="Z472" s="14" t="s">
        <v>9212</v>
      </c>
      <c r="AA472" s="14" t="s">
        <v>166</v>
      </c>
      <c r="AB472" s="14" t="s">
        <v>166</v>
      </c>
      <c r="AC472" s="14" t="s">
        <v>166</v>
      </c>
      <c r="AD472" s="14" t="s">
        <v>166</v>
      </c>
      <c r="AE472" s="14" t="s">
        <v>166</v>
      </c>
      <c r="AF472" s="14" t="s">
        <v>166</v>
      </c>
      <c r="AG472" s="14" t="s">
        <v>166</v>
      </c>
      <c r="AH472" s="21">
        <v>2</v>
      </c>
      <c r="AI472" s="3">
        <f>HYPERLINK("https://my.pitchbook.com/?d=241906-06T","241906-06T")</f>
      </c>
      <c r="AJ472" s="19">
        <v>45108</v>
      </c>
      <c r="AK472" s="19">
        <v>45200</v>
      </c>
      <c r="AL472" s="18">
        <v>1.53</v>
      </c>
      <c r="AM472" s="14" t="s">
        <v>185</v>
      </c>
      <c r="AN472" s="18">
        <v>16.47</v>
      </c>
      <c r="AO472" s="18">
        <v>18</v>
      </c>
      <c r="AP472" s="14" t="s">
        <v>185</v>
      </c>
      <c r="AQ472" s="21" t="s">
        <v>166</v>
      </c>
      <c r="AR472" s="21" t="s">
        <v>166</v>
      </c>
      <c r="AS472" s="17" t="s">
        <v>166</v>
      </c>
      <c r="AT472" s="18">
        <v>1.66</v>
      </c>
      <c r="AU472" s="21" t="s">
        <v>186</v>
      </c>
      <c r="AV472" s="21" t="s">
        <v>166</v>
      </c>
      <c r="AW472" s="18" t="s">
        <v>166</v>
      </c>
      <c r="AX472" s="21" t="s">
        <v>166</v>
      </c>
      <c r="AY472" s="14" t="s">
        <v>217</v>
      </c>
      <c r="AZ472" s="14" t="s">
        <v>217</v>
      </c>
      <c r="BA472" s="14" t="s">
        <v>166</v>
      </c>
      <c r="BB472" s="21" t="s">
        <v>166</v>
      </c>
      <c r="BC472" s="14" t="s">
        <v>179</v>
      </c>
      <c r="BD472" s="14" t="s">
        <v>9207</v>
      </c>
      <c r="BE472" s="14" t="s">
        <v>189</v>
      </c>
      <c r="BF472" s="18">
        <v>1.53</v>
      </c>
      <c r="BG472" s="14" t="s">
        <v>190</v>
      </c>
      <c r="BH472" s="14" t="s">
        <v>166</v>
      </c>
      <c r="BI472" s="14" t="s">
        <v>166</v>
      </c>
      <c r="BJ472" s="18" t="s">
        <v>166</v>
      </c>
      <c r="BK472" s="18" t="s">
        <v>166</v>
      </c>
      <c r="BL472" s="14" t="s">
        <v>191</v>
      </c>
      <c r="BM472" s="14" t="s">
        <v>178</v>
      </c>
      <c r="BN472" s="14" t="s">
        <v>177</v>
      </c>
      <c r="BO472" s="22" t="s">
        <v>166</v>
      </c>
      <c r="BP472" s="14" t="s">
        <v>9213</v>
      </c>
      <c r="BQ472" s="21">
        <v>18</v>
      </c>
      <c r="BR472" s="14" t="s">
        <v>914</v>
      </c>
      <c r="BS472" s="21">
        <v>1</v>
      </c>
      <c r="BT472" s="14" t="s">
        <v>166</v>
      </c>
      <c r="BU472" s="14" t="s">
        <v>166</v>
      </c>
      <c r="BV472" s="14" t="s">
        <v>9214</v>
      </c>
      <c r="BW472" s="14" t="s">
        <v>166</v>
      </c>
      <c r="BX472" s="14" t="s">
        <v>166</v>
      </c>
      <c r="BY472" s="14" t="s">
        <v>166</v>
      </c>
      <c r="BZ472" s="14" t="s">
        <v>166</v>
      </c>
      <c r="CA472" s="14" t="s">
        <v>166</v>
      </c>
      <c r="CB472" s="14" t="s">
        <v>166</v>
      </c>
      <c r="CC472" s="14" t="s">
        <v>166</v>
      </c>
      <c r="CD472" s="14" t="s">
        <v>166</v>
      </c>
      <c r="CE472" s="18" t="s">
        <v>166</v>
      </c>
      <c r="CF472" s="16" t="s">
        <v>166</v>
      </c>
      <c r="CG472" s="17" t="s">
        <v>166</v>
      </c>
      <c r="CH472" s="16" t="s">
        <v>166</v>
      </c>
      <c r="CI472" s="16" t="s">
        <v>166</v>
      </c>
      <c r="CJ472" s="16" t="s">
        <v>166</v>
      </c>
      <c r="CK472" s="16" t="s">
        <v>166</v>
      </c>
      <c r="CL472" s="16" t="s">
        <v>166</v>
      </c>
      <c r="CM472" s="20" t="s">
        <v>166</v>
      </c>
      <c r="CN472" s="16" t="s">
        <v>166</v>
      </c>
      <c r="CO472" s="16" t="s">
        <v>166</v>
      </c>
      <c r="CP472" s="16" t="s">
        <v>166</v>
      </c>
      <c r="CQ472" s="16" t="s">
        <v>166</v>
      </c>
      <c r="CR472" s="16" t="s">
        <v>166</v>
      </c>
      <c r="CS472" s="16" t="s">
        <v>166</v>
      </c>
      <c r="CT472" s="16" t="s">
        <v>166</v>
      </c>
      <c r="CU472" s="16" t="s">
        <v>166</v>
      </c>
      <c r="CV472" s="16" t="s">
        <v>166</v>
      </c>
      <c r="CW472" s="16" t="s">
        <v>166</v>
      </c>
      <c r="CX472" s="16" t="s">
        <v>166</v>
      </c>
      <c r="CY472" s="16" t="s">
        <v>166</v>
      </c>
      <c r="CZ472" s="16" t="s">
        <v>166</v>
      </c>
      <c r="DA472" s="16" t="s">
        <v>166</v>
      </c>
      <c r="DB472" s="16" t="s">
        <v>166</v>
      </c>
      <c r="DC472" s="16" t="s">
        <v>166</v>
      </c>
      <c r="DD472" s="16" t="s">
        <v>166</v>
      </c>
      <c r="DE472" s="17" t="s">
        <v>166</v>
      </c>
      <c r="DF472" s="22">
        <v>2</v>
      </c>
      <c r="DG472" s="14" t="s">
        <v>309</v>
      </c>
      <c r="DH472" s="14" t="s">
        <v>193</v>
      </c>
      <c r="DI472" s="14" t="s">
        <v>194</v>
      </c>
      <c r="DJ472" s="14" t="s">
        <v>310</v>
      </c>
      <c r="DK472" s="14" t="s">
        <v>310</v>
      </c>
      <c r="DL472" s="21" t="s">
        <v>166</v>
      </c>
      <c r="DM472" s="14" t="s">
        <v>198</v>
      </c>
      <c r="DN472" s="13" t="s">
        <v>9215</v>
      </c>
      <c r="DO472" s="20">
        <v>2023</v>
      </c>
      <c r="DP472" s="14" t="s">
        <v>166</v>
      </c>
      <c r="DQ472" s="14" t="s">
        <v>166</v>
      </c>
      <c r="DR472" s="18" t="s">
        <v>166</v>
      </c>
      <c r="DS472" s="16" t="s">
        <v>166</v>
      </c>
      <c r="DT472" s="19" t="s">
        <v>166</v>
      </c>
      <c r="DU472" s="14" t="s">
        <v>166</v>
      </c>
      <c r="DV472" s="18" t="s">
        <v>166</v>
      </c>
      <c r="DW472" s="18" t="s">
        <v>166</v>
      </c>
      <c r="DX472" s="16" t="s">
        <v>166</v>
      </c>
      <c r="DY472" s="16" t="s">
        <v>166</v>
      </c>
      <c r="DZ472" s="17" t="s">
        <v>166</v>
      </c>
      <c r="EA472" s="16" t="s">
        <v>166</v>
      </c>
      <c r="EB472" s="16" t="s">
        <v>166</v>
      </c>
      <c r="EC472" s="16" t="s">
        <v>166</v>
      </c>
      <c r="ED472" s="17" t="s">
        <v>166</v>
      </c>
      <c r="EE472" s="17" t="s">
        <v>166</v>
      </c>
      <c r="EF472" s="17" t="s">
        <v>166</v>
      </c>
      <c r="EG472" s="17" t="s">
        <v>166</v>
      </c>
      <c r="EH472" s="16" t="s">
        <v>166</v>
      </c>
      <c r="EI472" s="16" t="s">
        <v>166</v>
      </c>
      <c r="EJ472" s="16" t="s">
        <v>166</v>
      </c>
      <c r="EK472" s="16" t="s">
        <v>166</v>
      </c>
      <c r="EL472" s="16" t="s">
        <v>166</v>
      </c>
      <c r="EM472" s="16" t="s">
        <v>166</v>
      </c>
      <c r="EN472" s="16" t="s">
        <v>166</v>
      </c>
      <c r="EO472" s="16" t="s">
        <v>166</v>
      </c>
      <c r="EP472" s="16" t="s">
        <v>166</v>
      </c>
      <c r="EQ472" s="16" t="s">
        <v>166</v>
      </c>
      <c r="ER472" s="16" t="s">
        <v>166</v>
      </c>
      <c r="ES472" s="16" t="s">
        <v>166</v>
      </c>
      <c r="ET472" s="14" t="s">
        <v>166</v>
      </c>
      <c r="EU472" s="16" t="s">
        <v>166</v>
      </c>
      <c r="EV472" s="16" t="s">
        <v>166</v>
      </c>
      <c r="EW472" s="16" t="s">
        <v>166</v>
      </c>
      <c r="EX472" s="14" t="s">
        <v>190</v>
      </c>
      <c r="EY472" s="14" t="s">
        <v>166</v>
      </c>
      <c r="EZ472" s="16" t="s">
        <v>166</v>
      </c>
      <c r="FA472" s="15" t="s">
        <v>166</v>
      </c>
      <c r="FB472" s="15" t="s">
        <v>166</v>
      </c>
      <c r="FC472" s="15" t="s">
        <v>166</v>
      </c>
      <c r="FD472" s="15" t="s">
        <v>166</v>
      </c>
      <c r="FE472" s="15" t="s">
        <v>166</v>
      </c>
      <c r="FF472" s="15" t="s">
        <v>166</v>
      </c>
      <c r="FG472" s="14" t="s">
        <v>166</v>
      </c>
      <c r="FH472" s="3">
        <f>HYPERLINK("https://my.pitchbook.com?c=241906-06T","View Company Online")</f>
      </c>
    </row>
    <row r="473">
      <c r="A473" s="25" t="s">
        <v>9216</v>
      </c>
      <c r="B473" s="25" t="s">
        <v>9217</v>
      </c>
      <c r="C473" s="25" t="s">
        <v>9218</v>
      </c>
      <c r="D473" s="25" t="s">
        <v>166</v>
      </c>
      <c r="E473" s="34" t="s">
        <v>9219</v>
      </c>
      <c r="F473" s="32">
        <v>3</v>
      </c>
      <c r="G473" s="25" t="s">
        <v>9220</v>
      </c>
      <c r="H473" s="25" t="s">
        <v>166</v>
      </c>
      <c r="I473" s="25" t="s">
        <v>9221</v>
      </c>
      <c r="J473" s="25" t="s">
        <v>9222</v>
      </c>
      <c r="K473" s="25" t="s">
        <v>1500</v>
      </c>
      <c r="L473" s="25" t="s">
        <v>2200</v>
      </c>
      <c r="M473" s="25" t="s">
        <v>3655</v>
      </c>
      <c r="N473" s="25" t="s">
        <v>9223</v>
      </c>
      <c r="O473" s="25" t="s">
        <v>3332</v>
      </c>
      <c r="P473" s="25" t="s">
        <v>9224</v>
      </c>
      <c r="Q473" s="25" t="s">
        <v>166</v>
      </c>
      <c r="R473" s="25" t="s">
        <v>177</v>
      </c>
      <c r="S473" s="25" t="s">
        <v>178</v>
      </c>
      <c r="T473" s="25" t="s">
        <v>179</v>
      </c>
      <c r="U473" s="25" t="s">
        <v>9225</v>
      </c>
      <c r="V473" s="25" t="s">
        <v>9226</v>
      </c>
      <c r="W473" s="32" t="s">
        <v>9227</v>
      </c>
      <c r="X473" s="25" t="s">
        <v>9228</v>
      </c>
      <c r="Y473" s="25" t="s">
        <v>9229</v>
      </c>
      <c r="Z473" s="25" t="s">
        <v>9230</v>
      </c>
      <c r="AA473" s="25" t="s">
        <v>166</v>
      </c>
      <c r="AB473" s="25" t="s">
        <v>166</v>
      </c>
      <c r="AC473" s="25" t="s">
        <v>166</v>
      </c>
      <c r="AD473" s="25" t="s">
        <v>166</v>
      </c>
      <c r="AE473" s="25" t="s">
        <v>166</v>
      </c>
      <c r="AF473" s="25" t="s">
        <v>166</v>
      </c>
      <c r="AG473" s="25" t="s">
        <v>166</v>
      </c>
      <c r="AH473" s="32">
        <v>2</v>
      </c>
      <c r="AI473" s="4">
        <f>HYPERLINK("https://my.pitchbook.com/?d=161129-71T","161129-71T")</f>
      </c>
      <c r="AJ473" s="30" t="s">
        <v>166</v>
      </c>
      <c r="AK473" s="30">
        <v>44075</v>
      </c>
      <c r="AL473" s="29">
        <v>0.57</v>
      </c>
      <c r="AM473" s="25" t="s">
        <v>185</v>
      </c>
      <c r="AN473" s="29" t="s">
        <v>166</v>
      </c>
      <c r="AO473" s="29" t="s">
        <v>166</v>
      </c>
      <c r="AP473" s="25" t="s">
        <v>166</v>
      </c>
      <c r="AQ473" s="32" t="s">
        <v>166</v>
      </c>
      <c r="AR473" s="32" t="s">
        <v>166</v>
      </c>
      <c r="AS473" s="28" t="s">
        <v>166</v>
      </c>
      <c r="AT473" s="29">
        <v>0.5</v>
      </c>
      <c r="AU473" s="32" t="s">
        <v>186</v>
      </c>
      <c r="AV473" s="32" t="s">
        <v>166</v>
      </c>
      <c r="AW473" s="29" t="s">
        <v>166</v>
      </c>
      <c r="AX473" s="32" t="s">
        <v>166</v>
      </c>
      <c r="AY473" s="25" t="s">
        <v>217</v>
      </c>
      <c r="AZ473" s="25" t="s">
        <v>217</v>
      </c>
      <c r="BA473" s="25" t="s">
        <v>166</v>
      </c>
      <c r="BB473" s="32" t="s">
        <v>166</v>
      </c>
      <c r="BC473" s="25" t="s">
        <v>179</v>
      </c>
      <c r="BD473" s="25" t="s">
        <v>9231</v>
      </c>
      <c r="BE473" s="25" t="s">
        <v>189</v>
      </c>
      <c r="BF473" s="29" t="s">
        <v>166</v>
      </c>
      <c r="BG473" s="25" t="s">
        <v>190</v>
      </c>
      <c r="BH473" s="25" t="s">
        <v>166</v>
      </c>
      <c r="BI473" s="25" t="s">
        <v>166</v>
      </c>
      <c r="BJ473" s="29">
        <v>0.48</v>
      </c>
      <c r="BK473" s="29" t="s">
        <v>166</v>
      </c>
      <c r="BL473" s="25" t="s">
        <v>191</v>
      </c>
      <c r="BM473" s="25" t="s">
        <v>1488</v>
      </c>
      <c r="BN473" s="25" t="s">
        <v>177</v>
      </c>
      <c r="BO473" s="33">
        <v>3</v>
      </c>
      <c r="BP473" s="25" t="s">
        <v>9232</v>
      </c>
      <c r="BQ473" s="32">
        <v>2</v>
      </c>
      <c r="BR473" s="25" t="s">
        <v>252</v>
      </c>
      <c r="BS473" s="32">
        <v>1</v>
      </c>
      <c r="BT473" s="25" t="s">
        <v>9233</v>
      </c>
      <c r="BU473" s="25" t="s">
        <v>166</v>
      </c>
      <c r="BV473" s="25" t="s">
        <v>9234</v>
      </c>
      <c r="BW473" s="25" t="s">
        <v>166</v>
      </c>
      <c r="BX473" s="25" t="s">
        <v>166</v>
      </c>
      <c r="BY473" s="25" t="s">
        <v>166</v>
      </c>
      <c r="BZ473" s="25" t="s">
        <v>166</v>
      </c>
      <c r="CA473" s="25" t="s">
        <v>166</v>
      </c>
      <c r="CB473" s="25" t="s">
        <v>166</v>
      </c>
      <c r="CC473" s="25" t="s">
        <v>166</v>
      </c>
      <c r="CD473" s="25" t="s">
        <v>166</v>
      </c>
      <c r="CE473" s="29" t="s">
        <v>166</v>
      </c>
      <c r="CF473" s="27" t="s">
        <v>166</v>
      </c>
      <c r="CG473" s="28" t="s">
        <v>166</v>
      </c>
      <c r="CH473" s="27" t="s">
        <v>166</v>
      </c>
      <c r="CI473" s="27" t="s">
        <v>166</v>
      </c>
      <c r="CJ473" s="27" t="s">
        <v>166</v>
      </c>
      <c r="CK473" s="27" t="s">
        <v>166</v>
      </c>
      <c r="CL473" s="27" t="s">
        <v>166</v>
      </c>
      <c r="CM473" s="31" t="s">
        <v>166</v>
      </c>
      <c r="CN473" s="27" t="s">
        <v>166</v>
      </c>
      <c r="CO473" s="27" t="s">
        <v>166</v>
      </c>
      <c r="CP473" s="27" t="s">
        <v>166</v>
      </c>
      <c r="CQ473" s="27" t="s">
        <v>166</v>
      </c>
      <c r="CR473" s="27" t="s">
        <v>166</v>
      </c>
      <c r="CS473" s="27" t="s">
        <v>166</v>
      </c>
      <c r="CT473" s="27" t="s">
        <v>166</v>
      </c>
      <c r="CU473" s="27" t="s">
        <v>166</v>
      </c>
      <c r="CV473" s="27" t="s">
        <v>166</v>
      </c>
      <c r="CW473" s="27" t="s">
        <v>166</v>
      </c>
      <c r="CX473" s="27" t="s">
        <v>166</v>
      </c>
      <c r="CY473" s="27" t="s">
        <v>166</v>
      </c>
      <c r="CZ473" s="27" t="s">
        <v>166</v>
      </c>
      <c r="DA473" s="27" t="s">
        <v>166</v>
      </c>
      <c r="DB473" s="27" t="s">
        <v>166</v>
      </c>
      <c r="DC473" s="27" t="s">
        <v>166</v>
      </c>
      <c r="DD473" s="27" t="s">
        <v>166</v>
      </c>
      <c r="DE473" s="28" t="s">
        <v>166</v>
      </c>
      <c r="DF473" s="33">
        <v>23</v>
      </c>
      <c r="DG473" s="25" t="s">
        <v>706</v>
      </c>
      <c r="DH473" s="25" t="s">
        <v>193</v>
      </c>
      <c r="DI473" s="25" t="s">
        <v>194</v>
      </c>
      <c r="DJ473" s="25" t="s">
        <v>707</v>
      </c>
      <c r="DK473" s="25" t="s">
        <v>386</v>
      </c>
      <c r="DL473" s="32" t="s">
        <v>9235</v>
      </c>
      <c r="DM473" s="25" t="s">
        <v>198</v>
      </c>
      <c r="DN473" s="24" t="s">
        <v>9236</v>
      </c>
      <c r="DO473" s="31">
        <v>2020</v>
      </c>
      <c r="DP473" s="25" t="s">
        <v>166</v>
      </c>
      <c r="DQ473" s="25" t="s">
        <v>166</v>
      </c>
      <c r="DR473" s="29">
        <v>0.48</v>
      </c>
      <c r="DS473" s="27" t="s">
        <v>166</v>
      </c>
      <c r="DT473" s="30" t="s">
        <v>166</v>
      </c>
      <c r="DU473" s="25" t="s">
        <v>166</v>
      </c>
      <c r="DV473" s="29" t="s">
        <v>166</v>
      </c>
      <c r="DW473" s="29" t="s">
        <v>166</v>
      </c>
      <c r="DX473" s="27" t="s">
        <v>166</v>
      </c>
      <c r="DY473" s="27" t="s">
        <v>166</v>
      </c>
      <c r="DZ473" s="28" t="s">
        <v>166</v>
      </c>
      <c r="EA473" s="27" t="s">
        <v>166</v>
      </c>
      <c r="EB473" s="27" t="s">
        <v>166</v>
      </c>
      <c r="EC473" s="27" t="s">
        <v>166</v>
      </c>
      <c r="ED473" s="28" t="s">
        <v>166</v>
      </c>
      <c r="EE473" s="28" t="s">
        <v>166</v>
      </c>
      <c r="EF473" s="28" t="s">
        <v>166</v>
      </c>
      <c r="EG473" s="28" t="s">
        <v>166</v>
      </c>
      <c r="EH473" s="27" t="s">
        <v>166</v>
      </c>
      <c r="EI473" s="27" t="s">
        <v>166</v>
      </c>
      <c r="EJ473" s="27" t="s">
        <v>166</v>
      </c>
      <c r="EK473" s="27" t="s">
        <v>166</v>
      </c>
      <c r="EL473" s="27" t="s">
        <v>166</v>
      </c>
      <c r="EM473" s="27" t="s">
        <v>166</v>
      </c>
      <c r="EN473" s="27" t="s">
        <v>166</v>
      </c>
      <c r="EO473" s="27" t="s">
        <v>166</v>
      </c>
      <c r="EP473" s="27" t="s">
        <v>166</v>
      </c>
      <c r="EQ473" s="27" t="s">
        <v>166</v>
      </c>
      <c r="ER473" s="27" t="s">
        <v>166</v>
      </c>
      <c r="ES473" s="27" t="s">
        <v>166</v>
      </c>
      <c r="ET473" s="25" t="s">
        <v>166</v>
      </c>
      <c r="EU473" s="27" t="s">
        <v>166</v>
      </c>
      <c r="EV473" s="27" t="s">
        <v>166</v>
      </c>
      <c r="EW473" s="27" t="s">
        <v>166</v>
      </c>
      <c r="EX473" s="25" t="s">
        <v>190</v>
      </c>
      <c r="EY473" s="25" t="s">
        <v>166</v>
      </c>
      <c r="EZ473" s="27" t="s">
        <v>166</v>
      </c>
      <c r="FA473" s="26" t="s">
        <v>166</v>
      </c>
      <c r="FB473" s="26" t="s">
        <v>166</v>
      </c>
      <c r="FC473" s="26" t="s">
        <v>166</v>
      </c>
      <c r="FD473" s="26" t="s">
        <v>166</v>
      </c>
      <c r="FE473" s="26" t="s">
        <v>166</v>
      </c>
      <c r="FF473" s="26" t="s">
        <v>166</v>
      </c>
      <c r="FG473" s="25" t="s">
        <v>166</v>
      </c>
      <c r="FH473" s="4">
        <f>HYPERLINK("https://my.pitchbook.com?c=161129-71T","View Company Online")</f>
      </c>
    </row>
    <row r="474">
      <c r="A474" s="14" t="s">
        <v>9237</v>
      </c>
      <c r="B474" s="14" t="s">
        <v>9238</v>
      </c>
      <c r="C474" s="14" t="s">
        <v>9239</v>
      </c>
      <c r="D474" s="14" t="s">
        <v>166</v>
      </c>
      <c r="E474" s="23" t="s">
        <v>9240</v>
      </c>
      <c r="F474" s="21">
        <v>15</v>
      </c>
      <c r="G474" s="14" t="s">
        <v>9241</v>
      </c>
      <c r="H474" s="14" t="s">
        <v>166</v>
      </c>
      <c r="I474" s="14" t="s">
        <v>9242</v>
      </c>
      <c r="J474" s="14" t="s">
        <v>9243</v>
      </c>
      <c r="K474" s="14" t="s">
        <v>207</v>
      </c>
      <c r="L474" s="14" t="s">
        <v>208</v>
      </c>
      <c r="M474" s="14" t="s">
        <v>209</v>
      </c>
      <c r="N474" s="14" t="s">
        <v>1824</v>
      </c>
      <c r="O474" s="14" t="s">
        <v>9244</v>
      </c>
      <c r="P474" s="14" t="s">
        <v>9245</v>
      </c>
      <c r="Q474" s="14" t="s">
        <v>166</v>
      </c>
      <c r="R474" s="14" t="s">
        <v>177</v>
      </c>
      <c r="S474" s="14" t="s">
        <v>178</v>
      </c>
      <c r="T474" s="14" t="s">
        <v>179</v>
      </c>
      <c r="U474" s="14" t="s">
        <v>9246</v>
      </c>
      <c r="V474" s="14" t="s">
        <v>9247</v>
      </c>
      <c r="W474" s="21" t="s">
        <v>9248</v>
      </c>
      <c r="X474" s="14" t="s">
        <v>9249</v>
      </c>
      <c r="Y474" s="14" t="s">
        <v>9250</v>
      </c>
      <c r="Z474" s="14" t="s">
        <v>9251</v>
      </c>
      <c r="AA474" s="14" t="s">
        <v>242</v>
      </c>
      <c r="AB474" s="14" t="s">
        <v>243</v>
      </c>
      <c r="AC474" s="14" t="s">
        <v>244</v>
      </c>
      <c r="AD474" s="14" t="s">
        <v>243</v>
      </c>
      <c r="AE474" s="14" t="s">
        <v>243</v>
      </c>
      <c r="AF474" s="14" t="s">
        <v>166</v>
      </c>
      <c r="AG474" s="14" t="s">
        <v>246</v>
      </c>
      <c r="AH474" s="21">
        <v>1</v>
      </c>
      <c r="AI474" s="3">
        <f>HYPERLINK("https://my.pitchbook.com/?d=158497-75T","158497-75T")</f>
      </c>
      <c r="AJ474" s="19" t="s">
        <v>166</v>
      </c>
      <c r="AK474" s="19">
        <v>44134</v>
      </c>
      <c r="AL474" s="18">
        <v>7</v>
      </c>
      <c r="AM474" s="14" t="s">
        <v>185</v>
      </c>
      <c r="AN474" s="18">
        <v>17</v>
      </c>
      <c r="AO474" s="18">
        <v>24</v>
      </c>
      <c r="AP474" s="14" t="s">
        <v>185</v>
      </c>
      <c r="AQ474" s="21" t="s">
        <v>166</v>
      </c>
      <c r="AR474" s="21" t="s">
        <v>166</v>
      </c>
      <c r="AS474" s="17">
        <v>29.6</v>
      </c>
      <c r="AT474" s="18">
        <v>7</v>
      </c>
      <c r="AU474" s="21" t="s">
        <v>186</v>
      </c>
      <c r="AV474" s="21" t="s">
        <v>166</v>
      </c>
      <c r="AW474" s="18">
        <v>1.37</v>
      </c>
      <c r="AX474" s="21" t="s">
        <v>248</v>
      </c>
      <c r="AY474" s="14" t="s">
        <v>187</v>
      </c>
      <c r="AZ474" s="14" t="s">
        <v>248</v>
      </c>
      <c r="BA474" s="14" t="s">
        <v>166</v>
      </c>
      <c r="BB474" s="21" t="s">
        <v>166</v>
      </c>
      <c r="BC474" s="14" t="s">
        <v>179</v>
      </c>
      <c r="BD474" s="14" t="s">
        <v>9252</v>
      </c>
      <c r="BE474" s="14" t="s">
        <v>189</v>
      </c>
      <c r="BF474" s="18">
        <v>7</v>
      </c>
      <c r="BG474" s="14" t="s">
        <v>190</v>
      </c>
      <c r="BH474" s="14" t="s">
        <v>166</v>
      </c>
      <c r="BI474" s="14" t="s">
        <v>166</v>
      </c>
      <c r="BJ474" s="18" t="s">
        <v>166</v>
      </c>
      <c r="BK474" s="18" t="s">
        <v>166</v>
      </c>
      <c r="BL474" s="14" t="s">
        <v>191</v>
      </c>
      <c r="BM474" s="14" t="s">
        <v>358</v>
      </c>
      <c r="BN474" s="14" t="s">
        <v>177</v>
      </c>
      <c r="BO474" s="22" t="s">
        <v>166</v>
      </c>
      <c r="BP474" s="14" t="s">
        <v>9253</v>
      </c>
      <c r="BQ474" s="21">
        <v>15</v>
      </c>
      <c r="BR474" s="14" t="s">
        <v>166</v>
      </c>
      <c r="BS474" s="21" t="s">
        <v>166</v>
      </c>
      <c r="BT474" s="14" t="s">
        <v>9254</v>
      </c>
      <c r="BU474" s="14" t="s">
        <v>166</v>
      </c>
      <c r="BV474" s="14" t="s">
        <v>9255</v>
      </c>
      <c r="BW474" s="14" t="s">
        <v>166</v>
      </c>
      <c r="BX474" s="14" t="s">
        <v>166</v>
      </c>
      <c r="BY474" s="14" t="s">
        <v>166</v>
      </c>
      <c r="BZ474" s="14" t="s">
        <v>9256</v>
      </c>
      <c r="CA474" s="14" t="s">
        <v>166</v>
      </c>
      <c r="CB474" s="14" t="s">
        <v>166</v>
      </c>
      <c r="CC474" s="14" t="s">
        <v>9256</v>
      </c>
      <c r="CD474" s="14" t="s">
        <v>166</v>
      </c>
      <c r="CE474" s="18" t="s">
        <v>166</v>
      </c>
      <c r="CF474" s="16" t="s">
        <v>166</v>
      </c>
      <c r="CG474" s="17" t="s">
        <v>166</v>
      </c>
      <c r="CH474" s="16" t="s">
        <v>166</v>
      </c>
      <c r="CI474" s="16" t="s">
        <v>166</v>
      </c>
      <c r="CJ474" s="16" t="s">
        <v>166</v>
      </c>
      <c r="CK474" s="16" t="s">
        <v>166</v>
      </c>
      <c r="CL474" s="16" t="s">
        <v>166</v>
      </c>
      <c r="CM474" s="20" t="s">
        <v>166</v>
      </c>
      <c r="CN474" s="16" t="s">
        <v>166</v>
      </c>
      <c r="CO474" s="16" t="s">
        <v>166</v>
      </c>
      <c r="CP474" s="16" t="s">
        <v>166</v>
      </c>
      <c r="CQ474" s="16" t="s">
        <v>166</v>
      </c>
      <c r="CR474" s="16" t="s">
        <v>166</v>
      </c>
      <c r="CS474" s="16" t="s">
        <v>166</v>
      </c>
      <c r="CT474" s="16" t="s">
        <v>166</v>
      </c>
      <c r="CU474" s="16" t="s">
        <v>166</v>
      </c>
      <c r="CV474" s="16" t="s">
        <v>166</v>
      </c>
      <c r="CW474" s="16" t="s">
        <v>166</v>
      </c>
      <c r="CX474" s="16" t="s">
        <v>166</v>
      </c>
      <c r="CY474" s="16" t="s">
        <v>166</v>
      </c>
      <c r="CZ474" s="16" t="s">
        <v>166</v>
      </c>
      <c r="DA474" s="16" t="s">
        <v>166</v>
      </c>
      <c r="DB474" s="16" t="s">
        <v>166</v>
      </c>
      <c r="DC474" s="16" t="s">
        <v>166</v>
      </c>
      <c r="DD474" s="16" t="s">
        <v>166</v>
      </c>
      <c r="DE474" s="17" t="s">
        <v>166</v>
      </c>
      <c r="DF474" s="22">
        <v>139</v>
      </c>
      <c r="DG474" s="14" t="s">
        <v>5531</v>
      </c>
      <c r="DH474" s="14" t="s">
        <v>193</v>
      </c>
      <c r="DI474" s="14" t="s">
        <v>194</v>
      </c>
      <c r="DJ474" s="14" t="s">
        <v>5532</v>
      </c>
      <c r="DK474" s="14" t="s">
        <v>257</v>
      </c>
      <c r="DL474" s="21" t="s">
        <v>5533</v>
      </c>
      <c r="DM474" s="14" t="s">
        <v>198</v>
      </c>
      <c r="DN474" s="13" t="s">
        <v>9257</v>
      </c>
      <c r="DO474" s="20">
        <v>2018</v>
      </c>
      <c r="DP474" s="14" t="s">
        <v>166</v>
      </c>
      <c r="DQ474" s="14" t="s">
        <v>166</v>
      </c>
      <c r="DR474" s="18" t="s">
        <v>166</v>
      </c>
      <c r="DS474" s="16" t="s">
        <v>166</v>
      </c>
      <c r="DT474" s="19" t="s">
        <v>166</v>
      </c>
      <c r="DU474" s="14" t="s">
        <v>166</v>
      </c>
      <c r="DV474" s="18" t="s">
        <v>166</v>
      </c>
      <c r="DW474" s="18" t="s">
        <v>166</v>
      </c>
      <c r="DX474" s="16" t="s">
        <v>166</v>
      </c>
      <c r="DY474" s="16" t="s">
        <v>166</v>
      </c>
      <c r="DZ474" s="17" t="s">
        <v>166</v>
      </c>
      <c r="EA474" s="16" t="s">
        <v>166</v>
      </c>
      <c r="EB474" s="16" t="s">
        <v>166</v>
      </c>
      <c r="EC474" s="16" t="s">
        <v>166</v>
      </c>
      <c r="ED474" s="17" t="s">
        <v>166</v>
      </c>
      <c r="EE474" s="17" t="s">
        <v>166</v>
      </c>
      <c r="EF474" s="17" t="s">
        <v>166</v>
      </c>
      <c r="EG474" s="17" t="s">
        <v>166</v>
      </c>
      <c r="EH474" s="16" t="s">
        <v>166</v>
      </c>
      <c r="EI474" s="16" t="s">
        <v>166</v>
      </c>
      <c r="EJ474" s="16" t="s">
        <v>166</v>
      </c>
      <c r="EK474" s="16" t="s">
        <v>166</v>
      </c>
      <c r="EL474" s="16" t="s">
        <v>166</v>
      </c>
      <c r="EM474" s="16" t="s">
        <v>166</v>
      </c>
      <c r="EN474" s="16" t="s">
        <v>166</v>
      </c>
      <c r="EO474" s="16" t="s">
        <v>166</v>
      </c>
      <c r="EP474" s="16" t="s">
        <v>166</v>
      </c>
      <c r="EQ474" s="16" t="s">
        <v>166</v>
      </c>
      <c r="ER474" s="16" t="s">
        <v>166</v>
      </c>
      <c r="ES474" s="16" t="s">
        <v>166</v>
      </c>
      <c r="ET474" s="14" t="s">
        <v>166</v>
      </c>
      <c r="EU474" s="16" t="s">
        <v>166</v>
      </c>
      <c r="EV474" s="16" t="s">
        <v>166</v>
      </c>
      <c r="EW474" s="16" t="s">
        <v>166</v>
      </c>
      <c r="EX474" s="14" t="s">
        <v>190</v>
      </c>
      <c r="EY474" s="14" t="s">
        <v>166</v>
      </c>
      <c r="EZ474" s="16" t="s">
        <v>166</v>
      </c>
      <c r="FA474" s="15" t="s">
        <v>166</v>
      </c>
      <c r="FB474" s="15" t="s">
        <v>166</v>
      </c>
      <c r="FC474" s="15" t="s">
        <v>166</v>
      </c>
      <c r="FD474" s="15" t="s">
        <v>166</v>
      </c>
      <c r="FE474" s="15" t="s">
        <v>166</v>
      </c>
      <c r="FF474" s="15" t="s">
        <v>166</v>
      </c>
      <c r="FG474" s="14" t="s">
        <v>166</v>
      </c>
      <c r="FH474" s="3">
        <f>HYPERLINK("https://my.pitchbook.com?c=158497-75T","View Company Online")</f>
      </c>
    </row>
    <row r="475">
      <c r="A475" s="25" t="s">
        <v>9258</v>
      </c>
      <c r="B475" s="25" t="s">
        <v>9259</v>
      </c>
      <c r="C475" s="25" t="s">
        <v>9260</v>
      </c>
      <c r="D475" s="25" t="s">
        <v>166</v>
      </c>
      <c r="E475" s="34" t="s">
        <v>9261</v>
      </c>
      <c r="F475" s="32">
        <v>17</v>
      </c>
      <c r="G475" s="25" t="s">
        <v>9262</v>
      </c>
      <c r="H475" s="25" t="s">
        <v>166</v>
      </c>
      <c r="I475" s="25" t="s">
        <v>9263</v>
      </c>
      <c r="J475" s="25" t="s">
        <v>9264</v>
      </c>
      <c r="K475" s="25" t="s">
        <v>207</v>
      </c>
      <c r="L475" s="25" t="s">
        <v>208</v>
      </c>
      <c r="M475" s="25" t="s">
        <v>639</v>
      </c>
      <c r="N475" s="25" t="s">
        <v>9265</v>
      </c>
      <c r="O475" s="25" t="s">
        <v>2931</v>
      </c>
      <c r="P475" s="25" t="s">
        <v>9266</v>
      </c>
      <c r="Q475" s="25" t="s">
        <v>2555</v>
      </c>
      <c r="R475" s="25" t="s">
        <v>177</v>
      </c>
      <c r="S475" s="25" t="s">
        <v>358</v>
      </c>
      <c r="T475" s="25" t="s">
        <v>179</v>
      </c>
      <c r="U475" s="25" t="s">
        <v>166</v>
      </c>
      <c r="V475" s="25" t="s">
        <v>166</v>
      </c>
      <c r="W475" s="32" t="s">
        <v>166</v>
      </c>
      <c r="X475" s="25" t="s">
        <v>166</v>
      </c>
      <c r="Y475" s="25" t="s">
        <v>166</v>
      </c>
      <c r="Z475" s="25" t="s">
        <v>166</v>
      </c>
      <c r="AA475" s="25" t="s">
        <v>166</v>
      </c>
      <c r="AB475" s="25" t="s">
        <v>166</v>
      </c>
      <c r="AC475" s="25" t="s">
        <v>166</v>
      </c>
      <c r="AD475" s="25" t="s">
        <v>166</v>
      </c>
      <c r="AE475" s="25" t="s">
        <v>166</v>
      </c>
      <c r="AF475" s="25" t="s">
        <v>166</v>
      </c>
      <c r="AG475" s="25" t="s">
        <v>166</v>
      </c>
      <c r="AH475" s="32">
        <v>1</v>
      </c>
      <c r="AI475" s="4">
        <f>HYPERLINK("https://my.pitchbook.com/?d=200339-56T","200339-56T")</f>
      </c>
      <c r="AJ475" s="30">
        <v>44804</v>
      </c>
      <c r="AK475" s="30">
        <v>44847</v>
      </c>
      <c r="AL475" s="29">
        <v>6.19</v>
      </c>
      <c r="AM475" s="25" t="s">
        <v>166</v>
      </c>
      <c r="AN475" s="29" t="s">
        <v>166</v>
      </c>
      <c r="AO475" s="29" t="s">
        <v>166</v>
      </c>
      <c r="AP475" s="25" t="s">
        <v>166</v>
      </c>
      <c r="AQ475" s="32" t="s">
        <v>166</v>
      </c>
      <c r="AR475" s="32" t="s">
        <v>166</v>
      </c>
      <c r="AS475" s="28" t="s">
        <v>166</v>
      </c>
      <c r="AT475" s="29">
        <v>6.19</v>
      </c>
      <c r="AU475" s="32" t="s">
        <v>186</v>
      </c>
      <c r="AV475" s="32" t="s">
        <v>166</v>
      </c>
      <c r="AW475" s="29" t="s">
        <v>166</v>
      </c>
      <c r="AX475" s="32" t="s">
        <v>166</v>
      </c>
      <c r="AY475" s="25" t="s">
        <v>217</v>
      </c>
      <c r="AZ475" s="25" t="s">
        <v>217</v>
      </c>
      <c r="BA475" s="25" t="s">
        <v>166</v>
      </c>
      <c r="BB475" s="32" t="s">
        <v>166</v>
      </c>
      <c r="BC475" s="25" t="s">
        <v>179</v>
      </c>
      <c r="BD475" s="25" t="s">
        <v>9264</v>
      </c>
      <c r="BE475" s="25" t="s">
        <v>189</v>
      </c>
      <c r="BF475" s="29">
        <v>6.19</v>
      </c>
      <c r="BG475" s="25" t="s">
        <v>190</v>
      </c>
      <c r="BH475" s="25" t="s">
        <v>166</v>
      </c>
      <c r="BI475" s="25" t="s">
        <v>166</v>
      </c>
      <c r="BJ475" s="29" t="s">
        <v>166</v>
      </c>
      <c r="BK475" s="29" t="s">
        <v>166</v>
      </c>
      <c r="BL475" s="25" t="s">
        <v>191</v>
      </c>
      <c r="BM475" s="25" t="s">
        <v>358</v>
      </c>
      <c r="BN475" s="25" t="s">
        <v>177</v>
      </c>
      <c r="BO475" s="33" t="s">
        <v>166</v>
      </c>
      <c r="BP475" s="25" t="s">
        <v>9267</v>
      </c>
      <c r="BQ475" s="32">
        <v>17</v>
      </c>
      <c r="BR475" s="25" t="s">
        <v>166</v>
      </c>
      <c r="BS475" s="32" t="s">
        <v>166</v>
      </c>
      <c r="BT475" s="25" t="s">
        <v>9268</v>
      </c>
      <c r="BU475" s="25" t="s">
        <v>166</v>
      </c>
      <c r="BV475" s="25" t="s">
        <v>166</v>
      </c>
      <c r="BW475" s="25" t="s">
        <v>166</v>
      </c>
      <c r="BX475" s="25" t="s">
        <v>166</v>
      </c>
      <c r="BY475" s="25" t="s">
        <v>166</v>
      </c>
      <c r="BZ475" s="25" t="s">
        <v>1327</v>
      </c>
      <c r="CA475" s="25" t="s">
        <v>1327</v>
      </c>
      <c r="CB475" s="25" t="s">
        <v>166</v>
      </c>
      <c r="CC475" s="25" t="s">
        <v>166</v>
      </c>
      <c r="CD475" s="25" t="s">
        <v>166</v>
      </c>
      <c r="CE475" s="29" t="s">
        <v>166</v>
      </c>
      <c r="CF475" s="27" t="s">
        <v>166</v>
      </c>
      <c r="CG475" s="28" t="s">
        <v>166</v>
      </c>
      <c r="CH475" s="27" t="s">
        <v>166</v>
      </c>
      <c r="CI475" s="27" t="s">
        <v>166</v>
      </c>
      <c r="CJ475" s="27" t="s">
        <v>166</v>
      </c>
      <c r="CK475" s="27" t="s">
        <v>166</v>
      </c>
      <c r="CL475" s="27" t="s">
        <v>166</v>
      </c>
      <c r="CM475" s="31" t="s">
        <v>166</v>
      </c>
      <c r="CN475" s="27" t="s">
        <v>166</v>
      </c>
      <c r="CO475" s="27" t="s">
        <v>166</v>
      </c>
      <c r="CP475" s="27" t="s">
        <v>166</v>
      </c>
      <c r="CQ475" s="27" t="s">
        <v>166</v>
      </c>
      <c r="CR475" s="27" t="s">
        <v>166</v>
      </c>
      <c r="CS475" s="27" t="s">
        <v>166</v>
      </c>
      <c r="CT475" s="27" t="s">
        <v>166</v>
      </c>
      <c r="CU475" s="27" t="s">
        <v>166</v>
      </c>
      <c r="CV475" s="27" t="s">
        <v>166</v>
      </c>
      <c r="CW475" s="27" t="s">
        <v>166</v>
      </c>
      <c r="CX475" s="27" t="s">
        <v>166</v>
      </c>
      <c r="CY475" s="27" t="s">
        <v>166</v>
      </c>
      <c r="CZ475" s="27" t="s">
        <v>166</v>
      </c>
      <c r="DA475" s="27" t="s">
        <v>166</v>
      </c>
      <c r="DB475" s="27" t="s">
        <v>166</v>
      </c>
      <c r="DC475" s="27" t="s">
        <v>166</v>
      </c>
      <c r="DD475" s="27" t="s">
        <v>166</v>
      </c>
      <c r="DE475" s="28" t="s">
        <v>166</v>
      </c>
      <c r="DF475" s="33">
        <v>3</v>
      </c>
      <c r="DG475" s="25" t="s">
        <v>309</v>
      </c>
      <c r="DH475" s="25" t="s">
        <v>193</v>
      </c>
      <c r="DI475" s="25" t="s">
        <v>194</v>
      </c>
      <c r="DJ475" s="25" t="s">
        <v>310</v>
      </c>
      <c r="DK475" s="25" t="s">
        <v>310</v>
      </c>
      <c r="DL475" s="32" t="s">
        <v>873</v>
      </c>
      <c r="DM475" s="25" t="s">
        <v>198</v>
      </c>
      <c r="DN475" s="24" t="s">
        <v>9269</v>
      </c>
      <c r="DO475" s="31">
        <v>2022</v>
      </c>
      <c r="DP475" s="25" t="s">
        <v>166</v>
      </c>
      <c r="DQ475" s="25" t="s">
        <v>166</v>
      </c>
      <c r="DR475" s="29" t="s">
        <v>166</v>
      </c>
      <c r="DS475" s="27" t="s">
        <v>166</v>
      </c>
      <c r="DT475" s="30" t="s">
        <v>166</v>
      </c>
      <c r="DU475" s="25" t="s">
        <v>166</v>
      </c>
      <c r="DV475" s="29" t="s">
        <v>166</v>
      </c>
      <c r="DW475" s="29" t="s">
        <v>166</v>
      </c>
      <c r="DX475" s="27" t="s">
        <v>166</v>
      </c>
      <c r="DY475" s="27" t="s">
        <v>166</v>
      </c>
      <c r="DZ475" s="28" t="s">
        <v>166</v>
      </c>
      <c r="EA475" s="27" t="s">
        <v>166</v>
      </c>
      <c r="EB475" s="27" t="s">
        <v>166</v>
      </c>
      <c r="EC475" s="27" t="s">
        <v>166</v>
      </c>
      <c r="ED475" s="28" t="s">
        <v>166</v>
      </c>
      <c r="EE475" s="28" t="s">
        <v>166</v>
      </c>
      <c r="EF475" s="28" t="s">
        <v>166</v>
      </c>
      <c r="EG475" s="28" t="s">
        <v>166</v>
      </c>
      <c r="EH475" s="27" t="s">
        <v>166</v>
      </c>
      <c r="EI475" s="27" t="s">
        <v>166</v>
      </c>
      <c r="EJ475" s="27" t="s">
        <v>166</v>
      </c>
      <c r="EK475" s="27" t="s">
        <v>166</v>
      </c>
      <c r="EL475" s="27" t="s">
        <v>166</v>
      </c>
      <c r="EM475" s="27" t="s">
        <v>166</v>
      </c>
      <c r="EN475" s="27" t="s">
        <v>166</v>
      </c>
      <c r="EO475" s="27" t="s">
        <v>166</v>
      </c>
      <c r="EP475" s="27" t="s">
        <v>166</v>
      </c>
      <c r="EQ475" s="27" t="s">
        <v>166</v>
      </c>
      <c r="ER475" s="27" t="s">
        <v>166</v>
      </c>
      <c r="ES475" s="27" t="s">
        <v>166</v>
      </c>
      <c r="ET475" s="25" t="s">
        <v>166</v>
      </c>
      <c r="EU475" s="27" t="s">
        <v>166</v>
      </c>
      <c r="EV475" s="27" t="s">
        <v>166</v>
      </c>
      <c r="EW475" s="27" t="s">
        <v>166</v>
      </c>
      <c r="EX475" s="25" t="s">
        <v>190</v>
      </c>
      <c r="EY475" s="25" t="s">
        <v>166</v>
      </c>
      <c r="EZ475" s="27" t="s">
        <v>166</v>
      </c>
      <c r="FA475" s="26" t="s">
        <v>166</v>
      </c>
      <c r="FB475" s="26" t="s">
        <v>166</v>
      </c>
      <c r="FC475" s="26" t="s">
        <v>166</v>
      </c>
      <c r="FD475" s="26" t="s">
        <v>166</v>
      </c>
      <c r="FE475" s="26" t="s">
        <v>166</v>
      </c>
      <c r="FF475" s="26" t="s">
        <v>166</v>
      </c>
      <c r="FG475" s="25" t="s">
        <v>166</v>
      </c>
      <c r="FH475" s="4">
        <f>HYPERLINK("https://my.pitchbook.com?c=200339-56T","View Company Online")</f>
      </c>
    </row>
    <row r="476">
      <c r="A476" s="14" t="s">
        <v>9270</v>
      </c>
      <c r="B476" s="14" t="s">
        <v>9271</v>
      </c>
      <c r="C476" s="14" t="s">
        <v>9272</v>
      </c>
      <c r="D476" s="14" t="s">
        <v>166</v>
      </c>
      <c r="E476" s="23" t="s">
        <v>9273</v>
      </c>
      <c r="F476" s="21">
        <v>14</v>
      </c>
      <c r="G476" s="14" t="s">
        <v>9274</v>
      </c>
      <c r="H476" s="14" t="s">
        <v>166</v>
      </c>
      <c r="I476" s="14" t="s">
        <v>9275</v>
      </c>
      <c r="J476" s="14" t="s">
        <v>9276</v>
      </c>
      <c r="K476" s="14" t="s">
        <v>207</v>
      </c>
      <c r="L476" s="14" t="s">
        <v>208</v>
      </c>
      <c r="M476" s="14" t="s">
        <v>209</v>
      </c>
      <c r="N476" s="14" t="s">
        <v>9277</v>
      </c>
      <c r="O476" s="14" t="s">
        <v>270</v>
      </c>
      <c r="P476" s="14" t="s">
        <v>9278</v>
      </c>
      <c r="Q476" s="14" t="s">
        <v>166</v>
      </c>
      <c r="R476" s="14" t="s">
        <v>177</v>
      </c>
      <c r="S476" s="14" t="s">
        <v>178</v>
      </c>
      <c r="T476" s="14" t="s">
        <v>179</v>
      </c>
      <c r="U476" s="14" t="s">
        <v>9279</v>
      </c>
      <c r="V476" s="14" t="s">
        <v>9280</v>
      </c>
      <c r="W476" s="21" t="s">
        <v>9281</v>
      </c>
      <c r="X476" s="14" t="s">
        <v>9282</v>
      </c>
      <c r="Y476" s="14" t="s">
        <v>9283</v>
      </c>
      <c r="Z476" s="14" t="s">
        <v>166</v>
      </c>
      <c r="AA476" s="14" t="s">
        <v>166</v>
      </c>
      <c r="AB476" s="14" t="s">
        <v>166</v>
      </c>
      <c r="AC476" s="14" t="s">
        <v>166</v>
      </c>
      <c r="AD476" s="14" t="s">
        <v>166</v>
      </c>
      <c r="AE476" s="14" t="s">
        <v>166</v>
      </c>
      <c r="AF476" s="14" t="s">
        <v>166</v>
      </c>
      <c r="AG476" s="14" t="s">
        <v>166</v>
      </c>
      <c r="AH476" s="21">
        <v>2</v>
      </c>
      <c r="AI476" s="3">
        <f>HYPERLINK("https://my.pitchbook.com/?d=129497-05T","129497-05T")</f>
      </c>
      <c r="AJ476" s="19" t="s">
        <v>166</v>
      </c>
      <c r="AK476" s="19">
        <v>43854</v>
      </c>
      <c r="AL476" s="18">
        <v>1</v>
      </c>
      <c r="AM476" s="14" t="s">
        <v>185</v>
      </c>
      <c r="AN476" s="18" t="s">
        <v>166</v>
      </c>
      <c r="AO476" s="18" t="s">
        <v>166</v>
      </c>
      <c r="AP476" s="14" t="s">
        <v>166</v>
      </c>
      <c r="AQ476" s="21" t="s">
        <v>166</v>
      </c>
      <c r="AR476" s="21" t="s">
        <v>166</v>
      </c>
      <c r="AS476" s="17" t="s">
        <v>166</v>
      </c>
      <c r="AT476" s="18">
        <v>1.13</v>
      </c>
      <c r="AU476" s="21" t="s">
        <v>186</v>
      </c>
      <c r="AV476" s="21" t="s">
        <v>166</v>
      </c>
      <c r="AW476" s="18" t="s">
        <v>166</v>
      </c>
      <c r="AX476" s="21" t="s">
        <v>166</v>
      </c>
      <c r="AY476" s="14" t="s">
        <v>217</v>
      </c>
      <c r="AZ476" s="14" t="s">
        <v>217</v>
      </c>
      <c r="BA476" s="14" t="s">
        <v>166</v>
      </c>
      <c r="BB476" s="21" t="s">
        <v>166</v>
      </c>
      <c r="BC476" s="14" t="s">
        <v>179</v>
      </c>
      <c r="BD476" s="14" t="s">
        <v>9284</v>
      </c>
      <c r="BE476" s="14" t="s">
        <v>189</v>
      </c>
      <c r="BF476" s="18">
        <v>1</v>
      </c>
      <c r="BG476" s="14" t="s">
        <v>190</v>
      </c>
      <c r="BH476" s="14" t="s">
        <v>166</v>
      </c>
      <c r="BI476" s="14" t="s">
        <v>166</v>
      </c>
      <c r="BJ476" s="18" t="s">
        <v>166</v>
      </c>
      <c r="BK476" s="18" t="s">
        <v>166</v>
      </c>
      <c r="BL476" s="14" t="s">
        <v>191</v>
      </c>
      <c r="BM476" s="14" t="s">
        <v>178</v>
      </c>
      <c r="BN476" s="14" t="s">
        <v>177</v>
      </c>
      <c r="BO476" s="22" t="s">
        <v>166</v>
      </c>
      <c r="BP476" s="14" t="s">
        <v>9285</v>
      </c>
      <c r="BQ476" s="21">
        <v>13</v>
      </c>
      <c r="BR476" s="14" t="s">
        <v>914</v>
      </c>
      <c r="BS476" s="21">
        <v>1</v>
      </c>
      <c r="BT476" s="14" t="s">
        <v>166</v>
      </c>
      <c r="BU476" s="14" t="s">
        <v>166</v>
      </c>
      <c r="BV476" s="14" t="s">
        <v>9286</v>
      </c>
      <c r="BW476" s="14" t="s">
        <v>166</v>
      </c>
      <c r="BX476" s="14" t="s">
        <v>166</v>
      </c>
      <c r="BY476" s="14" t="s">
        <v>166</v>
      </c>
      <c r="BZ476" s="14" t="s">
        <v>166</v>
      </c>
      <c r="CA476" s="14" t="s">
        <v>166</v>
      </c>
      <c r="CB476" s="14" t="s">
        <v>166</v>
      </c>
      <c r="CC476" s="14" t="s">
        <v>166</v>
      </c>
      <c r="CD476" s="14" t="s">
        <v>166</v>
      </c>
      <c r="CE476" s="18" t="s">
        <v>166</v>
      </c>
      <c r="CF476" s="16" t="s">
        <v>166</v>
      </c>
      <c r="CG476" s="17" t="s">
        <v>166</v>
      </c>
      <c r="CH476" s="16" t="s">
        <v>166</v>
      </c>
      <c r="CI476" s="16" t="s">
        <v>166</v>
      </c>
      <c r="CJ476" s="16" t="s">
        <v>166</v>
      </c>
      <c r="CK476" s="16" t="s">
        <v>166</v>
      </c>
      <c r="CL476" s="16" t="s">
        <v>166</v>
      </c>
      <c r="CM476" s="20" t="s">
        <v>166</v>
      </c>
      <c r="CN476" s="16" t="s">
        <v>166</v>
      </c>
      <c r="CO476" s="16" t="s">
        <v>166</v>
      </c>
      <c r="CP476" s="16" t="s">
        <v>166</v>
      </c>
      <c r="CQ476" s="16" t="s">
        <v>166</v>
      </c>
      <c r="CR476" s="16" t="s">
        <v>166</v>
      </c>
      <c r="CS476" s="16" t="s">
        <v>166</v>
      </c>
      <c r="CT476" s="16" t="s">
        <v>166</v>
      </c>
      <c r="CU476" s="16" t="s">
        <v>166</v>
      </c>
      <c r="CV476" s="16" t="s">
        <v>166</v>
      </c>
      <c r="CW476" s="16" t="s">
        <v>166</v>
      </c>
      <c r="CX476" s="16" t="s">
        <v>166</v>
      </c>
      <c r="CY476" s="16" t="s">
        <v>166</v>
      </c>
      <c r="CZ476" s="16" t="s">
        <v>166</v>
      </c>
      <c r="DA476" s="16" t="s">
        <v>166</v>
      </c>
      <c r="DB476" s="16" t="s">
        <v>166</v>
      </c>
      <c r="DC476" s="16" t="s">
        <v>166</v>
      </c>
      <c r="DD476" s="16" t="s">
        <v>166</v>
      </c>
      <c r="DE476" s="17" t="s">
        <v>166</v>
      </c>
      <c r="DF476" s="22">
        <v>10</v>
      </c>
      <c r="DG476" s="14" t="s">
        <v>673</v>
      </c>
      <c r="DH476" s="14" t="s">
        <v>193</v>
      </c>
      <c r="DI476" s="14" t="s">
        <v>194</v>
      </c>
      <c r="DJ476" s="14" t="s">
        <v>674</v>
      </c>
      <c r="DK476" s="14" t="s">
        <v>257</v>
      </c>
      <c r="DL476" s="21" t="s">
        <v>1350</v>
      </c>
      <c r="DM476" s="14" t="s">
        <v>198</v>
      </c>
      <c r="DN476" s="13" t="s">
        <v>9287</v>
      </c>
      <c r="DO476" s="20">
        <v>2019</v>
      </c>
      <c r="DP476" s="14" t="s">
        <v>166</v>
      </c>
      <c r="DQ476" s="14" t="s">
        <v>166</v>
      </c>
      <c r="DR476" s="18" t="s">
        <v>166</v>
      </c>
      <c r="DS476" s="16" t="s">
        <v>166</v>
      </c>
      <c r="DT476" s="19" t="s">
        <v>166</v>
      </c>
      <c r="DU476" s="14" t="s">
        <v>166</v>
      </c>
      <c r="DV476" s="18" t="s">
        <v>166</v>
      </c>
      <c r="DW476" s="18" t="s">
        <v>166</v>
      </c>
      <c r="DX476" s="16" t="s">
        <v>166</v>
      </c>
      <c r="DY476" s="16" t="s">
        <v>166</v>
      </c>
      <c r="DZ476" s="17" t="s">
        <v>166</v>
      </c>
      <c r="EA476" s="16" t="s">
        <v>166</v>
      </c>
      <c r="EB476" s="16" t="s">
        <v>166</v>
      </c>
      <c r="EC476" s="16" t="s">
        <v>166</v>
      </c>
      <c r="ED476" s="17" t="s">
        <v>166</v>
      </c>
      <c r="EE476" s="17" t="s">
        <v>166</v>
      </c>
      <c r="EF476" s="17" t="s">
        <v>166</v>
      </c>
      <c r="EG476" s="17" t="s">
        <v>166</v>
      </c>
      <c r="EH476" s="16" t="s">
        <v>166</v>
      </c>
      <c r="EI476" s="16" t="s">
        <v>166</v>
      </c>
      <c r="EJ476" s="16" t="s">
        <v>166</v>
      </c>
      <c r="EK476" s="16" t="s">
        <v>166</v>
      </c>
      <c r="EL476" s="16" t="s">
        <v>166</v>
      </c>
      <c r="EM476" s="16" t="s">
        <v>166</v>
      </c>
      <c r="EN476" s="16" t="s">
        <v>166</v>
      </c>
      <c r="EO476" s="16" t="s">
        <v>166</v>
      </c>
      <c r="EP476" s="16" t="s">
        <v>166</v>
      </c>
      <c r="EQ476" s="16" t="s">
        <v>166</v>
      </c>
      <c r="ER476" s="16" t="s">
        <v>166</v>
      </c>
      <c r="ES476" s="16" t="s">
        <v>166</v>
      </c>
      <c r="ET476" s="14" t="s">
        <v>166</v>
      </c>
      <c r="EU476" s="16" t="s">
        <v>166</v>
      </c>
      <c r="EV476" s="16" t="s">
        <v>166</v>
      </c>
      <c r="EW476" s="16" t="s">
        <v>166</v>
      </c>
      <c r="EX476" s="14" t="s">
        <v>190</v>
      </c>
      <c r="EY476" s="14" t="s">
        <v>166</v>
      </c>
      <c r="EZ476" s="16" t="s">
        <v>166</v>
      </c>
      <c r="FA476" s="15" t="s">
        <v>166</v>
      </c>
      <c r="FB476" s="15" t="s">
        <v>166</v>
      </c>
      <c r="FC476" s="15" t="s">
        <v>166</v>
      </c>
      <c r="FD476" s="15" t="s">
        <v>166</v>
      </c>
      <c r="FE476" s="15" t="s">
        <v>166</v>
      </c>
      <c r="FF476" s="15" t="s">
        <v>166</v>
      </c>
      <c r="FG476" s="14" t="s">
        <v>166</v>
      </c>
      <c r="FH476" s="3">
        <f>HYPERLINK("https://my.pitchbook.com?c=129497-05T","View Company Online")</f>
      </c>
    </row>
    <row r="477">
      <c r="A477" s="25" t="s">
        <v>9288</v>
      </c>
      <c r="B477" s="25" t="s">
        <v>9289</v>
      </c>
      <c r="C477" s="25" t="s">
        <v>9290</v>
      </c>
      <c r="D477" s="25" t="s">
        <v>166</v>
      </c>
      <c r="E477" s="34" t="s">
        <v>9291</v>
      </c>
      <c r="F477" s="32">
        <v>2</v>
      </c>
      <c r="G477" s="25" t="s">
        <v>9292</v>
      </c>
      <c r="H477" s="25" t="s">
        <v>166</v>
      </c>
      <c r="I477" s="25" t="s">
        <v>9293</v>
      </c>
      <c r="J477" s="25" t="s">
        <v>9294</v>
      </c>
      <c r="K477" s="25" t="s">
        <v>207</v>
      </c>
      <c r="L477" s="25" t="s">
        <v>208</v>
      </c>
      <c r="M477" s="25" t="s">
        <v>1940</v>
      </c>
      <c r="N477" s="25" t="s">
        <v>7297</v>
      </c>
      <c r="O477" s="25" t="s">
        <v>9295</v>
      </c>
      <c r="P477" s="25" t="s">
        <v>9296</v>
      </c>
      <c r="Q477" s="25" t="s">
        <v>166</v>
      </c>
      <c r="R477" s="25" t="s">
        <v>177</v>
      </c>
      <c r="S477" s="25" t="s">
        <v>178</v>
      </c>
      <c r="T477" s="25" t="s">
        <v>1401</v>
      </c>
      <c r="U477" s="25" t="s">
        <v>9297</v>
      </c>
      <c r="V477" s="25" t="s">
        <v>9298</v>
      </c>
      <c r="W477" s="32" t="s">
        <v>9299</v>
      </c>
      <c r="X477" s="25" t="s">
        <v>9300</v>
      </c>
      <c r="Y477" s="25" t="s">
        <v>9301</v>
      </c>
      <c r="Z477" s="25" t="s">
        <v>166</v>
      </c>
      <c r="AA477" s="25" t="s">
        <v>242</v>
      </c>
      <c r="AB477" s="25" t="s">
        <v>243</v>
      </c>
      <c r="AC477" s="25" t="s">
        <v>244</v>
      </c>
      <c r="AD477" s="25" t="s">
        <v>243</v>
      </c>
      <c r="AE477" s="25" t="s">
        <v>243</v>
      </c>
      <c r="AF477" s="25" t="s">
        <v>166</v>
      </c>
      <c r="AG477" s="25" t="s">
        <v>166</v>
      </c>
      <c r="AH477" s="32">
        <v>2</v>
      </c>
      <c r="AI477" s="4">
        <f>HYPERLINK("https://my.pitchbook.com/?d=160458-49T","160458-49T")</f>
      </c>
      <c r="AJ477" s="30" t="s">
        <v>166</v>
      </c>
      <c r="AK477" s="30">
        <v>44167</v>
      </c>
      <c r="AL477" s="29">
        <v>22</v>
      </c>
      <c r="AM477" s="25" t="s">
        <v>185</v>
      </c>
      <c r="AN477" s="29">
        <v>40</v>
      </c>
      <c r="AO477" s="29">
        <v>62</v>
      </c>
      <c r="AP477" s="25" t="s">
        <v>185</v>
      </c>
      <c r="AQ477" s="32" t="s">
        <v>166</v>
      </c>
      <c r="AR477" s="32" t="s">
        <v>166</v>
      </c>
      <c r="AS477" s="28">
        <v>36.13</v>
      </c>
      <c r="AT477" s="29">
        <v>22</v>
      </c>
      <c r="AU477" s="32" t="s">
        <v>186</v>
      </c>
      <c r="AV477" s="32" t="s">
        <v>166</v>
      </c>
      <c r="AW477" s="29">
        <v>3.8</v>
      </c>
      <c r="AX477" s="32" t="s">
        <v>248</v>
      </c>
      <c r="AY477" s="25" t="s">
        <v>187</v>
      </c>
      <c r="AZ477" s="25" t="s">
        <v>248</v>
      </c>
      <c r="BA477" s="25" t="s">
        <v>166</v>
      </c>
      <c r="BB477" s="32" t="s">
        <v>166</v>
      </c>
      <c r="BC477" s="25" t="s">
        <v>179</v>
      </c>
      <c r="BD477" s="25" t="s">
        <v>9302</v>
      </c>
      <c r="BE477" s="25" t="s">
        <v>189</v>
      </c>
      <c r="BF477" s="29">
        <v>22</v>
      </c>
      <c r="BG477" s="25" t="s">
        <v>190</v>
      </c>
      <c r="BH477" s="25" t="s">
        <v>166</v>
      </c>
      <c r="BI477" s="25" t="s">
        <v>166</v>
      </c>
      <c r="BJ477" s="29" t="s">
        <v>166</v>
      </c>
      <c r="BK477" s="29" t="s">
        <v>166</v>
      </c>
      <c r="BL477" s="25" t="s">
        <v>191</v>
      </c>
      <c r="BM477" s="25" t="s">
        <v>178</v>
      </c>
      <c r="BN477" s="25" t="s">
        <v>177</v>
      </c>
      <c r="BO477" s="33" t="s">
        <v>166</v>
      </c>
      <c r="BP477" s="25" t="s">
        <v>9303</v>
      </c>
      <c r="BQ477" s="32">
        <v>2</v>
      </c>
      <c r="BR477" s="25" t="s">
        <v>166</v>
      </c>
      <c r="BS477" s="32" t="s">
        <v>166</v>
      </c>
      <c r="BT477" s="25" t="s">
        <v>9304</v>
      </c>
      <c r="BU477" s="25" t="s">
        <v>166</v>
      </c>
      <c r="BV477" s="25" t="s">
        <v>166</v>
      </c>
      <c r="BW477" s="25" t="s">
        <v>166</v>
      </c>
      <c r="BX477" s="25" t="s">
        <v>166</v>
      </c>
      <c r="BY477" s="25" t="s">
        <v>166</v>
      </c>
      <c r="BZ477" s="25" t="s">
        <v>872</v>
      </c>
      <c r="CA477" s="25" t="s">
        <v>872</v>
      </c>
      <c r="CB477" s="25" t="s">
        <v>166</v>
      </c>
      <c r="CC477" s="25" t="s">
        <v>166</v>
      </c>
      <c r="CD477" s="25" t="s">
        <v>166</v>
      </c>
      <c r="CE477" s="29" t="s">
        <v>166</v>
      </c>
      <c r="CF477" s="27" t="s">
        <v>166</v>
      </c>
      <c r="CG477" s="28" t="s">
        <v>166</v>
      </c>
      <c r="CH477" s="27" t="s">
        <v>166</v>
      </c>
      <c r="CI477" s="27" t="s">
        <v>166</v>
      </c>
      <c r="CJ477" s="27" t="s">
        <v>166</v>
      </c>
      <c r="CK477" s="27" t="s">
        <v>166</v>
      </c>
      <c r="CL477" s="27" t="s">
        <v>166</v>
      </c>
      <c r="CM477" s="31" t="s">
        <v>166</v>
      </c>
      <c r="CN477" s="27" t="s">
        <v>166</v>
      </c>
      <c r="CO477" s="27" t="s">
        <v>166</v>
      </c>
      <c r="CP477" s="27" t="s">
        <v>166</v>
      </c>
      <c r="CQ477" s="27" t="s">
        <v>166</v>
      </c>
      <c r="CR477" s="27" t="s">
        <v>166</v>
      </c>
      <c r="CS477" s="27" t="s">
        <v>166</v>
      </c>
      <c r="CT477" s="27" t="s">
        <v>166</v>
      </c>
      <c r="CU477" s="27" t="s">
        <v>166</v>
      </c>
      <c r="CV477" s="27" t="s">
        <v>166</v>
      </c>
      <c r="CW477" s="27" t="s">
        <v>166</v>
      </c>
      <c r="CX477" s="27" t="s">
        <v>166</v>
      </c>
      <c r="CY477" s="27" t="s">
        <v>166</v>
      </c>
      <c r="CZ477" s="27" t="s">
        <v>166</v>
      </c>
      <c r="DA477" s="27" t="s">
        <v>166</v>
      </c>
      <c r="DB477" s="27" t="s">
        <v>166</v>
      </c>
      <c r="DC477" s="27" t="s">
        <v>166</v>
      </c>
      <c r="DD477" s="27" t="s">
        <v>166</v>
      </c>
      <c r="DE477" s="28" t="s">
        <v>166</v>
      </c>
      <c r="DF477" s="33">
        <v>23</v>
      </c>
      <c r="DG477" s="25" t="s">
        <v>4289</v>
      </c>
      <c r="DH477" s="25" t="s">
        <v>193</v>
      </c>
      <c r="DI477" s="25" t="s">
        <v>194</v>
      </c>
      <c r="DJ477" s="25" t="s">
        <v>4290</v>
      </c>
      <c r="DK477" s="25" t="s">
        <v>257</v>
      </c>
      <c r="DL477" s="32" t="s">
        <v>7639</v>
      </c>
      <c r="DM477" s="25" t="s">
        <v>198</v>
      </c>
      <c r="DN477" s="24" t="s">
        <v>9305</v>
      </c>
      <c r="DO477" s="31">
        <v>2017</v>
      </c>
      <c r="DP477" s="25" t="s">
        <v>166</v>
      </c>
      <c r="DQ477" s="25" t="s">
        <v>166</v>
      </c>
      <c r="DR477" s="29" t="s">
        <v>166</v>
      </c>
      <c r="DS477" s="27" t="s">
        <v>166</v>
      </c>
      <c r="DT477" s="30" t="s">
        <v>166</v>
      </c>
      <c r="DU477" s="25" t="s">
        <v>166</v>
      </c>
      <c r="DV477" s="29" t="s">
        <v>166</v>
      </c>
      <c r="DW477" s="29" t="s">
        <v>166</v>
      </c>
      <c r="DX477" s="27" t="s">
        <v>166</v>
      </c>
      <c r="DY477" s="27" t="s">
        <v>166</v>
      </c>
      <c r="DZ477" s="28" t="s">
        <v>166</v>
      </c>
      <c r="EA477" s="27" t="s">
        <v>166</v>
      </c>
      <c r="EB477" s="27" t="s">
        <v>166</v>
      </c>
      <c r="EC477" s="27" t="s">
        <v>166</v>
      </c>
      <c r="ED477" s="28" t="s">
        <v>166</v>
      </c>
      <c r="EE477" s="28" t="s">
        <v>166</v>
      </c>
      <c r="EF477" s="28" t="s">
        <v>166</v>
      </c>
      <c r="EG477" s="28" t="s">
        <v>166</v>
      </c>
      <c r="EH477" s="27" t="s">
        <v>166</v>
      </c>
      <c r="EI477" s="27" t="s">
        <v>166</v>
      </c>
      <c r="EJ477" s="27" t="s">
        <v>166</v>
      </c>
      <c r="EK477" s="27" t="s">
        <v>166</v>
      </c>
      <c r="EL477" s="27" t="s">
        <v>166</v>
      </c>
      <c r="EM477" s="27" t="s">
        <v>166</v>
      </c>
      <c r="EN477" s="27" t="s">
        <v>166</v>
      </c>
      <c r="EO477" s="27" t="s">
        <v>166</v>
      </c>
      <c r="EP477" s="27" t="s">
        <v>166</v>
      </c>
      <c r="EQ477" s="27" t="s">
        <v>166</v>
      </c>
      <c r="ER477" s="27" t="s">
        <v>166</v>
      </c>
      <c r="ES477" s="27" t="s">
        <v>166</v>
      </c>
      <c r="ET477" s="25" t="s">
        <v>166</v>
      </c>
      <c r="EU477" s="27" t="s">
        <v>166</v>
      </c>
      <c r="EV477" s="27" t="s">
        <v>166</v>
      </c>
      <c r="EW477" s="27" t="s">
        <v>166</v>
      </c>
      <c r="EX477" s="25" t="s">
        <v>190</v>
      </c>
      <c r="EY477" s="25" t="s">
        <v>166</v>
      </c>
      <c r="EZ477" s="27" t="s">
        <v>166</v>
      </c>
      <c r="FA477" s="26">
        <v>17</v>
      </c>
      <c r="FB477" s="26">
        <v>10</v>
      </c>
      <c r="FC477" s="26">
        <v>13</v>
      </c>
      <c r="FD477" s="26" t="s">
        <v>166</v>
      </c>
      <c r="FE477" s="26" t="s">
        <v>166</v>
      </c>
      <c r="FF477" s="26">
        <v>4</v>
      </c>
      <c r="FG477" s="25" t="s">
        <v>9306</v>
      </c>
      <c r="FH477" s="4">
        <f>HYPERLINK("https://my.pitchbook.com?c=160458-49T","View Company Online")</f>
      </c>
    </row>
    <row r="478">
      <c r="A478" s="14" t="s">
        <v>9307</v>
      </c>
      <c r="B478" s="14" t="s">
        <v>9308</v>
      </c>
      <c r="C478" s="14" t="s">
        <v>9309</v>
      </c>
      <c r="D478" s="14" t="s">
        <v>166</v>
      </c>
      <c r="E478" s="23" t="s">
        <v>9310</v>
      </c>
      <c r="F478" s="21">
        <v>1</v>
      </c>
      <c r="G478" s="14" t="s">
        <v>9311</v>
      </c>
      <c r="H478" s="14" t="s">
        <v>166</v>
      </c>
      <c r="I478" s="14" t="s">
        <v>9312</v>
      </c>
      <c r="J478" s="14" t="s">
        <v>9313</v>
      </c>
      <c r="K478" s="14" t="s">
        <v>207</v>
      </c>
      <c r="L478" s="14" t="s">
        <v>208</v>
      </c>
      <c r="M478" s="14" t="s">
        <v>1940</v>
      </c>
      <c r="N478" s="14" t="s">
        <v>9314</v>
      </c>
      <c r="O478" s="14" t="s">
        <v>211</v>
      </c>
      <c r="P478" s="14" t="s">
        <v>9315</v>
      </c>
      <c r="Q478" s="14" t="s">
        <v>166</v>
      </c>
      <c r="R478" s="14" t="s">
        <v>177</v>
      </c>
      <c r="S478" s="14" t="s">
        <v>178</v>
      </c>
      <c r="T478" s="14" t="s">
        <v>179</v>
      </c>
      <c r="U478" s="14" t="s">
        <v>9316</v>
      </c>
      <c r="V478" s="14" t="s">
        <v>9317</v>
      </c>
      <c r="W478" s="21" t="s">
        <v>9318</v>
      </c>
      <c r="X478" s="14" t="s">
        <v>9319</v>
      </c>
      <c r="Y478" s="14" t="s">
        <v>9320</v>
      </c>
      <c r="Z478" s="14" t="s">
        <v>9321</v>
      </c>
      <c r="AA478" s="14" t="s">
        <v>166</v>
      </c>
      <c r="AB478" s="14" t="s">
        <v>166</v>
      </c>
      <c r="AC478" s="14" t="s">
        <v>166</v>
      </c>
      <c r="AD478" s="14" t="s">
        <v>166</v>
      </c>
      <c r="AE478" s="14" t="s">
        <v>166</v>
      </c>
      <c r="AF478" s="14" t="s">
        <v>166</v>
      </c>
      <c r="AG478" s="14" t="s">
        <v>166</v>
      </c>
      <c r="AH478" s="21">
        <v>5</v>
      </c>
      <c r="AI478" s="3">
        <f>HYPERLINK("https://my.pitchbook.com/?d=200996-47T","200996-47T")</f>
      </c>
      <c r="AJ478" s="19" t="s">
        <v>166</v>
      </c>
      <c r="AK478" s="19">
        <v>44287</v>
      </c>
      <c r="AL478" s="18">
        <v>0.1</v>
      </c>
      <c r="AM478" s="14" t="s">
        <v>185</v>
      </c>
      <c r="AN478" s="18" t="s">
        <v>166</v>
      </c>
      <c r="AO478" s="18" t="s">
        <v>166</v>
      </c>
      <c r="AP478" s="14" t="s">
        <v>166</v>
      </c>
      <c r="AQ478" s="21" t="s">
        <v>166</v>
      </c>
      <c r="AR478" s="21" t="s">
        <v>166</v>
      </c>
      <c r="AS478" s="17" t="s">
        <v>166</v>
      </c>
      <c r="AT478" s="18">
        <v>0.2</v>
      </c>
      <c r="AU478" s="21" t="s">
        <v>186</v>
      </c>
      <c r="AV478" s="21" t="s">
        <v>166</v>
      </c>
      <c r="AW478" s="18" t="s">
        <v>166</v>
      </c>
      <c r="AX478" s="21" t="s">
        <v>166</v>
      </c>
      <c r="AY478" s="14" t="s">
        <v>217</v>
      </c>
      <c r="AZ478" s="14" t="s">
        <v>217</v>
      </c>
      <c r="BA478" s="14" t="s">
        <v>166</v>
      </c>
      <c r="BB478" s="21" t="s">
        <v>166</v>
      </c>
      <c r="BC478" s="14" t="s">
        <v>179</v>
      </c>
      <c r="BD478" s="14" t="s">
        <v>9322</v>
      </c>
      <c r="BE478" s="14" t="s">
        <v>189</v>
      </c>
      <c r="BF478" s="18">
        <v>0.1</v>
      </c>
      <c r="BG478" s="14" t="s">
        <v>190</v>
      </c>
      <c r="BH478" s="14" t="s">
        <v>166</v>
      </c>
      <c r="BI478" s="14" t="s">
        <v>166</v>
      </c>
      <c r="BJ478" s="18" t="s">
        <v>166</v>
      </c>
      <c r="BK478" s="18" t="s">
        <v>166</v>
      </c>
      <c r="BL478" s="14" t="s">
        <v>191</v>
      </c>
      <c r="BM478" s="14" t="s">
        <v>178</v>
      </c>
      <c r="BN478" s="14" t="s">
        <v>177</v>
      </c>
      <c r="BO478" s="22" t="s">
        <v>166</v>
      </c>
      <c r="BP478" s="14" t="s">
        <v>9310</v>
      </c>
      <c r="BQ478" s="21">
        <v>1</v>
      </c>
      <c r="BR478" s="14" t="s">
        <v>166</v>
      </c>
      <c r="BS478" s="21" t="s">
        <v>166</v>
      </c>
      <c r="BT478" s="14" t="s">
        <v>166</v>
      </c>
      <c r="BU478" s="14" t="s">
        <v>166</v>
      </c>
      <c r="BV478" s="14" t="s">
        <v>166</v>
      </c>
      <c r="BW478" s="14" t="s">
        <v>166</v>
      </c>
      <c r="BX478" s="14" t="s">
        <v>166</v>
      </c>
      <c r="BY478" s="14" t="s">
        <v>166</v>
      </c>
      <c r="BZ478" s="14" t="s">
        <v>166</v>
      </c>
      <c r="CA478" s="14" t="s">
        <v>166</v>
      </c>
      <c r="CB478" s="14" t="s">
        <v>166</v>
      </c>
      <c r="CC478" s="14" t="s">
        <v>166</v>
      </c>
      <c r="CD478" s="14" t="s">
        <v>166</v>
      </c>
      <c r="CE478" s="18" t="s">
        <v>166</v>
      </c>
      <c r="CF478" s="16">
        <v>0.13</v>
      </c>
      <c r="CG478" s="17" t="s">
        <v>166</v>
      </c>
      <c r="CH478" s="16" t="s">
        <v>166</v>
      </c>
      <c r="CI478" s="16">
        <v>-0.02</v>
      </c>
      <c r="CJ478" s="16" t="s">
        <v>166</v>
      </c>
      <c r="CK478" s="16" t="s">
        <v>166</v>
      </c>
      <c r="CL478" s="16" t="s">
        <v>166</v>
      </c>
      <c r="CM478" s="20">
        <v>2020</v>
      </c>
      <c r="CN478" s="16" t="s">
        <v>166</v>
      </c>
      <c r="CO478" s="16" t="s">
        <v>166</v>
      </c>
      <c r="CP478" s="16" t="s">
        <v>166</v>
      </c>
      <c r="CQ478" s="16" t="s">
        <v>166</v>
      </c>
      <c r="CR478" s="16" t="s">
        <v>166</v>
      </c>
      <c r="CS478" s="16" t="s">
        <v>166</v>
      </c>
      <c r="CT478" s="16" t="s">
        <v>166</v>
      </c>
      <c r="CU478" s="16">
        <v>-4.14</v>
      </c>
      <c r="CV478" s="16">
        <v>0.79</v>
      </c>
      <c r="CW478" s="16" t="s">
        <v>166</v>
      </c>
      <c r="CX478" s="16" t="s">
        <v>166</v>
      </c>
      <c r="CY478" s="16" t="s">
        <v>166</v>
      </c>
      <c r="CZ478" s="16" t="s">
        <v>166</v>
      </c>
      <c r="DA478" s="16" t="s">
        <v>166</v>
      </c>
      <c r="DB478" s="16" t="s">
        <v>166</v>
      </c>
      <c r="DC478" s="16" t="s">
        <v>166</v>
      </c>
      <c r="DD478" s="16" t="s">
        <v>166</v>
      </c>
      <c r="DE478" s="17" t="s">
        <v>166</v>
      </c>
      <c r="DF478" s="22">
        <v>17</v>
      </c>
      <c r="DG478" s="14" t="s">
        <v>1974</v>
      </c>
      <c r="DH478" s="14" t="s">
        <v>193</v>
      </c>
      <c r="DI478" s="14" t="s">
        <v>194</v>
      </c>
      <c r="DJ478" s="14" t="s">
        <v>408</v>
      </c>
      <c r="DK478" s="14" t="s">
        <v>1975</v>
      </c>
      <c r="DL478" s="21" t="s">
        <v>9323</v>
      </c>
      <c r="DM478" s="14" t="s">
        <v>198</v>
      </c>
      <c r="DN478" s="13" t="s">
        <v>9324</v>
      </c>
      <c r="DO478" s="20">
        <v>2015</v>
      </c>
      <c r="DP478" s="14" t="s">
        <v>166</v>
      </c>
      <c r="DQ478" s="14" t="s">
        <v>166</v>
      </c>
      <c r="DR478" s="18" t="s">
        <v>166</v>
      </c>
      <c r="DS478" s="16" t="s">
        <v>166</v>
      </c>
      <c r="DT478" s="19" t="s">
        <v>166</v>
      </c>
      <c r="DU478" s="14" t="s">
        <v>166</v>
      </c>
      <c r="DV478" s="18" t="s">
        <v>166</v>
      </c>
      <c r="DW478" s="18" t="s">
        <v>166</v>
      </c>
      <c r="DX478" s="16" t="s">
        <v>166</v>
      </c>
      <c r="DY478" s="16" t="s">
        <v>166</v>
      </c>
      <c r="DZ478" s="17" t="s">
        <v>166</v>
      </c>
      <c r="EA478" s="16" t="s">
        <v>166</v>
      </c>
      <c r="EB478" s="16" t="s">
        <v>166</v>
      </c>
      <c r="EC478" s="16" t="s">
        <v>166</v>
      </c>
      <c r="ED478" s="17" t="s">
        <v>166</v>
      </c>
      <c r="EE478" s="17" t="s">
        <v>166</v>
      </c>
      <c r="EF478" s="17" t="s">
        <v>166</v>
      </c>
      <c r="EG478" s="17" t="s">
        <v>166</v>
      </c>
      <c r="EH478" s="16" t="s">
        <v>166</v>
      </c>
      <c r="EI478" s="16" t="s">
        <v>166</v>
      </c>
      <c r="EJ478" s="16" t="s">
        <v>166</v>
      </c>
      <c r="EK478" s="16" t="s">
        <v>166</v>
      </c>
      <c r="EL478" s="16" t="s">
        <v>166</v>
      </c>
      <c r="EM478" s="16" t="s">
        <v>166</v>
      </c>
      <c r="EN478" s="16" t="s">
        <v>166</v>
      </c>
      <c r="EO478" s="16" t="s">
        <v>166</v>
      </c>
      <c r="EP478" s="16" t="s">
        <v>166</v>
      </c>
      <c r="EQ478" s="16" t="s">
        <v>166</v>
      </c>
      <c r="ER478" s="16" t="s">
        <v>166</v>
      </c>
      <c r="ES478" s="16" t="s">
        <v>166</v>
      </c>
      <c r="ET478" s="14" t="s">
        <v>166</v>
      </c>
      <c r="EU478" s="16" t="s">
        <v>166</v>
      </c>
      <c r="EV478" s="16" t="s">
        <v>166</v>
      </c>
      <c r="EW478" s="16" t="s">
        <v>166</v>
      </c>
      <c r="EX478" s="14" t="s">
        <v>190</v>
      </c>
      <c r="EY478" s="14" t="s">
        <v>166</v>
      </c>
      <c r="EZ478" s="16" t="s">
        <v>166</v>
      </c>
      <c r="FA478" s="15" t="s">
        <v>166</v>
      </c>
      <c r="FB478" s="15" t="s">
        <v>166</v>
      </c>
      <c r="FC478" s="15" t="s">
        <v>166</v>
      </c>
      <c r="FD478" s="15" t="s">
        <v>166</v>
      </c>
      <c r="FE478" s="15" t="s">
        <v>166</v>
      </c>
      <c r="FF478" s="15" t="s">
        <v>166</v>
      </c>
      <c r="FG478" s="14" t="s">
        <v>166</v>
      </c>
      <c r="FH478" s="3">
        <f>HYPERLINK("https://my.pitchbook.com?c=200996-47T","View Company Online")</f>
      </c>
    </row>
    <row r="479">
      <c r="A479" s="25" t="s">
        <v>9325</v>
      </c>
      <c r="B479" s="25" t="s">
        <v>9326</v>
      </c>
      <c r="C479" s="25" t="s">
        <v>9327</v>
      </c>
      <c r="D479" s="25" t="s">
        <v>166</v>
      </c>
      <c r="E479" s="34" t="s">
        <v>9328</v>
      </c>
      <c r="F479" s="32">
        <v>2</v>
      </c>
      <c r="G479" s="25" t="s">
        <v>9329</v>
      </c>
      <c r="H479" s="25" t="s">
        <v>166</v>
      </c>
      <c r="I479" s="25" t="s">
        <v>9330</v>
      </c>
      <c r="J479" s="25" t="s">
        <v>9331</v>
      </c>
      <c r="K479" s="25" t="s">
        <v>207</v>
      </c>
      <c r="L479" s="25" t="s">
        <v>208</v>
      </c>
      <c r="M479" s="25" t="s">
        <v>1766</v>
      </c>
      <c r="N479" s="25" t="s">
        <v>2393</v>
      </c>
      <c r="O479" s="25" t="s">
        <v>1768</v>
      </c>
      <c r="P479" s="25" t="s">
        <v>9332</v>
      </c>
      <c r="Q479" s="25" t="s">
        <v>166</v>
      </c>
      <c r="R479" s="25" t="s">
        <v>177</v>
      </c>
      <c r="S479" s="25" t="s">
        <v>178</v>
      </c>
      <c r="T479" s="25" t="s">
        <v>179</v>
      </c>
      <c r="U479" s="25" t="s">
        <v>9333</v>
      </c>
      <c r="V479" s="25" t="s">
        <v>9334</v>
      </c>
      <c r="W479" s="32" t="s">
        <v>9335</v>
      </c>
      <c r="X479" s="25" t="s">
        <v>9336</v>
      </c>
      <c r="Y479" s="25" t="s">
        <v>9337</v>
      </c>
      <c r="Z479" s="25" t="s">
        <v>9338</v>
      </c>
      <c r="AA479" s="25" t="s">
        <v>166</v>
      </c>
      <c r="AB479" s="25" t="s">
        <v>166</v>
      </c>
      <c r="AC479" s="25" t="s">
        <v>166</v>
      </c>
      <c r="AD479" s="25" t="s">
        <v>166</v>
      </c>
      <c r="AE479" s="25" t="s">
        <v>166</v>
      </c>
      <c r="AF479" s="25" t="s">
        <v>166</v>
      </c>
      <c r="AG479" s="25" t="s">
        <v>166</v>
      </c>
      <c r="AH479" s="32">
        <v>1</v>
      </c>
      <c r="AI479" s="4">
        <f>HYPERLINK("https://my.pitchbook.com/?d=172076-23T","172076-23T")</f>
      </c>
      <c r="AJ479" s="30" t="s">
        <v>166</v>
      </c>
      <c r="AK479" s="30">
        <v>44286</v>
      </c>
      <c r="AL479" s="29">
        <v>2.3</v>
      </c>
      <c r="AM479" s="25" t="s">
        <v>185</v>
      </c>
      <c r="AN479" s="29" t="s">
        <v>166</v>
      </c>
      <c r="AO479" s="29" t="s">
        <v>166</v>
      </c>
      <c r="AP479" s="25" t="s">
        <v>166</v>
      </c>
      <c r="AQ479" s="32" t="s">
        <v>166</v>
      </c>
      <c r="AR479" s="32" t="s">
        <v>166</v>
      </c>
      <c r="AS479" s="28" t="s">
        <v>166</v>
      </c>
      <c r="AT479" s="29">
        <v>2.3</v>
      </c>
      <c r="AU479" s="32" t="s">
        <v>186</v>
      </c>
      <c r="AV479" s="32" t="s">
        <v>166</v>
      </c>
      <c r="AW479" s="29" t="s">
        <v>166</v>
      </c>
      <c r="AX479" s="32" t="s">
        <v>166</v>
      </c>
      <c r="AY479" s="25" t="s">
        <v>217</v>
      </c>
      <c r="AZ479" s="25" t="s">
        <v>217</v>
      </c>
      <c r="BA479" s="25" t="s">
        <v>166</v>
      </c>
      <c r="BB479" s="32" t="s">
        <v>166</v>
      </c>
      <c r="BC479" s="25" t="s">
        <v>179</v>
      </c>
      <c r="BD479" s="25" t="s">
        <v>9339</v>
      </c>
      <c r="BE479" s="25" t="s">
        <v>189</v>
      </c>
      <c r="BF479" s="29">
        <v>2.3</v>
      </c>
      <c r="BG479" s="25" t="s">
        <v>190</v>
      </c>
      <c r="BH479" s="25" t="s">
        <v>166</v>
      </c>
      <c r="BI479" s="25" t="s">
        <v>166</v>
      </c>
      <c r="BJ479" s="29" t="s">
        <v>166</v>
      </c>
      <c r="BK479" s="29" t="s">
        <v>166</v>
      </c>
      <c r="BL479" s="25" t="s">
        <v>191</v>
      </c>
      <c r="BM479" s="25" t="s">
        <v>178</v>
      </c>
      <c r="BN479" s="25" t="s">
        <v>177</v>
      </c>
      <c r="BO479" s="33" t="s">
        <v>166</v>
      </c>
      <c r="BP479" s="25" t="s">
        <v>9340</v>
      </c>
      <c r="BQ479" s="32">
        <v>2</v>
      </c>
      <c r="BR479" s="25" t="s">
        <v>166</v>
      </c>
      <c r="BS479" s="32" t="s">
        <v>166</v>
      </c>
      <c r="BT479" s="25" t="s">
        <v>166</v>
      </c>
      <c r="BU479" s="25" t="s">
        <v>166</v>
      </c>
      <c r="BV479" s="25" t="s">
        <v>166</v>
      </c>
      <c r="BW479" s="25" t="s">
        <v>166</v>
      </c>
      <c r="BX479" s="25" t="s">
        <v>166</v>
      </c>
      <c r="BY479" s="25" t="s">
        <v>166</v>
      </c>
      <c r="BZ479" s="25" t="s">
        <v>166</v>
      </c>
      <c r="CA479" s="25" t="s">
        <v>166</v>
      </c>
      <c r="CB479" s="25" t="s">
        <v>166</v>
      </c>
      <c r="CC479" s="25" t="s">
        <v>166</v>
      </c>
      <c r="CD479" s="25" t="s">
        <v>166</v>
      </c>
      <c r="CE479" s="29" t="s">
        <v>166</v>
      </c>
      <c r="CF479" s="27" t="s">
        <v>166</v>
      </c>
      <c r="CG479" s="28" t="s">
        <v>166</v>
      </c>
      <c r="CH479" s="27" t="s">
        <v>166</v>
      </c>
      <c r="CI479" s="27" t="s">
        <v>166</v>
      </c>
      <c r="CJ479" s="27" t="s">
        <v>166</v>
      </c>
      <c r="CK479" s="27" t="s">
        <v>166</v>
      </c>
      <c r="CL479" s="27" t="s">
        <v>166</v>
      </c>
      <c r="CM479" s="31" t="s">
        <v>166</v>
      </c>
      <c r="CN479" s="27" t="s">
        <v>166</v>
      </c>
      <c r="CO479" s="27" t="s">
        <v>166</v>
      </c>
      <c r="CP479" s="27" t="s">
        <v>166</v>
      </c>
      <c r="CQ479" s="27" t="s">
        <v>166</v>
      </c>
      <c r="CR479" s="27" t="s">
        <v>166</v>
      </c>
      <c r="CS479" s="27" t="s">
        <v>166</v>
      </c>
      <c r="CT479" s="27" t="s">
        <v>166</v>
      </c>
      <c r="CU479" s="27" t="s">
        <v>166</v>
      </c>
      <c r="CV479" s="27" t="s">
        <v>166</v>
      </c>
      <c r="CW479" s="27" t="s">
        <v>166</v>
      </c>
      <c r="CX479" s="27" t="s">
        <v>166</v>
      </c>
      <c r="CY479" s="27" t="s">
        <v>166</v>
      </c>
      <c r="CZ479" s="27" t="s">
        <v>166</v>
      </c>
      <c r="DA479" s="27" t="s">
        <v>166</v>
      </c>
      <c r="DB479" s="27" t="s">
        <v>166</v>
      </c>
      <c r="DC479" s="27" t="s">
        <v>166</v>
      </c>
      <c r="DD479" s="27" t="s">
        <v>166</v>
      </c>
      <c r="DE479" s="28" t="s">
        <v>166</v>
      </c>
      <c r="DF479" s="33">
        <v>44</v>
      </c>
      <c r="DG479" s="25" t="s">
        <v>3174</v>
      </c>
      <c r="DH479" s="25" t="s">
        <v>193</v>
      </c>
      <c r="DI479" s="25" t="s">
        <v>194</v>
      </c>
      <c r="DJ479" s="25" t="s">
        <v>3175</v>
      </c>
      <c r="DK479" s="25" t="s">
        <v>1063</v>
      </c>
      <c r="DL479" s="32" t="s">
        <v>6391</v>
      </c>
      <c r="DM479" s="25" t="s">
        <v>198</v>
      </c>
      <c r="DN479" s="24" t="s">
        <v>9341</v>
      </c>
      <c r="DO479" s="31">
        <v>2021</v>
      </c>
      <c r="DP479" s="25" t="s">
        <v>166</v>
      </c>
      <c r="DQ479" s="25" t="s">
        <v>166</v>
      </c>
      <c r="DR479" s="29" t="s">
        <v>166</v>
      </c>
      <c r="DS479" s="27" t="s">
        <v>166</v>
      </c>
      <c r="DT479" s="30" t="s">
        <v>166</v>
      </c>
      <c r="DU479" s="25" t="s">
        <v>166</v>
      </c>
      <c r="DV479" s="29" t="s">
        <v>166</v>
      </c>
      <c r="DW479" s="29" t="s">
        <v>166</v>
      </c>
      <c r="DX479" s="27" t="s">
        <v>166</v>
      </c>
      <c r="DY479" s="27" t="s">
        <v>166</v>
      </c>
      <c r="DZ479" s="28" t="s">
        <v>166</v>
      </c>
      <c r="EA479" s="27" t="s">
        <v>166</v>
      </c>
      <c r="EB479" s="27" t="s">
        <v>166</v>
      </c>
      <c r="EC479" s="27" t="s">
        <v>166</v>
      </c>
      <c r="ED479" s="28" t="s">
        <v>166</v>
      </c>
      <c r="EE479" s="28" t="s">
        <v>166</v>
      </c>
      <c r="EF479" s="28" t="s">
        <v>166</v>
      </c>
      <c r="EG479" s="28" t="s">
        <v>166</v>
      </c>
      <c r="EH479" s="27" t="s">
        <v>166</v>
      </c>
      <c r="EI479" s="27" t="s">
        <v>166</v>
      </c>
      <c r="EJ479" s="27" t="s">
        <v>166</v>
      </c>
      <c r="EK479" s="27" t="s">
        <v>166</v>
      </c>
      <c r="EL479" s="27" t="s">
        <v>166</v>
      </c>
      <c r="EM479" s="27" t="s">
        <v>166</v>
      </c>
      <c r="EN479" s="27" t="s">
        <v>166</v>
      </c>
      <c r="EO479" s="27" t="s">
        <v>166</v>
      </c>
      <c r="EP479" s="27" t="s">
        <v>166</v>
      </c>
      <c r="EQ479" s="27" t="s">
        <v>166</v>
      </c>
      <c r="ER479" s="27" t="s">
        <v>166</v>
      </c>
      <c r="ES479" s="27" t="s">
        <v>166</v>
      </c>
      <c r="ET479" s="25" t="s">
        <v>166</v>
      </c>
      <c r="EU479" s="27" t="s">
        <v>166</v>
      </c>
      <c r="EV479" s="27" t="s">
        <v>166</v>
      </c>
      <c r="EW479" s="27" t="s">
        <v>166</v>
      </c>
      <c r="EX479" s="25" t="s">
        <v>190</v>
      </c>
      <c r="EY479" s="25" t="s">
        <v>166</v>
      </c>
      <c r="EZ479" s="27" t="s">
        <v>166</v>
      </c>
      <c r="FA479" s="26" t="s">
        <v>166</v>
      </c>
      <c r="FB479" s="26" t="s">
        <v>166</v>
      </c>
      <c r="FC479" s="26" t="s">
        <v>166</v>
      </c>
      <c r="FD479" s="26" t="s">
        <v>166</v>
      </c>
      <c r="FE479" s="26" t="s">
        <v>166</v>
      </c>
      <c r="FF479" s="26" t="s">
        <v>166</v>
      </c>
      <c r="FG479" s="25" t="s">
        <v>166</v>
      </c>
      <c r="FH479" s="4">
        <f>HYPERLINK("https://my.pitchbook.com?c=172076-23T","View Company Online")</f>
      </c>
    </row>
    <row r="480">
      <c r="A480" s="14" t="s">
        <v>9342</v>
      </c>
      <c r="B480" s="14" t="s">
        <v>9343</v>
      </c>
      <c r="C480" s="14" t="s">
        <v>9344</v>
      </c>
      <c r="D480" s="14" t="s">
        <v>166</v>
      </c>
      <c r="E480" s="23" t="s">
        <v>9345</v>
      </c>
      <c r="F480" s="21">
        <v>2</v>
      </c>
      <c r="G480" s="14" t="s">
        <v>9346</v>
      </c>
      <c r="H480" s="14" t="s">
        <v>166</v>
      </c>
      <c r="I480" s="14" t="s">
        <v>9347</v>
      </c>
      <c r="J480" s="14" t="s">
        <v>9348</v>
      </c>
      <c r="K480" s="14" t="s">
        <v>207</v>
      </c>
      <c r="L480" s="14" t="s">
        <v>418</v>
      </c>
      <c r="M480" s="14" t="s">
        <v>419</v>
      </c>
      <c r="N480" s="14" t="s">
        <v>9349</v>
      </c>
      <c r="O480" s="14" t="s">
        <v>9350</v>
      </c>
      <c r="P480" s="14" t="s">
        <v>9351</v>
      </c>
      <c r="Q480" s="14" t="s">
        <v>9352</v>
      </c>
      <c r="R480" s="14" t="s">
        <v>177</v>
      </c>
      <c r="S480" s="14" t="s">
        <v>178</v>
      </c>
      <c r="T480" s="14" t="s">
        <v>179</v>
      </c>
      <c r="U480" s="14" t="s">
        <v>9353</v>
      </c>
      <c r="V480" s="14" t="s">
        <v>9354</v>
      </c>
      <c r="W480" s="21" t="s">
        <v>9355</v>
      </c>
      <c r="X480" s="14" t="s">
        <v>9356</v>
      </c>
      <c r="Y480" s="14" t="s">
        <v>9357</v>
      </c>
      <c r="Z480" s="14" t="s">
        <v>9358</v>
      </c>
      <c r="AA480" s="14" t="s">
        <v>242</v>
      </c>
      <c r="AB480" s="14" t="s">
        <v>243</v>
      </c>
      <c r="AC480" s="14" t="s">
        <v>244</v>
      </c>
      <c r="AD480" s="14" t="s">
        <v>243</v>
      </c>
      <c r="AE480" s="14" t="s">
        <v>243</v>
      </c>
      <c r="AF480" s="14" t="s">
        <v>166</v>
      </c>
      <c r="AG480" s="14" t="s">
        <v>807</v>
      </c>
      <c r="AH480" s="21">
        <v>6</v>
      </c>
      <c r="AI480" s="3">
        <f>HYPERLINK("https://my.pitchbook.com/?d=158570-29T","158570-29T")</f>
      </c>
      <c r="AJ480" s="19">
        <v>44133</v>
      </c>
      <c r="AK480" s="19">
        <v>44153</v>
      </c>
      <c r="AL480" s="18">
        <v>0.48</v>
      </c>
      <c r="AM480" s="14" t="s">
        <v>185</v>
      </c>
      <c r="AN480" s="18">
        <v>5.5</v>
      </c>
      <c r="AO480" s="18">
        <v>5.98</v>
      </c>
      <c r="AP480" s="14" t="s">
        <v>185</v>
      </c>
      <c r="AQ480" s="21" t="s">
        <v>166</v>
      </c>
      <c r="AR480" s="21" t="s">
        <v>166</v>
      </c>
      <c r="AS480" s="17">
        <v>10.71</v>
      </c>
      <c r="AT480" s="18">
        <v>0.6</v>
      </c>
      <c r="AU480" s="21" t="s">
        <v>186</v>
      </c>
      <c r="AV480" s="21" t="s">
        <v>166</v>
      </c>
      <c r="AW480" s="18">
        <v>0.58</v>
      </c>
      <c r="AX480" s="21" t="s">
        <v>166</v>
      </c>
      <c r="AY480" s="14" t="s">
        <v>217</v>
      </c>
      <c r="AZ480" s="14" t="s">
        <v>217</v>
      </c>
      <c r="BA480" s="14" t="s">
        <v>166</v>
      </c>
      <c r="BB480" s="21" t="s">
        <v>166</v>
      </c>
      <c r="BC480" s="14" t="s">
        <v>179</v>
      </c>
      <c r="BD480" s="14" t="s">
        <v>9359</v>
      </c>
      <c r="BE480" s="14" t="s">
        <v>189</v>
      </c>
      <c r="BF480" s="18">
        <v>0.48</v>
      </c>
      <c r="BG480" s="14" t="s">
        <v>190</v>
      </c>
      <c r="BH480" s="14" t="s">
        <v>166</v>
      </c>
      <c r="BI480" s="14" t="s">
        <v>166</v>
      </c>
      <c r="BJ480" s="18" t="s">
        <v>166</v>
      </c>
      <c r="BK480" s="18" t="s">
        <v>166</v>
      </c>
      <c r="BL480" s="14" t="s">
        <v>191</v>
      </c>
      <c r="BM480" s="14" t="s">
        <v>358</v>
      </c>
      <c r="BN480" s="14" t="s">
        <v>177</v>
      </c>
      <c r="BO480" s="22" t="s">
        <v>166</v>
      </c>
      <c r="BP480" s="14" t="s">
        <v>9360</v>
      </c>
      <c r="BQ480" s="21">
        <v>2</v>
      </c>
      <c r="BR480" s="14" t="s">
        <v>166</v>
      </c>
      <c r="BS480" s="21" t="s">
        <v>166</v>
      </c>
      <c r="BT480" s="14" t="s">
        <v>166</v>
      </c>
      <c r="BU480" s="14" t="s">
        <v>166</v>
      </c>
      <c r="BV480" s="14" t="s">
        <v>166</v>
      </c>
      <c r="BW480" s="14" t="s">
        <v>166</v>
      </c>
      <c r="BX480" s="14" t="s">
        <v>166</v>
      </c>
      <c r="BY480" s="14" t="s">
        <v>166</v>
      </c>
      <c r="BZ480" s="14" t="s">
        <v>166</v>
      </c>
      <c r="CA480" s="14" t="s">
        <v>166</v>
      </c>
      <c r="CB480" s="14" t="s">
        <v>166</v>
      </c>
      <c r="CC480" s="14" t="s">
        <v>166</v>
      </c>
      <c r="CD480" s="14" t="s">
        <v>166</v>
      </c>
      <c r="CE480" s="18" t="s">
        <v>166</v>
      </c>
      <c r="CF480" s="16" t="s">
        <v>166</v>
      </c>
      <c r="CG480" s="17" t="s">
        <v>166</v>
      </c>
      <c r="CH480" s="16" t="s">
        <v>166</v>
      </c>
      <c r="CI480" s="16" t="s">
        <v>166</v>
      </c>
      <c r="CJ480" s="16" t="s">
        <v>166</v>
      </c>
      <c r="CK480" s="16" t="s">
        <v>166</v>
      </c>
      <c r="CL480" s="16" t="s">
        <v>166</v>
      </c>
      <c r="CM480" s="20" t="s">
        <v>166</v>
      </c>
      <c r="CN480" s="16" t="s">
        <v>166</v>
      </c>
      <c r="CO480" s="16" t="s">
        <v>166</v>
      </c>
      <c r="CP480" s="16" t="s">
        <v>166</v>
      </c>
      <c r="CQ480" s="16" t="s">
        <v>166</v>
      </c>
      <c r="CR480" s="16" t="s">
        <v>166</v>
      </c>
      <c r="CS480" s="16" t="s">
        <v>166</v>
      </c>
      <c r="CT480" s="16" t="s">
        <v>166</v>
      </c>
      <c r="CU480" s="16" t="s">
        <v>166</v>
      </c>
      <c r="CV480" s="16" t="s">
        <v>166</v>
      </c>
      <c r="CW480" s="16" t="s">
        <v>166</v>
      </c>
      <c r="CX480" s="16" t="s">
        <v>166</v>
      </c>
      <c r="CY480" s="16" t="s">
        <v>166</v>
      </c>
      <c r="CZ480" s="16" t="s">
        <v>166</v>
      </c>
      <c r="DA480" s="16" t="s">
        <v>166</v>
      </c>
      <c r="DB480" s="16" t="s">
        <v>166</v>
      </c>
      <c r="DC480" s="16" t="s">
        <v>166</v>
      </c>
      <c r="DD480" s="16" t="s">
        <v>166</v>
      </c>
      <c r="DE480" s="17" t="s">
        <v>166</v>
      </c>
      <c r="DF480" s="22">
        <v>7</v>
      </c>
      <c r="DG480" s="14" t="s">
        <v>4592</v>
      </c>
      <c r="DH480" s="14" t="s">
        <v>193</v>
      </c>
      <c r="DI480" s="14" t="s">
        <v>194</v>
      </c>
      <c r="DJ480" s="14" t="s">
        <v>4593</v>
      </c>
      <c r="DK480" s="14" t="s">
        <v>1023</v>
      </c>
      <c r="DL480" s="21" t="s">
        <v>7247</v>
      </c>
      <c r="DM480" s="14" t="s">
        <v>198</v>
      </c>
      <c r="DN480" s="13" t="s">
        <v>9361</v>
      </c>
      <c r="DO480" s="20">
        <v>2017</v>
      </c>
      <c r="DP480" s="14" t="s">
        <v>166</v>
      </c>
      <c r="DQ480" s="14" t="s">
        <v>166</v>
      </c>
      <c r="DR480" s="18" t="s">
        <v>166</v>
      </c>
      <c r="DS480" s="16" t="s">
        <v>166</v>
      </c>
      <c r="DT480" s="19" t="s">
        <v>166</v>
      </c>
      <c r="DU480" s="14" t="s">
        <v>166</v>
      </c>
      <c r="DV480" s="18" t="s">
        <v>166</v>
      </c>
      <c r="DW480" s="18" t="s">
        <v>166</v>
      </c>
      <c r="DX480" s="16" t="s">
        <v>166</v>
      </c>
      <c r="DY480" s="16" t="s">
        <v>166</v>
      </c>
      <c r="DZ480" s="17" t="s">
        <v>166</v>
      </c>
      <c r="EA480" s="16" t="s">
        <v>166</v>
      </c>
      <c r="EB480" s="16" t="s">
        <v>166</v>
      </c>
      <c r="EC480" s="16" t="s">
        <v>166</v>
      </c>
      <c r="ED480" s="17" t="s">
        <v>166</v>
      </c>
      <c r="EE480" s="17" t="s">
        <v>166</v>
      </c>
      <c r="EF480" s="17" t="s">
        <v>166</v>
      </c>
      <c r="EG480" s="17" t="s">
        <v>166</v>
      </c>
      <c r="EH480" s="16" t="s">
        <v>166</v>
      </c>
      <c r="EI480" s="16" t="s">
        <v>166</v>
      </c>
      <c r="EJ480" s="16" t="s">
        <v>166</v>
      </c>
      <c r="EK480" s="16" t="s">
        <v>166</v>
      </c>
      <c r="EL480" s="16" t="s">
        <v>166</v>
      </c>
      <c r="EM480" s="16" t="s">
        <v>166</v>
      </c>
      <c r="EN480" s="16" t="s">
        <v>166</v>
      </c>
      <c r="EO480" s="16" t="s">
        <v>166</v>
      </c>
      <c r="EP480" s="16" t="s">
        <v>166</v>
      </c>
      <c r="EQ480" s="16" t="s">
        <v>166</v>
      </c>
      <c r="ER480" s="16" t="s">
        <v>166</v>
      </c>
      <c r="ES480" s="16" t="s">
        <v>166</v>
      </c>
      <c r="ET480" s="14" t="s">
        <v>166</v>
      </c>
      <c r="EU480" s="16" t="s">
        <v>166</v>
      </c>
      <c r="EV480" s="16" t="s">
        <v>166</v>
      </c>
      <c r="EW480" s="16" t="s">
        <v>166</v>
      </c>
      <c r="EX480" s="14" t="s">
        <v>190</v>
      </c>
      <c r="EY480" s="14" t="s">
        <v>166</v>
      </c>
      <c r="EZ480" s="16" t="s">
        <v>166</v>
      </c>
      <c r="FA480" s="15">
        <v>4</v>
      </c>
      <c r="FB480" s="15">
        <v>2</v>
      </c>
      <c r="FC480" s="15">
        <v>4</v>
      </c>
      <c r="FD480" s="15" t="s">
        <v>166</v>
      </c>
      <c r="FE480" s="15" t="s">
        <v>166</v>
      </c>
      <c r="FF480" s="15" t="s">
        <v>166</v>
      </c>
      <c r="FG480" s="14" t="s">
        <v>9362</v>
      </c>
      <c r="FH480" s="3">
        <f>HYPERLINK("https://my.pitchbook.com?c=158570-29T","View Company Online")</f>
      </c>
    </row>
    <row r="481">
      <c r="A481" s="25" t="s">
        <v>9363</v>
      </c>
      <c r="B481" s="25" t="s">
        <v>9364</v>
      </c>
      <c r="C481" s="25" t="s">
        <v>9365</v>
      </c>
      <c r="D481" s="25" t="s">
        <v>166</v>
      </c>
      <c r="E481" s="34" t="s">
        <v>9366</v>
      </c>
      <c r="F481" s="32">
        <v>23</v>
      </c>
      <c r="G481" s="25" t="s">
        <v>9367</v>
      </c>
      <c r="H481" s="25" t="s">
        <v>166</v>
      </c>
      <c r="I481" s="25" t="s">
        <v>9368</v>
      </c>
      <c r="J481" s="25" t="s">
        <v>9369</v>
      </c>
      <c r="K481" s="25" t="s">
        <v>207</v>
      </c>
      <c r="L481" s="25" t="s">
        <v>208</v>
      </c>
      <c r="M481" s="25" t="s">
        <v>209</v>
      </c>
      <c r="N481" s="25" t="s">
        <v>5087</v>
      </c>
      <c r="O481" s="25" t="s">
        <v>211</v>
      </c>
      <c r="P481" s="25" t="s">
        <v>9370</v>
      </c>
      <c r="Q481" s="25" t="s">
        <v>166</v>
      </c>
      <c r="R481" s="25" t="s">
        <v>177</v>
      </c>
      <c r="S481" s="25" t="s">
        <v>178</v>
      </c>
      <c r="T481" s="25" t="s">
        <v>179</v>
      </c>
      <c r="U481" s="25" t="s">
        <v>9371</v>
      </c>
      <c r="V481" s="25" t="s">
        <v>9372</v>
      </c>
      <c r="W481" s="32" t="s">
        <v>166</v>
      </c>
      <c r="X481" s="25" t="s">
        <v>9373</v>
      </c>
      <c r="Y481" s="25" t="s">
        <v>9374</v>
      </c>
      <c r="Z481" s="25" t="s">
        <v>166</v>
      </c>
      <c r="AA481" s="25" t="s">
        <v>242</v>
      </c>
      <c r="AB481" s="25" t="s">
        <v>243</v>
      </c>
      <c r="AC481" s="25" t="s">
        <v>244</v>
      </c>
      <c r="AD481" s="25" t="s">
        <v>243</v>
      </c>
      <c r="AE481" s="25" t="s">
        <v>243</v>
      </c>
      <c r="AF481" s="25" t="s">
        <v>166</v>
      </c>
      <c r="AG481" s="25" t="s">
        <v>246</v>
      </c>
      <c r="AH481" s="32">
        <v>2</v>
      </c>
      <c r="AI481" s="4">
        <f>HYPERLINK("https://my.pitchbook.com/?d=248859-64T","248859-64T")</f>
      </c>
      <c r="AJ481" s="30">
        <v>45282</v>
      </c>
      <c r="AK481" s="30">
        <v>45365</v>
      </c>
      <c r="AL481" s="29">
        <v>22</v>
      </c>
      <c r="AM481" s="25" t="s">
        <v>185</v>
      </c>
      <c r="AN481" s="29">
        <v>54.91</v>
      </c>
      <c r="AO481" s="29">
        <v>75</v>
      </c>
      <c r="AP481" s="25" t="s">
        <v>185</v>
      </c>
      <c r="AQ481" s="32" t="s">
        <v>166</v>
      </c>
      <c r="AR481" s="32" t="s">
        <v>166</v>
      </c>
      <c r="AS481" s="28">
        <v>43.42</v>
      </c>
      <c r="AT481" s="29">
        <v>22.13</v>
      </c>
      <c r="AU481" s="32" t="s">
        <v>186</v>
      </c>
      <c r="AV481" s="32" t="s">
        <v>166</v>
      </c>
      <c r="AW481" s="29">
        <v>5.3</v>
      </c>
      <c r="AX481" s="32" t="s">
        <v>248</v>
      </c>
      <c r="AY481" s="25" t="s">
        <v>187</v>
      </c>
      <c r="AZ481" s="25" t="s">
        <v>248</v>
      </c>
      <c r="BA481" s="25" t="s">
        <v>166</v>
      </c>
      <c r="BB481" s="32" t="s">
        <v>166</v>
      </c>
      <c r="BC481" s="25" t="s">
        <v>179</v>
      </c>
      <c r="BD481" s="25" t="s">
        <v>9375</v>
      </c>
      <c r="BE481" s="25" t="s">
        <v>189</v>
      </c>
      <c r="BF481" s="29">
        <v>20.09</v>
      </c>
      <c r="BG481" s="25" t="s">
        <v>190</v>
      </c>
      <c r="BH481" s="25" t="s">
        <v>166</v>
      </c>
      <c r="BI481" s="25" t="s">
        <v>166</v>
      </c>
      <c r="BJ481" s="29">
        <v>1.91</v>
      </c>
      <c r="BK481" s="29" t="s">
        <v>166</v>
      </c>
      <c r="BL481" s="25" t="s">
        <v>191</v>
      </c>
      <c r="BM481" s="25" t="s">
        <v>178</v>
      </c>
      <c r="BN481" s="25" t="s">
        <v>177</v>
      </c>
      <c r="BO481" s="33" t="s">
        <v>166</v>
      </c>
      <c r="BP481" s="25" t="s">
        <v>9376</v>
      </c>
      <c r="BQ481" s="32">
        <v>22</v>
      </c>
      <c r="BR481" s="25" t="s">
        <v>914</v>
      </c>
      <c r="BS481" s="32">
        <v>1</v>
      </c>
      <c r="BT481" s="25" t="s">
        <v>9377</v>
      </c>
      <c r="BU481" s="25" t="s">
        <v>166</v>
      </c>
      <c r="BV481" s="25" t="s">
        <v>9378</v>
      </c>
      <c r="BW481" s="25" t="s">
        <v>166</v>
      </c>
      <c r="BX481" s="25" t="s">
        <v>166</v>
      </c>
      <c r="BY481" s="25" t="s">
        <v>166</v>
      </c>
      <c r="BZ481" s="25" t="s">
        <v>9379</v>
      </c>
      <c r="CA481" s="25" t="s">
        <v>996</v>
      </c>
      <c r="CB481" s="25" t="s">
        <v>166</v>
      </c>
      <c r="CC481" s="25" t="s">
        <v>9380</v>
      </c>
      <c r="CD481" s="25" t="s">
        <v>166</v>
      </c>
      <c r="CE481" s="29" t="s">
        <v>166</v>
      </c>
      <c r="CF481" s="27" t="s">
        <v>166</v>
      </c>
      <c r="CG481" s="28" t="s">
        <v>166</v>
      </c>
      <c r="CH481" s="27" t="s">
        <v>166</v>
      </c>
      <c r="CI481" s="27" t="s">
        <v>166</v>
      </c>
      <c r="CJ481" s="27" t="s">
        <v>166</v>
      </c>
      <c r="CK481" s="27" t="s">
        <v>166</v>
      </c>
      <c r="CL481" s="27" t="s">
        <v>166</v>
      </c>
      <c r="CM481" s="31" t="s">
        <v>166</v>
      </c>
      <c r="CN481" s="27" t="s">
        <v>166</v>
      </c>
      <c r="CO481" s="27" t="s">
        <v>166</v>
      </c>
      <c r="CP481" s="27" t="s">
        <v>166</v>
      </c>
      <c r="CQ481" s="27" t="s">
        <v>166</v>
      </c>
      <c r="CR481" s="27" t="s">
        <v>166</v>
      </c>
      <c r="CS481" s="27" t="s">
        <v>166</v>
      </c>
      <c r="CT481" s="27" t="s">
        <v>166</v>
      </c>
      <c r="CU481" s="27" t="s">
        <v>166</v>
      </c>
      <c r="CV481" s="27" t="s">
        <v>166</v>
      </c>
      <c r="CW481" s="27" t="s">
        <v>166</v>
      </c>
      <c r="CX481" s="27" t="s">
        <v>166</v>
      </c>
      <c r="CY481" s="27">
        <v>0.09</v>
      </c>
      <c r="CZ481" s="27" t="s">
        <v>166</v>
      </c>
      <c r="DA481" s="27" t="s">
        <v>166</v>
      </c>
      <c r="DB481" s="27" t="s">
        <v>166</v>
      </c>
      <c r="DC481" s="27" t="s">
        <v>166</v>
      </c>
      <c r="DD481" s="27" t="s">
        <v>166</v>
      </c>
      <c r="DE481" s="28" t="s">
        <v>166</v>
      </c>
      <c r="DF481" s="33">
        <v>40</v>
      </c>
      <c r="DG481" s="25" t="s">
        <v>3174</v>
      </c>
      <c r="DH481" s="25" t="s">
        <v>193</v>
      </c>
      <c r="DI481" s="25" t="s">
        <v>194</v>
      </c>
      <c r="DJ481" s="25" t="s">
        <v>3175</v>
      </c>
      <c r="DK481" s="25" t="s">
        <v>1063</v>
      </c>
      <c r="DL481" s="32" t="s">
        <v>6391</v>
      </c>
      <c r="DM481" s="25" t="s">
        <v>198</v>
      </c>
      <c r="DN481" s="24" t="s">
        <v>9381</v>
      </c>
      <c r="DO481" s="31">
        <v>2021</v>
      </c>
      <c r="DP481" s="25" t="s">
        <v>166</v>
      </c>
      <c r="DQ481" s="25" t="s">
        <v>9382</v>
      </c>
      <c r="DR481" s="29">
        <v>1.91</v>
      </c>
      <c r="DS481" s="27" t="s">
        <v>166</v>
      </c>
      <c r="DT481" s="30" t="s">
        <v>166</v>
      </c>
      <c r="DU481" s="25" t="s">
        <v>166</v>
      </c>
      <c r="DV481" s="29" t="s">
        <v>166</v>
      </c>
      <c r="DW481" s="29" t="s">
        <v>166</v>
      </c>
      <c r="DX481" s="27" t="s">
        <v>166</v>
      </c>
      <c r="DY481" s="27" t="s">
        <v>166</v>
      </c>
      <c r="DZ481" s="28" t="s">
        <v>166</v>
      </c>
      <c r="EA481" s="27" t="s">
        <v>166</v>
      </c>
      <c r="EB481" s="27" t="s">
        <v>166</v>
      </c>
      <c r="EC481" s="27" t="s">
        <v>166</v>
      </c>
      <c r="ED481" s="28" t="s">
        <v>166</v>
      </c>
      <c r="EE481" s="28" t="s">
        <v>166</v>
      </c>
      <c r="EF481" s="28" t="s">
        <v>166</v>
      </c>
      <c r="EG481" s="28" t="s">
        <v>166</v>
      </c>
      <c r="EH481" s="27" t="s">
        <v>166</v>
      </c>
      <c r="EI481" s="27" t="s">
        <v>166</v>
      </c>
      <c r="EJ481" s="27" t="s">
        <v>166</v>
      </c>
      <c r="EK481" s="27" t="s">
        <v>166</v>
      </c>
      <c r="EL481" s="27" t="s">
        <v>166</v>
      </c>
      <c r="EM481" s="27" t="s">
        <v>166</v>
      </c>
      <c r="EN481" s="27" t="s">
        <v>166</v>
      </c>
      <c r="EO481" s="27" t="s">
        <v>166</v>
      </c>
      <c r="EP481" s="27" t="s">
        <v>166</v>
      </c>
      <c r="EQ481" s="27" t="s">
        <v>166</v>
      </c>
      <c r="ER481" s="27" t="s">
        <v>166</v>
      </c>
      <c r="ES481" s="27" t="s">
        <v>166</v>
      </c>
      <c r="ET481" s="25" t="s">
        <v>166</v>
      </c>
      <c r="EU481" s="27" t="s">
        <v>166</v>
      </c>
      <c r="EV481" s="27" t="s">
        <v>166</v>
      </c>
      <c r="EW481" s="27" t="s">
        <v>166</v>
      </c>
      <c r="EX481" s="25" t="s">
        <v>190</v>
      </c>
      <c r="EY481" s="25" t="s">
        <v>190</v>
      </c>
      <c r="EZ481" s="27" t="s">
        <v>166</v>
      </c>
      <c r="FA481" s="26" t="s">
        <v>166</v>
      </c>
      <c r="FB481" s="26" t="s">
        <v>166</v>
      </c>
      <c r="FC481" s="26" t="s">
        <v>166</v>
      </c>
      <c r="FD481" s="26" t="s">
        <v>166</v>
      </c>
      <c r="FE481" s="26" t="s">
        <v>166</v>
      </c>
      <c r="FF481" s="26" t="s">
        <v>166</v>
      </c>
      <c r="FG481" s="25" t="s">
        <v>166</v>
      </c>
      <c r="FH481" s="4">
        <f>HYPERLINK("https://my.pitchbook.com?c=248859-64T","View Company Online")</f>
      </c>
    </row>
    <row r="482">
      <c r="A482" s="14" t="s">
        <v>9383</v>
      </c>
      <c r="B482" s="14" t="s">
        <v>9384</v>
      </c>
      <c r="C482" s="14" t="s">
        <v>9385</v>
      </c>
      <c r="D482" s="14" t="s">
        <v>166</v>
      </c>
      <c r="E482" s="23" t="s">
        <v>9386</v>
      </c>
      <c r="F482" s="21">
        <v>2</v>
      </c>
      <c r="G482" s="14" t="s">
        <v>9387</v>
      </c>
      <c r="H482" s="14" t="s">
        <v>166</v>
      </c>
      <c r="I482" s="14" t="s">
        <v>9388</v>
      </c>
      <c r="J482" s="14" t="s">
        <v>9389</v>
      </c>
      <c r="K482" s="14" t="s">
        <v>207</v>
      </c>
      <c r="L482" s="14" t="s">
        <v>208</v>
      </c>
      <c r="M482" s="14" t="s">
        <v>1220</v>
      </c>
      <c r="N482" s="14" t="s">
        <v>1379</v>
      </c>
      <c r="O482" s="14" t="s">
        <v>884</v>
      </c>
      <c r="P482" s="14" t="s">
        <v>9390</v>
      </c>
      <c r="Q482" s="14" t="s">
        <v>166</v>
      </c>
      <c r="R482" s="14" t="s">
        <v>177</v>
      </c>
      <c r="S482" s="14" t="s">
        <v>178</v>
      </c>
      <c r="T482" s="14" t="s">
        <v>179</v>
      </c>
      <c r="U482" s="14" t="s">
        <v>9391</v>
      </c>
      <c r="V482" s="14" t="s">
        <v>9392</v>
      </c>
      <c r="W482" s="21" t="s">
        <v>9393</v>
      </c>
      <c r="X482" s="14" t="s">
        <v>9394</v>
      </c>
      <c r="Y482" s="14" t="s">
        <v>9395</v>
      </c>
      <c r="Z482" s="14" t="s">
        <v>166</v>
      </c>
      <c r="AA482" s="14" t="s">
        <v>166</v>
      </c>
      <c r="AB482" s="14" t="s">
        <v>166</v>
      </c>
      <c r="AC482" s="14" t="s">
        <v>166</v>
      </c>
      <c r="AD482" s="14" t="s">
        <v>166</v>
      </c>
      <c r="AE482" s="14" t="s">
        <v>166</v>
      </c>
      <c r="AF482" s="14" t="s">
        <v>166</v>
      </c>
      <c r="AG482" s="14" t="s">
        <v>166</v>
      </c>
      <c r="AH482" s="21">
        <v>1</v>
      </c>
      <c r="AI482" s="3">
        <f>HYPERLINK("https://my.pitchbook.com/?d=191294-47T","191294-47T")</f>
      </c>
      <c r="AJ482" s="19" t="s">
        <v>166</v>
      </c>
      <c r="AK482" s="19">
        <v>43831</v>
      </c>
      <c r="AL482" s="18">
        <v>8</v>
      </c>
      <c r="AM482" s="14" t="s">
        <v>185</v>
      </c>
      <c r="AN482" s="18" t="s">
        <v>166</v>
      </c>
      <c r="AO482" s="18" t="s">
        <v>166</v>
      </c>
      <c r="AP482" s="14" t="s">
        <v>166</v>
      </c>
      <c r="AQ482" s="21" t="s">
        <v>166</v>
      </c>
      <c r="AR482" s="21" t="s">
        <v>166</v>
      </c>
      <c r="AS482" s="17" t="s">
        <v>166</v>
      </c>
      <c r="AT482" s="18">
        <v>8</v>
      </c>
      <c r="AU482" s="21" t="s">
        <v>186</v>
      </c>
      <c r="AV482" s="21" t="s">
        <v>166</v>
      </c>
      <c r="AW482" s="18" t="s">
        <v>166</v>
      </c>
      <c r="AX482" s="21" t="s">
        <v>166</v>
      </c>
      <c r="AY482" s="14" t="s">
        <v>217</v>
      </c>
      <c r="AZ482" s="14" t="s">
        <v>217</v>
      </c>
      <c r="BA482" s="14" t="s">
        <v>166</v>
      </c>
      <c r="BB482" s="21" t="s">
        <v>166</v>
      </c>
      <c r="BC482" s="14" t="s">
        <v>179</v>
      </c>
      <c r="BD482" s="14" t="s">
        <v>9396</v>
      </c>
      <c r="BE482" s="14" t="s">
        <v>189</v>
      </c>
      <c r="BF482" s="18">
        <v>8</v>
      </c>
      <c r="BG482" s="14" t="s">
        <v>190</v>
      </c>
      <c r="BH482" s="14" t="s">
        <v>166</v>
      </c>
      <c r="BI482" s="14" t="s">
        <v>166</v>
      </c>
      <c r="BJ482" s="18" t="s">
        <v>166</v>
      </c>
      <c r="BK482" s="18" t="s">
        <v>166</v>
      </c>
      <c r="BL482" s="14" t="s">
        <v>191</v>
      </c>
      <c r="BM482" s="14" t="s">
        <v>358</v>
      </c>
      <c r="BN482" s="14" t="s">
        <v>177</v>
      </c>
      <c r="BO482" s="22" t="s">
        <v>166</v>
      </c>
      <c r="BP482" s="14" t="s">
        <v>9386</v>
      </c>
      <c r="BQ482" s="21">
        <v>2</v>
      </c>
      <c r="BR482" s="14" t="s">
        <v>166</v>
      </c>
      <c r="BS482" s="21" t="s">
        <v>166</v>
      </c>
      <c r="BT482" s="14" t="s">
        <v>166</v>
      </c>
      <c r="BU482" s="14" t="s">
        <v>166</v>
      </c>
      <c r="BV482" s="14" t="s">
        <v>9397</v>
      </c>
      <c r="BW482" s="14" t="s">
        <v>166</v>
      </c>
      <c r="BX482" s="14" t="s">
        <v>166</v>
      </c>
      <c r="BY482" s="14" t="s">
        <v>166</v>
      </c>
      <c r="BZ482" s="14" t="s">
        <v>166</v>
      </c>
      <c r="CA482" s="14" t="s">
        <v>166</v>
      </c>
      <c r="CB482" s="14" t="s">
        <v>166</v>
      </c>
      <c r="CC482" s="14" t="s">
        <v>166</v>
      </c>
      <c r="CD482" s="14" t="s">
        <v>166</v>
      </c>
      <c r="CE482" s="18" t="s">
        <v>166</v>
      </c>
      <c r="CF482" s="16" t="s">
        <v>166</v>
      </c>
      <c r="CG482" s="17" t="s">
        <v>166</v>
      </c>
      <c r="CH482" s="16" t="s">
        <v>166</v>
      </c>
      <c r="CI482" s="16" t="s">
        <v>166</v>
      </c>
      <c r="CJ482" s="16" t="s">
        <v>166</v>
      </c>
      <c r="CK482" s="16" t="s">
        <v>166</v>
      </c>
      <c r="CL482" s="16" t="s">
        <v>166</v>
      </c>
      <c r="CM482" s="20" t="s">
        <v>166</v>
      </c>
      <c r="CN482" s="16" t="s">
        <v>166</v>
      </c>
      <c r="CO482" s="16" t="s">
        <v>166</v>
      </c>
      <c r="CP482" s="16" t="s">
        <v>166</v>
      </c>
      <c r="CQ482" s="16" t="s">
        <v>166</v>
      </c>
      <c r="CR482" s="16" t="s">
        <v>166</v>
      </c>
      <c r="CS482" s="16" t="s">
        <v>166</v>
      </c>
      <c r="CT482" s="16" t="s">
        <v>166</v>
      </c>
      <c r="CU482" s="16" t="s">
        <v>166</v>
      </c>
      <c r="CV482" s="16" t="s">
        <v>166</v>
      </c>
      <c r="CW482" s="16" t="s">
        <v>166</v>
      </c>
      <c r="CX482" s="16" t="s">
        <v>166</v>
      </c>
      <c r="CY482" s="16" t="s">
        <v>166</v>
      </c>
      <c r="CZ482" s="16" t="s">
        <v>166</v>
      </c>
      <c r="DA482" s="16" t="s">
        <v>166</v>
      </c>
      <c r="DB482" s="16" t="s">
        <v>166</v>
      </c>
      <c r="DC482" s="16" t="s">
        <v>166</v>
      </c>
      <c r="DD482" s="16" t="s">
        <v>166</v>
      </c>
      <c r="DE482" s="17" t="s">
        <v>166</v>
      </c>
      <c r="DF482" s="22">
        <v>29</v>
      </c>
      <c r="DG482" s="14" t="s">
        <v>1077</v>
      </c>
      <c r="DH482" s="14" t="s">
        <v>193</v>
      </c>
      <c r="DI482" s="14" t="s">
        <v>194</v>
      </c>
      <c r="DJ482" s="14" t="s">
        <v>1078</v>
      </c>
      <c r="DK482" s="14" t="s">
        <v>257</v>
      </c>
      <c r="DL482" s="21" t="s">
        <v>4894</v>
      </c>
      <c r="DM482" s="14" t="s">
        <v>198</v>
      </c>
      <c r="DN482" s="13" t="s">
        <v>9398</v>
      </c>
      <c r="DO482" s="20">
        <v>2020</v>
      </c>
      <c r="DP482" s="14" t="s">
        <v>166</v>
      </c>
      <c r="DQ482" s="14" t="s">
        <v>166</v>
      </c>
      <c r="DR482" s="18" t="s">
        <v>166</v>
      </c>
      <c r="DS482" s="16" t="s">
        <v>166</v>
      </c>
      <c r="DT482" s="19" t="s">
        <v>166</v>
      </c>
      <c r="DU482" s="14" t="s">
        <v>166</v>
      </c>
      <c r="DV482" s="18" t="s">
        <v>166</v>
      </c>
      <c r="DW482" s="18" t="s">
        <v>166</v>
      </c>
      <c r="DX482" s="16" t="s">
        <v>166</v>
      </c>
      <c r="DY482" s="16" t="s">
        <v>166</v>
      </c>
      <c r="DZ482" s="17" t="s">
        <v>166</v>
      </c>
      <c r="EA482" s="16" t="s">
        <v>166</v>
      </c>
      <c r="EB482" s="16" t="s">
        <v>166</v>
      </c>
      <c r="EC482" s="16" t="s">
        <v>166</v>
      </c>
      <c r="ED482" s="17" t="s">
        <v>166</v>
      </c>
      <c r="EE482" s="17" t="s">
        <v>166</v>
      </c>
      <c r="EF482" s="17" t="s">
        <v>166</v>
      </c>
      <c r="EG482" s="17" t="s">
        <v>166</v>
      </c>
      <c r="EH482" s="16" t="s">
        <v>166</v>
      </c>
      <c r="EI482" s="16" t="s">
        <v>166</v>
      </c>
      <c r="EJ482" s="16" t="s">
        <v>166</v>
      </c>
      <c r="EK482" s="16" t="s">
        <v>166</v>
      </c>
      <c r="EL482" s="16" t="s">
        <v>166</v>
      </c>
      <c r="EM482" s="16" t="s">
        <v>166</v>
      </c>
      <c r="EN482" s="16" t="s">
        <v>166</v>
      </c>
      <c r="EO482" s="16" t="s">
        <v>166</v>
      </c>
      <c r="EP482" s="16" t="s">
        <v>166</v>
      </c>
      <c r="EQ482" s="16" t="s">
        <v>166</v>
      </c>
      <c r="ER482" s="16" t="s">
        <v>166</v>
      </c>
      <c r="ES482" s="16" t="s">
        <v>166</v>
      </c>
      <c r="ET482" s="14" t="s">
        <v>166</v>
      </c>
      <c r="EU482" s="16" t="s">
        <v>166</v>
      </c>
      <c r="EV482" s="16" t="s">
        <v>166</v>
      </c>
      <c r="EW482" s="16" t="s">
        <v>166</v>
      </c>
      <c r="EX482" s="14" t="s">
        <v>190</v>
      </c>
      <c r="EY482" s="14" t="s">
        <v>166</v>
      </c>
      <c r="EZ482" s="16" t="s">
        <v>166</v>
      </c>
      <c r="FA482" s="15" t="s">
        <v>166</v>
      </c>
      <c r="FB482" s="15" t="s">
        <v>166</v>
      </c>
      <c r="FC482" s="15" t="s">
        <v>166</v>
      </c>
      <c r="FD482" s="15" t="s">
        <v>166</v>
      </c>
      <c r="FE482" s="15" t="s">
        <v>166</v>
      </c>
      <c r="FF482" s="15" t="s">
        <v>166</v>
      </c>
      <c r="FG482" s="14" t="s">
        <v>166</v>
      </c>
      <c r="FH482" s="3">
        <f>HYPERLINK("https://my.pitchbook.com?c=191294-47T","View Company Online")</f>
      </c>
    </row>
    <row r="483">
      <c r="A483" s="25" t="s">
        <v>9399</v>
      </c>
      <c r="B483" s="25" t="s">
        <v>9400</v>
      </c>
      <c r="C483" s="25" t="s">
        <v>9401</v>
      </c>
      <c r="D483" s="25" t="s">
        <v>166</v>
      </c>
      <c r="E483" s="34" t="s">
        <v>9402</v>
      </c>
      <c r="F483" s="32">
        <v>16</v>
      </c>
      <c r="G483" s="25" t="s">
        <v>9403</v>
      </c>
      <c r="H483" s="25" t="s">
        <v>166</v>
      </c>
      <c r="I483" s="25" t="s">
        <v>9404</v>
      </c>
      <c r="J483" s="25" t="s">
        <v>9405</v>
      </c>
      <c r="K483" s="25" t="s">
        <v>207</v>
      </c>
      <c r="L483" s="25" t="s">
        <v>208</v>
      </c>
      <c r="M483" s="25" t="s">
        <v>209</v>
      </c>
      <c r="N483" s="25" t="s">
        <v>924</v>
      </c>
      <c r="O483" s="25" t="s">
        <v>665</v>
      </c>
      <c r="P483" s="25" t="s">
        <v>9406</v>
      </c>
      <c r="Q483" s="25" t="s">
        <v>926</v>
      </c>
      <c r="R483" s="25" t="s">
        <v>177</v>
      </c>
      <c r="S483" s="25" t="s">
        <v>178</v>
      </c>
      <c r="T483" s="25" t="s">
        <v>179</v>
      </c>
      <c r="U483" s="25" t="s">
        <v>9407</v>
      </c>
      <c r="V483" s="25" t="s">
        <v>9408</v>
      </c>
      <c r="W483" s="32" t="s">
        <v>9409</v>
      </c>
      <c r="X483" s="25" t="s">
        <v>9410</v>
      </c>
      <c r="Y483" s="25" t="s">
        <v>9411</v>
      </c>
      <c r="Z483" s="25" t="s">
        <v>9412</v>
      </c>
      <c r="AA483" s="25" t="s">
        <v>242</v>
      </c>
      <c r="AB483" s="25" t="s">
        <v>243</v>
      </c>
      <c r="AC483" s="25" t="s">
        <v>244</v>
      </c>
      <c r="AD483" s="25" t="s">
        <v>243</v>
      </c>
      <c r="AE483" s="25" t="s">
        <v>243</v>
      </c>
      <c r="AF483" s="25" t="s">
        <v>166</v>
      </c>
      <c r="AG483" s="25" t="s">
        <v>246</v>
      </c>
      <c r="AH483" s="32">
        <v>1</v>
      </c>
      <c r="AI483" s="4">
        <f>HYPERLINK("https://my.pitchbook.com/?d=256015-36T","256015-36T")</f>
      </c>
      <c r="AJ483" s="30">
        <v>45364</v>
      </c>
      <c r="AK483" s="30">
        <v>45383</v>
      </c>
      <c r="AL483" s="29">
        <v>24.83</v>
      </c>
      <c r="AM483" s="25" t="s">
        <v>185</v>
      </c>
      <c r="AN483" s="29">
        <v>100</v>
      </c>
      <c r="AO483" s="29">
        <v>124.83</v>
      </c>
      <c r="AP483" s="25" t="s">
        <v>185</v>
      </c>
      <c r="AQ483" s="32" t="s">
        <v>166</v>
      </c>
      <c r="AR483" s="32" t="s">
        <v>166</v>
      </c>
      <c r="AS483" s="28">
        <v>33.76</v>
      </c>
      <c r="AT483" s="29">
        <v>24.83</v>
      </c>
      <c r="AU483" s="32" t="s">
        <v>186</v>
      </c>
      <c r="AV483" s="32" t="s">
        <v>166</v>
      </c>
      <c r="AW483" s="29">
        <v>1.6</v>
      </c>
      <c r="AX483" s="32" t="s">
        <v>248</v>
      </c>
      <c r="AY483" s="25" t="s">
        <v>187</v>
      </c>
      <c r="AZ483" s="25" t="s">
        <v>248</v>
      </c>
      <c r="BA483" s="25" t="s">
        <v>166</v>
      </c>
      <c r="BB483" s="32" t="s">
        <v>166</v>
      </c>
      <c r="BC483" s="25" t="s">
        <v>179</v>
      </c>
      <c r="BD483" s="25" t="s">
        <v>9413</v>
      </c>
      <c r="BE483" s="25" t="s">
        <v>189</v>
      </c>
      <c r="BF483" s="29">
        <v>24.83</v>
      </c>
      <c r="BG483" s="25" t="s">
        <v>190</v>
      </c>
      <c r="BH483" s="25" t="s">
        <v>166</v>
      </c>
      <c r="BI483" s="25" t="s">
        <v>166</v>
      </c>
      <c r="BJ483" s="29" t="s">
        <v>166</v>
      </c>
      <c r="BK483" s="29" t="s">
        <v>166</v>
      </c>
      <c r="BL483" s="25" t="s">
        <v>191</v>
      </c>
      <c r="BM483" s="25" t="s">
        <v>178</v>
      </c>
      <c r="BN483" s="25" t="s">
        <v>177</v>
      </c>
      <c r="BO483" s="33" t="s">
        <v>166</v>
      </c>
      <c r="BP483" s="25" t="s">
        <v>9414</v>
      </c>
      <c r="BQ483" s="32">
        <v>16</v>
      </c>
      <c r="BR483" s="25" t="s">
        <v>166</v>
      </c>
      <c r="BS483" s="32" t="s">
        <v>166</v>
      </c>
      <c r="BT483" s="25" t="s">
        <v>9415</v>
      </c>
      <c r="BU483" s="25" t="s">
        <v>166</v>
      </c>
      <c r="BV483" s="25" t="s">
        <v>9416</v>
      </c>
      <c r="BW483" s="25" t="s">
        <v>166</v>
      </c>
      <c r="BX483" s="25" t="s">
        <v>166</v>
      </c>
      <c r="BY483" s="25" t="s">
        <v>166</v>
      </c>
      <c r="BZ483" s="25" t="s">
        <v>872</v>
      </c>
      <c r="CA483" s="25" t="s">
        <v>872</v>
      </c>
      <c r="CB483" s="25" t="s">
        <v>166</v>
      </c>
      <c r="CC483" s="25" t="s">
        <v>166</v>
      </c>
      <c r="CD483" s="25" t="s">
        <v>166</v>
      </c>
      <c r="CE483" s="29" t="s">
        <v>166</v>
      </c>
      <c r="CF483" s="27" t="s">
        <v>166</v>
      </c>
      <c r="CG483" s="28" t="s">
        <v>166</v>
      </c>
      <c r="CH483" s="27" t="s">
        <v>166</v>
      </c>
      <c r="CI483" s="27" t="s">
        <v>166</v>
      </c>
      <c r="CJ483" s="27" t="s">
        <v>166</v>
      </c>
      <c r="CK483" s="27" t="s">
        <v>166</v>
      </c>
      <c r="CL483" s="27" t="s">
        <v>166</v>
      </c>
      <c r="CM483" s="31" t="s">
        <v>166</v>
      </c>
      <c r="CN483" s="27" t="s">
        <v>166</v>
      </c>
      <c r="CO483" s="27" t="s">
        <v>166</v>
      </c>
      <c r="CP483" s="27" t="s">
        <v>166</v>
      </c>
      <c r="CQ483" s="27" t="s">
        <v>166</v>
      </c>
      <c r="CR483" s="27" t="s">
        <v>166</v>
      </c>
      <c r="CS483" s="27" t="s">
        <v>166</v>
      </c>
      <c r="CT483" s="27" t="s">
        <v>166</v>
      </c>
      <c r="CU483" s="27" t="s">
        <v>166</v>
      </c>
      <c r="CV483" s="27" t="s">
        <v>166</v>
      </c>
      <c r="CW483" s="27" t="s">
        <v>166</v>
      </c>
      <c r="CX483" s="27" t="s">
        <v>166</v>
      </c>
      <c r="CY483" s="27" t="s">
        <v>166</v>
      </c>
      <c r="CZ483" s="27" t="s">
        <v>166</v>
      </c>
      <c r="DA483" s="27" t="s">
        <v>166</v>
      </c>
      <c r="DB483" s="27" t="s">
        <v>166</v>
      </c>
      <c r="DC483" s="27" t="s">
        <v>166</v>
      </c>
      <c r="DD483" s="27" t="s">
        <v>166</v>
      </c>
      <c r="DE483" s="28" t="s">
        <v>166</v>
      </c>
      <c r="DF483" s="33">
        <v>23</v>
      </c>
      <c r="DG483" s="25" t="s">
        <v>1077</v>
      </c>
      <c r="DH483" s="25" t="s">
        <v>193</v>
      </c>
      <c r="DI483" s="25" t="s">
        <v>194</v>
      </c>
      <c r="DJ483" s="25" t="s">
        <v>1078</v>
      </c>
      <c r="DK483" s="25" t="s">
        <v>257</v>
      </c>
      <c r="DL483" s="32" t="s">
        <v>4894</v>
      </c>
      <c r="DM483" s="25" t="s">
        <v>198</v>
      </c>
      <c r="DN483" s="24" t="s">
        <v>9417</v>
      </c>
      <c r="DO483" s="31">
        <v>2022</v>
      </c>
      <c r="DP483" s="25" t="s">
        <v>166</v>
      </c>
      <c r="DQ483" s="25" t="s">
        <v>166</v>
      </c>
      <c r="DR483" s="29" t="s">
        <v>166</v>
      </c>
      <c r="DS483" s="27" t="s">
        <v>166</v>
      </c>
      <c r="DT483" s="30" t="s">
        <v>166</v>
      </c>
      <c r="DU483" s="25" t="s">
        <v>166</v>
      </c>
      <c r="DV483" s="29" t="s">
        <v>166</v>
      </c>
      <c r="DW483" s="29" t="s">
        <v>166</v>
      </c>
      <c r="DX483" s="27" t="s">
        <v>166</v>
      </c>
      <c r="DY483" s="27" t="s">
        <v>166</v>
      </c>
      <c r="DZ483" s="28" t="s">
        <v>166</v>
      </c>
      <c r="EA483" s="27" t="s">
        <v>166</v>
      </c>
      <c r="EB483" s="27" t="s">
        <v>166</v>
      </c>
      <c r="EC483" s="27" t="s">
        <v>166</v>
      </c>
      <c r="ED483" s="28" t="s">
        <v>166</v>
      </c>
      <c r="EE483" s="28" t="s">
        <v>166</v>
      </c>
      <c r="EF483" s="28" t="s">
        <v>166</v>
      </c>
      <c r="EG483" s="28" t="s">
        <v>166</v>
      </c>
      <c r="EH483" s="27" t="s">
        <v>166</v>
      </c>
      <c r="EI483" s="27" t="s">
        <v>166</v>
      </c>
      <c r="EJ483" s="27" t="s">
        <v>166</v>
      </c>
      <c r="EK483" s="27" t="s">
        <v>166</v>
      </c>
      <c r="EL483" s="27" t="s">
        <v>166</v>
      </c>
      <c r="EM483" s="27" t="s">
        <v>166</v>
      </c>
      <c r="EN483" s="27" t="s">
        <v>166</v>
      </c>
      <c r="EO483" s="27" t="s">
        <v>166</v>
      </c>
      <c r="EP483" s="27" t="s">
        <v>166</v>
      </c>
      <c r="EQ483" s="27" t="s">
        <v>166</v>
      </c>
      <c r="ER483" s="27" t="s">
        <v>166</v>
      </c>
      <c r="ES483" s="27" t="s">
        <v>166</v>
      </c>
      <c r="ET483" s="25" t="s">
        <v>166</v>
      </c>
      <c r="EU483" s="27" t="s">
        <v>166</v>
      </c>
      <c r="EV483" s="27" t="s">
        <v>166</v>
      </c>
      <c r="EW483" s="27" t="s">
        <v>166</v>
      </c>
      <c r="EX483" s="25" t="s">
        <v>190</v>
      </c>
      <c r="EY483" s="25" t="s">
        <v>166</v>
      </c>
      <c r="EZ483" s="27" t="s">
        <v>166</v>
      </c>
      <c r="FA483" s="26" t="s">
        <v>166</v>
      </c>
      <c r="FB483" s="26" t="s">
        <v>166</v>
      </c>
      <c r="FC483" s="26" t="s">
        <v>166</v>
      </c>
      <c r="FD483" s="26" t="s">
        <v>166</v>
      </c>
      <c r="FE483" s="26" t="s">
        <v>166</v>
      </c>
      <c r="FF483" s="26" t="s">
        <v>166</v>
      </c>
      <c r="FG483" s="25" t="s">
        <v>166</v>
      </c>
      <c r="FH483" s="4">
        <f>HYPERLINK("https://my.pitchbook.com?c=256015-36T","View Company Online")</f>
      </c>
    </row>
    <row r="484">
      <c r="A484" s="14" t="s">
        <v>9418</v>
      </c>
      <c r="B484" s="14" t="s">
        <v>9419</v>
      </c>
      <c r="C484" s="14" t="s">
        <v>9420</v>
      </c>
      <c r="D484" s="14" t="s">
        <v>166</v>
      </c>
      <c r="E484" s="23" t="s">
        <v>9421</v>
      </c>
      <c r="F484" s="21">
        <v>9</v>
      </c>
      <c r="G484" s="14" t="s">
        <v>9422</v>
      </c>
      <c r="H484" s="14" t="s">
        <v>166</v>
      </c>
      <c r="I484" s="14" t="s">
        <v>9423</v>
      </c>
      <c r="J484" s="14" t="s">
        <v>9424</v>
      </c>
      <c r="K484" s="14" t="s">
        <v>1455</v>
      </c>
      <c r="L484" s="14" t="s">
        <v>1456</v>
      </c>
      <c r="M484" s="14" t="s">
        <v>2760</v>
      </c>
      <c r="N484" s="14" t="s">
        <v>9425</v>
      </c>
      <c r="O484" s="14" t="s">
        <v>9426</v>
      </c>
      <c r="P484" s="14" t="s">
        <v>9427</v>
      </c>
      <c r="Q484" s="14" t="s">
        <v>166</v>
      </c>
      <c r="R484" s="14" t="s">
        <v>177</v>
      </c>
      <c r="S484" s="14" t="s">
        <v>178</v>
      </c>
      <c r="T484" s="14" t="s">
        <v>179</v>
      </c>
      <c r="U484" s="14" t="s">
        <v>9428</v>
      </c>
      <c r="V484" s="14" t="s">
        <v>9429</v>
      </c>
      <c r="W484" s="21" t="s">
        <v>166</v>
      </c>
      <c r="X484" s="14" t="s">
        <v>9430</v>
      </c>
      <c r="Y484" s="14" t="s">
        <v>9431</v>
      </c>
      <c r="Z484" s="14" t="s">
        <v>9432</v>
      </c>
      <c r="AA484" s="14" t="s">
        <v>242</v>
      </c>
      <c r="AB484" s="14" t="s">
        <v>243</v>
      </c>
      <c r="AC484" s="14" t="s">
        <v>244</v>
      </c>
      <c r="AD484" s="14" t="s">
        <v>243</v>
      </c>
      <c r="AE484" s="14" t="s">
        <v>243</v>
      </c>
      <c r="AF484" s="14" t="s">
        <v>166</v>
      </c>
      <c r="AG484" s="14" t="s">
        <v>166</v>
      </c>
      <c r="AH484" s="21">
        <v>1</v>
      </c>
      <c r="AI484" s="3">
        <f>HYPERLINK("https://my.pitchbook.com/?d=167420-26T","167420-26T")</f>
      </c>
      <c r="AJ484" s="19" t="s">
        <v>166</v>
      </c>
      <c r="AK484" s="19">
        <v>44252</v>
      </c>
      <c r="AL484" s="18">
        <v>2.5</v>
      </c>
      <c r="AM484" s="14" t="s">
        <v>185</v>
      </c>
      <c r="AN484" s="18">
        <v>6</v>
      </c>
      <c r="AO484" s="18">
        <v>8.5</v>
      </c>
      <c r="AP484" s="14" t="s">
        <v>185</v>
      </c>
      <c r="AQ484" s="21" t="s">
        <v>166</v>
      </c>
      <c r="AR484" s="21" t="s">
        <v>166</v>
      </c>
      <c r="AS484" s="17">
        <v>29.8</v>
      </c>
      <c r="AT484" s="18">
        <v>2.5</v>
      </c>
      <c r="AU484" s="21" t="s">
        <v>186</v>
      </c>
      <c r="AV484" s="21" t="s">
        <v>166</v>
      </c>
      <c r="AW484" s="18">
        <v>0.49</v>
      </c>
      <c r="AX484" s="21" t="s">
        <v>166</v>
      </c>
      <c r="AY484" s="14" t="s">
        <v>217</v>
      </c>
      <c r="AZ484" s="14" t="s">
        <v>217</v>
      </c>
      <c r="BA484" s="14" t="s">
        <v>166</v>
      </c>
      <c r="BB484" s="21" t="s">
        <v>166</v>
      </c>
      <c r="BC484" s="14" t="s">
        <v>179</v>
      </c>
      <c r="BD484" s="14" t="s">
        <v>9424</v>
      </c>
      <c r="BE484" s="14" t="s">
        <v>189</v>
      </c>
      <c r="BF484" s="18">
        <v>2.5</v>
      </c>
      <c r="BG484" s="14" t="s">
        <v>190</v>
      </c>
      <c r="BH484" s="14" t="s">
        <v>166</v>
      </c>
      <c r="BI484" s="14" t="s">
        <v>166</v>
      </c>
      <c r="BJ484" s="18" t="s">
        <v>166</v>
      </c>
      <c r="BK484" s="18" t="s">
        <v>166</v>
      </c>
      <c r="BL484" s="14" t="s">
        <v>191</v>
      </c>
      <c r="BM484" s="14" t="s">
        <v>178</v>
      </c>
      <c r="BN484" s="14" t="s">
        <v>177</v>
      </c>
      <c r="BO484" s="22" t="s">
        <v>166</v>
      </c>
      <c r="BP484" s="14" t="s">
        <v>9433</v>
      </c>
      <c r="BQ484" s="21">
        <v>9</v>
      </c>
      <c r="BR484" s="14" t="s">
        <v>166</v>
      </c>
      <c r="BS484" s="21" t="s">
        <v>166</v>
      </c>
      <c r="BT484" s="14" t="s">
        <v>9434</v>
      </c>
      <c r="BU484" s="14" t="s">
        <v>166</v>
      </c>
      <c r="BV484" s="14" t="s">
        <v>9435</v>
      </c>
      <c r="BW484" s="14" t="s">
        <v>166</v>
      </c>
      <c r="BX484" s="14" t="s">
        <v>166</v>
      </c>
      <c r="BY484" s="14" t="s">
        <v>166</v>
      </c>
      <c r="BZ484" s="14" t="s">
        <v>9436</v>
      </c>
      <c r="CA484" s="14" t="s">
        <v>872</v>
      </c>
      <c r="CB484" s="14" t="s">
        <v>166</v>
      </c>
      <c r="CC484" s="14" t="s">
        <v>3231</v>
      </c>
      <c r="CD484" s="14" t="s">
        <v>166</v>
      </c>
      <c r="CE484" s="18" t="s">
        <v>166</v>
      </c>
      <c r="CF484" s="16" t="s">
        <v>166</v>
      </c>
      <c r="CG484" s="17" t="s">
        <v>166</v>
      </c>
      <c r="CH484" s="16" t="s">
        <v>166</v>
      </c>
      <c r="CI484" s="16" t="s">
        <v>166</v>
      </c>
      <c r="CJ484" s="16" t="s">
        <v>166</v>
      </c>
      <c r="CK484" s="16" t="s">
        <v>166</v>
      </c>
      <c r="CL484" s="16" t="s">
        <v>166</v>
      </c>
      <c r="CM484" s="20" t="s">
        <v>166</v>
      </c>
      <c r="CN484" s="16" t="s">
        <v>166</v>
      </c>
      <c r="CO484" s="16" t="s">
        <v>166</v>
      </c>
      <c r="CP484" s="16" t="s">
        <v>166</v>
      </c>
      <c r="CQ484" s="16" t="s">
        <v>166</v>
      </c>
      <c r="CR484" s="16" t="s">
        <v>166</v>
      </c>
      <c r="CS484" s="16" t="s">
        <v>166</v>
      </c>
      <c r="CT484" s="16" t="s">
        <v>166</v>
      </c>
      <c r="CU484" s="16" t="s">
        <v>166</v>
      </c>
      <c r="CV484" s="16" t="s">
        <v>166</v>
      </c>
      <c r="CW484" s="16" t="s">
        <v>166</v>
      </c>
      <c r="CX484" s="16" t="s">
        <v>166</v>
      </c>
      <c r="CY484" s="16" t="s">
        <v>166</v>
      </c>
      <c r="CZ484" s="16" t="s">
        <v>166</v>
      </c>
      <c r="DA484" s="16" t="s">
        <v>166</v>
      </c>
      <c r="DB484" s="16" t="s">
        <v>166</v>
      </c>
      <c r="DC484" s="16" t="s">
        <v>166</v>
      </c>
      <c r="DD484" s="16" t="s">
        <v>166</v>
      </c>
      <c r="DE484" s="17" t="s">
        <v>166</v>
      </c>
      <c r="DF484" s="22">
        <v>39</v>
      </c>
      <c r="DG484" s="14" t="s">
        <v>673</v>
      </c>
      <c r="DH484" s="14" t="s">
        <v>193</v>
      </c>
      <c r="DI484" s="14" t="s">
        <v>194</v>
      </c>
      <c r="DJ484" s="14" t="s">
        <v>674</v>
      </c>
      <c r="DK484" s="14" t="s">
        <v>257</v>
      </c>
      <c r="DL484" s="21" t="s">
        <v>675</v>
      </c>
      <c r="DM484" s="14" t="s">
        <v>198</v>
      </c>
      <c r="DN484" s="13" t="s">
        <v>9437</v>
      </c>
      <c r="DO484" s="20">
        <v>2019</v>
      </c>
      <c r="DP484" s="14" t="s">
        <v>166</v>
      </c>
      <c r="DQ484" s="14" t="s">
        <v>166</v>
      </c>
      <c r="DR484" s="18" t="s">
        <v>166</v>
      </c>
      <c r="DS484" s="16" t="s">
        <v>166</v>
      </c>
      <c r="DT484" s="19" t="s">
        <v>166</v>
      </c>
      <c r="DU484" s="14" t="s">
        <v>166</v>
      </c>
      <c r="DV484" s="18" t="s">
        <v>166</v>
      </c>
      <c r="DW484" s="18" t="s">
        <v>166</v>
      </c>
      <c r="DX484" s="16" t="s">
        <v>166</v>
      </c>
      <c r="DY484" s="16" t="s">
        <v>166</v>
      </c>
      <c r="DZ484" s="17" t="s">
        <v>166</v>
      </c>
      <c r="EA484" s="16" t="s">
        <v>166</v>
      </c>
      <c r="EB484" s="16" t="s">
        <v>166</v>
      </c>
      <c r="EC484" s="16" t="s">
        <v>166</v>
      </c>
      <c r="ED484" s="17" t="s">
        <v>166</v>
      </c>
      <c r="EE484" s="17" t="s">
        <v>166</v>
      </c>
      <c r="EF484" s="17" t="s">
        <v>166</v>
      </c>
      <c r="EG484" s="17" t="s">
        <v>166</v>
      </c>
      <c r="EH484" s="16" t="s">
        <v>166</v>
      </c>
      <c r="EI484" s="16" t="s">
        <v>166</v>
      </c>
      <c r="EJ484" s="16" t="s">
        <v>166</v>
      </c>
      <c r="EK484" s="16" t="s">
        <v>166</v>
      </c>
      <c r="EL484" s="16" t="s">
        <v>166</v>
      </c>
      <c r="EM484" s="16" t="s">
        <v>166</v>
      </c>
      <c r="EN484" s="16" t="s">
        <v>166</v>
      </c>
      <c r="EO484" s="16" t="s">
        <v>166</v>
      </c>
      <c r="EP484" s="16" t="s">
        <v>166</v>
      </c>
      <c r="EQ484" s="16" t="s">
        <v>166</v>
      </c>
      <c r="ER484" s="16" t="s">
        <v>166</v>
      </c>
      <c r="ES484" s="16" t="s">
        <v>166</v>
      </c>
      <c r="ET484" s="14" t="s">
        <v>166</v>
      </c>
      <c r="EU484" s="16" t="s">
        <v>166</v>
      </c>
      <c r="EV484" s="16" t="s">
        <v>166</v>
      </c>
      <c r="EW484" s="16" t="s">
        <v>166</v>
      </c>
      <c r="EX484" s="14" t="s">
        <v>190</v>
      </c>
      <c r="EY484" s="14" t="s">
        <v>166</v>
      </c>
      <c r="EZ484" s="16" t="s">
        <v>166</v>
      </c>
      <c r="FA484" s="15" t="s">
        <v>166</v>
      </c>
      <c r="FB484" s="15" t="s">
        <v>166</v>
      </c>
      <c r="FC484" s="15" t="s">
        <v>166</v>
      </c>
      <c r="FD484" s="15" t="s">
        <v>166</v>
      </c>
      <c r="FE484" s="15" t="s">
        <v>166</v>
      </c>
      <c r="FF484" s="15" t="s">
        <v>166</v>
      </c>
      <c r="FG484" s="14" t="s">
        <v>166</v>
      </c>
      <c r="FH484" s="3">
        <f>HYPERLINK("https://my.pitchbook.com?c=167420-26T","View Company Online")</f>
      </c>
    </row>
    <row r="485">
      <c r="A485" s="25" t="s">
        <v>9438</v>
      </c>
      <c r="B485" s="25" t="s">
        <v>9439</v>
      </c>
      <c r="C485" s="25" t="s">
        <v>9440</v>
      </c>
      <c r="D485" s="25" t="s">
        <v>166</v>
      </c>
      <c r="E485" s="34" t="s">
        <v>9441</v>
      </c>
      <c r="F485" s="32">
        <v>3</v>
      </c>
      <c r="G485" s="25" t="s">
        <v>9442</v>
      </c>
      <c r="H485" s="25" t="s">
        <v>166</v>
      </c>
      <c r="I485" s="25" t="s">
        <v>9443</v>
      </c>
      <c r="J485" s="25" t="s">
        <v>9444</v>
      </c>
      <c r="K485" s="25" t="s">
        <v>207</v>
      </c>
      <c r="L485" s="25" t="s">
        <v>208</v>
      </c>
      <c r="M485" s="25" t="s">
        <v>209</v>
      </c>
      <c r="N485" s="25" t="s">
        <v>684</v>
      </c>
      <c r="O485" s="25" t="s">
        <v>800</v>
      </c>
      <c r="P485" s="25" t="s">
        <v>9445</v>
      </c>
      <c r="Q485" s="25" t="s">
        <v>166</v>
      </c>
      <c r="R485" s="25" t="s">
        <v>177</v>
      </c>
      <c r="S485" s="25" t="s">
        <v>1859</v>
      </c>
      <c r="T485" s="25" t="s">
        <v>1401</v>
      </c>
      <c r="U485" s="25" t="s">
        <v>9446</v>
      </c>
      <c r="V485" s="25" t="s">
        <v>9447</v>
      </c>
      <c r="W485" s="32" t="s">
        <v>9448</v>
      </c>
      <c r="X485" s="25" t="s">
        <v>9449</v>
      </c>
      <c r="Y485" s="25" t="s">
        <v>9450</v>
      </c>
      <c r="Z485" s="25" t="s">
        <v>9451</v>
      </c>
      <c r="AA485" s="25" t="s">
        <v>242</v>
      </c>
      <c r="AB485" s="25" t="s">
        <v>243</v>
      </c>
      <c r="AC485" s="25" t="s">
        <v>244</v>
      </c>
      <c r="AD485" s="25" t="s">
        <v>243</v>
      </c>
      <c r="AE485" s="25" t="s">
        <v>243</v>
      </c>
      <c r="AF485" s="25" t="s">
        <v>166</v>
      </c>
      <c r="AG485" s="25" t="s">
        <v>807</v>
      </c>
      <c r="AH485" s="32">
        <v>3</v>
      </c>
      <c r="AI485" s="4">
        <f>HYPERLINK("https://my.pitchbook.com/?d=169023-43T","169023-43T")</f>
      </c>
      <c r="AJ485" s="30" t="s">
        <v>166</v>
      </c>
      <c r="AK485" s="30">
        <v>44105</v>
      </c>
      <c r="AL485" s="29">
        <v>0.5</v>
      </c>
      <c r="AM485" s="25" t="s">
        <v>185</v>
      </c>
      <c r="AN485" s="29">
        <v>4.5</v>
      </c>
      <c r="AO485" s="29">
        <v>5</v>
      </c>
      <c r="AP485" s="25" t="s">
        <v>185</v>
      </c>
      <c r="AQ485" s="32" t="s">
        <v>166</v>
      </c>
      <c r="AR485" s="32" t="s">
        <v>166</v>
      </c>
      <c r="AS485" s="28">
        <v>10</v>
      </c>
      <c r="AT485" s="29">
        <v>0.5</v>
      </c>
      <c r="AU485" s="32" t="s">
        <v>186</v>
      </c>
      <c r="AV485" s="32" t="s">
        <v>166</v>
      </c>
      <c r="AW485" s="29">
        <v>0.67</v>
      </c>
      <c r="AX485" s="32" t="s">
        <v>166</v>
      </c>
      <c r="AY485" s="25" t="s">
        <v>217</v>
      </c>
      <c r="AZ485" s="25" t="s">
        <v>217</v>
      </c>
      <c r="BA485" s="25" t="s">
        <v>166</v>
      </c>
      <c r="BB485" s="32" t="s">
        <v>166</v>
      </c>
      <c r="BC485" s="25" t="s">
        <v>179</v>
      </c>
      <c r="BD485" s="25" t="s">
        <v>9452</v>
      </c>
      <c r="BE485" s="25" t="s">
        <v>189</v>
      </c>
      <c r="BF485" s="29">
        <v>0.5</v>
      </c>
      <c r="BG485" s="25" t="s">
        <v>190</v>
      </c>
      <c r="BH485" s="25" t="s">
        <v>166</v>
      </c>
      <c r="BI485" s="25" t="s">
        <v>166</v>
      </c>
      <c r="BJ485" s="29" t="s">
        <v>166</v>
      </c>
      <c r="BK485" s="29" t="s">
        <v>166</v>
      </c>
      <c r="BL485" s="25" t="s">
        <v>191</v>
      </c>
      <c r="BM485" s="25" t="s">
        <v>1859</v>
      </c>
      <c r="BN485" s="25" t="s">
        <v>177</v>
      </c>
      <c r="BO485" s="33" t="s">
        <v>166</v>
      </c>
      <c r="BP485" s="25" t="s">
        <v>9441</v>
      </c>
      <c r="BQ485" s="32">
        <v>3</v>
      </c>
      <c r="BR485" s="25" t="s">
        <v>166</v>
      </c>
      <c r="BS485" s="32" t="s">
        <v>166</v>
      </c>
      <c r="BT485" s="25" t="s">
        <v>166</v>
      </c>
      <c r="BU485" s="25" t="s">
        <v>166</v>
      </c>
      <c r="BV485" s="25" t="s">
        <v>9453</v>
      </c>
      <c r="BW485" s="25" t="s">
        <v>166</v>
      </c>
      <c r="BX485" s="25" t="s">
        <v>166</v>
      </c>
      <c r="BY485" s="25" t="s">
        <v>166</v>
      </c>
      <c r="BZ485" s="25" t="s">
        <v>166</v>
      </c>
      <c r="CA485" s="25" t="s">
        <v>166</v>
      </c>
      <c r="CB485" s="25" t="s">
        <v>166</v>
      </c>
      <c r="CC485" s="25" t="s">
        <v>166</v>
      </c>
      <c r="CD485" s="25" t="s">
        <v>166</v>
      </c>
      <c r="CE485" s="29" t="s">
        <v>166</v>
      </c>
      <c r="CF485" s="27" t="s">
        <v>166</v>
      </c>
      <c r="CG485" s="28" t="s">
        <v>166</v>
      </c>
      <c r="CH485" s="27" t="s">
        <v>166</v>
      </c>
      <c r="CI485" s="27" t="s">
        <v>166</v>
      </c>
      <c r="CJ485" s="27" t="s">
        <v>166</v>
      </c>
      <c r="CK485" s="27" t="s">
        <v>166</v>
      </c>
      <c r="CL485" s="27" t="s">
        <v>166</v>
      </c>
      <c r="CM485" s="31" t="s">
        <v>166</v>
      </c>
      <c r="CN485" s="27" t="s">
        <v>166</v>
      </c>
      <c r="CO485" s="27" t="s">
        <v>166</v>
      </c>
      <c r="CP485" s="27" t="s">
        <v>166</v>
      </c>
      <c r="CQ485" s="27" t="s">
        <v>166</v>
      </c>
      <c r="CR485" s="27" t="s">
        <v>166</v>
      </c>
      <c r="CS485" s="27" t="s">
        <v>166</v>
      </c>
      <c r="CT485" s="27" t="s">
        <v>166</v>
      </c>
      <c r="CU485" s="27" t="s">
        <v>166</v>
      </c>
      <c r="CV485" s="27" t="s">
        <v>166</v>
      </c>
      <c r="CW485" s="27" t="s">
        <v>166</v>
      </c>
      <c r="CX485" s="27" t="s">
        <v>166</v>
      </c>
      <c r="CY485" s="27" t="s">
        <v>166</v>
      </c>
      <c r="CZ485" s="27" t="s">
        <v>166</v>
      </c>
      <c r="DA485" s="27" t="s">
        <v>166</v>
      </c>
      <c r="DB485" s="27" t="s">
        <v>166</v>
      </c>
      <c r="DC485" s="27" t="s">
        <v>166</v>
      </c>
      <c r="DD485" s="27" t="s">
        <v>166</v>
      </c>
      <c r="DE485" s="28" t="s">
        <v>166</v>
      </c>
      <c r="DF485" s="33">
        <v>63</v>
      </c>
      <c r="DG485" s="25" t="s">
        <v>9454</v>
      </c>
      <c r="DH485" s="25" t="s">
        <v>193</v>
      </c>
      <c r="DI485" s="25" t="s">
        <v>194</v>
      </c>
      <c r="DJ485" s="25" t="s">
        <v>9455</v>
      </c>
      <c r="DK485" s="25" t="s">
        <v>9456</v>
      </c>
      <c r="DL485" s="32" t="s">
        <v>9457</v>
      </c>
      <c r="DM485" s="25" t="s">
        <v>198</v>
      </c>
      <c r="DN485" s="24" t="s">
        <v>9458</v>
      </c>
      <c r="DO485" s="31">
        <v>2011</v>
      </c>
      <c r="DP485" s="25" t="s">
        <v>166</v>
      </c>
      <c r="DQ485" s="25" t="s">
        <v>166</v>
      </c>
      <c r="DR485" s="29" t="s">
        <v>166</v>
      </c>
      <c r="DS485" s="27" t="s">
        <v>166</v>
      </c>
      <c r="DT485" s="30" t="s">
        <v>166</v>
      </c>
      <c r="DU485" s="25" t="s">
        <v>166</v>
      </c>
      <c r="DV485" s="29" t="s">
        <v>166</v>
      </c>
      <c r="DW485" s="29" t="s">
        <v>166</v>
      </c>
      <c r="DX485" s="27" t="s">
        <v>166</v>
      </c>
      <c r="DY485" s="27" t="s">
        <v>166</v>
      </c>
      <c r="DZ485" s="28" t="s">
        <v>166</v>
      </c>
      <c r="EA485" s="27" t="s">
        <v>166</v>
      </c>
      <c r="EB485" s="27" t="s">
        <v>166</v>
      </c>
      <c r="EC485" s="27" t="s">
        <v>166</v>
      </c>
      <c r="ED485" s="28" t="s">
        <v>166</v>
      </c>
      <c r="EE485" s="28" t="s">
        <v>166</v>
      </c>
      <c r="EF485" s="28" t="s">
        <v>166</v>
      </c>
      <c r="EG485" s="28" t="s">
        <v>166</v>
      </c>
      <c r="EH485" s="27" t="s">
        <v>166</v>
      </c>
      <c r="EI485" s="27" t="s">
        <v>166</v>
      </c>
      <c r="EJ485" s="27" t="s">
        <v>166</v>
      </c>
      <c r="EK485" s="27" t="s">
        <v>166</v>
      </c>
      <c r="EL485" s="27" t="s">
        <v>166</v>
      </c>
      <c r="EM485" s="27" t="s">
        <v>166</v>
      </c>
      <c r="EN485" s="27" t="s">
        <v>166</v>
      </c>
      <c r="EO485" s="27" t="s">
        <v>166</v>
      </c>
      <c r="EP485" s="27" t="s">
        <v>166</v>
      </c>
      <c r="EQ485" s="27" t="s">
        <v>166</v>
      </c>
      <c r="ER485" s="27" t="s">
        <v>166</v>
      </c>
      <c r="ES485" s="27" t="s">
        <v>166</v>
      </c>
      <c r="ET485" s="25" t="s">
        <v>166</v>
      </c>
      <c r="EU485" s="27" t="s">
        <v>166</v>
      </c>
      <c r="EV485" s="27" t="s">
        <v>166</v>
      </c>
      <c r="EW485" s="27" t="s">
        <v>166</v>
      </c>
      <c r="EX485" s="25" t="s">
        <v>190</v>
      </c>
      <c r="EY485" s="25" t="s">
        <v>166</v>
      </c>
      <c r="EZ485" s="27" t="s">
        <v>166</v>
      </c>
      <c r="FA485" s="26" t="s">
        <v>166</v>
      </c>
      <c r="FB485" s="26" t="s">
        <v>166</v>
      </c>
      <c r="FC485" s="26" t="s">
        <v>166</v>
      </c>
      <c r="FD485" s="26" t="s">
        <v>166</v>
      </c>
      <c r="FE485" s="26" t="s">
        <v>166</v>
      </c>
      <c r="FF485" s="26" t="s">
        <v>166</v>
      </c>
      <c r="FG485" s="25" t="s">
        <v>166</v>
      </c>
      <c r="FH485" s="4">
        <f>HYPERLINK("https://my.pitchbook.com?c=169023-43T","View Company Online")</f>
      </c>
    </row>
    <row r="486">
      <c r="A486" s="14" t="s">
        <v>9459</v>
      </c>
      <c r="B486" s="14" t="s">
        <v>9460</v>
      </c>
      <c r="C486" s="14" t="s">
        <v>9461</v>
      </c>
      <c r="D486" s="14" t="s">
        <v>166</v>
      </c>
      <c r="E486" s="23" t="s">
        <v>9462</v>
      </c>
      <c r="F486" s="21">
        <v>19</v>
      </c>
      <c r="G486" s="14" t="s">
        <v>9463</v>
      </c>
      <c r="H486" s="14" t="s">
        <v>166</v>
      </c>
      <c r="I486" s="14" t="s">
        <v>9464</v>
      </c>
      <c r="J486" s="14" t="s">
        <v>9465</v>
      </c>
      <c r="K486" s="14" t="s">
        <v>171</v>
      </c>
      <c r="L486" s="14" t="s">
        <v>172</v>
      </c>
      <c r="M486" s="14" t="s">
        <v>173</v>
      </c>
      <c r="N486" s="14" t="s">
        <v>9466</v>
      </c>
      <c r="O486" s="14" t="s">
        <v>4487</v>
      </c>
      <c r="P486" s="14" t="s">
        <v>9467</v>
      </c>
      <c r="Q486" s="14" t="s">
        <v>166</v>
      </c>
      <c r="R486" s="14" t="s">
        <v>177</v>
      </c>
      <c r="S486" s="14" t="s">
        <v>178</v>
      </c>
      <c r="T486" s="14" t="s">
        <v>179</v>
      </c>
      <c r="U486" s="14" t="s">
        <v>9468</v>
      </c>
      <c r="V486" s="14" t="s">
        <v>9469</v>
      </c>
      <c r="W486" s="21" t="s">
        <v>9470</v>
      </c>
      <c r="X486" s="14" t="s">
        <v>9471</v>
      </c>
      <c r="Y486" s="14" t="s">
        <v>9472</v>
      </c>
      <c r="Z486" s="14" t="s">
        <v>9473</v>
      </c>
      <c r="AA486" s="14" t="s">
        <v>166</v>
      </c>
      <c r="AB486" s="14" t="s">
        <v>166</v>
      </c>
      <c r="AC486" s="14" t="s">
        <v>166</v>
      </c>
      <c r="AD486" s="14" t="s">
        <v>166</v>
      </c>
      <c r="AE486" s="14" t="s">
        <v>166</v>
      </c>
      <c r="AF486" s="14" t="s">
        <v>166</v>
      </c>
      <c r="AG486" s="14" t="s">
        <v>166</v>
      </c>
      <c r="AH486" s="21">
        <v>2</v>
      </c>
      <c r="AI486" s="3">
        <f>HYPERLINK("https://my.pitchbook.com/?d=120194-29T","120194-29T")</f>
      </c>
      <c r="AJ486" s="19">
        <v>43628</v>
      </c>
      <c r="AK486" s="19">
        <v>44476</v>
      </c>
      <c r="AL486" s="18">
        <v>2.95</v>
      </c>
      <c r="AM486" s="14" t="s">
        <v>185</v>
      </c>
      <c r="AN486" s="18" t="s">
        <v>166</v>
      </c>
      <c r="AO486" s="18" t="s">
        <v>166</v>
      </c>
      <c r="AP486" s="14" t="s">
        <v>166</v>
      </c>
      <c r="AQ486" s="21" t="s">
        <v>166</v>
      </c>
      <c r="AR486" s="21" t="s">
        <v>166</v>
      </c>
      <c r="AS486" s="17" t="s">
        <v>166</v>
      </c>
      <c r="AT486" s="18">
        <v>3.08</v>
      </c>
      <c r="AU486" s="21" t="s">
        <v>186</v>
      </c>
      <c r="AV486" s="21" t="s">
        <v>166</v>
      </c>
      <c r="AW486" s="18" t="s">
        <v>166</v>
      </c>
      <c r="AX486" s="21" t="s">
        <v>166</v>
      </c>
      <c r="AY486" s="14" t="s">
        <v>217</v>
      </c>
      <c r="AZ486" s="14" t="s">
        <v>217</v>
      </c>
      <c r="BA486" s="14" t="s">
        <v>166</v>
      </c>
      <c r="BB486" s="21" t="s">
        <v>166</v>
      </c>
      <c r="BC486" s="14" t="s">
        <v>179</v>
      </c>
      <c r="BD486" s="14" t="s">
        <v>9474</v>
      </c>
      <c r="BE486" s="14" t="s">
        <v>189</v>
      </c>
      <c r="BF486" s="18" t="s">
        <v>166</v>
      </c>
      <c r="BG486" s="14" t="s">
        <v>190</v>
      </c>
      <c r="BH486" s="14" t="s">
        <v>166</v>
      </c>
      <c r="BI486" s="14" t="s">
        <v>166</v>
      </c>
      <c r="BJ486" s="18" t="s">
        <v>166</v>
      </c>
      <c r="BK486" s="18" t="s">
        <v>166</v>
      </c>
      <c r="BL486" s="14" t="s">
        <v>191</v>
      </c>
      <c r="BM486" s="14" t="s">
        <v>178</v>
      </c>
      <c r="BN486" s="14" t="s">
        <v>177</v>
      </c>
      <c r="BO486" s="22" t="s">
        <v>166</v>
      </c>
      <c r="BP486" s="14" t="s">
        <v>9475</v>
      </c>
      <c r="BQ486" s="21">
        <v>18</v>
      </c>
      <c r="BR486" s="14" t="s">
        <v>914</v>
      </c>
      <c r="BS486" s="21">
        <v>1</v>
      </c>
      <c r="BT486" s="14" t="s">
        <v>166</v>
      </c>
      <c r="BU486" s="14" t="s">
        <v>166</v>
      </c>
      <c r="BV486" s="14" t="s">
        <v>9476</v>
      </c>
      <c r="BW486" s="14" t="s">
        <v>166</v>
      </c>
      <c r="BX486" s="14" t="s">
        <v>166</v>
      </c>
      <c r="BY486" s="14" t="s">
        <v>166</v>
      </c>
      <c r="BZ486" s="14" t="s">
        <v>166</v>
      </c>
      <c r="CA486" s="14" t="s">
        <v>166</v>
      </c>
      <c r="CB486" s="14" t="s">
        <v>166</v>
      </c>
      <c r="CC486" s="14" t="s">
        <v>166</v>
      </c>
      <c r="CD486" s="14" t="s">
        <v>166</v>
      </c>
      <c r="CE486" s="18" t="s">
        <v>166</v>
      </c>
      <c r="CF486" s="16" t="s">
        <v>166</v>
      </c>
      <c r="CG486" s="17" t="s">
        <v>166</v>
      </c>
      <c r="CH486" s="16" t="s">
        <v>166</v>
      </c>
      <c r="CI486" s="16" t="s">
        <v>166</v>
      </c>
      <c r="CJ486" s="16" t="s">
        <v>166</v>
      </c>
      <c r="CK486" s="16" t="s">
        <v>166</v>
      </c>
      <c r="CL486" s="16" t="s">
        <v>166</v>
      </c>
      <c r="CM486" s="20" t="s">
        <v>166</v>
      </c>
      <c r="CN486" s="16" t="s">
        <v>166</v>
      </c>
      <c r="CO486" s="16" t="s">
        <v>166</v>
      </c>
      <c r="CP486" s="16" t="s">
        <v>166</v>
      </c>
      <c r="CQ486" s="16" t="s">
        <v>166</v>
      </c>
      <c r="CR486" s="16" t="s">
        <v>166</v>
      </c>
      <c r="CS486" s="16" t="s">
        <v>166</v>
      </c>
      <c r="CT486" s="16" t="s">
        <v>166</v>
      </c>
      <c r="CU486" s="16" t="s">
        <v>166</v>
      </c>
      <c r="CV486" s="16" t="s">
        <v>166</v>
      </c>
      <c r="CW486" s="16" t="s">
        <v>166</v>
      </c>
      <c r="CX486" s="16" t="s">
        <v>166</v>
      </c>
      <c r="CY486" s="16" t="s">
        <v>166</v>
      </c>
      <c r="CZ486" s="16" t="s">
        <v>166</v>
      </c>
      <c r="DA486" s="16" t="s">
        <v>166</v>
      </c>
      <c r="DB486" s="16" t="s">
        <v>166</v>
      </c>
      <c r="DC486" s="16" t="s">
        <v>166</v>
      </c>
      <c r="DD486" s="16" t="s">
        <v>166</v>
      </c>
      <c r="DE486" s="17" t="s">
        <v>166</v>
      </c>
      <c r="DF486" s="22">
        <v>10</v>
      </c>
      <c r="DG486" s="14" t="s">
        <v>1974</v>
      </c>
      <c r="DH486" s="14" t="s">
        <v>193</v>
      </c>
      <c r="DI486" s="14" t="s">
        <v>194</v>
      </c>
      <c r="DJ486" s="14" t="s">
        <v>408</v>
      </c>
      <c r="DK486" s="14" t="s">
        <v>1975</v>
      </c>
      <c r="DL486" s="21" t="s">
        <v>3119</v>
      </c>
      <c r="DM486" s="14" t="s">
        <v>198</v>
      </c>
      <c r="DN486" s="13" t="s">
        <v>9477</v>
      </c>
      <c r="DO486" s="20">
        <v>2018</v>
      </c>
      <c r="DP486" s="14" t="s">
        <v>166</v>
      </c>
      <c r="DQ486" s="14" t="s">
        <v>166</v>
      </c>
      <c r="DR486" s="18" t="s">
        <v>166</v>
      </c>
      <c r="DS486" s="16" t="s">
        <v>166</v>
      </c>
      <c r="DT486" s="19" t="s">
        <v>166</v>
      </c>
      <c r="DU486" s="14" t="s">
        <v>166</v>
      </c>
      <c r="DV486" s="18" t="s">
        <v>166</v>
      </c>
      <c r="DW486" s="18" t="s">
        <v>166</v>
      </c>
      <c r="DX486" s="16" t="s">
        <v>166</v>
      </c>
      <c r="DY486" s="16" t="s">
        <v>166</v>
      </c>
      <c r="DZ486" s="17" t="s">
        <v>166</v>
      </c>
      <c r="EA486" s="16" t="s">
        <v>166</v>
      </c>
      <c r="EB486" s="16" t="s">
        <v>166</v>
      </c>
      <c r="EC486" s="16" t="s">
        <v>166</v>
      </c>
      <c r="ED486" s="17" t="s">
        <v>166</v>
      </c>
      <c r="EE486" s="17" t="s">
        <v>166</v>
      </c>
      <c r="EF486" s="17" t="s">
        <v>166</v>
      </c>
      <c r="EG486" s="17" t="s">
        <v>166</v>
      </c>
      <c r="EH486" s="16" t="s">
        <v>166</v>
      </c>
      <c r="EI486" s="16" t="s">
        <v>166</v>
      </c>
      <c r="EJ486" s="16" t="s">
        <v>166</v>
      </c>
      <c r="EK486" s="16" t="s">
        <v>166</v>
      </c>
      <c r="EL486" s="16" t="s">
        <v>166</v>
      </c>
      <c r="EM486" s="16" t="s">
        <v>166</v>
      </c>
      <c r="EN486" s="16" t="s">
        <v>166</v>
      </c>
      <c r="EO486" s="16" t="s">
        <v>166</v>
      </c>
      <c r="EP486" s="16" t="s">
        <v>166</v>
      </c>
      <c r="EQ486" s="16" t="s">
        <v>166</v>
      </c>
      <c r="ER486" s="16" t="s">
        <v>166</v>
      </c>
      <c r="ES486" s="16" t="s">
        <v>166</v>
      </c>
      <c r="ET486" s="14" t="s">
        <v>166</v>
      </c>
      <c r="EU486" s="16" t="s">
        <v>166</v>
      </c>
      <c r="EV486" s="16" t="s">
        <v>166</v>
      </c>
      <c r="EW486" s="16" t="s">
        <v>166</v>
      </c>
      <c r="EX486" s="14" t="s">
        <v>190</v>
      </c>
      <c r="EY486" s="14" t="s">
        <v>166</v>
      </c>
      <c r="EZ486" s="16" t="s">
        <v>166</v>
      </c>
      <c r="FA486" s="15" t="s">
        <v>166</v>
      </c>
      <c r="FB486" s="15" t="s">
        <v>166</v>
      </c>
      <c r="FC486" s="15" t="s">
        <v>166</v>
      </c>
      <c r="FD486" s="15" t="s">
        <v>166</v>
      </c>
      <c r="FE486" s="15" t="s">
        <v>166</v>
      </c>
      <c r="FF486" s="15" t="s">
        <v>166</v>
      </c>
      <c r="FG486" s="14" t="s">
        <v>166</v>
      </c>
      <c r="FH486" s="3">
        <f>HYPERLINK("https://my.pitchbook.com?c=120194-29T","View Company Online")</f>
      </c>
    </row>
    <row r="487">
      <c r="A487" s="25" t="s">
        <v>9478</v>
      </c>
      <c r="B487" s="25" t="s">
        <v>9479</v>
      </c>
      <c r="C487" s="25" t="s">
        <v>9480</v>
      </c>
      <c r="D487" s="25" t="s">
        <v>166</v>
      </c>
      <c r="E487" s="34" t="s">
        <v>6481</v>
      </c>
      <c r="F487" s="32">
        <v>1</v>
      </c>
      <c r="G487" s="25" t="s">
        <v>9481</v>
      </c>
      <c r="H487" s="25" t="s">
        <v>166</v>
      </c>
      <c r="I487" s="25" t="s">
        <v>9482</v>
      </c>
      <c r="J487" s="25" t="s">
        <v>9483</v>
      </c>
      <c r="K487" s="25" t="s">
        <v>207</v>
      </c>
      <c r="L487" s="25" t="s">
        <v>208</v>
      </c>
      <c r="M487" s="25" t="s">
        <v>209</v>
      </c>
      <c r="N487" s="25" t="s">
        <v>269</v>
      </c>
      <c r="O487" s="25" t="s">
        <v>9484</v>
      </c>
      <c r="P487" s="25" t="s">
        <v>9485</v>
      </c>
      <c r="Q487" s="25" t="s">
        <v>166</v>
      </c>
      <c r="R487" s="25" t="s">
        <v>177</v>
      </c>
      <c r="S487" s="25" t="s">
        <v>178</v>
      </c>
      <c r="T487" s="25" t="s">
        <v>179</v>
      </c>
      <c r="U487" s="25" t="s">
        <v>9486</v>
      </c>
      <c r="V487" s="25" t="s">
        <v>9487</v>
      </c>
      <c r="W487" s="32" t="s">
        <v>166</v>
      </c>
      <c r="X487" s="25" t="s">
        <v>9488</v>
      </c>
      <c r="Y487" s="25" t="s">
        <v>9489</v>
      </c>
      <c r="Z487" s="25" t="s">
        <v>9490</v>
      </c>
      <c r="AA487" s="25" t="s">
        <v>166</v>
      </c>
      <c r="AB487" s="25" t="s">
        <v>166</v>
      </c>
      <c r="AC487" s="25" t="s">
        <v>166</v>
      </c>
      <c r="AD487" s="25" t="s">
        <v>166</v>
      </c>
      <c r="AE487" s="25" t="s">
        <v>166</v>
      </c>
      <c r="AF487" s="25" t="s">
        <v>166</v>
      </c>
      <c r="AG487" s="25" t="s">
        <v>166</v>
      </c>
      <c r="AH487" s="32">
        <v>1</v>
      </c>
      <c r="AI487" s="4">
        <f>HYPERLINK("https://my.pitchbook.com/?d=232495-66T","232495-66T")</f>
      </c>
      <c r="AJ487" s="30" t="s">
        <v>166</v>
      </c>
      <c r="AK487" s="30">
        <v>45108</v>
      </c>
      <c r="AL487" s="29">
        <v>0.63</v>
      </c>
      <c r="AM487" s="25" t="s">
        <v>185</v>
      </c>
      <c r="AN487" s="29" t="s">
        <v>166</v>
      </c>
      <c r="AO487" s="29" t="s">
        <v>166</v>
      </c>
      <c r="AP487" s="25" t="s">
        <v>166</v>
      </c>
      <c r="AQ487" s="32" t="s">
        <v>166</v>
      </c>
      <c r="AR487" s="32" t="s">
        <v>166</v>
      </c>
      <c r="AS487" s="28" t="s">
        <v>166</v>
      </c>
      <c r="AT487" s="29">
        <v>0.63</v>
      </c>
      <c r="AU487" s="32" t="s">
        <v>186</v>
      </c>
      <c r="AV487" s="32" t="s">
        <v>166</v>
      </c>
      <c r="AW487" s="29" t="s">
        <v>166</v>
      </c>
      <c r="AX487" s="32" t="s">
        <v>166</v>
      </c>
      <c r="AY487" s="25" t="s">
        <v>187</v>
      </c>
      <c r="AZ487" s="25" t="s">
        <v>166</v>
      </c>
      <c r="BA487" s="25" t="s">
        <v>166</v>
      </c>
      <c r="BB487" s="32" t="s">
        <v>166</v>
      </c>
      <c r="BC487" s="25" t="s">
        <v>179</v>
      </c>
      <c r="BD487" s="25" t="s">
        <v>9483</v>
      </c>
      <c r="BE487" s="25" t="s">
        <v>189</v>
      </c>
      <c r="BF487" s="29">
        <v>0.63</v>
      </c>
      <c r="BG487" s="25" t="s">
        <v>190</v>
      </c>
      <c r="BH487" s="25" t="s">
        <v>166</v>
      </c>
      <c r="BI487" s="25" t="s">
        <v>166</v>
      </c>
      <c r="BJ487" s="29" t="s">
        <v>166</v>
      </c>
      <c r="BK487" s="29" t="s">
        <v>166</v>
      </c>
      <c r="BL487" s="25" t="s">
        <v>191</v>
      </c>
      <c r="BM487" s="25" t="s">
        <v>178</v>
      </c>
      <c r="BN487" s="25" t="s">
        <v>177</v>
      </c>
      <c r="BO487" s="33" t="s">
        <v>166</v>
      </c>
      <c r="BP487" s="25" t="s">
        <v>6481</v>
      </c>
      <c r="BQ487" s="32">
        <v>1</v>
      </c>
      <c r="BR487" s="25" t="s">
        <v>166</v>
      </c>
      <c r="BS487" s="32" t="s">
        <v>166</v>
      </c>
      <c r="BT487" s="25" t="s">
        <v>6481</v>
      </c>
      <c r="BU487" s="25" t="s">
        <v>166</v>
      </c>
      <c r="BV487" s="25" t="s">
        <v>166</v>
      </c>
      <c r="BW487" s="25" t="s">
        <v>166</v>
      </c>
      <c r="BX487" s="25" t="s">
        <v>166</v>
      </c>
      <c r="BY487" s="25" t="s">
        <v>166</v>
      </c>
      <c r="BZ487" s="25" t="s">
        <v>9491</v>
      </c>
      <c r="CA487" s="25" t="s">
        <v>166</v>
      </c>
      <c r="CB487" s="25" t="s">
        <v>166</v>
      </c>
      <c r="CC487" s="25" t="s">
        <v>9491</v>
      </c>
      <c r="CD487" s="25" t="s">
        <v>166</v>
      </c>
      <c r="CE487" s="29" t="s">
        <v>166</v>
      </c>
      <c r="CF487" s="27" t="s">
        <v>166</v>
      </c>
      <c r="CG487" s="28" t="s">
        <v>166</v>
      </c>
      <c r="CH487" s="27" t="s">
        <v>166</v>
      </c>
      <c r="CI487" s="27" t="s">
        <v>166</v>
      </c>
      <c r="CJ487" s="27" t="s">
        <v>166</v>
      </c>
      <c r="CK487" s="27" t="s">
        <v>166</v>
      </c>
      <c r="CL487" s="27" t="s">
        <v>166</v>
      </c>
      <c r="CM487" s="31" t="s">
        <v>166</v>
      </c>
      <c r="CN487" s="27" t="s">
        <v>166</v>
      </c>
      <c r="CO487" s="27" t="s">
        <v>166</v>
      </c>
      <c r="CP487" s="27" t="s">
        <v>166</v>
      </c>
      <c r="CQ487" s="27" t="s">
        <v>166</v>
      </c>
      <c r="CR487" s="27" t="s">
        <v>166</v>
      </c>
      <c r="CS487" s="27" t="s">
        <v>166</v>
      </c>
      <c r="CT487" s="27" t="s">
        <v>166</v>
      </c>
      <c r="CU487" s="27" t="s">
        <v>166</v>
      </c>
      <c r="CV487" s="27" t="s">
        <v>166</v>
      </c>
      <c r="CW487" s="27" t="s">
        <v>166</v>
      </c>
      <c r="CX487" s="27" t="s">
        <v>166</v>
      </c>
      <c r="CY487" s="27" t="s">
        <v>166</v>
      </c>
      <c r="CZ487" s="27" t="s">
        <v>166</v>
      </c>
      <c r="DA487" s="27" t="s">
        <v>166</v>
      </c>
      <c r="DB487" s="27" t="s">
        <v>166</v>
      </c>
      <c r="DC487" s="27" t="s">
        <v>166</v>
      </c>
      <c r="DD487" s="27" t="s">
        <v>166</v>
      </c>
      <c r="DE487" s="28" t="s">
        <v>166</v>
      </c>
      <c r="DF487" s="33">
        <v>5</v>
      </c>
      <c r="DG487" s="25" t="s">
        <v>309</v>
      </c>
      <c r="DH487" s="25" t="s">
        <v>193</v>
      </c>
      <c r="DI487" s="25" t="s">
        <v>194</v>
      </c>
      <c r="DJ487" s="25" t="s">
        <v>310</v>
      </c>
      <c r="DK487" s="25" t="s">
        <v>310</v>
      </c>
      <c r="DL487" s="32" t="s">
        <v>935</v>
      </c>
      <c r="DM487" s="25" t="s">
        <v>198</v>
      </c>
      <c r="DN487" s="24" t="s">
        <v>9492</v>
      </c>
      <c r="DO487" s="31">
        <v>2023</v>
      </c>
      <c r="DP487" s="25" t="s">
        <v>166</v>
      </c>
      <c r="DQ487" s="25" t="s">
        <v>166</v>
      </c>
      <c r="DR487" s="29" t="s">
        <v>166</v>
      </c>
      <c r="DS487" s="27" t="s">
        <v>166</v>
      </c>
      <c r="DT487" s="30" t="s">
        <v>166</v>
      </c>
      <c r="DU487" s="25" t="s">
        <v>166</v>
      </c>
      <c r="DV487" s="29" t="s">
        <v>166</v>
      </c>
      <c r="DW487" s="29" t="s">
        <v>166</v>
      </c>
      <c r="DX487" s="27" t="s">
        <v>166</v>
      </c>
      <c r="DY487" s="27" t="s">
        <v>166</v>
      </c>
      <c r="DZ487" s="28" t="s">
        <v>166</v>
      </c>
      <c r="EA487" s="27" t="s">
        <v>166</v>
      </c>
      <c r="EB487" s="27" t="s">
        <v>166</v>
      </c>
      <c r="EC487" s="27" t="s">
        <v>166</v>
      </c>
      <c r="ED487" s="28" t="s">
        <v>166</v>
      </c>
      <c r="EE487" s="28" t="s">
        <v>166</v>
      </c>
      <c r="EF487" s="28" t="s">
        <v>166</v>
      </c>
      <c r="EG487" s="28" t="s">
        <v>166</v>
      </c>
      <c r="EH487" s="27" t="s">
        <v>166</v>
      </c>
      <c r="EI487" s="27" t="s">
        <v>166</v>
      </c>
      <c r="EJ487" s="27" t="s">
        <v>166</v>
      </c>
      <c r="EK487" s="27" t="s">
        <v>166</v>
      </c>
      <c r="EL487" s="27" t="s">
        <v>166</v>
      </c>
      <c r="EM487" s="27" t="s">
        <v>166</v>
      </c>
      <c r="EN487" s="27" t="s">
        <v>166</v>
      </c>
      <c r="EO487" s="27" t="s">
        <v>166</v>
      </c>
      <c r="EP487" s="27" t="s">
        <v>166</v>
      </c>
      <c r="EQ487" s="27" t="s">
        <v>166</v>
      </c>
      <c r="ER487" s="27" t="s">
        <v>166</v>
      </c>
      <c r="ES487" s="27" t="s">
        <v>166</v>
      </c>
      <c r="ET487" s="25" t="s">
        <v>166</v>
      </c>
      <c r="EU487" s="27" t="s">
        <v>166</v>
      </c>
      <c r="EV487" s="27" t="s">
        <v>166</v>
      </c>
      <c r="EW487" s="27" t="s">
        <v>166</v>
      </c>
      <c r="EX487" s="25" t="s">
        <v>190</v>
      </c>
      <c r="EY487" s="25" t="s">
        <v>166</v>
      </c>
      <c r="EZ487" s="27" t="s">
        <v>166</v>
      </c>
      <c r="FA487" s="26" t="s">
        <v>166</v>
      </c>
      <c r="FB487" s="26" t="s">
        <v>166</v>
      </c>
      <c r="FC487" s="26" t="s">
        <v>166</v>
      </c>
      <c r="FD487" s="26" t="s">
        <v>166</v>
      </c>
      <c r="FE487" s="26" t="s">
        <v>166</v>
      </c>
      <c r="FF487" s="26" t="s">
        <v>166</v>
      </c>
      <c r="FG487" s="25" t="s">
        <v>166</v>
      </c>
      <c r="FH487" s="4">
        <f>HYPERLINK("https://my.pitchbook.com?c=232495-66T","View Company Online")</f>
      </c>
    </row>
    <row r="488">
      <c r="A488" s="14" t="s">
        <v>9493</v>
      </c>
      <c r="B488" s="14" t="s">
        <v>9494</v>
      </c>
      <c r="C488" s="14" t="s">
        <v>9495</v>
      </c>
      <c r="D488" s="14" t="s">
        <v>166</v>
      </c>
      <c r="E488" s="23" t="s">
        <v>9496</v>
      </c>
      <c r="F488" s="21">
        <v>1</v>
      </c>
      <c r="G488" s="14" t="s">
        <v>9497</v>
      </c>
      <c r="H488" s="14" t="s">
        <v>166</v>
      </c>
      <c r="I488" s="14" t="s">
        <v>9498</v>
      </c>
      <c r="J488" s="14" t="s">
        <v>9499</v>
      </c>
      <c r="K488" s="14" t="s">
        <v>171</v>
      </c>
      <c r="L488" s="14" t="s">
        <v>172</v>
      </c>
      <c r="M488" s="14" t="s">
        <v>173</v>
      </c>
      <c r="N488" s="14" t="s">
        <v>9500</v>
      </c>
      <c r="O488" s="14" t="s">
        <v>166</v>
      </c>
      <c r="P488" s="14" t="s">
        <v>9501</v>
      </c>
      <c r="Q488" s="14" t="s">
        <v>166</v>
      </c>
      <c r="R488" s="14" t="s">
        <v>177</v>
      </c>
      <c r="S488" s="14" t="s">
        <v>358</v>
      </c>
      <c r="T488" s="14" t="s">
        <v>179</v>
      </c>
      <c r="U488" s="14" t="s">
        <v>9502</v>
      </c>
      <c r="V488" s="14" t="s">
        <v>9503</v>
      </c>
      <c r="W488" s="21" t="s">
        <v>9504</v>
      </c>
      <c r="X488" s="14" t="s">
        <v>9505</v>
      </c>
      <c r="Y488" s="14" t="s">
        <v>9506</v>
      </c>
      <c r="Z488" s="14" t="s">
        <v>166</v>
      </c>
      <c r="AA488" s="14" t="s">
        <v>166</v>
      </c>
      <c r="AB488" s="14" t="s">
        <v>166</v>
      </c>
      <c r="AC488" s="14" t="s">
        <v>166</v>
      </c>
      <c r="AD488" s="14" t="s">
        <v>166</v>
      </c>
      <c r="AE488" s="14" t="s">
        <v>166</v>
      </c>
      <c r="AF488" s="14" t="s">
        <v>166</v>
      </c>
      <c r="AG488" s="14" t="s">
        <v>166</v>
      </c>
      <c r="AH488" s="21">
        <v>1</v>
      </c>
      <c r="AI488" s="3">
        <f>HYPERLINK("https://my.pitchbook.com/?d=204651-01T","204651-01T")</f>
      </c>
      <c r="AJ488" s="19" t="s">
        <v>166</v>
      </c>
      <c r="AK488" s="19">
        <v>44774</v>
      </c>
      <c r="AL488" s="18">
        <v>1.75</v>
      </c>
      <c r="AM488" s="14" t="s">
        <v>185</v>
      </c>
      <c r="AN488" s="18">
        <v>35</v>
      </c>
      <c r="AO488" s="18">
        <v>36.75</v>
      </c>
      <c r="AP488" s="14" t="s">
        <v>185</v>
      </c>
      <c r="AQ488" s="21" t="s">
        <v>166</v>
      </c>
      <c r="AR488" s="21" t="s">
        <v>166</v>
      </c>
      <c r="AS488" s="17" t="s">
        <v>166</v>
      </c>
      <c r="AT488" s="18">
        <v>1.75</v>
      </c>
      <c r="AU488" s="21" t="s">
        <v>186</v>
      </c>
      <c r="AV488" s="21" t="s">
        <v>166</v>
      </c>
      <c r="AW488" s="18" t="s">
        <v>166</v>
      </c>
      <c r="AX488" s="21" t="s">
        <v>166</v>
      </c>
      <c r="AY488" s="14" t="s">
        <v>187</v>
      </c>
      <c r="AZ488" s="14" t="s">
        <v>166</v>
      </c>
      <c r="BA488" s="14" t="s">
        <v>166</v>
      </c>
      <c r="BB488" s="21" t="s">
        <v>166</v>
      </c>
      <c r="BC488" s="14" t="s">
        <v>179</v>
      </c>
      <c r="BD488" s="14" t="s">
        <v>9499</v>
      </c>
      <c r="BE488" s="14" t="s">
        <v>189</v>
      </c>
      <c r="BF488" s="18">
        <v>1.75</v>
      </c>
      <c r="BG488" s="14" t="s">
        <v>190</v>
      </c>
      <c r="BH488" s="14" t="s">
        <v>166</v>
      </c>
      <c r="BI488" s="14" t="s">
        <v>166</v>
      </c>
      <c r="BJ488" s="18" t="s">
        <v>166</v>
      </c>
      <c r="BK488" s="18" t="s">
        <v>166</v>
      </c>
      <c r="BL488" s="14" t="s">
        <v>191</v>
      </c>
      <c r="BM488" s="14" t="s">
        <v>358</v>
      </c>
      <c r="BN488" s="14" t="s">
        <v>177</v>
      </c>
      <c r="BO488" s="22">
        <v>6</v>
      </c>
      <c r="BP488" s="14" t="s">
        <v>9496</v>
      </c>
      <c r="BQ488" s="21">
        <v>1</v>
      </c>
      <c r="BR488" s="14" t="s">
        <v>166</v>
      </c>
      <c r="BS488" s="21" t="s">
        <v>166</v>
      </c>
      <c r="BT488" s="14" t="s">
        <v>166</v>
      </c>
      <c r="BU488" s="14" t="s">
        <v>166</v>
      </c>
      <c r="BV488" s="14" t="s">
        <v>166</v>
      </c>
      <c r="BW488" s="14" t="s">
        <v>166</v>
      </c>
      <c r="BX488" s="14" t="s">
        <v>166</v>
      </c>
      <c r="BY488" s="14" t="s">
        <v>166</v>
      </c>
      <c r="BZ488" s="14" t="s">
        <v>166</v>
      </c>
      <c r="CA488" s="14" t="s">
        <v>166</v>
      </c>
      <c r="CB488" s="14" t="s">
        <v>166</v>
      </c>
      <c r="CC488" s="14" t="s">
        <v>166</v>
      </c>
      <c r="CD488" s="14" t="s">
        <v>166</v>
      </c>
      <c r="CE488" s="18" t="s">
        <v>166</v>
      </c>
      <c r="CF488" s="16" t="s">
        <v>166</v>
      </c>
      <c r="CG488" s="17" t="s">
        <v>166</v>
      </c>
      <c r="CH488" s="16" t="s">
        <v>166</v>
      </c>
      <c r="CI488" s="16" t="s">
        <v>166</v>
      </c>
      <c r="CJ488" s="16" t="s">
        <v>166</v>
      </c>
      <c r="CK488" s="16" t="s">
        <v>166</v>
      </c>
      <c r="CL488" s="16" t="s">
        <v>166</v>
      </c>
      <c r="CM488" s="20" t="s">
        <v>166</v>
      </c>
      <c r="CN488" s="16" t="s">
        <v>166</v>
      </c>
      <c r="CO488" s="16" t="s">
        <v>166</v>
      </c>
      <c r="CP488" s="16" t="s">
        <v>166</v>
      </c>
      <c r="CQ488" s="16" t="s">
        <v>166</v>
      </c>
      <c r="CR488" s="16" t="s">
        <v>166</v>
      </c>
      <c r="CS488" s="16" t="s">
        <v>166</v>
      </c>
      <c r="CT488" s="16" t="s">
        <v>166</v>
      </c>
      <c r="CU488" s="16" t="s">
        <v>166</v>
      </c>
      <c r="CV488" s="16" t="s">
        <v>166</v>
      </c>
      <c r="CW488" s="16" t="s">
        <v>166</v>
      </c>
      <c r="CX488" s="16" t="s">
        <v>166</v>
      </c>
      <c r="CY488" s="16" t="s">
        <v>166</v>
      </c>
      <c r="CZ488" s="16" t="s">
        <v>166</v>
      </c>
      <c r="DA488" s="16" t="s">
        <v>166</v>
      </c>
      <c r="DB488" s="16" t="s">
        <v>166</v>
      </c>
      <c r="DC488" s="16" t="s">
        <v>166</v>
      </c>
      <c r="DD488" s="16" t="s">
        <v>166</v>
      </c>
      <c r="DE488" s="17" t="s">
        <v>166</v>
      </c>
      <c r="DF488" s="22">
        <v>25</v>
      </c>
      <c r="DG488" s="14" t="s">
        <v>9507</v>
      </c>
      <c r="DH488" s="14" t="s">
        <v>193</v>
      </c>
      <c r="DI488" s="14" t="s">
        <v>194</v>
      </c>
      <c r="DJ488" s="14" t="s">
        <v>9508</v>
      </c>
      <c r="DK488" s="14" t="s">
        <v>9509</v>
      </c>
      <c r="DL488" s="21" t="s">
        <v>9510</v>
      </c>
      <c r="DM488" s="14" t="s">
        <v>198</v>
      </c>
      <c r="DN488" s="13" t="s">
        <v>9511</v>
      </c>
      <c r="DO488" s="20">
        <v>2022</v>
      </c>
      <c r="DP488" s="14" t="s">
        <v>166</v>
      </c>
      <c r="DQ488" s="14" t="s">
        <v>166</v>
      </c>
      <c r="DR488" s="18" t="s">
        <v>166</v>
      </c>
      <c r="DS488" s="16" t="s">
        <v>166</v>
      </c>
      <c r="DT488" s="19" t="s">
        <v>166</v>
      </c>
      <c r="DU488" s="14" t="s">
        <v>166</v>
      </c>
      <c r="DV488" s="18" t="s">
        <v>166</v>
      </c>
      <c r="DW488" s="18" t="s">
        <v>166</v>
      </c>
      <c r="DX488" s="16" t="s">
        <v>166</v>
      </c>
      <c r="DY488" s="16" t="s">
        <v>166</v>
      </c>
      <c r="DZ488" s="17" t="s">
        <v>166</v>
      </c>
      <c r="EA488" s="16" t="s">
        <v>166</v>
      </c>
      <c r="EB488" s="16" t="s">
        <v>166</v>
      </c>
      <c r="EC488" s="16" t="s">
        <v>166</v>
      </c>
      <c r="ED488" s="17" t="s">
        <v>166</v>
      </c>
      <c r="EE488" s="17" t="s">
        <v>166</v>
      </c>
      <c r="EF488" s="17" t="s">
        <v>166</v>
      </c>
      <c r="EG488" s="17" t="s">
        <v>166</v>
      </c>
      <c r="EH488" s="16" t="s">
        <v>166</v>
      </c>
      <c r="EI488" s="16" t="s">
        <v>166</v>
      </c>
      <c r="EJ488" s="16" t="s">
        <v>166</v>
      </c>
      <c r="EK488" s="16" t="s">
        <v>166</v>
      </c>
      <c r="EL488" s="16" t="s">
        <v>166</v>
      </c>
      <c r="EM488" s="16" t="s">
        <v>166</v>
      </c>
      <c r="EN488" s="16" t="s">
        <v>166</v>
      </c>
      <c r="EO488" s="16" t="s">
        <v>166</v>
      </c>
      <c r="EP488" s="16" t="s">
        <v>166</v>
      </c>
      <c r="EQ488" s="16" t="s">
        <v>166</v>
      </c>
      <c r="ER488" s="16" t="s">
        <v>166</v>
      </c>
      <c r="ES488" s="16" t="s">
        <v>166</v>
      </c>
      <c r="ET488" s="14" t="s">
        <v>166</v>
      </c>
      <c r="EU488" s="16" t="s">
        <v>166</v>
      </c>
      <c r="EV488" s="16" t="s">
        <v>166</v>
      </c>
      <c r="EW488" s="16" t="s">
        <v>166</v>
      </c>
      <c r="EX488" s="14" t="s">
        <v>190</v>
      </c>
      <c r="EY488" s="14" t="s">
        <v>166</v>
      </c>
      <c r="EZ488" s="16" t="s">
        <v>166</v>
      </c>
      <c r="FA488" s="15" t="s">
        <v>166</v>
      </c>
      <c r="FB488" s="15" t="s">
        <v>166</v>
      </c>
      <c r="FC488" s="15" t="s">
        <v>166</v>
      </c>
      <c r="FD488" s="15" t="s">
        <v>166</v>
      </c>
      <c r="FE488" s="15" t="s">
        <v>166</v>
      </c>
      <c r="FF488" s="15" t="s">
        <v>166</v>
      </c>
      <c r="FG488" s="14" t="s">
        <v>166</v>
      </c>
      <c r="FH488" s="3">
        <f>HYPERLINK("https://my.pitchbook.com?c=204651-01T","View Company Online")</f>
      </c>
    </row>
    <row r="489">
      <c r="A489" s="25" t="s">
        <v>9512</v>
      </c>
      <c r="B489" s="25" t="s">
        <v>9513</v>
      </c>
      <c r="C489" s="25" t="s">
        <v>9514</v>
      </c>
      <c r="D489" s="25" t="s">
        <v>166</v>
      </c>
      <c r="E489" s="34" t="s">
        <v>9515</v>
      </c>
      <c r="F489" s="32">
        <v>4</v>
      </c>
      <c r="G489" s="25" t="s">
        <v>9516</v>
      </c>
      <c r="H489" s="25" t="s">
        <v>166</v>
      </c>
      <c r="I489" s="25" t="s">
        <v>9517</v>
      </c>
      <c r="J489" s="25" t="s">
        <v>9518</v>
      </c>
      <c r="K489" s="25" t="s">
        <v>171</v>
      </c>
      <c r="L489" s="25" t="s">
        <v>172</v>
      </c>
      <c r="M489" s="25" t="s">
        <v>2426</v>
      </c>
      <c r="N489" s="25" t="s">
        <v>9519</v>
      </c>
      <c r="O489" s="25" t="s">
        <v>166</v>
      </c>
      <c r="P489" s="25" t="s">
        <v>9520</v>
      </c>
      <c r="Q489" s="25" t="s">
        <v>166</v>
      </c>
      <c r="R489" s="25" t="s">
        <v>177</v>
      </c>
      <c r="S489" s="25" t="s">
        <v>178</v>
      </c>
      <c r="T489" s="25" t="s">
        <v>179</v>
      </c>
      <c r="U489" s="25" t="s">
        <v>9521</v>
      </c>
      <c r="V489" s="25" t="s">
        <v>9522</v>
      </c>
      <c r="W489" s="32" t="s">
        <v>166</v>
      </c>
      <c r="X489" s="25" t="s">
        <v>9523</v>
      </c>
      <c r="Y489" s="25" t="s">
        <v>9524</v>
      </c>
      <c r="Z489" s="25" t="s">
        <v>166</v>
      </c>
      <c r="AA489" s="25" t="s">
        <v>166</v>
      </c>
      <c r="AB489" s="25" t="s">
        <v>166</v>
      </c>
      <c r="AC489" s="25" t="s">
        <v>166</v>
      </c>
      <c r="AD489" s="25" t="s">
        <v>166</v>
      </c>
      <c r="AE489" s="25" t="s">
        <v>166</v>
      </c>
      <c r="AF489" s="25" t="s">
        <v>166</v>
      </c>
      <c r="AG489" s="25" t="s">
        <v>166</v>
      </c>
      <c r="AH489" s="32">
        <v>4</v>
      </c>
      <c r="AI489" s="4">
        <f>HYPERLINK("https://my.pitchbook.com/?d=240934-51T","240934-51T")</f>
      </c>
      <c r="AJ489" s="30">
        <v>45014</v>
      </c>
      <c r="AK489" s="30">
        <v>45162</v>
      </c>
      <c r="AL489" s="29">
        <v>0.4</v>
      </c>
      <c r="AM489" s="25" t="s">
        <v>185</v>
      </c>
      <c r="AN489" s="29" t="s">
        <v>166</v>
      </c>
      <c r="AO489" s="29" t="s">
        <v>166</v>
      </c>
      <c r="AP489" s="25" t="s">
        <v>166</v>
      </c>
      <c r="AQ489" s="32" t="s">
        <v>166</v>
      </c>
      <c r="AR489" s="32" t="s">
        <v>166</v>
      </c>
      <c r="AS489" s="28" t="s">
        <v>166</v>
      </c>
      <c r="AT489" s="29">
        <v>0.71</v>
      </c>
      <c r="AU489" s="32" t="s">
        <v>186</v>
      </c>
      <c r="AV489" s="32" t="s">
        <v>166</v>
      </c>
      <c r="AW489" s="29" t="s">
        <v>166</v>
      </c>
      <c r="AX489" s="32" t="s">
        <v>166</v>
      </c>
      <c r="AY489" s="25" t="s">
        <v>187</v>
      </c>
      <c r="AZ489" s="25" t="s">
        <v>166</v>
      </c>
      <c r="BA489" s="25" t="s">
        <v>166</v>
      </c>
      <c r="BB489" s="32" t="s">
        <v>166</v>
      </c>
      <c r="BC489" s="25" t="s">
        <v>179</v>
      </c>
      <c r="BD489" s="25" t="s">
        <v>9525</v>
      </c>
      <c r="BE489" s="25" t="s">
        <v>189</v>
      </c>
      <c r="BF489" s="29">
        <v>0.4</v>
      </c>
      <c r="BG489" s="25" t="s">
        <v>190</v>
      </c>
      <c r="BH489" s="25" t="s">
        <v>166</v>
      </c>
      <c r="BI489" s="25" t="s">
        <v>166</v>
      </c>
      <c r="BJ489" s="29" t="s">
        <v>166</v>
      </c>
      <c r="BK489" s="29" t="s">
        <v>166</v>
      </c>
      <c r="BL489" s="25" t="s">
        <v>191</v>
      </c>
      <c r="BM489" s="25" t="s">
        <v>178</v>
      </c>
      <c r="BN489" s="25" t="s">
        <v>177</v>
      </c>
      <c r="BO489" s="33" t="s">
        <v>166</v>
      </c>
      <c r="BP489" s="25" t="s">
        <v>9526</v>
      </c>
      <c r="BQ489" s="32">
        <v>3</v>
      </c>
      <c r="BR489" s="25" t="s">
        <v>7750</v>
      </c>
      <c r="BS489" s="32">
        <v>1</v>
      </c>
      <c r="BT489" s="25" t="s">
        <v>166</v>
      </c>
      <c r="BU489" s="25" t="s">
        <v>166</v>
      </c>
      <c r="BV489" s="25" t="s">
        <v>3301</v>
      </c>
      <c r="BW489" s="25" t="s">
        <v>166</v>
      </c>
      <c r="BX489" s="25" t="s">
        <v>166</v>
      </c>
      <c r="BY489" s="25" t="s">
        <v>166</v>
      </c>
      <c r="BZ489" s="25" t="s">
        <v>166</v>
      </c>
      <c r="CA489" s="25" t="s">
        <v>166</v>
      </c>
      <c r="CB489" s="25" t="s">
        <v>166</v>
      </c>
      <c r="CC489" s="25" t="s">
        <v>166</v>
      </c>
      <c r="CD489" s="25" t="s">
        <v>166</v>
      </c>
      <c r="CE489" s="29" t="s">
        <v>166</v>
      </c>
      <c r="CF489" s="27" t="s">
        <v>166</v>
      </c>
      <c r="CG489" s="28" t="s">
        <v>166</v>
      </c>
      <c r="CH489" s="27" t="s">
        <v>166</v>
      </c>
      <c r="CI489" s="27" t="s">
        <v>166</v>
      </c>
      <c r="CJ489" s="27" t="s">
        <v>166</v>
      </c>
      <c r="CK489" s="27" t="s">
        <v>166</v>
      </c>
      <c r="CL489" s="27" t="s">
        <v>166</v>
      </c>
      <c r="CM489" s="31" t="s">
        <v>166</v>
      </c>
      <c r="CN489" s="27" t="s">
        <v>166</v>
      </c>
      <c r="CO489" s="27" t="s">
        <v>166</v>
      </c>
      <c r="CP489" s="27" t="s">
        <v>166</v>
      </c>
      <c r="CQ489" s="27" t="s">
        <v>166</v>
      </c>
      <c r="CR489" s="27" t="s">
        <v>166</v>
      </c>
      <c r="CS489" s="27" t="s">
        <v>166</v>
      </c>
      <c r="CT489" s="27" t="s">
        <v>166</v>
      </c>
      <c r="CU489" s="27" t="s">
        <v>166</v>
      </c>
      <c r="CV489" s="27" t="s">
        <v>166</v>
      </c>
      <c r="CW489" s="27" t="s">
        <v>166</v>
      </c>
      <c r="CX489" s="27" t="s">
        <v>166</v>
      </c>
      <c r="CY489" s="27" t="s">
        <v>166</v>
      </c>
      <c r="CZ489" s="27" t="s">
        <v>166</v>
      </c>
      <c r="DA489" s="27" t="s">
        <v>166</v>
      </c>
      <c r="DB489" s="27" t="s">
        <v>166</v>
      </c>
      <c r="DC489" s="27" t="s">
        <v>166</v>
      </c>
      <c r="DD489" s="27" t="s">
        <v>166</v>
      </c>
      <c r="DE489" s="28" t="s">
        <v>166</v>
      </c>
      <c r="DF489" s="33">
        <v>7</v>
      </c>
      <c r="DG489" s="25" t="s">
        <v>654</v>
      </c>
      <c r="DH489" s="25" t="s">
        <v>193</v>
      </c>
      <c r="DI489" s="25" t="s">
        <v>194</v>
      </c>
      <c r="DJ489" s="25" t="s">
        <v>655</v>
      </c>
      <c r="DK489" s="25" t="s">
        <v>310</v>
      </c>
      <c r="DL489" s="32" t="s">
        <v>9527</v>
      </c>
      <c r="DM489" s="25" t="s">
        <v>198</v>
      </c>
      <c r="DN489" s="24" t="s">
        <v>9528</v>
      </c>
      <c r="DO489" s="31">
        <v>2020</v>
      </c>
      <c r="DP489" s="25" t="s">
        <v>166</v>
      </c>
      <c r="DQ489" s="25" t="s">
        <v>9529</v>
      </c>
      <c r="DR489" s="29" t="s">
        <v>166</v>
      </c>
      <c r="DS489" s="27" t="s">
        <v>166</v>
      </c>
      <c r="DT489" s="30" t="s">
        <v>166</v>
      </c>
      <c r="DU489" s="25" t="s">
        <v>166</v>
      </c>
      <c r="DV489" s="29" t="s">
        <v>166</v>
      </c>
      <c r="DW489" s="29" t="s">
        <v>166</v>
      </c>
      <c r="DX489" s="27" t="s">
        <v>166</v>
      </c>
      <c r="DY489" s="27" t="s">
        <v>166</v>
      </c>
      <c r="DZ489" s="28" t="s">
        <v>166</v>
      </c>
      <c r="EA489" s="27" t="s">
        <v>166</v>
      </c>
      <c r="EB489" s="27" t="s">
        <v>166</v>
      </c>
      <c r="EC489" s="27" t="s">
        <v>166</v>
      </c>
      <c r="ED489" s="28" t="s">
        <v>166</v>
      </c>
      <c r="EE489" s="28" t="s">
        <v>166</v>
      </c>
      <c r="EF489" s="28" t="s">
        <v>166</v>
      </c>
      <c r="EG489" s="28" t="s">
        <v>166</v>
      </c>
      <c r="EH489" s="27" t="s">
        <v>166</v>
      </c>
      <c r="EI489" s="27" t="s">
        <v>166</v>
      </c>
      <c r="EJ489" s="27" t="s">
        <v>166</v>
      </c>
      <c r="EK489" s="27" t="s">
        <v>166</v>
      </c>
      <c r="EL489" s="27" t="s">
        <v>166</v>
      </c>
      <c r="EM489" s="27" t="s">
        <v>166</v>
      </c>
      <c r="EN489" s="27" t="s">
        <v>166</v>
      </c>
      <c r="EO489" s="27" t="s">
        <v>166</v>
      </c>
      <c r="EP489" s="27" t="s">
        <v>166</v>
      </c>
      <c r="EQ489" s="27" t="s">
        <v>166</v>
      </c>
      <c r="ER489" s="27" t="s">
        <v>166</v>
      </c>
      <c r="ES489" s="27" t="s">
        <v>166</v>
      </c>
      <c r="ET489" s="25" t="s">
        <v>166</v>
      </c>
      <c r="EU489" s="27" t="s">
        <v>166</v>
      </c>
      <c r="EV489" s="27" t="s">
        <v>166</v>
      </c>
      <c r="EW489" s="27" t="s">
        <v>166</v>
      </c>
      <c r="EX489" s="25" t="s">
        <v>190</v>
      </c>
      <c r="EY489" s="25" t="s">
        <v>190</v>
      </c>
      <c r="EZ489" s="27" t="s">
        <v>166</v>
      </c>
      <c r="FA489" s="26">
        <v>2</v>
      </c>
      <c r="FB489" s="26">
        <v>2</v>
      </c>
      <c r="FC489" s="26" t="s">
        <v>166</v>
      </c>
      <c r="FD489" s="26">
        <v>2</v>
      </c>
      <c r="FE489" s="26" t="s">
        <v>166</v>
      </c>
      <c r="FF489" s="26" t="s">
        <v>166</v>
      </c>
      <c r="FG489" s="25" t="s">
        <v>9530</v>
      </c>
      <c r="FH489" s="4">
        <f>HYPERLINK("https://my.pitchbook.com?c=240934-51T","View Company Online")</f>
      </c>
    </row>
    <row r="490">
      <c r="A490" s="14" t="s">
        <v>9531</v>
      </c>
      <c r="B490" s="14" t="s">
        <v>9532</v>
      </c>
      <c r="C490" s="14" t="s">
        <v>9533</v>
      </c>
      <c r="D490" s="14" t="s">
        <v>166</v>
      </c>
      <c r="E490" s="23" t="s">
        <v>9534</v>
      </c>
      <c r="F490" s="21">
        <v>33</v>
      </c>
      <c r="G490" s="14" t="s">
        <v>9535</v>
      </c>
      <c r="H490" s="14" t="s">
        <v>166</v>
      </c>
      <c r="I490" s="14" t="s">
        <v>9536</v>
      </c>
      <c r="J490" s="14" t="s">
        <v>9537</v>
      </c>
      <c r="K490" s="14" t="s">
        <v>321</v>
      </c>
      <c r="L490" s="14" t="s">
        <v>322</v>
      </c>
      <c r="M490" s="14" t="s">
        <v>322</v>
      </c>
      <c r="N490" s="14" t="s">
        <v>2410</v>
      </c>
      <c r="O490" s="14" t="s">
        <v>2931</v>
      </c>
      <c r="P490" s="14" t="s">
        <v>9538</v>
      </c>
      <c r="Q490" s="14" t="s">
        <v>9539</v>
      </c>
      <c r="R490" s="14" t="s">
        <v>177</v>
      </c>
      <c r="S490" s="14" t="s">
        <v>178</v>
      </c>
      <c r="T490" s="14" t="s">
        <v>179</v>
      </c>
      <c r="U490" s="14" t="s">
        <v>9540</v>
      </c>
      <c r="V490" s="14" t="s">
        <v>9541</v>
      </c>
      <c r="W490" s="21" t="s">
        <v>9542</v>
      </c>
      <c r="X490" s="14" t="s">
        <v>9543</v>
      </c>
      <c r="Y490" s="14" t="s">
        <v>9544</v>
      </c>
      <c r="Z490" s="14" t="s">
        <v>9545</v>
      </c>
      <c r="AA490" s="14" t="s">
        <v>242</v>
      </c>
      <c r="AB490" s="14" t="s">
        <v>243</v>
      </c>
      <c r="AC490" s="14" t="s">
        <v>244</v>
      </c>
      <c r="AD490" s="14" t="s">
        <v>243</v>
      </c>
      <c r="AE490" s="14" t="s">
        <v>243</v>
      </c>
      <c r="AF490" s="14" t="s">
        <v>245</v>
      </c>
      <c r="AG490" s="14" t="s">
        <v>246</v>
      </c>
      <c r="AH490" s="21">
        <v>1</v>
      </c>
      <c r="AI490" s="3">
        <f>HYPERLINK("https://my.pitchbook.com/?d=262846-72T","262846-72T")</f>
      </c>
      <c r="AJ490" s="19">
        <v>45413</v>
      </c>
      <c r="AK490" s="19">
        <v>45555</v>
      </c>
      <c r="AL490" s="18">
        <v>20.58</v>
      </c>
      <c r="AM490" s="14" t="s">
        <v>185</v>
      </c>
      <c r="AN490" s="18">
        <v>61.51</v>
      </c>
      <c r="AO490" s="18">
        <v>82.09</v>
      </c>
      <c r="AP490" s="14" t="s">
        <v>185</v>
      </c>
      <c r="AQ490" s="21" t="s">
        <v>166</v>
      </c>
      <c r="AR490" s="21" t="s">
        <v>166</v>
      </c>
      <c r="AS490" s="17">
        <v>25.07</v>
      </c>
      <c r="AT490" s="18">
        <v>20.58</v>
      </c>
      <c r="AU490" s="21" t="s">
        <v>186</v>
      </c>
      <c r="AV490" s="21" t="s">
        <v>166</v>
      </c>
      <c r="AW490" s="18">
        <v>5.37</v>
      </c>
      <c r="AX490" s="21" t="s">
        <v>248</v>
      </c>
      <c r="AY490" s="14" t="s">
        <v>187</v>
      </c>
      <c r="AZ490" s="14" t="s">
        <v>248</v>
      </c>
      <c r="BA490" s="14" t="s">
        <v>166</v>
      </c>
      <c r="BB490" s="21" t="s">
        <v>166</v>
      </c>
      <c r="BC490" s="14" t="s">
        <v>179</v>
      </c>
      <c r="BD490" s="14" t="s">
        <v>9546</v>
      </c>
      <c r="BE490" s="14" t="s">
        <v>189</v>
      </c>
      <c r="BF490" s="18">
        <v>20.58</v>
      </c>
      <c r="BG490" s="14" t="s">
        <v>190</v>
      </c>
      <c r="BH490" s="14" t="s">
        <v>166</v>
      </c>
      <c r="BI490" s="14" t="s">
        <v>166</v>
      </c>
      <c r="BJ490" s="18" t="s">
        <v>166</v>
      </c>
      <c r="BK490" s="18" t="s">
        <v>166</v>
      </c>
      <c r="BL490" s="14" t="s">
        <v>191</v>
      </c>
      <c r="BM490" s="14" t="s">
        <v>178</v>
      </c>
      <c r="BN490" s="14" t="s">
        <v>177</v>
      </c>
      <c r="BO490" s="22" t="s">
        <v>166</v>
      </c>
      <c r="BP490" s="14" t="s">
        <v>9547</v>
      </c>
      <c r="BQ490" s="21">
        <v>33</v>
      </c>
      <c r="BR490" s="14" t="s">
        <v>166</v>
      </c>
      <c r="BS490" s="21" t="s">
        <v>166</v>
      </c>
      <c r="BT490" s="14" t="s">
        <v>9548</v>
      </c>
      <c r="BU490" s="14" t="s">
        <v>166</v>
      </c>
      <c r="BV490" s="14" t="s">
        <v>9549</v>
      </c>
      <c r="BW490" s="14" t="s">
        <v>166</v>
      </c>
      <c r="BX490" s="14" t="s">
        <v>166</v>
      </c>
      <c r="BY490" s="14" t="s">
        <v>166</v>
      </c>
      <c r="BZ490" s="14" t="s">
        <v>9550</v>
      </c>
      <c r="CA490" s="14" t="s">
        <v>9551</v>
      </c>
      <c r="CB490" s="14" t="s">
        <v>166</v>
      </c>
      <c r="CC490" s="14" t="s">
        <v>9552</v>
      </c>
      <c r="CD490" s="14" t="s">
        <v>166</v>
      </c>
      <c r="CE490" s="18" t="s">
        <v>166</v>
      </c>
      <c r="CF490" s="16" t="s">
        <v>166</v>
      </c>
      <c r="CG490" s="17" t="s">
        <v>166</v>
      </c>
      <c r="CH490" s="16" t="s">
        <v>166</v>
      </c>
      <c r="CI490" s="16" t="s">
        <v>166</v>
      </c>
      <c r="CJ490" s="16" t="s">
        <v>166</v>
      </c>
      <c r="CK490" s="16" t="s">
        <v>166</v>
      </c>
      <c r="CL490" s="16" t="s">
        <v>166</v>
      </c>
      <c r="CM490" s="20" t="s">
        <v>166</v>
      </c>
      <c r="CN490" s="16" t="s">
        <v>166</v>
      </c>
      <c r="CO490" s="16" t="s">
        <v>166</v>
      </c>
      <c r="CP490" s="16" t="s">
        <v>166</v>
      </c>
      <c r="CQ490" s="16" t="s">
        <v>166</v>
      </c>
      <c r="CR490" s="16" t="s">
        <v>166</v>
      </c>
      <c r="CS490" s="16" t="s">
        <v>166</v>
      </c>
      <c r="CT490" s="16" t="s">
        <v>166</v>
      </c>
      <c r="CU490" s="16" t="s">
        <v>166</v>
      </c>
      <c r="CV490" s="16" t="s">
        <v>166</v>
      </c>
      <c r="CW490" s="16" t="s">
        <v>166</v>
      </c>
      <c r="CX490" s="16" t="s">
        <v>166</v>
      </c>
      <c r="CY490" s="16" t="s">
        <v>166</v>
      </c>
      <c r="CZ490" s="16" t="s">
        <v>166</v>
      </c>
      <c r="DA490" s="16" t="s">
        <v>166</v>
      </c>
      <c r="DB490" s="16" t="s">
        <v>166</v>
      </c>
      <c r="DC490" s="16" t="s">
        <v>166</v>
      </c>
      <c r="DD490" s="16" t="s">
        <v>166</v>
      </c>
      <c r="DE490" s="17" t="s">
        <v>166</v>
      </c>
      <c r="DF490" s="22">
        <v>24</v>
      </c>
      <c r="DG490" s="14" t="s">
        <v>9553</v>
      </c>
      <c r="DH490" s="14" t="s">
        <v>193</v>
      </c>
      <c r="DI490" s="14" t="s">
        <v>194</v>
      </c>
      <c r="DJ490" s="14" t="s">
        <v>9554</v>
      </c>
      <c r="DK490" s="14" t="s">
        <v>728</v>
      </c>
      <c r="DL490" s="21" t="s">
        <v>9555</v>
      </c>
      <c r="DM490" s="14" t="s">
        <v>198</v>
      </c>
      <c r="DN490" s="13" t="s">
        <v>9556</v>
      </c>
      <c r="DO490" s="20">
        <v>2021</v>
      </c>
      <c r="DP490" s="14" t="s">
        <v>166</v>
      </c>
      <c r="DQ490" s="14" t="s">
        <v>166</v>
      </c>
      <c r="DR490" s="18" t="s">
        <v>166</v>
      </c>
      <c r="DS490" s="16" t="s">
        <v>166</v>
      </c>
      <c r="DT490" s="19" t="s">
        <v>166</v>
      </c>
      <c r="DU490" s="14" t="s">
        <v>166</v>
      </c>
      <c r="DV490" s="18" t="s">
        <v>166</v>
      </c>
      <c r="DW490" s="18" t="s">
        <v>166</v>
      </c>
      <c r="DX490" s="16" t="s">
        <v>166</v>
      </c>
      <c r="DY490" s="16" t="s">
        <v>166</v>
      </c>
      <c r="DZ490" s="17" t="s">
        <v>166</v>
      </c>
      <c r="EA490" s="16" t="s">
        <v>166</v>
      </c>
      <c r="EB490" s="16" t="s">
        <v>166</v>
      </c>
      <c r="EC490" s="16" t="s">
        <v>166</v>
      </c>
      <c r="ED490" s="17" t="s">
        <v>166</v>
      </c>
      <c r="EE490" s="17" t="s">
        <v>166</v>
      </c>
      <c r="EF490" s="17" t="s">
        <v>166</v>
      </c>
      <c r="EG490" s="17" t="s">
        <v>166</v>
      </c>
      <c r="EH490" s="16" t="s">
        <v>166</v>
      </c>
      <c r="EI490" s="16" t="s">
        <v>166</v>
      </c>
      <c r="EJ490" s="16" t="s">
        <v>166</v>
      </c>
      <c r="EK490" s="16" t="s">
        <v>166</v>
      </c>
      <c r="EL490" s="16" t="s">
        <v>166</v>
      </c>
      <c r="EM490" s="16" t="s">
        <v>166</v>
      </c>
      <c r="EN490" s="16" t="s">
        <v>166</v>
      </c>
      <c r="EO490" s="16" t="s">
        <v>166</v>
      </c>
      <c r="EP490" s="16" t="s">
        <v>166</v>
      </c>
      <c r="EQ490" s="16" t="s">
        <v>166</v>
      </c>
      <c r="ER490" s="16" t="s">
        <v>166</v>
      </c>
      <c r="ES490" s="16" t="s">
        <v>166</v>
      </c>
      <c r="ET490" s="14" t="s">
        <v>166</v>
      </c>
      <c r="EU490" s="16" t="s">
        <v>166</v>
      </c>
      <c r="EV490" s="16" t="s">
        <v>166</v>
      </c>
      <c r="EW490" s="16" t="s">
        <v>166</v>
      </c>
      <c r="EX490" s="14" t="s">
        <v>190</v>
      </c>
      <c r="EY490" s="14" t="s">
        <v>166</v>
      </c>
      <c r="EZ490" s="16" t="s">
        <v>166</v>
      </c>
      <c r="FA490" s="15" t="s">
        <v>166</v>
      </c>
      <c r="FB490" s="15" t="s">
        <v>166</v>
      </c>
      <c r="FC490" s="15" t="s">
        <v>166</v>
      </c>
      <c r="FD490" s="15" t="s">
        <v>166</v>
      </c>
      <c r="FE490" s="15" t="s">
        <v>166</v>
      </c>
      <c r="FF490" s="15" t="s">
        <v>166</v>
      </c>
      <c r="FG490" s="14" t="s">
        <v>166</v>
      </c>
      <c r="FH490" s="3">
        <f>HYPERLINK("https://my.pitchbook.com?c=262846-72T","View Company Online")</f>
      </c>
    </row>
    <row r="491">
      <c r="A491" s="25" t="s">
        <v>9557</v>
      </c>
      <c r="B491" s="25" t="s">
        <v>9558</v>
      </c>
      <c r="C491" s="25" t="s">
        <v>9559</v>
      </c>
      <c r="D491" s="25" t="s">
        <v>166</v>
      </c>
      <c r="E491" s="34" t="s">
        <v>9560</v>
      </c>
      <c r="F491" s="32">
        <v>7</v>
      </c>
      <c r="G491" s="25" t="s">
        <v>9561</v>
      </c>
      <c r="H491" s="25" t="s">
        <v>166</v>
      </c>
      <c r="I491" s="25" t="s">
        <v>9562</v>
      </c>
      <c r="J491" s="25" t="s">
        <v>9563</v>
      </c>
      <c r="K491" s="25" t="s">
        <v>207</v>
      </c>
      <c r="L491" s="25" t="s">
        <v>208</v>
      </c>
      <c r="M491" s="25" t="s">
        <v>1766</v>
      </c>
      <c r="N491" s="25" t="s">
        <v>2393</v>
      </c>
      <c r="O491" s="25" t="s">
        <v>1768</v>
      </c>
      <c r="P491" s="25" t="s">
        <v>9564</v>
      </c>
      <c r="Q491" s="25" t="s">
        <v>166</v>
      </c>
      <c r="R491" s="25" t="s">
        <v>177</v>
      </c>
      <c r="S491" s="25" t="s">
        <v>178</v>
      </c>
      <c r="T491" s="25" t="s">
        <v>179</v>
      </c>
      <c r="U491" s="25" t="s">
        <v>9565</v>
      </c>
      <c r="V491" s="25" t="s">
        <v>9566</v>
      </c>
      <c r="W491" s="32" t="s">
        <v>166</v>
      </c>
      <c r="X491" s="25" t="s">
        <v>166</v>
      </c>
      <c r="Y491" s="25" t="s">
        <v>9567</v>
      </c>
      <c r="Z491" s="25" t="s">
        <v>166</v>
      </c>
      <c r="AA491" s="25" t="s">
        <v>166</v>
      </c>
      <c r="AB491" s="25" t="s">
        <v>166</v>
      </c>
      <c r="AC491" s="25" t="s">
        <v>166</v>
      </c>
      <c r="AD491" s="25" t="s">
        <v>166</v>
      </c>
      <c r="AE491" s="25" t="s">
        <v>166</v>
      </c>
      <c r="AF491" s="25" t="s">
        <v>166</v>
      </c>
      <c r="AG491" s="25" t="s">
        <v>166</v>
      </c>
      <c r="AH491" s="32">
        <v>1</v>
      </c>
      <c r="AI491" s="4">
        <f>HYPERLINK("https://my.pitchbook.com/?d=177216-94T","177216-94T")</f>
      </c>
      <c r="AJ491" s="30">
        <v>44421</v>
      </c>
      <c r="AK491" s="30">
        <v>44539</v>
      </c>
      <c r="AL491" s="29">
        <v>1.25</v>
      </c>
      <c r="AM491" s="25" t="s">
        <v>185</v>
      </c>
      <c r="AN491" s="29" t="s">
        <v>166</v>
      </c>
      <c r="AO491" s="29" t="s">
        <v>166</v>
      </c>
      <c r="AP491" s="25" t="s">
        <v>166</v>
      </c>
      <c r="AQ491" s="32" t="s">
        <v>166</v>
      </c>
      <c r="AR491" s="32" t="s">
        <v>166</v>
      </c>
      <c r="AS491" s="28" t="s">
        <v>166</v>
      </c>
      <c r="AT491" s="29">
        <v>1.25</v>
      </c>
      <c r="AU491" s="32" t="s">
        <v>186</v>
      </c>
      <c r="AV491" s="32" t="s">
        <v>166</v>
      </c>
      <c r="AW491" s="29" t="s">
        <v>166</v>
      </c>
      <c r="AX491" s="32" t="s">
        <v>166</v>
      </c>
      <c r="AY491" s="25" t="s">
        <v>217</v>
      </c>
      <c r="AZ491" s="25" t="s">
        <v>217</v>
      </c>
      <c r="BA491" s="25" t="s">
        <v>166</v>
      </c>
      <c r="BB491" s="32" t="s">
        <v>166</v>
      </c>
      <c r="BC491" s="25" t="s">
        <v>179</v>
      </c>
      <c r="BD491" s="25" t="s">
        <v>9568</v>
      </c>
      <c r="BE491" s="25" t="s">
        <v>189</v>
      </c>
      <c r="BF491" s="29">
        <v>1.25</v>
      </c>
      <c r="BG491" s="25" t="s">
        <v>190</v>
      </c>
      <c r="BH491" s="25" t="s">
        <v>166</v>
      </c>
      <c r="BI491" s="25" t="s">
        <v>166</v>
      </c>
      <c r="BJ491" s="29" t="s">
        <v>166</v>
      </c>
      <c r="BK491" s="29" t="s">
        <v>166</v>
      </c>
      <c r="BL491" s="25" t="s">
        <v>191</v>
      </c>
      <c r="BM491" s="25" t="s">
        <v>178</v>
      </c>
      <c r="BN491" s="25" t="s">
        <v>177</v>
      </c>
      <c r="BO491" s="33" t="s">
        <v>166</v>
      </c>
      <c r="BP491" s="25" t="s">
        <v>9569</v>
      </c>
      <c r="BQ491" s="32">
        <v>7</v>
      </c>
      <c r="BR491" s="25" t="s">
        <v>166</v>
      </c>
      <c r="BS491" s="32" t="s">
        <v>166</v>
      </c>
      <c r="BT491" s="25" t="s">
        <v>166</v>
      </c>
      <c r="BU491" s="25" t="s">
        <v>166</v>
      </c>
      <c r="BV491" s="25" t="s">
        <v>9570</v>
      </c>
      <c r="BW491" s="25" t="s">
        <v>166</v>
      </c>
      <c r="BX491" s="25" t="s">
        <v>166</v>
      </c>
      <c r="BY491" s="25" t="s">
        <v>166</v>
      </c>
      <c r="BZ491" s="25" t="s">
        <v>9571</v>
      </c>
      <c r="CA491" s="25" t="s">
        <v>9571</v>
      </c>
      <c r="CB491" s="25" t="s">
        <v>166</v>
      </c>
      <c r="CC491" s="25" t="s">
        <v>166</v>
      </c>
      <c r="CD491" s="25" t="s">
        <v>166</v>
      </c>
      <c r="CE491" s="29" t="s">
        <v>166</v>
      </c>
      <c r="CF491" s="27" t="s">
        <v>166</v>
      </c>
      <c r="CG491" s="28" t="s">
        <v>166</v>
      </c>
      <c r="CH491" s="27" t="s">
        <v>166</v>
      </c>
      <c r="CI491" s="27" t="s">
        <v>166</v>
      </c>
      <c r="CJ491" s="27" t="s">
        <v>166</v>
      </c>
      <c r="CK491" s="27" t="s">
        <v>166</v>
      </c>
      <c r="CL491" s="27" t="s">
        <v>166</v>
      </c>
      <c r="CM491" s="31" t="s">
        <v>166</v>
      </c>
      <c r="CN491" s="27" t="s">
        <v>166</v>
      </c>
      <c r="CO491" s="27" t="s">
        <v>166</v>
      </c>
      <c r="CP491" s="27" t="s">
        <v>166</v>
      </c>
      <c r="CQ491" s="27" t="s">
        <v>166</v>
      </c>
      <c r="CR491" s="27" t="s">
        <v>166</v>
      </c>
      <c r="CS491" s="27" t="s">
        <v>166</v>
      </c>
      <c r="CT491" s="27" t="s">
        <v>166</v>
      </c>
      <c r="CU491" s="27" t="s">
        <v>166</v>
      </c>
      <c r="CV491" s="27" t="s">
        <v>166</v>
      </c>
      <c r="CW491" s="27" t="s">
        <v>166</v>
      </c>
      <c r="CX491" s="27" t="s">
        <v>166</v>
      </c>
      <c r="CY491" s="27" t="s">
        <v>166</v>
      </c>
      <c r="CZ491" s="27" t="s">
        <v>166</v>
      </c>
      <c r="DA491" s="27" t="s">
        <v>166</v>
      </c>
      <c r="DB491" s="27" t="s">
        <v>166</v>
      </c>
      <c r="DC491" s="27" t="s">
        <v>166</v>
      </c>
      <c r="DD491" s="27" t="s">
        <v>166</v>
      </c>
      <c r="DE491" s="28" t="s">
        <v>166</v>
      </c>
      <c r="DF491" s="33">
        <v>18</v>
      </c>
      <c r="DG491" s="25" t="s">
        <v>8923</v>
      </c>
      <c r="DH491" s="25" t="s">
        <v>193</v>
      </c>
      <c r="DI491" s="25" t="s">
        <v>194</v>
      </c>
      <c r="DJ491" s="25" t="s">
        <v>8924</v>
      </c>
      <c r="DK491" s="25" t="s">
        <v>257</v>
      </c>
      <c r="DL491" s="32" t="s">
        <v>8925</v>
      </c>
      <c r="DM491" s="25" t="s">
        <v>198</v>
      </c>
      <c r="DN491" s="24" t="s">
        <v>9572</v>
      </c>
      <c r="DO491" s="31">
        <v>2020</v>
      </c>
      <c r="DP491" s="25" t="s">
        <v>166</v>
      </c>
      <c r="DQ491" s="25" t="s">
        <v>166</v>
      </c>
      <c r="DR491" s="29" t="s">
        <v>166</v>
      </c>
      <c r="DS491" s="27" t="s">
        <v>166</v>
      </c>
      <c r="DT491" s="30" t="s">
        <v>166</v>
      </c>
      <c r="DU491" s="25" t="s">
        <v>166</v>
      </c>
      <c r="DV491" s="29" t="s">
        <v>166</v>
      </c>
      <c r="DW491" s="29" t="s">
        <v>166</v>
      </c>
      <c r="DX491" s="27" t="s">
        <v>166</v>
      </c>
      <c r="DY491" s="27" t="s">
        <v>166</v>
      </c>
      <c r="DZ491" s="28" t="s">
        <v>166</v>
      </c>
      <c r="EA491" s="27" t="s">
        <v>166</v>
      </c>
      <c r="EB491" s="27" t="s">
        <v>166</v>
      </c>
      <c r="EC491" s="27" t="s">
        <v>166</v>
      </c>
      <c r="ED491" s="28" t="s">
        <v>166</v>
      </c>
      <c r="EE491" s="28" t="s">
        <v>166</v>
      </c>
      <c r="EF491" s="28" t="s">
        <v>166</v>
      </c>
      <c r="EG491" s="28" t="s">
        <v>166</v>
      </c>
      <c r="EH491" s="27" t="s">
        <v>166</v>
      </c>
      <c r="EI491" s="27" t="s">
        <v>166</v>
      </c>
      <c r="EJ491" s="27" t="s">
        <v>166</v>
      </c>
      <c r="EK491" s="27" t="s">
        <v>166</v>
      </c>
      <c r="EL491" s="27" t="s">
        <v>166</v>
      </c>
      <c r="EM491" s="27" t="s">
        <v>166</v>
      </c>
      <c r="EN491" s="27" t="s">
        <v>166</v>
      </c>
      <c r="EO491" s="27" t="s">
        <v>166</v>
      </c>
      <c r="EP491" s="27" t="s">
        <v>166</v>
      </c>
      <c r="EQ491" s="27" t="s">
        <v>166</v>
      </c>
      <c r="ER491" s="27" t="s">
        <v>166</v>
      </c>
      <c r="ES491" s="27" t="s">
        <v>166</v>
      </c>
      <c r="ET491" s="25" t="s">
        <v>166</v>
      </c>
      <c r="EU491" s="27" t="s">
        <v>166</v>
      </c>
      <c r="EV491" s="27" t="s">
        <v>166</v>
      </c>
      <c r="EW491" s="27" t="s">
        <v>166</v>
      </c>
      <c r="EX491" s="25" t="s">
        <v>190</v>
      </c>
      <c r="EY491" s="25" t="s">
        <v>166</v>
      </c>
      <c r="EZ491" s="27" t="s">
        <v>166</v>
      </c>
      <c r="FA491" s="26" t="s">
        <v>166</v>
      </c>
      <c r="FB491" s="26" t="s">
        <v>166</v>
      </c>
      <c r="FC491" s="26" t="s">
        <v>166</v>
      </c>
      <c r="FD491" s="26" t="s">
        <v>166</v>
      </c>
      <c r="FE491" s="26" t="s">
        <v>166</v>
      </c>
      <c r="FF491" s="26" t="s">
        <v>166</v>
      </c>
      <c r="FG491" s="25" t="s">
        <v>166</v>
      </c>
      <c r="FH491" s="4">
        <f>HYPERLINK("https://my.pitchbook.com?c=177216-94T","View Company Online")</f>
      </c>
    </row>
    <row r="492">
      <c r="A492" s="14" t="s">
        <v>9573</v>
      </c>
      <c r="B492" s="14" t="s">
        <v>9574</v>
      </c>
      <c r="C492" s="14" t="s">
        <v>9575</v>
      </c>
      <c r="D492" s="14" t="s">
        <v>166</v>
      </c>
      <c r="E492" s="23" t="s">
        <v>9576</v>
      </c>
      <c r="F492" s="21">
        <v>2</v>
      </c>
      <c r="G492" s="14" t="s">
        <v>9577</v>
      </c>
      <c r="H492" s="14" t="s">
        <v>166</v>
      </c>
      <c r="I492" s="14" t="s">
        <v>9578</v>
      </c>
      <c r="J492" s="14" t="s">
        <v>9579</v>
      </c>
      <c r="K492" s="14" t="s">
        <v>207</v>
      </c>
      <c r="L492" s="14" t="s">
        <v>208</v>
      </c>
      <c r="M492" s="14" t="s">
        <v>296</v>
      </c>
      <c r="N492" s="14" t="s">
        <v>2450</v>
      </c>
      <c r="O492" s="14" t="s">
        <v>4042</v>
      </c>
      <c r="P492" s="14" t="s">
        <v>9580</v>
      </c>
      <c r="Q492" s="14" t="s">
        <v>166</v>
      </c>
      <c r="R492" s="14" t="s">
        <v>177</v>
      </c>
      <c r="S492" s="14" t="s">
        <v>178</v>
      </c>
      <c r="T492" s="14" t="s">
        <v>179</v>
      </c>
      <c r="U492" s="14" t="s">
        <v>9581</v>
      </c>
      <c r="V492" s="14" t="s">
        <v>9582</v>
      </c>
      <c r="W492" s="21" t="s">
        <v>9583</v>
      </c>
      <c r="X492" s="14" t="s">
        <v>9584</v>
      </c>
      <c r="Y492" s="14" t="s">
        <v>9585</v>
      </c>
      <c r="Z492" s="14" t="s">
        <v>9586</v>
      </c>
      <c r="AA492" s="14" t="s">
        <v>166</v>
      </c>
      <c r="AB492" s="14" t="s">
        <v>166</v>
      </c>
      <c r="AC492" s="14" t="s">
        <v>166</v>
      </c>
      <c r="AD492" s="14" t="s">
        <v>166</v>
      </c>
      <c r="AE492" s="14" t="s">
        <v>166</v>
      </c>
      <c r="AF492" s="14" t="s">
        <v>166</v>
      </c>
      <c r="AG492" s="14" t="s">
        <v>166</v>
      </c>
      <c r="AH492" s="21">
        <v>6</v>
      </c>
      <c r="AI492" s="3">
        <f>HYPERLINK("https://my.pitchbook.com/?d=253746-01T","253746-01T")</f>
      </c>
      <c r="AJ492" s="19" t="s">
        <v>166</v>
      </c>
      <c r="AK492" s="19">
        <v>45064</v>
      </c>
      <c r="AL492" s="18">
        <v>0.15</v>
      </c>
      <c r="AM492" s="14" t="s">
        <v>185</v>
      </c>
      <c r="AN492" s="18" t="s">
        <v>166</v>
      </c>
      <c r="AO492" s="18" t="s">
        <v>166</v>
      </c>
      <c r="AP492" s="14" t="s">
        <v>166</v>
      </c>
      <c r="AQ492" s="21" t="s">
        <v>166</v>
      </c>
      <c r="AR492" s="21" t="s">
        <v>166</v>
      </c>
      <c r="AS492" s="17" t="s">
        <v>166</v>
      </c>
      <c r="AT492" s="18">
        <v>0.43</v>
      </c>
      <c r="AU492" s="21" t="s">
        <v>186</v>
      </c>
      <c r="AV492" s="21" t="s">
        <v>166</v>
      </c>
      <c r="AW492" s="18" t="s">
        <v>166</v>
      </c>
      <c r="AX492" s="21" t="s">
        <v>166</v>
      </c>
      <c r="AY492" s="14" t="s">
        <v>249</v>
      </c>
      <c r="AZ492" s="14" t="s">
        <v>166</v>
      </c>
      <c r="BA492" s="14" t="s">
        <v>166</v>
      </c>
      <c r="BB492" s="21" t="s">
        <v>166</v>
      </c>
      <c r="BC492" s="14" t="s">
        <v>179</v>
      </c>
      <c r="BD492" s="14" t="s">
        <v>9579</v>
      </c>
      <c r="BE492" s="14" t="s">
        <v>189</v>
      </c>
      <c r="BF492" s="18" t="s">
        <v>166</v>
      </c>
      <c r="BG492" s="14" t="s">
        <v>190</v>
      </c>
      <c r="BH492" s="14" t="s">
        <v>166</v>
      </c>
      <c r="BI492" s="14" t="s">
        <v>166</v>
      </c>
      <c r="BJ492" s="18" t="s">
        <v>166</v>
      </c>
      <c r="BK492" s="18" t="s">
        <v>166</v>
      </c>
      <c r="BL492" s="14" t="s">
        <v>191</v>
      </c>
      <c r="BM492" s="14" t="s">
        <v>178</v>
      </c>
      <c r="BN492" s="14" t="s">
        <v>177</v>
      </c>
      <c r="BO492" s="22" t="s">
        <v>166</v>
      </c>
      <c r="BP492" s="14" t="s">
        <v>9587</v>
      </c>
      <c r="BQ492" s="21">
        <v>1</v>
      </c>
      <c r="BR492" s="14" t="s">
        <v>9588</v>
      </c>
      <c r="BS492" s="21">
        <v>1</v>
      </c>
      <c r="BT492" s="14" t="s">
        <v>166</v>
      </c>
      <c r="BU492" s="14" t="s">
        <v>166</v>
      </c>
      <c r="BV492" s="14" t="s">
        <v>9589</v>
      </c>
      <c r="BW492" s="14" t="s">
        <v>166</v>
      </c>
      <c r="BX492" s="14" t="s">
        <v>166</v>
      </c>
      <c r="BY492" s="14" t="s">
        <v>166</v>
      </c>
      <c r="BZ492" s="14" t="s">
        <v>166</v>
      </c>
      <c r="CA492" s="14" t="s">
        <v>166</v>
      </c>
      <c r="CB492" s="14" t="s">
        <v>166</v>
      </c>
      <c r="CC492" s="14" t="s">
        <v>166</v>
      </c>
      <c r="CD492" s="14" t="s">
        <v>166</v>
      </c>
      <c r="CE492" s="18" t="s">
        <v>166</v>
      </c>
      <c r="CF492" s="16" t="s">
        <v>166</v>
      </c>
      <c r="CG492" s="17" t="s">
        <v>166</v>
      </c>
      <c r="CH492" s="16" t="s">
        <v>166</v>
      </c>
      <c r="CI492" s="16" t="s">
        <v>166</v>
      </c>
      <c r="CJ492" s="16" t="s">
        <v>166</v>
      </c>
      <c r="CK492" s="16" t="s">
        <v>166</v>
      </c>
      <c r="CL492" s="16" t="s">
        <v>166</v>
      </c>
      <c r="CM492" s="20" t="s">
        <v>166</v>
      </c>
      <c r="CN492" s="16" t="s">
        <v>166</v>
      </c>
      <c r="CO492" s="16" t="s">
        <v>166</v>
      </c>
      <c r="CP492" s="16" t="s">
        <v>166</v>
      </c>
      <c r="CQ492" s="16" t="s">
        <v>166</v>
      </c>
      <c r="CR492" s="16" t="s">
        <v>166</v>
      </c>
      <c r="CS492" s="16" t="s">
        <v>166</v>
      </c>
      <c r="CT492" s="16" t="s">
        <v>166</v>
      </c>
      <c r="CU492" s="16" t="s">
        <v>166</v>
      </c>
      <c r="CV492" s="16" t="s">
        <v>166</v>
      </c>
      <c r="CW492" s="16" t="s">
        <v>166</v>
      </c>
      <c r="CX492" s="16" t="s">
        <v>166</v>
      </c>
      <c r="CY492" s="16" t="s">
        <v>166</v>
      </c>
      <c r="CZ492" s="16" t="s">
        <v>166</v>
      </c>
      <c r="DA492" s="16" t="s">
        <v>166</v>
      </c>
      <c r="DB492" s="16" t="s">
        <v>166</v>
      </c>
      <c r="DC492" s="16" t="s">
        <v>166</v>
      </c>
      <c r="DD492" s="16" t="s">
        <v>166</v>
      </c>
      <c r="DE492" s="17" t="s">
        <v>166</v>
      </c>
      <c r="DF492" s="22">
        <v>7</v>
      </c>
      <c r="DG492" s="14" t="s">
        <v>673</v>
      </c>
      <c r="DH492" s="14" t="s">
        <v>193</v>
      </c>
      <c r="DI492" s="14" t="s">
        <v>194</v>
      </c>
      <c r="DJ492" s="14" t="s">
        <v>674</v>
      </c>
      <c r="DK492" s="14" t="s">
        <v>257</v>
      </c>
      <c r="DL492" s="21" t="s">
        <v>9590</v>
      </c>
      <c r="DM492" s="14" t="s">
        <v>198</v>
      </c>
      <c r="DN492" s="13" t="s">
        <v>9591</v>
      </c>
      <c r="DO492" s="20">
        <v>2018</v>
      </c>
      <c r="DP492" s="14" t="s">
        <v>166</v>
      </c>
      <c r="DQ492" s="14" t="s">
        <v>166</v>
      </c>
      <c r="DR492" s="18" t="s">
        <v>166</v>
      </c>
      <c r="DS492" s="16" t="s">
        <v>166</v>
      </c>
      <c r="DT492" s="19" t="s">
        <v>166</v>
      </c>
      <c r="DU492" s="14" t="s">
        <v>166</v>
      </c>
      <c r="DV492" s="18" t="s">
        <v>166</v>
      </c>
      <c r="DW492" s="18" t="s">
        <v>166</v>
      </c>
      <c r="DX492" s="16" t="s">
        <v>166</v>
      </c>
      <c r="DY492" s="16" t="s">
        <v>166</v>
      </c>
      <c r="DZ492" s="17" t="s">
        <v>166</v>
      </c>
      <c r="EA492" s="16" t="s">
        <v>166</v>
      </c>
      <c r="EB492" s="16" t="s">
        <v>166</v>
      </c>
      <c r="EC492" s="16" t="s">
        <v>166</v>
      </c>
      <c r="ED492" s="17" t="s">
        <v>166</v>
      </c>
      <c r="EE492" s="17" t="s">
        <v>166</v>
      </c>
      <c r="EF492" s="17" t="s">
        <v>166</v>
      </c>
      <c r="EG492" s="17" t="s">
        <v>166</v>
      </c>
      <c r="EH492" s="16" t="s">
        <v>166</v>
      </c>
      <c r="EI492" s="16" t="s">
        <v>166</v>
      </c>
      <c r="EJ492" s="16" t="s">
        <v>166</v>
      </c>
      <c r="EK492" s="16" t="s">
        <v>166</v>
      </c>
      <c r="EL492" s="16" t="s">
        <v>166</v>
      </c>
      <c r="EM492" s="16" t="s">
        <v>166</v>
      </c>
      <c r="EN492" s="16" t="s">
        <v>166</v>
      </c>
      <c r="EO492" s="16" t="s">
        <v>166</v>
      </c>
      <c r="EP492" s="16" t="s">
        <v>166</v>
      </c>
      <c r="EQ492" s="16" t="s">
        <v>166</v>
      </c>
      <c r="ER492" s="16" t="s">
        <v>166</v>
      </c>
      <c r="ES492" s="16" t="s">
        <v>166</v>
      </c>
      <c r="ET492" s="14" t="s">
        <v>166</v>
      </c>
      <c r="EU492" s="16" t="s">
        <v>166</v>
      </c>
      <c r="EV492" s="16" t="s">
        <v>166</v>
      </c>
      <c r="EW492" s="16" t="s">
        <v>166</v>
      </c>
      <c r="EX492" s="14" t="s">
        <v>190</v>
      </c>
      <c r="EY492" s="14" t="s">
        <v>166</v>
      </c>
      <c r="EZ492" s="16" t="s">
        <v>166</v>
      </c>
      <c r="FA492" s="15" t="s">
        <v>166</v>
      </c>
      <c r="FB492" s="15" t="s">
        <v>166</v>
      </c>
      <c r="FC492" s="15" t="s">
        <v>166</v>
      </c>
      <c r="FD492" s="15" t="s">
        <v>166</v>
      </c>
      <c r="FE492" s="15" t="s">
        <v>166</v>
      </c>
      <c r="FF492" s="15" t="s">
        <v>166</v>
      </c>
      <c r="FG492" s="14" t="s">
        <v>166</v>
      </c>
      <c r="FH492" s="3">
        <f>HYPERLINK("https://my.pitchbook.com?c=253746-01T","View Company Online")</f>
      </c>
    </row>
    <row r="493">
      <c r="A493" s="25" t="s">
        <v>9592</v>
      </c>
      <c r="B493" s="25" t="s">
        <v>9593</v>
      </c>
      <c r="C493" s="25" t="s">
        <v>9594</v>
      </c>
      <c r="D493" s="25" t="s">
        <v>166</v>
      </c>
      <c r="E493" s="34" t="s">
        <v>9595</v>
      </c>
      <c r="F493" s="32">
        <v>2</v>
      </c>
      <c r="G493" s="25" t="s">
        <v>9596</v>
      </c>
      <c r="H493" s="25" t="s">
        <v>166</v>
      </c>
      <c r="I493" s="25" t="s">
        <v>9597</v>
      </c>
      <c r="J493" s="25" t="s">
        <v>9598</v>
      </c>
      <c r="K493" s="25" t="s">
        <v>171</v>
      </c>
      <c r="L493" s="25" t="s">
        <v>172</v>
      </c>
      <c r="M493" s="25" t="s">
        <v>173</v>
      </c>
      <c r="N493" s="25" t="s">
        <v>9466</v>
      </c>
      <c r="O493" s="25" t="s">
        <v>166</v>
      </c>
      <c r="P493" s="25" t="s">
        <v>9599</v>
      </c>
      <c r="Q493" s="25" t="s">
        <v>166</v>
      </c>
      <c r="R493" s="25" t="s">
        <v>177</v>
      </c>
      <c r="S493" s="25" t="s">
        <v>358</v>
      </c>
      <c r="T493" s="25" t="s">
        <v>179</v>
      </c>
      <c r="U493" s="25" t="s">
        <v>9600</v>
      </c>
      <c r="V493" s="25" t="s">
        <v>9601</v>
      </c>
      <c r="W493" s="32" t="s">
        <v>9602</v>
      </c>
      <c r="X493" s="25" t="s">
        <v>9603</v>
      </c>
      <c r="Y493" s="25" t="s">
        <v>9604</v>
      </c>
      <c r="Z493" s="25" t="s">
        <v>9605</v>
      </c>
      <c r="AA493" s="25" t="s">
        <v>242</v>
      </c>
      <c r="AB493" s="25" t="s">
        <v>166</v>
      </c>
      <c r="AC493" s="25" t="s">
        <v>244</v>
      </c>
      <c r="AD493" s="25" t="s">
        <v>243</v>
      </c>
      <c r="AE493" s="25" t="s">
        <v>243</v>
      </c>
      <c r="AF493" s="25" t="s">
        <v>166</v>
      </c>
      <c r="AG493" s="25" t="s">
        <v>246</v>
      </c>
      <c r="AH493" s="32">
        <v>1</v>
      </c>
      <c r="AI493" s="4">
        <f>HYPERLINK("https://my.pitchbook.com/?d=196697-53T","196697-53T")</f>
      </c>
      <c r="AJ493" s="30">
        <v>44662</v>
      </c>
      <c r="AK493" s="30">
        <v>44729</v>
      </c>
      <c r="AL493" s="29">
        <v>3.22</v>
      </c>
      <c r="AM493" s="25" t="s">
        <v>185</v>
      </c>
      <c r="AN493" s="29">
        <v>7</v>
      </c>
      <c r="AO493" s="29">
        <v>10.11</v>
      </c>
      <c r="AP493" s="25" t="s">
        <v>185</v>
      </c>
      <c r="AQ493" s="32" t="s">
        <v>166</v>
      </c>
      <c r="AR493" s="32" t="s">
        <v>166</v>
      </c>
      <c r="AS493" s="28">
        <v>31.48</v>
      </c>
      <c r="AT493" s="29">
        <v>3.22</v>
      </c>
      <c r="AU493" s="32" t="s">
        <v>186</v>
      </c>
      <c r="AV493" s="32" t="s">
        <v>166</v>
      </c>
      <c r="AW493" s="29">
        <v>1.28</v>
      </c>
      <c r="AX493" s="32" t="s">
        <v>166</v>
      </c>
      <c r="AY493" s="25" t="s">
        <v>217</v>
      </c>
      <c r="AZ493" s="25" t="s">
        <v>217</v>
      </c>
      <c r="BA493" s="25" t="s">
        <v>166</v>
      </c>
      <c r="BB493" s="32" t="s">
        <v>166</v>
      </c>
      <c r="BC493" s="25" t="s">
        <v>179</v>
      </c>
      <c r="BD493" s="25" t="s">
        <v>9606</v>
      </c>
      <c r="BE493" s="25" t="s">
        <v>189</v>
      </c>
      <c r="BF493" s="29">
        <v>3.11</v>
      </c>
      <c r="BG493" s="25" t="s">
        <v>190</v>
      </c>
      <c r="BH493" s="25" t="s">
        <v>166</v>
      </c>
      <c r="BI493" s="25" t="s">
        <v>166</v>
      </c>
      <c r="BJ493" s="29">
        <v>0.11</v>
      </c>
      <c r="BK493" s="29" t="s">
        <v>166</v>
      </c>
      <c r="BL493" s="25" t="s">
        <v>191</v>
      </c>
      <c r="BM493" s="25" t="s">
        <v>358</v>
      </c>
      <c r="BN493" s="25" t="s">
        <v>177</v>
      </c>
      <c r="BO493" s="33" t="s">
        <v>166</v>
      </c>
      <c r="BP493" s="25" t="s">
        <v>9595</v>
      </c>
      <c r="BQ493" s="32">
        <v>2</v>
      </c>
      <c r="BR493" s="25" t="s">
        <v>166</v>
      </c>
      <c r="BS493" s="32" t="s">
        <v>166</v>
      </c>
      <c r="BT493" s="25" t="s">
        <v>166</v>
      </c>
      <c r="BU493" s="25" t="s">
        <v>166</v>
      </c>
      <c r="BV493" s="25" t="s">
        <v>9607</v>
      </c>
      <c r="BW493" s="25" t="s">
        <v>166</v>
      </c>
      <c r="BX493" s="25" t="s">
        <v>166</v>
      </c>
      <c r="BY493" s="25" t="s">
        <v>166</v>
      </c>
      <c r="BZ493" s="25" t="s">
        <v>1232</v>
      </c>
      <c r="CA493" s="25" t="s">
        <v>1232</v>
      </c>
      <c r="CB493" s="25" t="s">
        <v>166</v>
      </c>
      <c r="CC493" s="25" t="s">
        <v>166</v>
      </c>
      <c r="CD493" s="25" t="s">
        <v>166</v>
      </c>
      <c r="CE493" s="29" t="s">
        <v>166</v>
      </c>
      <c r="CF493" s="27" t="s">
        <v>166</v>
      </c>
      <c r="CG493" s="28" t="s">
        <v>166</v>
      </c>
      <c r="CH493" s="27" t="s">
        <v>166</v>
      </c>
      <c r="CI493" s="27" t="s">
        <v>166</v>
      </c>
      <c r="CJ493" s="27" t="s">
        <v>166</v>
      </c>
      <c r="CK493" s="27" t="s">
        <v>166</v>
      </c>
      <c r="CL493" s="27" t="s">
        <v>166</v>
      </c>
      <c r="CM493" s="31" t="s">
        <v>166</v>
      </c>
      <c r="CN493" s="27" t="s">
        <v>166</v>
      </c>
      <c r="CO493" s="27" t="s">
        <v>166</v>
      </c>
      <c r="CP493" s="27" t="s">
        <v>166</v>
      </c>
      <c r="CQ493" s="27" t="s">
        <v>166</v>
      </c>
      <c r="CR493" s="27" t="s">
        <v>166</v>
      </c>
      <c r="CS493" s="27" t="s">
        <v>166</v>
      </c>
      <c r="CT493" s="27" t="s">
        <v>166</v>
      </c>
      <c r="CU493" s="27" t="s">
        <v>166</v>
      </c>
      <c r="CV493" s="27" t="s">
        <v>166</v>
      </c>
      <c r="CW493" s="27" t="s">
        <v>166</v>
      </c>
      <c r="CX493" s="27" t="s">
        <v>166</v>
      </c>
      <c r="CY493" s="27">
        <v>0.04</v>
      </c>
      <c r="CZ493" s="27" t="s">
        <v>166</v>
      </c>
      <c r="DA493" s="27" t="s">
        <v>166</v>
      </c>
      <c r="DB493" s="27" t="s">
        <v>166</v>
      </c>
      <c r="DC493" s="27" t="s">
        <v>166</v>
      </c>
      <c r="DD493" s="27" t="s">
        <v>166</v>
      </c>
      <c r="DE493" s="28" t="s">
        <v>166</v>
      </c>
      <c r="DF493" s="33">
        <v>25</v>
      </c>
      <c r="DG493" s="25" t="s">
        <v>9608</v>
      </c>
      <c r="DH493" s="25" t="s">
        <v>193</v>
      </c>
      <c r="DI493" s="25" t="s">
        <v>194</v>
      </c>
      <c r="DJ493" s="25" t="s">
        <v>9609</v>
      </c>
      <c r="DK493" s="25" t="s">
        <v>257</v>
      </c>
      <c r="DL493" s="32" t="s">
        <v>9610</v>
      </c>
      <c r="DM493" s="25" t="s">
        <v>198</v>
      </c>
      <c r="DN493" s="24" t="s">
        <v>9611</v>
      </c>
      <c r="DO493" s="31">
        <v>2020</v>
      </c>
      <c r="DP493" s="25" t="s">
        <v>166</v>
      </c>
      <c r="DQ493" s="25" t="s">
        <v>9612</v>
      </c>
      <c r="DR493" s="29">
        <v>0.11</v>
      </c>
      <c r="DS493" s="27" t="s">
        <v>166</v>
      </c>
      <c r="DT493" s="30" t="s">
        <v>166</v>
      </c>
      <c r="DU493" s="25" t="s">
        <v>166</v>
      </c>
      <c r="DV493" s="29" t="s">
        <v>166</v>
      </c>
      <c r="DW493" s="29" t="s">
        <v>166</v>
      </c>
      <c r="DX493" s="27" t="s">
        <v>166</v>
      </c>
      <c r="DY493" s="27" t="s">
        <v>166</v>
      </c>
      <c r="DZ493" s="28" t="s">
        <v>166</v>
      </c>
      <c r="EA493" s="27" t="s">
        <v>166</v>
      </c>
      <c r="EB493" s="27" t="s">
        <v>166</v>
      </c>
      <c r="EC493" s="27" t="s">
        <v>166</v>
      </c>
      <c r="ED493" s="28" t="s">
        <v>166</v>
      </c>
      <c r="EE493" s="28" t="s">
        <v>166</v>
      </c>
      <c r="EF493" s="28" t="s">
        <v>166</v>
      </c>
      <c r="EG493" s="28" t="s">
        <v>166</v>
      </c>
      <c r="EH493" s="27" t="s">
        <v>166</v>
      </c>
      <c r="EI493" s="27" t="s">
        <v>166</v>
      </c>
      <c r="EJ493" s="27" t="s">
        <v>166</v>
      </c>
      <c r="EK493" s="27" t="s">
        <v>166</v>
      </c>
      <c r="EL493" s="27" t="s">
        <v>166</v>
      </c>
      <c r="EM493" s="27" t="s">
        <v>166</v>
      </c>
      <c r="EN493" s="27" t="s">
        <v>166</v>
      </c>
      <c r="EO493" s="27" t="s">
        <v>166</v>
      </c>
      <c r="EP493" s="27" t="s">
        <v>166</v>
      </c>
      <c r="EQ493" s="27" t="s">
        <v>166</v>
      </c>
      <c r="ER493" s="27" t="s">
        <v>166</v>
      </c>
      <c r="ES493" s="27" t="s">
        <v>166</v>
      </c>
      <c r="ET493" s="25" t="s">
        <v>166</v>
      </c>
      <c r="EU493" s="27" t="s">
        <v>166</v>
      </c>
      <c r="EV493" s="27" t="s">
        <v>166</v>
      </c>
      <c r="EW493" s="27" t="s">
        <v>166</v>
      </c>
      <c r="EX493" s="25" t="s">
        <v>190</v>
      </c>
      <c r="EY493" s="25" t="s">
        <v>190</v>
      </c>
      <c r="EZ493" s="27" t="s">
        <v>166</v>
      </c>
      <c r="FA493" s="26" t="s">
        <v>166</v>
      </c>
      <c r="FB493" s="26" t="s">
        <v>166</v>
      </c>
      <c r="FC493" s="26" t="s">
        <v>166</v>
      </c>
      <c r="FD493" s="26" t="s">
        <v>166</v>
      </c>
      <c r="FE493" s="26" t="s">
        <v>166</v>
      </c>
      <c r="FF493" s="26" t="s">
        <v>166</v>
      </c>
      <c r="FG493" s="25" t="s">
        <v>166</v>
      </c>
      <c r="FH493" s="4">
        <f>HYPERLINK("https://my.pitchbook.com?c=196697-53T","View Company Online")</f>
      </c>
    </row>
    <row r="494">
      <c r="A494" s="14" t="s">
        <v>9613</v>
      </c>
      <c r="B494" s="14" t="s">
        <v>9614</v>
      </c>
      <c r="C494" s="14" t="s">
        <v>9615</v>
      </c>
      <c r="D494" s="14" t="s">
        <v>166</v>
      </c>
      <c r="E494" s="23" t="s">
        <v>9616</v>
      </c>
      <c r="F494" s="21">
        <v>8</v>
      </c>
      <c r="G494" s="14" t="s">
        <v>9617</v>
      </c>
      <c r="H494" s="14" t="s">
        <v>166</v>
      </c>
      <c r="I494" s="14" t="s">
        <v>9618</v>
      </c>
      <c r="J494" s="14" t="s">
        <v>9619</v>
      </c>
      <c r="K494" s="14" t="s">
        <v>321</v>
      </c>
      <c r="L494" s="14" t="s">
        <v>322</v>
      </c>
      <c r="M494" s="14" t="s">
        <v>322</v>
      </c>
      <c r="N494" s="14" t="s">
        <v>2410</v>
      </c>
      <c r="O494" s="14" t="s">
        <v>325</v>
      </c>
      <c r="P494" s="14" t="s">
        <v>9620</v>
      </c>
      <c r="Q494" s="14" t="s">
        <v>166</v>
      </c>
      <c r="R494" s="14" t="s">
        <v>177</v>
      </c>
      <c r="S494" s="14" t="s">
        <v>178</v>
      </c>
      <c r="T494" s="14" t="s">
        <v>179</v>
      </c>
      <c r="U494" s="14" t="s">
        <v>9621</v>
      </c>
      <c r="V494" s="14" t="s">
        <v>9622</v>
      </c>
      <c r="W494" s="21" t="s">
        <v>166</v>
      </c>
      <c r="X494" s="14" t="s">
        <v>9623</v>
      </c>
      <c r="Y494" s="14" t="s">
        <v>9624</v>
      </c>
      <c r="Z494" s="14" t="s">
        <v>9625</v>
      </c>
      <c r="AA494" s="14" t="s">
        <v>166</v>
      </c>
      <c r="AB494" s="14" t="s">
        <v>166</v>
      </c>
      <c r="AC494" s="14" t="s">
        <v>166</v>
      </c>
      <c r="AD494" s="14" t="s">
        <v>166</v>
      </c>
      <c r="AE494" s="14" t="s">
        <v>166</v>
      </c>
      <c r="AF494" s="14" t="s">
        <v>166</v>
      </c>
      <c r="AG494" s="14" t="s">
        <v>166</v>
      </c>
      <c r="AH494" s="21">
        <v>2</v>
      </c>
      <c r="AI494" s="3">
        <f>HYPERLINK("https://my.pitchbook.com/?d=182699-74T","182699-74T")</f>
      </c>
      <c r="AJ494" s="19" t="s">
        <v>166</v>
      </c>
      <c r="AK494" s="19">
        <v>44453</v>
      </c>
      <c r="AL494" s="18">
        <v>0.03</v>
      </c>
      <c r="AM494" s="14" t="s">
        <v>185</v>
      </c>
      <c r="AN494" s="18" t="s">
        <v>166</v>
      </c>
      <c r="AO494" s="18" t="s">
        <v>166</v>
      </c>
      <c r="AP494" s="14" t="s">
        <v>166</v>
      </c>
      <c r="AQ494" s="21" t="s">
        <v>166</v>
      </c>
      <c r="AR494" s="21" t="s">
        <v>166</v>
      </c>
      <c r="AS494" s="17" t="s">
        <v>166</v>
      </c>
      <c r="AT494" s="18">
        <v>0.15</v>
      </c>
      <c r="AU494" s="21" t="s">
        <v>186</v>
      </c>
      <c r="AV494" s="21" t="s">
        <v>166</v>
      </c>
      <c r="AW494" s="18" t="s">
        <v>166</v>
      </c>
      <c r="AX494" s="21" t="s">
        <v>166</v>
      </c>
      <c r="AY494" s="14" t="s">
        <v>217</v>
      </c>
      <c r="AZ494" s="14" t="s">
        <v>217</v>
      </c>
      <c r="BA494" s="14" t="s">
        <v>166</v>
      </c>
      <c r="BB494" s="21" t="s">
        <v>166</v>
      </c>
      <c r="BC494" s="14" t="s">
        <v>179</v>
      </c>
      <c r="BD494" s="14" t="s">
        <v>9626</v>
      </c>
      <c r="BE494" s="14" t="s">
        <v>189</v>
      </c>
      <c r="BF494" s="18">
        <v>0.03</v>
      </c>
      <c r="BG494" s="14" t="s">
        <v>190</v>
      </c>
      <c r="BH494" s="14" t="s">
        <v>166</v>
      </c>
      <c r="BI494" s="14" t="s">
        <v>166</v>
      </c>
      <c r="BJ494" s="18" t="s">
        <v>166</v>
      </c>
      <c r="BK494" s="18" t="s">
        <v>166</v>
      </c>
      <c r="BL494" s="14" t="s">
        <v>191</v>
      </c>
      <c r="BM494" s="14" t="s">
        <v>178</v>
      </c>
      <c r="BN494" s="14" t="s">
        <v>177</v>
      </c>
      <c r="BO494" s="22" t="s">
        <v>166</v>
      </c>
      <c r="BP494" s="14" t="s">
        <v>9627</v>
      </c>
      <c r="BQ494" s="21">
        <v>8</v>
      </c>
      <c r="BR494" s="14" t="s">
        <v>166</v>
      </c>
      <c r="BS494" s="21" t="s">
        <v>166</v>
      </c>
      <c r="BT494" s="14" t="s">
        <v>166</v>
      </c>
      <c r="BU494" s="14" t="s">
        <v>166</v>
      </c>
      <c r="BV494" s="14" t="s">
        <v>166</v>
      </c>
      <c r="BW494" s="14" t="s">
        <v>166</v>
      </c>
      <c r="BX494" s="14" t="s">
        <v>166</v>
      </c>
      <c r="BY494" s="14" t="s">
        <v>166</v>
      </c>
      <c r="BZ494" s="14" t="s">
        <v>166</v>
      </c>
      <c r="CA494" s="14" t="s">
        <v>166</v>
      </c>
      <c r="CB494" s="14" t="s">
        <v>166</v>
      </c>
      <c r="CC494" s="14" t="s">
        <v>166</v>
      </c>
      <c r="CD494" s="14" t="s">
        <v>166</v>
      </c>
      <c r="CE494" s="18" t="s">
        <v>166</v>
      </c>
      <c r="CF494" s="16" t="s">
        <v>166</v>
      </c>
      <c r="CG494" s="17" t="s">
        <v>166</v>
      </c>
      <c r="CH494" s="16" t="s">
        <v>166</v>
      </c>
      <c r="CI494" s="16" t="s">
        <v>166</v>
      </c>
      <c r="CJ494" s="16" t="s">
        <v>166</v>
      </c>
      <c r="CK494" s="16" t="s">
        <v>166</v>
      </c>
      <c r="CL494" s="16" t="s">
        <v>166</v>
      </c>
      <c r="CM494" s="20" t="s">
        <v>166</v>
      </c>
      <c r="CN494" s="16" t="s">
        <v>166</v>
      </c>
      <c r="CO494" s="16" t="s">
        <v>166</v>
      </c>
      <c r="CP494" s="16" t="s">
        <v>166</v>
      </c>
      <c r="CQ494" s="16" t="s">
        <v>166</v>
      </c>
      <c r="CR494" s="16" t="s">
        <v>166</v>
      </c>
      <c r="CS494" s="16" t="s">
        <v>166</v>
      </c>
      <c r="CT494" s="16" t="s">
        <v>166</v>
      </c>
      <c r="CU494" s="16" t="s">
        <v>166</v>
      </c>
      <c r="CV494" s="16" t="s">
        <v>166</v>
      </c>
      <c r="CW494" s="16" t="s">
        <v>166</v>
      </c>
      <c r="CX494" s="16" t="s">
        <v>166</v>
      </c>
      <c r="CY494" s="16" t="s">
        <v>166</v>
      </c>
      <c r="CZ494" s="16" t="s">
        <v>166</v>
      </c>
      <c r="DA494" s="16" t="s">
        <v>166</v>
      </c>
      <c r="DB494" s="16" t="s">
        <v>166</v>
      </c>
      <c r="DC494" s="16" t="s">
        <v>166</v>
      </c>
      <c r="DD494" s="16" t="s">
        <v>166</v>
      </c>
      <c r="DE494" s="17" t="s">
        <v>166</v>
      </c>
      <c r="DF494" s="22">
        <v>11</v>
      </c>
      <c r="DG494" s="14" t="s">
        <v>673</v>
      </c>
      <c r="DH494" s="14" t="s">
        <v>193</v>
      </c>
      <c r="DI494" s="14" t="s">
        <v>194</v>
      </c>
      <c r="DJ494" s="14" t="s">
        <v>674</v>
      </c>
      <c r="DK494" s="14" t="s">
        <v>257</v>
      </c>
      <c r="DL494" s="21" t="s">
        <v>1599</v>
      </c>
      <c r="DM494" s="14" t="s">
        <v>198</v>
      </c>
      <c r="DN494" s="13" t="s">
        <v>9628</v>
      </c>
      <c r="DO494" s="20">
        <v>2021</v>
      </c>
      <c r="DP494" s="14" t="s">
        <v>166</v>
      </c>
      <c r="DQ494" s="14" t="s">
        <v>166</v>
      </c>
      <c r="DR494" s="18" t="s">
        <v>166</v>
      </c>
      <c r="DS494" s="16" t="s">
        <v>166</v>
      </c>
      <c r="DT494" s="19" t="s">
        <v>166</v>
      </c>
      <c r="DU494" s="14" t="s">
        <v>166</v>
      </c>
      <c r="DV494" s="18" t="s">
        <v>166</v>
      </c>
      <c r="DW494" s="18" t="s">
        <v>166</v>
      </c>
      <c r="DX494" s="16" t="s">
        <v>166</v>
      </c>
      <c r="DY494" s="16" t="s">
        <v>166</v>
      </c>
      <c r="DZ494" s="17" t="s">
        <v>166</v>
      </c>
      <c r="EA494" s="16" t="s">
        <v>166</v>
      </c>
      <c r="EB494" s="16" t="s">
        <v>166</v>
      </c>
      <c r="EC494" s="16" t="s">
        <v>166</v>
      </c>
      <c r="ED494" s="17" t="s">
        <v>166</v>
      </c>
      <c r="EE494" s="17" t="s">
        <v>166</v>
      </c>
      <c r="EF494" s="17" t="s">
        <v>166</v>
      </c>
      <c r="EG494" s="17" t="s">
        <v>166</v>
      </c>
      <c r="EH494" s="16" t="s">
        <v>166</v>
      </c>
      <c r="EI494" s="16" t="s">
        <v>166</v>
      </c>
      <c r="EJ494" s="16" t="s">
        <v>166</v>
      </c>
      <c r="EK494" s="16" t="s">
        <v>166</v>
      </c>
      <c r="EL494" s="16" t="s">
        <v>166</v>
      </c>
      <c r="EM494" s="16" t="s">
        <v>166</v>
      </c>
      <c r="EN494" s="16" t="s">
        <v>166</v>
      </c>
      <c r="EO494" s="16" t="s">
        <v>166</v>
      </c>
      <c r="EP494" s="16" t="s">
        <v>166</v>
      </c>
      <c r="EQ494" s="16" t="s">
        <v>166</v>
      </c>
      <c r="ER494" s="16" t="s">
        <v>166</v>
      </c>
      <c r="ES494" s="16" t="s">
        <v>166</v>
      </c>
      <c r="ET494" s="14" t="s">
        <v>166</v>
      </c>
      <c r="EU494" s="16" t="s">
        <v>166</v>
      </c>
      <c r="EV494" s="16" t="s">
        <v>166</v>
      </c>
      <c r="EW494" s="16" t="s">
        <v>166</v>
      </c>
      <c r="EX494" s="14" t="s">
        <v>190</v>
      </c>
      <c r="EY494" s="14" t="s">
        <v>166</v>
      </c>
      <c r="EZ494" s="16" t="s">
        <v>166</v>
      </c>
      <c r="FA494" s="15" t="s">
        <v>166</v>
      </c>
      <c r="FB494" s="15" t="s">
        <v>166</v>
      </c>
      <c r="FC494" s="15" t="s">
        <v>166</v>
      </c>
      <c r="FD494" s="15" t="s">
        <v>166</v>
      </c>
      <c r="FE494" s="15" t="s">
        <v>166</v>
      </c>
      <c r="FF494" s="15" t="s">
        <v>166</v>
      </c>
      <c r="FG494" s="14" t="s">
        <v>166</v>
      </c>
      <c r="FH494" s="3">
        <f>HYPERLINK("https://my.pitchbook.com?c=182699-74T","View Company Online")</f>
      </c>
    </row>
    <row r="495">
      <c r="A495" s="25" t="s">
        <v>9629</v>
      </c>
      <c r="B495" s="25" t="s">
        <v>9630</v>
      </c>
      <c r="C495" s="25" t="s">
        <v>9631</v>
      </c>
      <c r="D495" s="25" t="s">
        <v>166</v>
      </c>
      <c r="E495" s="34" t="s">
        <v>9632</v>
      </c>
      <c r="F495" s="32">
        <v>1</v>
      </c>
      <c r="G495" s="25" t="s">
        <v>9633</v>
      </c>
      <c r="H495" s="25" t="s">
        <v>166</v>
      </c>
      <c r="I495" s="25" t="s">
        <v>9634</v>
      </c>
      <c r="J495" s="25" t="s">
        <v>9635</v>
      </c>
      <c r="K495" s="25" t="s">
        <v>207</v>
      </c>
      <c r="L495" s="25" t="s">
        <v>208</v>
      </c>
      <c r="M495" s="25" t="s">
        <v>209</v>
      </c>
      <c r="N495" s="25" t="s">
        <v>9636</v>
      </c>
      <c r="O495" s="25" t="s">
        <v>211</v>
      </c>
      <c r="P495" s="25" t="s">
        <v>9637</v>
      </c>
      <c r="Q495" s="25" t="s">
        <v>166</v>
      </c>
      <c r="R495" s="25" t="s">
        <v>177</v>
      </c>
      <c r="S495" s="25" t="s">
        <v>178</v>
      </c>
      <c r="T495" s="25" t="s">
        <v>179</v>
      </c>
      <c r="U495" s="25" t="s">
        <v>9638</v>
      </c>
      <c r="V495" s="25" t="s">
        <v>9639</v>
      </c>
      <c r="W495" s="32" t="s">
        <v>9640</v>
      </c>
      <c r="X495" s="25" t="s">
        <v>9641</v>
      </c>
      <c r="Y495" s="25" t="s">
        <v>9642</v>
      </c>
      <c r="Z495" s="25" t="s">
        <v>166</v>
      </c>
      <c r="AA495" s="25" t="s">
        <v>242</v>
      </c>
      <c r="AB495" s="25" t="s">
        <v>166</v>
      </c>
      <c r="AC495" s="25" t="s">
        <v>244</v>
      </c>
      <c r="AD495" s="25" t="s">
        <v>243</v>
      </c>
      <c r="AE495" s="25" t="s">
        <v>166</v>
      </c>
      <c r="AF495" s="25" t="s">
        <v>166</v>
      </c>
      <c r="AG495" s="25" t="s">
        <v>807</v>
      </c>
      <c r="AH495" s="32">
        <v>1</v>
      </c>
      <c r="AI495" s="4">
        <f>HYPERLINK("https://my.pitchbook.com/?d=267640-21T","267640-21T")</f>
      </c>
      <c r="AJ495" s="30">
        <v>45292</v>
      </c>
      <c r="AK495" s="30">
        <v>45507</v>
      </c>
      <c r="AL495" s="29">
        <v>2</v>
      </c>
      <c r="AM495" s="25" t="s">
        <v>185</v>
      </c>
      <c r="AN495" s="29">
        <v>7</v>
      </c>
      <c r="AO495" s="29">
        <v>9</v>
      </c>
      <c r="AP495" s="25" t="s">
        <v>247</v>
      </c>
      <c r="AQ495" s="32" t="s">
        <v>166</v>
      </c>
      <c r="AR495" s="32" t="s">
        <v>166</v>
      </c>
      <c r="AS495" s="28">
        <v>22.22</v>
      </c>
      <c r="AT495" s="29">
        <v>2</v>
      </c>
      <c r="AU495" s="32" t="s">
        <v>186</v>
      </c>
      <c r="AV495" s="32" t="s">
        <v>166</v>
      </c>
      <c r="AW495" s="29">
        <v>1.18</v>
      </c>
      <c r="AX495" s="32" t="s">
        <v>746</v>
      </c>
      <c r="AY495" s="25" t="s">
        <v>187</v>
      </c>
      <c r="AZ495" s="25" t="s">
        <v>746</v>
      </c>
      <c r="BA495" s="25" t="s">
        <v>166</v>
      </c>
      <c r="BB495" s="32" t="s">
        <v>166</v>
      </c>
      <c r="BC495" s="25" t="s">
        <v>179</v>
      </c>
      <c r="BD495" s="25" t="s">
        <v>9635</v>
      </c>
      <c r="BE495" s="25" t="s">
        <v>189</v>
      </c>
      <c r="BF495" s="29">
        <v>2</v>
      </c>
      <c r="BG495" s="25" t="s">
        <v>190</v>
      </c>
      <c r="BH495" s="25" t="s">
        <v>166</v>
      </c>
      <c r="BI495" s="25" t="s">
        <v>166</v>
      </c>
      <c r="BJ495" s="29" t="s">
        <v>166</v>
      </c>
      <c r="BK495" s="29" t="s">
        <v>166</v>
      </c>
      <c r="BL495" s="25" t="s">
        <v>191</v>
      </c>
      <c r="BM495" s="25" t="s">
        <v>358</v>
      </c>
      <c r="BN495" s="25" t="s">
        <v>177</v>
      </c>
      <c r="BO495" s="33">
        <v>50</v>
      </c>
      <c r="BP495" s="25" t="s">
        <v>9632</v>
      </c>
      <c r="BQ495" s="32">
        <v>1</v>
      </c>
      <c r="BR495" s="25" t="s">
        <v>166</v>
      </c>
      <c r="BS495" s="32" t="s">
        <v>166</v>
      </c>
      <c r="BT495" s="25" t="s">
        <v>166</v>
      </c>
      <c r="BU495" s="25" t="s">
        <v>166</v>
      </c>
      <c r="BV495" s="25" t="s">
        <v>166</v>
      </c>
      <c r="BW495" s="25" t="s">
        <v>166</v>
      </c>
      <c r="BX495" s="25" t="s">
        <v>166</v>
      </c>
      <c r="BY495" s="25" t="s">
        <v>166</v>
      </c>
      <c r="BZ495" s="25" t="s">
        <v>9643</v>
      </c>
      <c r="CA495" s="25" t="s">
        <v>166</v>
      </c>
      <c r="CB495" s="25" t="s">
        <v>166</v>
      </c>
      <c r="CC495" s="25" t="s">
        <v>9643</v>
      </c>
      <c r="CD495" s="25" t="s">
        <v>166</v>
      </c>
      <c r="CE495" s="29" t="s">
        <v>166</v>
      </c>
      <c r="CF495" s="27" t="s">
        <v>166</v>
      </c>
      <c r="CG495" s="28" t="s">
        <v>166</v>
      </c>
      <c r="CH495" s="27" t="s">
        <v>166</v>
      </c>
      <c r="CI495" s="27" t="s">
        <v>166</v>
      </c>
      <c r="CJ495" s="27" t="s">
        <v>166</v>
      </c>
      <c r="CK495" s="27" t="s">
        <v>166</v>
      </c>
      <c r="CL495" s="27" t="s">
        <v>166</v>
      </c>
      <c r="CM495" s="31" t="s">
        <v>166</v>
      </c>
      <c r="CN495" s="27" t="s">
        <v>166</v>
      </c>
      <c r="CO495" s="27" t="s">
        <v>166</v>
      </c>
      <c r="CP495" s="27" t="s">
        <v>166</v>
      </c>
      <c r="CQ495" s="27" t="s">
        <v>166</v>
      </c>
      <c r="CR495" s="27" t="s">
        <v>166</v>
      </c>
      <c r="CS495" s="27" t="s">
        <v>166</v>
      </c>
      <c r="CT495" s="27" t="s">
        <v>166</v>
      </c>
      <c r="CU495" s="27" t="s">
        <v>166</v>
      </c>
      <c r="CV495" s="27" t="s">
        <v>166</v>
      </c>
      <c r="CW495" s="27" t="s">
        <v>166</v>
      </c>
      <c r="CX495" s="27" t="s">
        <v>166</v>
      </c>
      <c r="CY495" s="27" t="s">
        <v>166</v>
      </c>
      <c r="CZ495" s="27" t="s">
        <v>166</v>
      </c>
      <c r="DA495" s="27" t="s">
        <v>166</v>
      </c>
      <c r="DB495" s="27" t="s">
        <v>166</v>
      </c>
      <c r="DC495" s="27" t="s">
        <v>166</v>
      </c>
      <c r="DD495" s="27" t="s">
        <v>166</v>
      </c>
      <c r="DE495" s="28" t="s">
        <v>166</v>
      </c>
      <c r="DF495" s="33">
        <v>50</v>
      </c>
      <c r="DG495" s="25" t="s">
        <v>1678</v>
      </c>
      <c r="DH495" s="25" t="s">
        <v>193</v>
      </c>
      <c r="DI495" s="25" t="s">
        <v>194</v>
      </c>
      <c r="DJ495" s="25" t="s">
        <v>1679</v>
      </c>
      <c r="DK495" s="25" t="s">
        <v>310</v>
      </c>
      <c r="DL495" s="32" t="s">
        <v>6722</v>
      </c>
      <c r="DM495" s="25" t="s">
        <v>198</v>
      </c>
      <c r="DN495" s="24" t="s">
        <v>9644</v>
      </c>
      <c r="DO495" s="31">
        <v>2020</v>
      </c>
      <c r="DP495" s="25" t="s">
        <v>166</v>
      </c>
      <c r="DQ495" s="25" t="s">
        <v>166</v>
      </c>
      <c r="DR495" s="29" t="s">
        <v>166</v>
      </c>
      <c r="DS495" s="27" t="s">
        <v>166</v>
      </c>
      <c r="DT495" s="30" t="s">
        <v>166</v>
      </c>
      <c r="DU495" s="25" t="s">
        <v>166</v>
      </c>
      <c r="DV495" s="29" t="s">
        <v>166</v>
      </c>
      <c r="DW495" s="29" t="s">
        <v>166</v>
      </c>
      <c r="DX495" s="27" t="s">
        <v>166</v>
      </c>
      <c r="DY495" s="27" t="s">
        <v>166</v>
      </c>
      <c r="DZ495" s="28" t="s">
        <v>166</v>
      </c>
      <c r="EA495" s="27" t="s">
        <v>166</v>
      </c>
      <c r="EB495" s="27" t="s">
        <v>166</v>
      </c>
      <c r="EC495" s="27" t="s">
        <v>166</v>
      </c>
      <c r="ED495" s="28" t="s">
        <v>166</v>
      </c>
      <c r="EE495" s="28" t="s">
        <v>166</v>
      </c>
      <c r="EF495" s="28" t="s">
        <v>166</v>
      </c>
      <c r="EG495" s="28" t="s">
        <v>166</v>
      </c>
      <c r="EH495" s="27" t="s">
        <v>166</v>
      </c>
      <c r="EI495" s="27" t="s">
        <v>166</v>
      </c>
      <c r="EJ495" s="27" t="s">
        <v>166</v>
      </c>
      <c r="EK495" s="27" t="s">
        <v>166</v>
      </c>
      <c r="EL495" s="27" t="s">
        <v>166</v>
      </c>
      <c r="EM495" s="27" t="s">
        <v>166</v>
      </c>
      <c r="EN495" s="27" t="s">
        <v>166</v>
      </c>
      <c r="EO495" s="27" t="s">
        <v>166</v>
      </c>
      <c r="EP495" s="27" t="s">
        <v>166</v>
      </c>
      <c r="EQ495" s="27" t="s">
        <v>166</v>
      </c>
      <c r="ER495" s="27" t="s">
        <v>166</v>
      </c>
      <c r="ES495" s="27" t="s">
        <v>166</v>
      </c>
      <c r="ET495" s="25" t="s">
        <v>166</v>
      </c>
      <c r="EU495" s="27" t="s">
        <v>166</v>
      </c>
      <c r="EV495" s="27" t="s">
        <v>166</v>
      </c>
      <c r="EW495" s="27" t="s">
        <v>166</v>
      </c>
      <c r="EX495" s="25" t="s">
        <v>190</v>
      </c>
      <c r="EY495" s="25" t="s">
        <v>166</v>
      </c>
      <c r="EZ495" s="27" t="s">
        <v>166</v>
      </c>
      <c r="FA495" s="26" t="s">
        <v>166</v>
      </c>
      <c r="FB495" s="26" t="s">
        <v>166</v>
      </c>
      <c r="FC495" s="26" t="s">
        <v>166</v>
      </c>
      <c r="FD495" s="26" t="s">
        <v>166</v>
      </c>
      <c r="FE495" s="26" t="s">
        <v>166</v>
      </c>
      <c r="FF495" s="26" t="s">
        <v>166</v>
      </c>
      <c r="FG495" s="25" t="s">
        <v>166</v>
      </c>
      <c r="FH495" s="4">
        <f>HYPERLINK("https://my.pitchbook.com?c=267640-21T","View Company Online")</f>
      </c>
    </row>
    <row r="496">
      <c r="A496" s="14" t="s">
        <v>9645</v>
      </c>
      <c r="B496" s="14" t="s">
        <v>9646</v>
      </c>
      <c r="C496" s="14" t="s">
        <v>9647</v>
      </c>
      <c r="D496" s="14" t="s">
        <v>166</v>
      </c>
      <c r="E496" s="23" t="s">
        <v>9648</v>
      </c>
      <c r="F496" s="21">
        <v>5</v>
      </c>
      <c r="G496" s="14" t="s">
        <v>9649</v>
      </c>
      <c r="H496" s="14" t="s">
        <v>166</v>
      </c>
      <c r="I496" s="14" t="s">
        <v>9650</v>
      </c>
      <c r="J496" s="14" t="s">
        <v>9651</v>
      </c>
      <c r="K496" s="14" t="s">
        <v>207</v>
      </c>
      <c r="L496" s="14" t="s">
        <v>208</v>
      </c>
      <c r="M496" s="14" t="s">
        <v>1220</v>
      </c>
      <c r="N496" s="14" t="s">
        <v>9652</v>
      </c>
      <c r="O496" s="14" t="s">
        <v>211</v>
      </c>
      <c r="P496" s="14" t="s">
        <v>9653</v>
      </c>
      <c r="Q496" s="14" t="s">
        <v>166</v>
      </c>
      <c r="R496" s="14" t="s">
        <v>177</v>
      </c>
      <c r="S496" s="14" t="s">
        <v>178</v>
      </c>
      <c r="T496" s="14" t="s">
        <v>179</v>
      </c>
      <c r="U496" s="14" t="s">
        <v>9654</v>
      </c>
      <c r="V496" s="14" t="s">
        <v>9655</v>
      </c>
      <c r="W496" s="21" t="s">
        <v>166</v>
      </c>
      <c r="X496" s="14" t="s">
        <v>9656</v>
      </c>
      <c r="Y496" s="14" t="s">
        <v>9657</v>
      </c>
      <c r="Z496" s="14" t="s">
        <v>9658</v>
      </c>
      <c r="AA496" s="14" t="s">
        <v>166</v>
      </c>
      <c r="AB496" s="14" t="s">
        <v>166</v>
      </c>
      <c r="AC496" s="14" t="s">
        <v>166</v>
      </c>
      <c r="AD496" s="14" t="s">
        <v>166</v>
      </c>
      <c r="AE496" s="14" t="s">
        <v>166</v>
      </c>
      <c r="AF496" s="14" t="s">
        <v>166</v>
      </c>
      <c r="AG496" s="14" t="s">
        <v>166</v>
      </c>
      <c r="AH496" s="21">
        <v>1</v>
      </c>
      <c r="AI496" s="3">
        <f>HYPERLINK("https://my.pitchbook.com/?d=157723-66T","157723-66T")</f>
      </c>
      <c r="AJ496" s="19">
        <v>43770</v>
      </c>
      <c r="AK496" s="19">
        <v>43859</v>
      </c>
      <c r="AL496" s="18">
        <v>2.8</v>
      </c>
      <c r="AM496" s="14" t="s">
        <v>185</v>
      </c>
      <c r="AN496" s="18" t="s">
        <v>166</v>
      </c>
      <c r="AO496" s="18" t="s">
        <v>166</v>
      </c>
      <c r="AP496" s="14" t="s">
        <v>166</v>
      </c>
      <c r="AQ496" s="21" t="s">
        <v>166</v>
      </c>
      <c r="AR496" s="21" t="s">
        <v>166</v>
      </c>
      <c r="AS496" s="17" t="s">
        <v>166</v>
      </c>
      <c r="AT496" s="18">
        <v>2.8</v>
      </c>
      <c r="AU496" s="21" t="s">
        <v>186</v>
      </c>
      <c r="AV496" s="21" t="s">
        <v>166</v>
      </c>
      <c r="AW496" s="18" t="s">
        <v>166</v>
      </c>
      <c r="AX496" s="21" t="s">
        <v>166</v>
      </c>
      <c r="AY496" s="14" t="s">
        <v>187</v>
      </c>
      <c r="AZ496" s="14" t="s">
        <v>166</v>
      </c>
      <c r="BA496" s="14" t="s">
        <v>166</v>
      </c>
      <c r="BB496" s="21" t="s">
        <v>166</v>
      </c>
      <c r="BC496" s="14" t="s">
        <v>179</v>
      </c>
      <c r="BD496" s="14" t="s">
        <v>9659</v>
      </c>
      <c r="BE496" s="14" t="s">
        <v>189</v>
      </c>
      <c r="BF496" s="18">
        <v>2.8</v>
      </c>
      <c r="BG496" s="14" t="s">
        <v>190</v>
      </c>
      <c r="BH496" s="14" t="s">
        <v>166</v>
      </c>
      <c r="BI496" s="14" t="s">
        <v>166</v>
      </c>
      <c r="BJ496" s="18" t="s">
        <v>166</v>
      </c>
      <c r="BK496" s="18" t="s">
        <v>166</v>
      </c>
      <c r="BL496" s="14" t="s">
        <v>191</v>
      </c>
      <c r="BM496" s="14" t="s">
        <v>178</v>
      </c>
      <c r="BN496" s="14" t="s">
        <v>177</v>
      </c>
      <c r="BO496" s="22" t="s">
        <v>166</v>
      </c>
      <c r="BP496" s="14" t="s">
        <v>9660</v>
      </c>
      <c r="BQ496" s="21">
        <v>5</v>
      </c>
      <c r="BR496" s="14" t="s">
        <v>166</v>
      </c>
      <c r="BS496" s="21" t="s">
        <v>166</v>
      </c>
      <c r="BT496" s="14" t="s">
        <v>166</v>
      </c>
      <c r="BU496" s="14" t="s">
        <v>166</v>
      </c>
      <c r="BV496" s="14" t="s">
        <v>9661</v>
      </c>
      <c r="BW496" s="14" t="s">
        <v>166</v>
      </c>
      <c r="BX496" s="14" t="s">
        <v>166</v>
      </c>
      <c r="BY496" s="14" t="s">
        <v>166</v>
      </c>
      <c r="BZ496" s="14" t="s">
        <v>166</v>
      </c>
      <c r="CA496" s="14" t="s">
        <v>166</v>
      </c>
      <c r="CB496" s="14" t="s">
        <v>166</v>
      </c>
      <c r="CC496" s="14" t="s">
        <v>166</v>
      </c>
      <c r="CD496" s="14" t="s">
        <v>166</v>
      </c>
      <c r="CE496" s="18" t="s">
        <v>166</v>
      </c>
      <c r="CF496" s="16" t="s">
        <v>166</v>
      </c>
      <c r="CG496" s="17" t="s">
        <v>166</v>
      </c>
      <c r="CH496" s="16" t="s">
        <v>166</v>
      </c>
      <c r="CI496" s="16" t="s">
        <v>166</v>
      </c>
      <c r="CJ496" s="16" t="s">
        <v>166</v>
      </c>
      <c r="CK496" s="16" t="s">
        <v>166</v>
      </c>
      <c r="CL496" s="16" t="s">
        <v>166</v>
      </c>
      <c r="CM496" s="20" t="s">
        <v>166</v>
      </c>
      <c r="CN496" s="16" t="s">
        <v>166</v>
      </c>
      <c r="CO496" s="16" t="s">
        <v>166</v>
      </c>
      <c r="CP496" s="16" t="s">
        <v>166</v>
      </c>
      <c r="CQ496" s="16" t="s">
        <v>166</v>
      </c>
      <c r="CR496" s="16" t="s">
        <v>166</v>
      </c>
      <c r="CS496" s="16" t="s">
        <v>166</v>
      </c>
      <c r="CT496" s="16" t="s">
        <v>166</v>
      </c>
      <c r="CU496" s="16" t="s">
        <v>166</v>
      </c>
      <c r="CV496" s="16" t="s">
        <v>166</v>
      </c>
      <c r="CW496" s="16" t="s">
        <v>166</v>
      </c>
      <c r="CX496" s="16" t="s">
        <v>166</v>
      </c>
      <c r="CY496" s="16" t="s">
        <v>166</v>
      </c>
      <c r="CZ496" s="16" t="s">
        <v>166</v>
      </c>
      <c r="DA496" s="16" t="s">
        <v>166</v>
      </c>
      <c r="DB496" s="16" t="s">
        <v>166</v>
      </c>
      <c r="DC496" s="16" t="s">
        <v>166</v>
      </c>
      <c r="DD496" s="16" t="s">
        <v>166</v>
      </c>
      <c r="DE496" s="17" t="s">
        <v>166</v>
      </c>
      <c r="DF496" s="22">
        <v>20</v>
      </c>
      <c r="DG496" s="14" t="s">
        <v>309</v>
      </c>
      <c r="DH496" s="14" t="s">
        <v>193</v>
      </c>
      <c r="DI496" s="14" t="s">
        <v>194</v>
      </c>
      <c r="DJ496" s="14" t="s">
        <v>310</v>
      </c>
      <c r="DK496" s="14" t="s">
        <v>310</v>
      </c>
      <c r="DL496" s="21" t="s">
        <v>479</v>
      </c>
      <c r="DM496" s="14" t="s">
        <v>198</v>
      </c>
      <c r="DN496" s="13" t="s">
        <v>9662</v>
      </c>
      <c r="DO496" s="20">
        <v>2019</v>
      </c>
      <c r="DP496" s="14" t="s">
        <v>166</v>
      </c>
      <c r="DQ496" s="14" t="s">
        <v>166</v>
      </c>
      <c r="DR496" s="18" t="s">
        <v>166</v>
      </c>
      <c r="DS496" s="16" t="s">
        <v>166</v>
      </c>
      <c r="DT496" s="19" t="s">
        <v>166</v>
      </c>
      <c r="DU496" s="14" t="s">
        <v>166</v>
      </c>
      <c r="DV496" s="18" t="s">
        <v>166</v>
      </c>
      <c r="DW496" s="18" t="s">
        <v>166</v>
      </c>
      <c r="DX496" s="16" t="s">
        <v>166</v>
      </c>
      <c r="DY496" s="16" t="s">
        <v>166</v>
      </c>
      <c r="DZ496" s="17" t="s">
        <v>166</v>
      </c>
      <c r="EA496" s="16" t="s">
        <v>166</v>
      </c>
      <c r="EB496" s="16" t="s">
        <v>166</v>
      </c>
      <c r="EC496" s="16" t="s">
        <v>166</v>
      </c>
      <c r="ED496" s="17" t="s">
        <v>166</v>
      </c>
      <c r="EE496" s="17" t="s">
        <v>166</v>
      </c>
      <c r="EF496" s="17" t="s">
        <v>166</v>
      </c>
      <c r="EG496" s="17" t="s">
        <v>166</v>
      </c>
      <c r="EH496" s="16" t="s">
        <v>166</v>
      </c>
      <c r="EI496" s="16" t="s">
        <v>166</v>
      </c>
      <c r="EJ496" s="16" t="s">
        <v>166</v>
      </c>
      <c r="EK496" s="16" t="s">
        <v>166</v>
      </c>
      <c r="EL496" s="16" t="s">
        <v>166</v>
      </c>
      <c r="EM496" s="16" t="s">
        <v>166</v>
      </c>
      <c r="EN496" s="16" t="s">
        <v>166</v>
      </c>
      <c r="EO496" s="16" t="s">
        <v>166</v>
      </c>
      <c r="EP496" s="16" t="s">
        <v>166</v>
      </c>
      <c r="EQ496" s="16" t="s">
        <v>166</v>
      </c>
      <c r="ER496" s="16" t="s">
        <v>166</v>
      </c>
      <c r="ES496" s="16" t="s">
        <v>166</v>
      </c>
      <c r="ET496" s="14" t="s">
        <v>166</v>
      </c>
      <c r="EU496" s="16" t="s">
        <v>166</v>
      </c>
      <c r="EV496" s="16" t="s">
        <v>166</v>
      </c>
      <c r="EW496" s="16" t="s">
        <v>166</v>
      </c>
      <c r="EX496" s="14" t="s">
        <v>190</v>
      </c>
      <c r="EY496" s="14" t="s">
        <v>166</v>
      </c>
      <c r="EZ496" s="16" t="s">
        <v>166</v>
      </c>
      <c r="FA496" s="15" t="s">
        <v>166</v>
      </c>
      <c r="FB496" s="15" t="s">
        <v>166</v>
      </c>
      <c r="FC496" s="15" t="s">
        <v>166</v>
      </c>
      <c r="FD496" s="15" t="s">
        <v>166</v>
      </c>
      <c r="FE496" s="15" t="s">
        <v>166</v>
      </c>
      <c r="FF496" s="15" t="s">
        <v>166</v>
      </c>
      <c r="FG496" s="14" t="s">
        <v>166</v>
      </c>
      <c r="FH496" s="3">
        <f>HYPERLINK("https://my.pitchbook.com?c=157723-66T","View Company Online")</f>
      </c>
    </row>
    <row r="497">
      <c r="A497" s="25" t="s">
        <v>9663</v>
      </c>
      <c r="B497" s="25" t="s">
        <v>9664</v>
      </c>
      <c r="C497" s="25" t="s">
        <v>9665</v>
      </c>
      <c r="D497" s="25" t="s">
        <v>166</v>
      </c>
      <c r="E497" s="34" t="s">
        <v>9666</v>
      </c>
      <c r="F497" s="32">
        <v>2</v>
      </c>
      <c r="G497" s="25" t="s">
        <v>9667</v>
      </c>
      <c r="H497" s="25" t="s">
        <v>166</v>
      </c>
      <c r="I497" s="25" t="s">
        <v>9668</v>
      </c>
      <c r="J497" s="25" t="s">
        <v>9669</v>
      </c>
      <c r="K497" s="25" t="s">
        <v>207</v>
      </c>
      <c r="L497" s="25" t="s">
        <v>208</v>
      </c>
      <c r="M497" s="25" t="s">
        <v>965</v>
      </c>
      <c r="N497" s="25" t="s">
        <v>966</v>
      </c>
      <c r="O497" s="25" t="s">
        <v>211</v>
      </c>
      <c r="P497" s="25" t="s">
        <v>9670</v>
      </c>
      <c r="Q497" s="25" t="s">
        <v>4082</v>
      </c>
      <c r="R497" s="25" t="s">
        <v>177</v>
      </c>
      <c r="S497" s="25" t="s">
        <v>178</v>
      </c>
      <c r="T497" s="25" t="s">
        <v>179</v>
      </c>
      <c r="U497" s="25" t="s">
        <v>9671</v>
      </c>
      <c r="V497" s="25" t="s">
        <v>9672</v>
      </c>
      <c r="W497" s="32" t="s">
        <v>9673</v>
      </c>
      <c r="X497" s="25" t="s">
        <v>9674</v>
      </c>
      <c r="Y497" s="25" t="s">
        <v>9675</v>
      </c>
      <c r="Z497" s="25" t="s">
        <v>9676</v>
      </c>
      <c r="AA497" s="25" t="s">
        <v>166</v>
      </c>
      <c r="AB497" s="25" t="s">
        <v>166</v>
      </c>
      <c r="AC497" s="25" t="s">
        <v>166</v>
      </c>
      <c r="AD497" s="25" t="s">
        <v>166</v>
      </c>
      <c r="AE497" s="25" t="s">
        <v>166</v>
      </c>
      <c r="AF497" s="25" t="s">
        <v>166</v>
      </c>
      <c r="AG497" s="25" t="s">
        <v>166</v>
      </c>
      <c r="AH497" s="32">
        <v>2</v>
      </c>
      <c r="AI497" s="4">
        <f>HYPERLINK("https://my.pitchbook.com/?d=188351-56T","188351-56T")</f>
      </c>
      <c r="AJ497" s="30" t="s">
        <v>166</v>
      </c>
      <c r="AK497" s="30">
        <v>44531</v>
      </c>
      <c r="AL497" s="29">
        <v>0.2</v>
      </c>
      <c r="AM497" s="25" t="s">
        <v>185</v>
      </c>
      <c r="AN497" s="29" t="s">
        <v>166</v>
      </c>
      <c r="AO497" s="29" t="s">
        <v>166</v>
      </c>
      <c r="AP497" s="25" t="s">
        <v>166</v>
      </c>
      <c r="AQ497" s="32" t="s">
        <v>166</v>
      </c>
      <c r="AR497" s="32" t="s">
        <v>166</v>
      </c>
      <c r="AS497" s="28" t="s">
        <v>166</v>
      </c>
      <c r="AT497" s="29">
        <v>0.35</v>
      </c>
      <c r="AU497" s="32" t="s">
        <v>186</v>
      </c>
      <c r="AV497" s="32" t="s">
        <v>166</v>
      </c>
      <c r="AW497" s="29" t="s">
        <v>166</v>
      </c>
      <c r="AX497" s="32" t="s">
        <v>166</v>
      </c>
      <c r="AY497" s="25" t="s">
        <v>217</v>
      </c>
      <c r="AZ497" s="25" t="s">
        <v>217</v>
      </c>
      <c r="BA497" s="25" t="s">
        <v>166</v>
      </c>
      <c r="BB497" s="32" t="s">
        <v>166</v>
      </c>
      <c r="BC497" s="25" t="s">
        <v>179</v>
      </c>
      <c r="BD497" s="25" t="s">
        <v>9677</v>
      </c>
      <c r="BE497" s="25" t="s">
        <v>189</v>
      </c>
      <c r="BF497" s="29">
        <v>0.2</v>
      </c>
      <c r="BG497" s="25" t="s">
        <v>190</v>
      </c>
      <c r="BH497" s="25" t="s">
        <v>166</v>
      </c>
      <c r="BI497" s="25" t="s">
        <v>166</v>
      </c>
      <c r="BJ497" s="29" t="s">
        <v>166</v>
      </c>
      <c r="BK497" s="29" t="s">
        <v>166</v>
      </c>
      <c r="BL497" s="25" t="s">
        <v>191</v>
      </c>
      <c r="BM497" s="25" t="s">
        <v>178</v>
      </c>
      <c r="BN497" s="25" t="s">
        <v>177</v>
      </c>
      <c r="BO497" s="33" t="s">
        <v>166</v>
      </c>
      <c r="BP497" s="25" t="s">
        <v>9666</v>
      </c>
      <c r="BQ497" s="32">
        <v>2</v>
      </c>
      <c r="BR497" s="25" t="s">
        <v>166</v>
      </c>
      <c r="BS497" s="32" t="s">
        <v>166</v>
      </c>
      <c r="BT497" s="25" t="s">
        <v>166</v>
      </c>
      <c r="BU497" s="25" t="s">
        <v>166</v>
      </c>
      <c r="BV497" s="25" t="s">
        <v>166</v>
      </c>
      <c r="BW497" s="25" t="s">
        <v>166</v>
      </c>
      <c r="BX497" s="25" t="s">
        <v>166</v>
      </c>
      <c r="BY497" s="25" t="s">
        <v>166</v>
      </c>
      <c r="BZ497" s="25" t="s">
        <v>166</v>
      </c>
      <c r="CA497" s="25" t="s">
        <v>166</v>
      </c>
      <c r="CB497" s="25" t="s">
        <v>166</v>
      </c>
      <c r="CC497" s="25" t="s">
        <v>166</v>
      </c>
      <c r="CD497" s="25" t="s">
        <v>166</v>
      </c>
      <c r="CE497" s="29" t="s">
        <v>166</v>
      </c>
      <c r="CF497" s="27" t="s">
        <v>166</v>
      </c>
      <c r="CG497" s="28" t="s">
        <v>166</v>
      </c>
      <c r="CH497" s="27" t="s">
        <v>166</v>
      </c>
      <c r="CI497" s="27" t="s">
        <v>166</v>
      </c>
      <c r="CJ497" s="27" t="s">
        <v>166</v>
      </c>
      <c r="CK497" s="27" t="s">
        <v>166</v>
      </c>
      <c r="CL497" s="27" t="s">
        <v>166</v>
      </c>
      <c r="CM497" s="31" t="s">
        <v>166</v>
      </c>
      <c r="CN497" s="27" t="s">
        <v>166</v>
      </c>
      <c r="CO497" s="27" t="s">
        <v>166</v>
      </c>
      <c r="CP497" s="27" t="s">
        <v>166</v>
      </c>
      <c r="CQ497" s="27" t="s">
        <v>166</v>
      </c>
      <c r="CR497" s="27" t="s">
        <v>166</v>
      </c>
      <c r="CS497" s="27" t="s">
        <v>166</v>
      </c>
      <c r="CT497" s="27" t="s">
        <v>166</v>
      </c>
      <c r="CU497" s="27" t="s">
        <v>166</v>
      </c>
      <c r="CV497" s="27" t="s">
        <v>166</v>
      </c>
      <c r="CW497" s="27" t="s">
        <v>166</v>
      </c>
      <c r="CX497" s="27" t="s">
        <v>166</v>
      </c>
      <c r="CY497" s="27" t="s">
        <v>166</v>
      </c>
      <c r="CZ497" s="27" t="s">
        <v>166</v>
      </c>
      <c r="DA497" s="27" t="s">
        <v>166</v>
      </c>
      <c r="DB497" s="27" t="s">
        <v>166</v>
      </c>
      <c r="DC497" s="27" t="s">
        <v>166</v>
      </c>
      <c r="DD497" s="27" t="s">
        <v>166</v>
      </c>
      <c r="DE497" s="28" t="s">
        <v>166</v>
      </c>
      <c r="DF497" s="33">
        <v>7</v>
      </c>
      <c r="DG497" s="25" t="s">
        <v>429</v>
      </c>
      <c r="DH497" s="25" t="s">
        <v>193</v>
      </c>
      <c r="DI497" s="25" t="s">
        <v>194</v>
      </c>
      <c r="DJ497" s="25" t="s">
        <v>430</v>
      </c>
      <c r="DK497" s="25" t="s">
        <v>431</v>
      </c>
      <c r="DL497" s="32" t="s">
        <v>1369</v>
      </c>
      <c r="DM497" s="25" t="s">
        <v>198</v>
      </c>
      <c r="DN497" s="24" t="s">
        <v>9678</v>
      </c>
      <c r="DO497" s="31">
        <v>2019</v>
      </c>
      <c r="DP497" s="25" t="s">
        <v>166</v>
      </c>
      <c r="DQ497" s="25" t="s">
        <v>166</v>
      </c>
      <c r="DR497" s="29" t="s">
        <v>166</v>
      </c>
      <c r="DS497" s="27" t="s">
        <v>166</v>
      </c>
      <c r="DT497" s="30" t="s">
        <v>166</v>
      </c>
      <c r="DU497" s="25" t="s">
        <v>166</v>
      </c>
      <c r="DV497" s="29" t="s">
        <v>166</v>
      </c>
      <c r="DW497" s="29" t="s">
        <v>166</v>
      </c>
      <c r="DX497" s="27" t="s">
        <v>166</v>
      </c>
      <c r="DY497" s="27" t="s">
        <v>166</v>
      </c>
      <c r="DZ497" s="28" t="s">
        <v>166</v>
      </c>
      <c r="EA497" s="27" t="s">
        <v>166</v>
      </c>
      <c r="EB497" s="27" t="s">
        <v>166</v>
      </c>
      <c r="EC497" s="27" t="s">
        <v>166</v>
      </c>
      <c r="ED497" s="28" t="s">
        <v>166</v>
      </c>
      <c r="EE497" s="28" t="s">
        <v>166</v>
      </c>
      <c r="EF497" s="28" t="s">
        <v>166</v>
      </c>
      <c r="EG497" s="28" t="s">
        <v>166</v>
      </c>
      <c r="EH497" s="27" t="s">
        <v>166</v>
      </c>
      <c r="EI497" s="27" t="s">
        <v>166</v>
      </c>
      <c r="EJ497" s="27" t="s">
        <v>166</v>
      </c>
      <c r="EK497" s="27" t="s">
        <v>166</v>
      </c>
      <c r="EL497" s="27" t="s">
        <v>166</v>
      </c>
      <c r="EM497" s="27" t="s">
        <v>166</v>
      </c>
      <c r="EN497" s="27" t="s">
        <v>166</v>
      </c>
      <c r="EO497" s="27" t="s">
        <v>166</v>
      </c>
      <c r="EP497" s="27" t="s">
        <v>166</v>
      </c>
      <c r="EQ497" s="27" t="s">
        <v>166</v>
      </c>
      <c r="ER497" s="27" t="s">
        <v>166</v>
      </c>
      <c r="ES497" s="27" t="s">
        <v>166</v>
      </c>
      <c r="ET497" s="25" t="s">
        <v>166</v>
      </c>
      <c r="EU497" s="27" t="s">
        <v>166</v>
      </c>
      <c r="EV497" s="27" t="s">
        <v>166</v>
      </c>
      <c r="EW497" s="27" t="s">
        <v>166</v>
      </c>
      <c r="EX497" s="25" t="s">
        <v>190</v>
      </c>
      <c r="EY497" s="25" t="s">
        <v>166</v>
      </c>
      <c r="EZ497" s="27" t="s">
        <v>166</v>
      </c>
      <c r="FA497" s="26" t="s">
        <v>166</v>
      </c>
      <c r="FB497" s="26" t="s">
        <v>166</v>
      </c>
      <c r="FC497" s="26" t="s">
        <v>166</v>
      </c>
      <c r="FD497" s="26" t="s">
        <v>166</v>
      </c>
      <c r="FE497" s="26" t="s">
        <v>166</v>
      </c>
      <c r="FF497" s="26" t="s">
        <v>166</v>
      </c>
      <c r="FG497" s="25" t="s">
        <v>166</v>
      </c>
      <c r="FH497" s="4">
        <f>HYPERLINK("https://my.pitchbook.com?c=188351-56T","View Company Online")</f>
      </c>
    </row>
    <row r="498">
      <c r="A498" s="14" t="s">
        <v>9679</v>
      </c>
      <c r="B498" s="14" t="s">
        <v>9680</v>
      </c>
      <c r="C498" s="14" t="s">
        <v>9681</v>
      </c>
      <c r="D498" s="14" t="s">
        <v>166</v>
      </c>
      <c r="E498" s="23" t="s">
        <v>9682</v>
      </c>
      <c r="F498" s="21">
        <v>1</v>
      </c>
      <c r="G498" s="14" t="s">
        <v>9683</v>
      </c>
      <c r="H498" s="14" t="s">
        <v>166</v>
      </c>
      <c r="I498" s="14" t="s">
        <v>9684</v>
      </c>
      <c r="J498" s="14" t="s">
        <v>9685</v>
      </c>
      <c r="K498" s="14" t="s">
        <v>207</v>
      </c>
      <c r="L498" s="14" t="s">
        <v>208</v>
      </c>
      <c r="M498" s="14" t="s">
        <v>209</v>
      </c>
      <c r="N498" s="14" t="s">
        <v>9686</v>
      </c>
      <c r="O498" s="14" t="s">
        <v>5720</v>
      </c>
      <c r="P498" s="14" t="s">
        <v>9687</v>
      </c>
      <c r="Q498" s="14" t="s">
        <v>166</v>
      </c>
      <c r="R498" s="14" t="s">
        <v>177</v>
      </c>
      <c r="S498" s="14" t="s">
        <v>178</v>
      </c>
      <c r="T498" s="14" t="s">
        <v>179</v>
      </c>
      <c r="U498" s="14" t="s">
        <v>9688</v>
      </c>
      <c r="V498" s="14" t="s">
        <v>9689</v>
      </c>
      <c r="W498" s="21" t="s">
        <v>9690</v>
      </c>
      <c r="X498" s="14" t="s">
        <v>9691</v>
      </c>
      <c r="Y498" s="14" t="s">
        <v>9692</v>
      </c>
      <c r="Z498" s="14" t="s">
        <v>166</v>
      </c>
      <c r="AA498" s="14" t="s">
        <v>166</v>
      </c>
      <c r="AB498" s="14" t="s">
        <v>166</v>
      </c>
      <c r="AC498" s="14" t="s">
        <v>166</v>
      </c>
      <c r="AD498" s="14" t="s">
        <v>166</v>
      </c>
      <c r="AE498" s="14" t="s">
        <v>166</v>
      </c>
      <c r="AF498" s="14" t="s">
        <v>166</v>
      </c>
      <c r="AG498" s="14" t="s">
        <v>166</v>
      </c>
      <c r="AH498" s="21">
        <v>2</v>
      </c>
      <c r="AI498" s="3">
        <f>HYPERLINK("https://my.pitchbook.com/?d=221040-82T","221040-82T")</f>
      </c>
      <c r="AJ498" s="19">
        <v>44362</v>
      </c>
      <c r="AK498" s="19">
        <v>44413</v>
      </c>
      <c r="AL498" s="18">
        <v>1</v>
      </c>
      <c r="AM498" s="14" t="s">
        <v>185</v>
      </c>
      <c r="AN498" s="18" t="s">
        <v>166</v>
      </c>
      <c r="AO498" s="18" t="s">
        <v>166</v>
      </c>
      <c r="AP498" s="14" t="s">
        <v>166</v>
      </c>
      <c r="AQ498" s="21" t="s">
        <v>166</v>
      </c>
      <c r="AR498" s="21" t="s">
        <v>166</v>
      </c>
      <c r="AS498" s="17" t="s">
        <v>166</v>
      </c>
      <c r="AT498" s="18">
        <v>1.21</v>
      </c>
      <c r="AU498" s="21" t="s">
        <v>186</v>
      </c>
      <c r="AV498" s="21" t="s">
        <v>166</v>
      </c>
      <c r="AW498" s="18" t="s">
        <v>166</v>
      </c>
      <c r="AX498" s="21" t="s">
        <v>166</v>
      </c>
      <c r="AY498" s="14" t="s">
        <v>217</v>
      </c>
      <c r="AZ498" s="14" t="s">
        <v>217</v>
      </c>
      <c r="BA498" s="14" t="s">
        <v>166</v>
      </c>
      <c r="BB498" s="21" t="s">
        <v>166</v>
      </c>
      <c r="BC498" s="14" t="s">
        <v>179</v>
      </c>
      <c r="BD498" s="14" t="s">
        <v>9693</v>
      </c>
      <c r="BE498" s="14" t="s">
        <v>189</v>
      </c>
      <c r="BF498" s="18">
        <v>1</v>
      </c>
      <c r="BG498" s="14" t="s">
        <v>190</v>
      </c>
      <c r="BH498" s="14" t="s">
        <v>166</v>
      </c>
      <c r="BI498" s="14" t="s">
        <v>166</v>
      </c>
      <c r="BJ498" s="18" t="s">
        <v>166</v>
      </c>
      <c r="BK498" s="18" t="s">
        <v>166</v>
      </c>
      <c r="BL498" s="14" t="s">
        <v>191</v>
      </c>
      <c r="BM498" s="14" t="s">
        <v>178</v>
      </c>
      <c r="BN498" s="14" t="s">
        <v>177</v>
      </c>
      <c r="BO498" s="22" t="s">
        <v>166</v>
      </c>
      <c r="BP498" s="14" t="s">
        <v>9694</v>
      </c>
      <c r="BQ498" s="21">
        <v>1</v>
      </c>
      <c r="BR498" s="14" t="s">
        <v>166</v>
      </c>
      <c r="BS498" s="21" t="s">
        <v>166</v>
      </c>
      <c r="BT498" s="14" t="s">
        <v>9682</v>
      </c>
      <c r="BU498" s="14" t="s">
        <v>166</v>
      </c>
      <c r="BV498" s="14" t="s">
        <v>166</v>
      </c>
      <c r="BW498" s="14" t="s">
        <v>166</v>
      </c>
      <c r="BX498" s="14" t="s">
        <v>166</v>
      </c>
      <c r="BY498" s="14" t="s">
        <v>166</v>
      </c>
      <c r="BZ498" s="14" t="s">
        <v>166</v>
      </c>
      <c r="CA498" s="14" t="s">
        <v>166</v>
      </c>
      <c r="CB498" s="14" t="s">
        <v>166</v>
      </c>
      <c r="CC498" s="14" t="s">
        <v>166</v>
      </c>
      <c r="CD498" s="14" t="s">
        <v>166</v>
      </c>
      <c r="CE498" s="18" t="s">
        <v>166</v>
      </c>
      <c r="CF498" s="16" t="s">
        <v>166</v>
      </c>
      <c r="CG498" s="17" t="s">
        <v>166</v>
      </c>
      <c r="CH498" s="16" t="s">
        <v>166</v>
      </c>
      <c r="CI498" s="16" t="s">
        <v>166</v>
      </c>
      <c r="CJ498" s="16" t="s">
        <v>166</v>
      </c>
      <c r="CK498" s="16" t="s">
        <v>166</v>
      </c>
      <c r="CL498" s="16" t="s">
        <v>166</v>
      </c>
      <c r="CM498" s="20" t="s">
        <v>166</v>
      </c>
      <c r="CN498" s="16" t="s">
        <v>166</v>
      </c>
      <c r="CO498" s="16" t="s">
        <v>166</v>
      </c>
      <c r="CP498" s="16" t="s">
        <v>166</v>
      </c>
      <c r="CQ498" s="16" t="s">
        <v>166</v>
      </c>
      <c r="CR498" s="16" t="s">
        <v>166</v>
      </c>
      <c r="CS498" s="16" t="s">
        <v>166</v>
      </c>
      <c r="CT498" s="16" t="s">
        <v>166</v>
      </c>
      <c r="CU498" s="16" t="s">
        <v>166</v>
      </c>
      <c r="CV498" s="16" t="s">
        <v>166</v>
      </c>
      <c r="CW498" s="16" t="s">
        <v>166</v>
      </c>
      <c r="CX498" s="16" t="s">
        <v>166</v>
      </c>
      <c r="CY498" s="16" t="s">
        <v>166</v>
      </c>
      <c r="CZ498" s="16" t="s">
        <v>166</v>
      </c>
      <c r="DA498" s="16" t="s">
        <v>166</v>
      </c>
      <c r="DB498" s="16" t="s">
        <v>166</v>
      </c>
      <c r="DC498" s="16" t="s">
        <v>166</v>
      </c>
      <c r="DD498" s="16" t="s">
        <v>166</v>
      </c>
      <c r="DE498" s="17" t="s">
        <v>166</v>
      </c>
      <c r="DF498" s="22">
        <v>7</v>
      </c>
      <c r="DG498" s="14" t="s">
        <v>9695</v>
      </c>
      <c r="DH498" s="14" t="s">
        <v>193</v>
      </c>
      <c r="DI498" s="14" t="s">
        <v>194</v>
      </c>
      <c r="DJ498" s="14" t="s">
        <v>9696</v>
      </c>
      <c r="DK498" s="14" t="s">
        <v>2102</v>
      </c>
      <c r="DL498" s="21" t="s">
        <v>9697</v>
      </c>
      <c r="DM498" s="14" t="s">
        <v>198</v>
      </c>
      <c r="DN498" s="13" t="s">
        <v>9698</v>
      </c>
      <c r="DO498" s="20">
        <v>2019</v>
      </c>
      <c r="DP498" s="14" t="s">
        <v>166</v>
      </c>
      <c r="DQ498" s="14" t="s">
        <v>166</v>
      </c>
      <c r="DR498" s="18" t="s">
        <v>166</v>
      </c>
      <c r="DS498" s="16" t="s">
        <v>166</v>
      </c>
      <c r="DT498" s="19" t="s">
        <v>166</v>
      </c>
      <c r="DU498" s="14" t="s">
        <v>166</v>
      </c>
      <c r="DV498" s="18" t="s">
        <v>166</v>
      </c>
      <c r="DW498" s="18" t="s">
        <v>166</v>
      </c>
      <c r="DX498" s="16" t="s">
        <v>166</v>
      </c>
      <c r="DY498" s="16" t="s">
        <v>166</v>
      </c>
      <c r="DZ498" s="17" t="s">
        <v>166</v>
      </c>
      <c r="EA498" s="16" t="s">
        <v>166</v>
      </c>
      <c r="EB498" s="16" t="s">
        <v>166</v>
      </c>
      <c r="EC498" s="16" t="s">
        <v>166</v>
      </c>
      <c r="ED498" s="17" t="s">
        <v>166</v>
      </c>
      <c r="EE498" s="17" t="s">
        <v>166</v>
      </c>
      <c r="EF498" s="17" t="s">
        <v>166</v>
      </c>
      <c r="EG498" s="17" t="s">
        <v>166</v>
      </c>
      <c r="EH498" s="16" t="s">
        <v>166</v>
      </c>
      <c r="EI498" s="16" t="s">
        <v>166</v>
      </c>
      <c r="EJ498" s="16" t="s">
        <v>166</v>
      </c>
      <c r="EK498" s="16" t="s">
        <v>166</v>
      </c>
      <c r="EL498" s="16" t="s">
        <v>166</v>
      </c>
      <c r="EM498" s="16" t="s">
        <v>166</v>
      </c>
      <c r="EN498" s="16" t="s">
        <v>166</v>
      </c>
      <c r="EO498" s="16" t="s">
        <v>166</v>
      </c>
      <c r="EP498" s="16" t="s">
        <v>166</v>
      </c>
      <c r="EQ498" s="16" t="s">
        <v>166</v>
      </c>
      <c r="ER498" s="16" t="s">
        <v>166</v>
      </c>
      <c r="ES498" s="16" t="s">
        <v>166</v>
      </c>
      <c r="ET498" s="14" t="s">
        <v>166</v>
      </c>
      <c r="EU498" s="16" t="s">
        <v>166</v>
      </c>
      <c r="EV498" s="16" t="s">
        <v>166</v>
      </c>
      <c r="EW498" s="16" t="s">
        <v>166</v>
      </c>
      <c r="EX498" s="14" t="s">
        <v>190</v>
      </c>
      <c r="EY498" s="14" t="s">
        <v>166</v>
      </c>
      <c r="EZ498" s="16" t="s">
        <v>166</v>
      </c>
      <c r="FA498" s="15" t="s">
        <v>166</v>
      </c>
      <c r="FB498" s="15" t="s">
        <v>166</v>
      </c>
      <c r="FC498" s="15" t="s">
        <v>166</v>
      </c>
      <c r="FD498" s="15" t="s">
        <v>166</v>
      </c>
      <c r="FE498" s="15" t="s">
        <v>166</v>
      </c>
      <c r="FF498" s="15" t="s">
        <v>166</v>
      </c>
      <c r="FG498" s="14" t="s">
        <v>166</v>
      </c>
      <c r="FH498" s="3">
        <f>HYPERLINK("https://my.pitchbook.com?c=221040-82T","View Company Online")</f>
      </c>
    </row>
    <row r="499">
      <c r="A499" s="25" t="s">
        <v>9699</v>
      </c>
      <c r="B499" s="25" t="s">
        <v>9700</v>
      </c>
      <c r="C499" s="25" t="s">
        <v>9701</v>
      </c>
      <c r="D499" s="25" t="s">
        <v>166</v>
      </c>
      <c r="E499" s="34" t="s">
        <v>9702</v>
      </c>
      <c r="F499" s="32">
        <v>5</v>
      </c>
      <c r="G499" s="25" t="s">
        <v>9703</v>
      </c>
      <c r="H499" s="25" t="s">
        <v>166</v>
      </c>
      <c r="I499" s="25" t="s">
        <v>9704</v>
      </c>
      <c r="J499" s="25" t="s">
        <v>9705</v>
      </c>
      <c r="K499" s="25" t="s">
        <v>207</v>
      </c>
      <c r="L499" s="25" t="s">
        <v>208</v>
      </c>
      <c r="M499" s="25" t="s">
        <v>296</v>
      </c>
      <c r="N499" s="25" t="s">
        <v>9706</v>
      </c>
      <c r="O499" s="25" t="s">
        <v>4042</v>
      </c>
      <c r="P499" s="25" t="s">
        <v>9707</v>
      </c>
      <c r="Q499" s="25" t="s">
        <v>166</v>
      </c>
      <c r="R499" s="25" t="s">
        <v>177</v>
      </c>
      <c r="S499" s="25" t="s">
        <v>178</v>
      </c>
      <c r="T499" s="25" t="s">
        <v>179</v>
      </c>
      <c r="U499" s="25" t="s">
        <v>9708</v>
      </c>
      <c r="V499" s="25" t="s">
        <v>9709</v>
      </c>
      <c r="W499" s="32" t="s">
        <v>9710</v>
      </c>
      <c r="X499" s="25" t="s">
        <v>9711</v>
      </c>
      <c r="Y499" s="25" t="s">
        <v>9712</v>
      </c>
      <c r="Z499" s="25" t="s">
        <v>166</v>
      </c>
      <c r="AA499" s="25" t="s">
        <v>242</v>
      </c>
      <c r="AB499" s="25" t="s">
        <v>243</v>
      </c>
      <c r="AC499" s="25" t="s">
        <v>244</v>
      </c>
      <c r="AD499" s="25" t="s">
        <v>243</v>
      </c>
      <c r="AE499" s="25" t="s">
        <v>243</v>
      </c>
      <c r="AF499" s="25" t="s">
        <v>166</v>
      </c>
      <c r="AG499" s="25" t="s">
        <v>246</v>
      </c>
      <c r="AH499" s="32">
        <v>2</v>
      </c>
      <c r="AI499" s="4">
        <f>HYPERLINK("https://my.pitchbook.com/?d=120487-24T","120487-24T")</f>
      </c>
      <c r="AJ499" s="30">
        <v>43558</v>
      </c>
      <c r="AK499" s="30">
        <v>43985</v>
      </c>
      <c r="AL499" s="29">
        <v>10</v>
      </c>
      <c r="AM499" s="25" t="s">
        <v>185</v>
      </c>
      <c r="AN499" s="29" t="s">
        <v>166</v>
      </c>
      <c r="AO499" s="29" t="s">
        <v>166</v>
      </c>
      <c r="AP499" s="25" t="s">
        <v>166</v>
      </c>
      <c r="AQ499" s="32" t="s">
        <v>166</v>
      </c>
      <c r="AR499" s="32" t="s">
        <v>166</v>
      </c>
      <c r="AS499" s="28" t="s">
        <v>166</v>
      </c>
      <c r="AT499" s="29">
        <v>10</v>
      </c>
      <c r="AU499" s="32" t="s">
        <v>186</v>
      </c>
      <c r="AV499" s="32" t="s">
        <v>166</v>
      </c>
      <c r="AW499" s="29" t="s">
        <v>166</v>
      </c>
      <c r="AX499" s="32" t="s">
        <v>166</v>
      </c>
      <c r="AY499" s="25" t="s">
        <v>217</v>
      </c>
      <c r="AZ499" s="25" t="s">
        <v>217</v>
      </c>
      <c r="BA499" s="25" t="s">
        <v>166</v>
      </c>
      <c r="BB499" s="32" t="s">
        <v>166</v>
      </c>
      <c r="BC499" s="25" t="s">
        <v>179</v>
      </c>
      <c r="BD499" s="25" t="s">
        <v>9713</v>
      </c>
      <c r="BE499" s="25" t="s">
        <v>189</v>
      </c>
      <c r="BF499" s="29">
        <v>10</v>
      </c>
      <c r="BG499" s="25" t="s">
        <v>190</v>
      </c>
      <c r="BH499" s="25" t="s">
        <v>166</v>
      </c>
      <c r="BI499" s="25" t="s">
        <v>166</v>
      </c>
      <c r="BJ499" s="29" t="s">
        <v>166</v>
      </c>
      <c r="BK499" s="29" t="s">
        <v>166</v>
      </c>
      <c r="BL499" s="25" t="s">
        <v>191</v>
      </c>
      <c r="BM499" s="25" t="s">
        <v>178</v>
      </c>
      <c r="BN499" s="25" t="s">
        <v>177</v>
      </c>
      <c r="BO499" s="33" t="s">
        <v>166</v>
      </c>
      <c r="BP499" s="25" t="s">
        <v>9714</v>
      </c>
      <c r="BQ499" s="32">
        <v>5</v>
      </c>
      <c r="BR499" s="25" t="s">
        <v>166</v>
      </c>
      <c r="BS499" s="32" t="s">
        <v>166</v>
      </c>
      <c r="BT499" s="25" t="s">
        <v>9715</v>
      </c>
      <c r="BU499" s="25" t="s">
        <v>166</v>
      </c>
      <c r="BV499" s="25" t="s">
        <v>9716</v>
      </c>
      <c r="BW499" s="25" t="s">
        <v>166</v>
      </c>
      <c r="BX499" s="25" t="s">
        <v>166</v>
      </c>
      <c r="BY499" s="25" t="s">
        <v>166</v>
      </c>
      <c r="BZ499" s="25" t="s">
        <v>166</v>
      </c>
      <c r="CA499" s="25" t="s">
        <v>166</v>
      </c>
      <c r="CB499" s="25" t="s">
        <v>166</v>
      </c>
      <c r="CC499" s="25" t="s">
        <v>166</v>
      </c>
      <c r="CD499" s="25" t="s">
        <v>166</v>
      </c>
      <c r="CE499" s="29" t="s">
        <v>166</v>
      </c>
      <c r="CF499" s="27" t="s">
        <v>166</v>
      </c>
      <c r="CG499" s="28" t="s">
        <v>166</v>
      </c>
      <c r="CH499" s="27" t="s">
        <v>166</v>
      </c>
      <c r="CI499" s="27" t="s">
        <v>166</v>
      </c>
      <c r="CJ499" s="27" t="s">
        <v>166</v>
      </c>
      <c r="CK499" s="27" t="s">
        <v>166</v>
      </c>
      <c r="CL499" s="27" t="s">
        <v>166</v>
      </c>
      <c r="CM499" s="31" t="s">
        <v>166</v>
      </c>
      <c r="CN499" s="27" t="s">
        <v>166</v>
      </c>
      <c r="CO499" s="27" t="s">
        <v>166</v>
      </c>
      <c r="CP499" s="27" t="s">
        <v>166</v>
      </c>
      <c r="CQ499" s="27" t="s">
        <v>166</v>
      </c>
      <c r="CR499" s="27" t="s">
        <v>166</v>
      </c>
      <c r="CS499" s="27" t="s">
        <v>166</v>
      </c>
      <c r="CT499" s="27" t="s">
        <v>166</v>
      </c>
      <c r="CU499" s="27" t="s">
        <v>166</v>
      </c>
      <c r="CV499" s="27" t="s">
        <v>166</v>
      </c>
      <c r="CW499" s="27" t="s">
        <v>166</v>
      </c>
      <c r="CX499" s="27" t="s">
        <v>166</v>
      </c>
      <c r="CY499" s="27" t="s">
        <v>166</v>
      </c>
      <c r="CZ499" s="27" t="s">
        <v>166</v>
      </c>
      <c r="DA499" s="27" t="s">
        <v>166</v>
      </c>
      <c r="DB499" s="27" t="s">
        <v>166</v>
      </c>
      <c r="DC499" s="27" t="s">
        <v>166</v>
      </c>
      <c r="DD499" s="27" t="s">
        <v>166</v>
      </c>
      <c r="DE499" s="28" t="s">
        <v>166</v>
      </c>
      <c r="DF499" s="33">
        <v>89</v>
      </c>
      <c r="DG499" s="25" t="s">
        <v>309</v>
      </c>
      <c r="DH499" s="25" t="s">
        <v>193</v>
      </c>
      <c r="DI499" s="25" t="s">
        <v>194</v>
      </c>
      <c r="DJ499" s="25" t="s">
        <v>310</v>
      </c>
      <c r="DK499" s="25" t="s">
        <v>310</v>
      </c>
      <c r="DL499" s="32" t="s">
        <v>9717</v>
      </c>
      <c r="DM499" s="25" t="s">
        <v>198</v>
      </c>
      <c r="DN499" s="24" t="s">
        <v>9718</v>
      </c>
      <c r="DO499" s="31">
        <v>2018</v>
      </c>
      <c r="DP499" s="25" t="s">
        <v>166</v>
      </c>
      <c r="DQ499" s="25" t="s">
        <v>166</v>
      </c>
      <c r="DR499" s="29" t="s">
        <v>166</v>
      </c>
      <c r="DS499" s="27" t="s">
        <v>166</v>
      </c>
      <c r="DT499" s="30" t="s">
        <v>166</v>
      </c>
      <c r="DU499" s="25" t="s">
        <v>166</v>
      </c>
      <c r="DV499" s="29" t="s">
        <v>166</v>
      </c>
      <c r="DW499" s="29" t="s">
        <v>166</v>
      </c>
      <c r="DX499" s="27" t="s">
        <v>166</v>
      </c>
      <c r="DY499" s="27" t="s">
        <v>166</v>
      </c>
      <c r="DZ499" s="28" t="s">
        <v>166</v>
      </c>
      <c r="EA499" s="27" t="s">
        <v>166</v>
      </c>
      <c r="EB499" s="27" t="s">
        <v>166</v>
      </c>
      <c r="EC499" s="27" t="s">
        <v>166</v>
      </c>
      <c r="ED499" s="28" t="s">
        <v>166</v>
      </c>
      <c r="EE499" s="28" t="s">
        <v>166</v>
      </c>
      <c r="EF499" s="28" t="s">
        <v>166</v>
      </c>
      <c r="EG499" s="28" t="s">
        <v>166</v>
      </c>
      <c r="EH499" s="27" t="s">
        <v>166</v>
      </c>
      <c r="EI499" s="27" t="s">
        <v>166</v>
      </c>
      <c r="EJ499" s="27" t="s">
        <v>166</v>
      </c>
      <c r="EK499" s="27" t="s">
        <v>166</v>
      </c>
      <c r="EL499" s="27" t="s">
        <v>166</v>
      </c>
      <c r="EM499" s="27" t="s">
        <v>166</v>
      </c>
      <c r="EN499" s="27" t="s">
        <v>166</v>
      </c>
      <c r="EO499" s="27" t="s">
        <v>166</v>
      </c>
      <c r="EP499" s="27" t="s">
        <v>166</v>
      </c>
      <c r="EQ499" s="27" t="s">
        <v>166</v>
      </c>
      <c r="ER499" s="27" t="s">
        <v>166</v>
      </c>
      <c r="ES499" s="27" t="s">
        <v>166</v>
      </c>
      <c r="ET499" s="25" t="s">
        <v>166</v>
      </c>
      <c r="EU499" s="27" t="s">
        <v>166</v>
      </c>
      <c r="EV499" s="27" t="s">
        <v>166</v>
      </c>
      <c r="EW499" s="27" t="s">
        <v>166</v>
      </c>
      <c r="EX499" s="25" t="s">
        <v>190</v>
      </c>
      <c r="EY499" s="25" t="s">
        <v>166</v>
      </c>
      <c r="EZ499" s="27" t="s">
        <v>166</v>
      </c>
      <c r="FA499" s="26" t="s">
        <v>166</v>
      </c>
      <c r="FB499" s="26" t="s">
        <v>166</v>
      </c>
      <c r="FC499" s="26" t="s">
        <v>166</v>
      </c>
      <c r="FD499" s="26" t="s">
        <v>166</v>
      </c>
      <c r="FE499" s="26" t="s">
        <v>166</v>
      </c>
      <c r="FF499" s="26" t="s">
        <v>166</v>
      </c>
      <c r="FG499" s="25" t="s">
        <v>166</v>
      </c>
      <c r="FH499" s="4">
        <f>HYPERLINK("https://my.pitchbook.com?c=120487-24T","View Company Online")</f>
      </c>
    </row>
    <row r="500">
      <c r="A500" s="14" t="s">
        <v>9719</v>
      </c>
      <c r="B500" s="14" t="s">
        <v>9720</v>
      </c>
      <c r="C500" s="14" t="s">
        <v>9721</v>
      </c>
      <c r="D500" s="14" t="s">
        <v>166</v>
      </c>
      <c r="E500" s="23" t="s">
        <v>9722</v>
      </c>
      <c r="F500" s="21">
        <v>6</v>
      </c>
      <c r="G500" s="14" t="s">
        <v>9723</v>
      </c>
      <c r="H500" s="14" t="s">
        <v>166</v>
      </c>
      <c r="I500" s="14" t="s">
        <v>9724</v>
      </c>
      <c r="J500" s="14" t="s">
        <v>9725</v>
      </c>
      <c r="K500" s="14" t="s">
        <v>207</v>
      </c>
      <c r="L500" s="14" t="s">
        <v>208</v>
      </c>
      <c r="M500" s="14" t="s">
        <v>209</v>
      </c>
      <c r="N500" s="14" t="s">
        <v>1730</v>
      </c>
      <c r="O500" s="14" t="s">
        <v>166</v>
      </c>
      <c r="P500" s="14" t="s">
        <v>9726</v>
      </c>
      <c r="Q500" s="14" t="s">
        <v>166</v>
      </c>
      <c r="R500" s="14" t="s">
        <v>177</v>
      </c>
      <c r="S500" s="14" t="s">
        <v>178</v>
      </c>
      <c r="T500" s="14" t="s">
        <v>179</v>
      </c>
      <c r="U500" s="14" t="s">
        <v>9727</v>
      </c>
      <c r="V500" s="14" t="s">
        <v>9728</v>
      </c>
      <c r="W500" s="21" t="s">
        <v>9729</v>
      </c>
      <c r="X500" s="14" t="s">
        <v>166</v>
      </c>
      <c r="Y500" s="14" t="s">
        <v>9730</v>
      </c>
      <c r="Z500" s="14" t="s">
        <v>166</v>
      </c>
      <c r="AA500" s="14" t="s">
        <v>166</v>
      </c>
      <c r="AB500" s="14" t="s">
        <v>166</v>
      </c>
      <c r="AC500" s="14" t="s">
        <v>166</v>
      </c>
      <c r="AD500" s="14" t="s">
        <v>166</v>
      </c>
      <c r="AE500" s="14" t="s">
        <v>166</v>
      </c>
      <c r="AF500" s="14" t="s">
        <v>166</v>
      </c>
      <c r="AG500" s="14" t="s">
        <v>166</v>
      </c>
      <c r="AH500" s="21">
        <v>1</v>
      </c>
      <c r="AI500" s="3">
        <f>HYPERLINK("https://my.pitchbook.com/?d=243467-29T","243467-29T")</f>
      </c>
      <c r="AJ500" s="19" t="s">
        <v>166</v>
      </c>
      <c r="AK500" s="19">
        <v>45321</v>
      </c>
      <c r="AL500" s="18">
        <v>0.61</v>
      </c>
      <c r="AM500" s="14" t="s">
        <v>185</v>
      </c>
      <c r="AN500" s="18" t="s">
        <v>166</v>
      </c>
      <c r="AO500" s="18" t="s">
        <v>166</v>
      </c>
      <c r="AP500" s="14" t="s">
        <v>166</v>
      </c>
      <c r="AQ500" s="21" t="s">
        <v>166</v>
      </c>
      <c r="AR500" s="21" t="s">
        <v>166</v>
      </c>
      <c r="AS500" s="17" t="s">
        <v>166</v>
      </c>
      <c r="AT500" s="18">
        <v>0.61</v>
      </c>
      <c r="AU500" s="21" t="s">
        <v>186</v>
      </c>
      <c r="AV500" s="21" t="s">
        <v>166</v>
      </c>
      <c r="AW500" s="18" t="s">
        <v>166</v>
      </c>
      <c r="AX500" s="21" t="s">
        <v>166</v>
      </c>
      <c r="AY500" s="14" t="s">
        <v>217</v>
      </c>
      <c r="AZ500" s="14" t="s">
        <v>217</v>
      </c>
      <c r="BA500" s="14" t="s">
        <v>166</v>
      </c>
      <c r="BB500" s="21" t="s">
        <v>166</v>
      </c>
      <c r="BC500" s="14" t="s">
        <v>179</v>
      </c>
      <c r="BD500" s="14" t="s">
        <v>9725</v>
      </c>
      <c r="BE500" s="14" t="s">
        <v>189</v>
      </c>
      <c r="BF500" s="18" t="s">
        <v>166</v>
      </c>
      <c r="BG500" s="14" t="s">
        <v>190</v>
      </c>
      <c r="BH500" s="14" t="s">
        <v>166</v>
      </c>
      <c r="BI500" s="14" t="s">
        <v>166</v>
      </c>
      <c r="BJ500" s="18" t="s">
        <v>166</v>
      </c>
      <c r="BK500" s="18" t="s">
        <v>166</v>
      </c>
      <c r="BL500" s="14" t="s">
        <v>191</v>
      </c>
      <c r="BM500" s="14" t="s">
        <v>178</v>
      </c>
      <c r="BN500" s="14" t="s">
        <v>177</v>
      </c>
      <c r="BO500" s="22" t="s">
        <v>166</v>
      </c>
      <c r="BP500" s="14" t="s">
        <v>9722</v>
      </c>
      <c r="BQ500" s="21">
        <v>6</v>
      </c>
      <c r="BR500" s="14" t="s">
        <v>166</v>
      </c>
      <c r="BS500" s="21" t="s">
        <v>166</v>
      </c>
      <c r="BT500" s="14" t="s">
        <v>1812</v>
      </c>
      <c r="BU500" s="14" t="s">
        <v>166</v>
      </c>
      <c r="BV500" s="14" t="s">
        <v>9731</v>
      </c>
      <c r="BW500" s="14" t="s">
        <v>166</v>
      </c>
      <c r="BX500" s="14" t="s">
        <v>166</v>
      </c>
      <c r="BY500" s="14" t="s">
        <v>166</v>
      </c>
      <c r="BZ500" s="14" t="s">
        <v>166</v>
      </c>
      <c r="CA500" s="14" t="s">
        <v>166</v>
      </c>
      <c r="CB500" s="14" t="s">
        <v>166</v>
      </c>
      <c r="CC500" s="14" t="s">
        <v>166</v>
      </c>
      <c r="CD500" s="14" t="s">
        <v>166</v>
      </c>
      <c r="CE500" s="18" t="s">
        <v>166</v>
      </c>
      <c r="CF500" s="16" t="s">
        <v>166</v>
      </c>
      <c r="CG500" s="17" t="s">
        <v>166</v>
      </c>
      <c r="CH500" s="16" t="s">
        <v>166</v>
      </c>
      <c r="CI500" s="16" t="s">
        <v>166</v>
      </c>
      <c r="CJ500" s="16" t="s">
        <v>166</v>
      </c>
      <c r="CK500" s="16" t="s">
        <v>166</v>
      </c>
      <c r="CL500" s="16" t="s">
        <v>166</v>
      </c>
      <c r="CM500" s="20" t="s">
        <v>166</v>
      </c>
      <c r="CN500" s="16" t="s">
        <v>166</v>
      </c>
      <c r="CO500" s="16" t="s">
        <v>166</v>
      </c>
      <c r="CP500" s="16" t="s">
        <v>166</v>
      </c>
      <c r="CQ500" s="16" t="s">
        <v>166</v>
      </c>
      <c r="CR500" s="16" t="s">
        <v>166</v>
      </c>
      <c r="CS500" s="16" t="s">
        <v>166</v>
      </c>
      <c r="CT500" s="16" t="s">
        <v>166</v>
      </c>
      <c r="CU500" s="16" t="s">
        <v>166</v>
      </c>
      <c r="CV500" s="16" t="s">
        <v>166</v>
      </c>
      <c r="CW500" s="16" t="s">
        <v>166</v>
      </c>
      <c r="CX500" s="16" t="s">
        <v>166</v>
      </c>
      <c r="CY500" s="16" t="s">
        <v>166</v>
      </c>
      <c r="CZ500" s="16" t="s">
        <v>166</v>
      </c>
      <c r="DA500" s="16" t="s">
        <v>166</v>
      </c>
      <c r="DB500" s="16" t="s">
        <v>166</v>
      </c>
      <c r="DC500" s="16" t="s">
        <v>166</v>
      </c>
      <c r="DD500" s="16" t="s">
        <v>166</v>
      </c>
      <c r="DE500" s="17" t="s">
        <v>166</v>
      </c>
      <c r="DF500" s="22">
        <v>56</v>
      </c>
      <c r="DG500" s="14" t="s">
        <v>309</v>
      </c>
      <c r="DH500" s="14" t="s">
        <v>193</v>
      </c>
      <c r="DI500" s="14" t="s">
        <v>194</v>
      </c>
      <c r="DJ500" s="14" t="s">
        <v>310</v>
      </c>
      <c r="DK500" s="14" t="s">
        <v>310</v>
      </c>
      <c r="DL500" s="21" t="s">
        <v>6722</v>
      </c>
      <c r="DM500" s="14" t="s">
        <v>198</v>
      </c>
      <c r="DN500" s="13" t="s">
        <v>9732</v>
      </c>
      <c r="DO500" s="20">
        <v>2021</v>
      </c>
      <c r="DP500" s="14" t="s">
        <v>166</v>
      </c>
      <c r="DQ500" s="14" t="s">
        <v>166</v>
      </c>
      <c r="DR500" s="18" t="s">
        <v>166</v>
      </c>
      <c r="DS500" s="16" t="s">
        <v>166</v>
      </c>
      <c r="DT500" s="19" t="s">
        <v>166</v>
      </c>
      <c r="DU500" s="14" t="s">
        <v>166</v>
      </c>
      <c r="DV500" s="18" t="s">
        <v>166</v>
      </c>
      <c r="DW500" s="18" t="s">
        <v>166</v>
      </c>
      <c r="DX500" s="16" t="s">
        <v>166</v>
      </c>
      <c r="DY500" s="16" t="s">
        <v>166</v>
      </c>
      <c r="DZ500" s="17" t="s">
        <v>166</v>
      </c>
      <c r="EA500" s="16" t="s">
        <v>166</v>
      </c>
      <c r="EB500" s="16" t="s">
        <v>166</v>
      </c>
      <c r="EC500" s="16" t="s">
        <v>166</v>
      </c>
      <c r="ED500" s="17" t="s">
        <v>166</v>
      </c>
      <c r="EE500" s="17" t="s">
        <v>166</v>
      </c>
      <c r="EF500" s="17" t="s">
        <v>166</v>
      </c>
      <c r="EG500" s="17" t="s">
        <v>166</v>
      </c>
      <c r="EH500" s="16" t="s">
        <v>166</v>
      </c>
      <c r="EI500" s="16" t="s">
        <v>166</v>
      </c>
      <c r="EJ500" s="16" t="s">
        <v>166</v>
      </c>
      <c r="EK500" s="16" t="s">
        <v>166</v>
      </c>
      <c r="EL500" s="16" t="s">
        <v>166</v>
      </c>
      <c r="EM500" s="16" t="s">
        <v>166</v>
      </c>
      <c r="EN500" s="16" t="s">
        <v>166</v>
      </c>
      <c r="EO500" s="16" t="s">
        <v>166</v>
      </c>
      <c r="EP500" s="16" t="s">
        <v>166</v>
      </c>
      <c r="EQ500" s="16" t="s">
        <v>166</v>
      </c>
      <c r="ER500" s="16" t="s">
        <v>166</v>
      </c>
      <c r="ES500" s="16" t="s">
        <v>166</v>
      </c>
      <c r="ET500" s="14" t="s">
        <v>166</v>
      </c>
      <c r="EU500" s="16" t="s">
        <v>166</v>
      </c>
      <c r="EV500" s="16" t="s">
        <v>166</v>
      </c>
      <c r="EW500" s="16" t="s">
        <v>166</v>
      </c>
      <c r="EX500" s="14" t="s">
        <v>190</v>
      </c>
      <c r="EY500" s="14" t="s">
        <v>166</v>
      </c>
      <c r="EZ500" s="16" t="s">
        <v>166</v>
      </c>
      <c r="FA500" s="15" t="s">
        <v>166</v>
      </c>
      <c r="FB500" s="15" t="s">
        <v>166</v>
      </c>
      <c r="FC500" s="15" t="s">
        <v>166</v>
      </c>
      <c r="FD500" s="15" t="s">
        <v>166</v>
      </c>
      <c r="FE500" s="15" t="s">
        <v>166</v>
      </c>
      <c r="FF500" s="15" t="s">
        <v>166</v>
      </c>
      <c r="FG500" s="14" t="s">
        <v>166</v>
      </c>
      <c r="FH500" s="3">
        <f>HYPERLINK("https://my.pitchbook.com?c=243467-29T","View Company Online")</f>
      </c>
    </row>
    <row r="501">
      <c r="A501" s="25" t="s">
        <v>9733</v>
      </c>
      <c r="B501" s="25" t="s">
        <v>9734</v>
      </c>
      <c r="C501" s="25" t="s">
        <v>9735</v>
      </c>
      <c r="D501" s="25" t="s">
        <v>166</v>
      </c>
      <c r="E501" s="34" t="s">
        <v>9736</v>
      </c>
      <c r="F501" s="32">
        <v>4</v>
      </c>
      <c r="G501" s="25" t="s">
        <v>9737</v>
      </c>
      <c r="H501" s="25" t="s">
        <v>166</v>
      </c>
      <c r="I501" s="25" t="s">
        <v>9738</v>
      </c>
      <c r="J501" s="25" t="s">
        <v>9739</v>
      </c>
      <c r="K501" s="25" t="s">
        <v>1455</v>
      </c>
      <c r="L501" s="25" t="s">
        <v>1984</v>
      </c>
      <c r="M501" s="25" t="s">
        <v>1985</v>
      </c>
      <c r="N501" s="25" t="s">
        <v>2661</v>
      </c>
      <c r="O501" s="25" t="s">
        <v>1035</v>
      </c>
      <c r="P501" s="25" t="s">
        <v>9740</v>
      </c>
      <c r="Q501" s="25" t="s">
        <v>166</v>
      </c>
      <c r="R501" s="25" t="s">
        <v>177</v>
      </c>
      <c r="S501" s="25" t="s">
        <v>178</v>
      </c>
      <c r="T501" s="25" t="s">
        <v>179</v>
      </c>
      <c r="U501" s="25" t="s">
        <v>9741</v>
      </c>
      <c r="V501" s="25" t="s">
        <v>9742</v>
      </c>
      <c r="W501" s="32" t="s">
        <v>9743</v>
      </c>
      <c r="X501" s="25" t="s">
        <v>9744</v>
      </c>
      <c r="Y501" s="25" t="s">
        <v>9745</v>
      </c>
      <c r="Z501" s="25" t="s">
        <v>9746</v>
      </c>
      <c r="AA501" s="25" t="s">
        <v>166</v>
      </c>
      <c r="AB501" s="25" t="s">
        <v>166</v>
      </c>
      <c r="AC501" s="25" t="s">
        <v>166</v>
      </c>
      <c r="AD501" s="25" t="s">
        <v>166</v>
      </c>
      <c r="AE501" s="25" t="s">
        <v>166</v>
      </c>
      <c r="AF501" s="25" t="s">
        <v>166</v>
      </c>
      <c r="AG501" s="25" t="s">
        <v>166</v>
      </c>
      <c r="AH501" s="32">
        <v>1</v>
      </c>
      <c r="AI501" s="4">
        <f>HYPERLINK("https://my.pitchbook.com/?d=257312-08T","257312-08T")</f>
      </c>
      <c r="AJ501" s="30" t="s">
        <v>166</v>
      </c>
      <c r="AK501" s="30">
        <v>45601</v>
      </c>
      <c r="AL501" s="29">
        <v>2.5</v>
      </c>
      <c r="AM501" s="25" t="s">
        <v>185</v>
      </c>
      <c r="AN501" s="29" t="s">
        <v>166</v>
      </c>
      <c r="AO501" s="29" t="s">
        <v>166</v>
      </c>
      <c r="AP501" s="25" t="s">
        <v>166</v>
      </c>
      <c r="AQ501" s="32" t="s">
        <v>166</v>
      </c>
      <c r="AR501" s="32" t="s">
        <v>166</v>
      </c>
      <c r="AS501" s="28" t="s">
        <v>166</v>
      </c>
      <c r="AT501" s="29">
        <v>2.5</v>
      </c>
      <c r="AU501" s="32" t="s">
        <v>186</v>
      </c>
      <c r="AV501" s="32" t="s">
        <v>166</v>
      </c>
      <c r="AW501" s="29" t="s">
        <v>166</v>
      </c>
      <c r="AX501" s="32" t="s">
        <v>166</v>
      </c>
      <c r="AY501" s="25" t="s">
        <v>217</v>
      </c>
      <c r="AZ501" s="25" t="s">
        <v>217</v>
      </c>
      <c r="BA501" s="25" t="s">
        <v>166</v>
      </c>
      <c r="BB501" s="32" t="s">
        <v>166</v>
      </c>
      <c r="BC501" s="25" t="s">
        <v>179</v>
      </c>
      <c r="BD501" s="25" t="s">
        <v>9739</v>
      </c>
      <c r="BE501" s="25" t="s">
        <v>189</v>
      </c>
      <c r="BF501" s="29">
        <v>2.5</v>
      </c>
      <c r="BG501" s="25" t="s">
        <v>190</v>
      </c>
      <c r="BH501" s="25" t="s">
        <v>166</v>
      </c>
      <c r="BI501" s="25" t="s">
        <v>166</v>
      </c>
      <c r="BJ501" s="29" t="s">
        <v>166</v>
      </c>
      <c r="BK501" s="29" t="s">
        <v>166</v>
      </c>
      <c r="BL501" s="25" t="s">
        <v>191</v>
      </c>
      <c r="BM501" s="25" t="s">
        <v>178</v>
      </c>
      <c r="BN501" s="25" t="s">
        <v>177</v>
      </c>
      <c r="BO501" s="33" t="s">
        <v>166</v>
      </c>
      <c r="BP501" s="25" t="s">
        <v>9747</v>
      </c>
      <c r="BQ501" s="32">
        <v>4</v>
      </c>
      <c r="BR501" s="25" t="s">
        <v>166</v>
      </c>
      <c r="BS501" s="32" t="s">
        <v>166</v>
      </c>
      <c r="BT501" s="25" t="s">
        <v>9748</v>
      </c>
      <c r="BU501" s="25" t="s">
        <v>166</v>
      </c>
      <c r="BV501" s="25" t="s">
        <v>166</v>
      </c>
      <c r="BW501" s="25" t="s">
        <v>166</v>
      </c>
      <c r="BX501" s="25" t="s">
        <v>166</v>
      </c>
      <c r="BY501" s="25" t="s">
        <v>166</v>
      </c>
      <c r="BZ501" s="25" t="s">
        <v>166</v>
      </c>
      <c r="CA501" s="25" t="s">
        <v>166</v>
      </c>
      <c r="CB501" s="25" t="s">
        <v>166</v>
      </c>
      <c r="CC501" s="25" t="s">
        <v>166</v>
      </c>
      <c r="CD501" s="25" t="s">
        <v>166</v>
      </c>
      <c r="CE501" s="29" t="s">
        <v>166</v>
      </c>
      <c r="CF501" s="27" t="s">
        <v>166</v>
      </c>
      <c r="CG501" s="28" t="s">
        <v>166</v>
      </c>
      <c r="CH501" s="27" t="s">
        <v>166</v>
      </c>
      <c r="CI501" s="27" t="s">
        <v>166</v>
      </c>
      <c r="CJ501" s="27" t="s">
        <v>166</v>
      </c>
      <c r="CK501" s="27" t="s">
        <v>166</v>
      </c>
      <c r="CL501" s="27" t="s">
        <v>166</v>
      </c>
      <c r="CM501" s="31" t="s">
        <v>166</v>
      </c>
      <c r="CN501" s="27" t="s">
        <v>166</v>
      </c>
      <c r="CO501" s="27" t="s">
        <v>166</v>
      </c>
      <c r="CP501" s="27" t="s">
        <v>166</v>
      </c>
      <c r="CQ501" s="27" t="s">
        <v>166</v>
      </c>
      <c r="CR501" s="27" t="s">
        <v>166</v>
      </c>
      <c r="CS501" s="27" t="s">
        <v>166</v>
      </c>
      <c r="CT501" s="27" t="s">
        <v>166</v>
      </c>
      <c r="CU501" s="27" t="s">
        <v>166</v>
      </c>
      <c r="CV501" s="27" t="s">
        <v>166</v>
      </c>
      <c r="CW501" s="27" t="s">
        <v>166</v>
      </c>
      <c r="CX501" s="27" t="s">
        <v>166</v>
      </c>
      <c r="CY501" s="27" t="s">
        <v>166</v>
      </c>
      <c r="CZ501" s="27" t="s">
        <v>166</v>
      </c>
      <c r="DA501" s="27" t="s">
        <v>166</v>
      </c>
      <c r="DB501" s="27" t="s">
        <v>166</v>
      </c>
      <c r="DC501" s="27" t="s">
        <v>166</v>
      </c>
      <c r="DD501" s="27" t="s">
        <v>166</v>
      </c>
      <c r="DE501" s="28" t="s">
        <v>166</v>
      </c>
      <c r="DF501" s="33" t="s">
        <v>166</v>
      </c>
      <c r="DG501" s="25" t="s">
        <v>1517</v>
      </c>
      <c r="DH501" s="25" t="s">
        <v>193</v>
      </c>
      <c r="DI501" s="25" t="s">
        <v>194</v>
      </c>
      <c r="DJ501" s="25" t="s">
        <v>1518</v>
      </c>
      <c r="DK501" s="25" t="s">
        <v>1251</v>
      </c>
      <c r="DL501" s="32" t="s">
        <v>9749</v>
      </c>
      <c r="DM501" s="25" t="s">
        <v>198</v>
      </c>
      <c r="DN501" s="24" t="s">
        <v>9750</v>
      </c>
      <c r="DO501" s="31">
        <v>2020</v>
      </c>
      <c r="DP501" s="25" t="s">
        <v>166</v>
      </c>
      <c r="DQ501" s="25" t="s">
        <v>166</v>
      </c>
      <c r="DR501" s="29" t="s">
        <v>166</v>
      </c>
      <c r="DS501" s="27" t="s">
        <v>166</v>
      </c>
      <c r="DT501" s="30" t="s">
        <v>166</v>
      </c>
      <c r="DU501" s="25" t="s">
        <v>166</v>
      </c>
      <c r="DV501" s="29" t="s">
        <v>166</v>
      </c>
      <c r="DW501" s="29" t="s">
        <v>166</v>
      </c>
      <c r="DX501" s="27" t="s">
        <v>166</v>
      </c>
      <c r="DY501" s="27" t="s">
        <v>166</v>
      </c>
      <c r="DZ501" s="28" t="s">
        <v>166</v>
      </c>
      <c r="EA501" s="27" t="s">
        <v>166</v>
      </c>
      <c r="EB501" s="27" t="s">
        <v>166</v>
      </c>
      <c r="EC501" s="27" t="s">
        <v>166</v>
      </c>
      <c r="ED501" s="28" t="s">
        <v>166</v>
      </c>
      <c r="EE501" s="28" t="s">
        <v>166</v>
      </c>
      <c r="EF501" s="28" t="s">
        <v>166</v>
      </c>
      <c r="EG501" s="28" t="s">
        <v>166</v>
      </c>
      <c r="EH501" s="27" t="s">
        <v>166</v>
      </c>
      <c r="EI501" s="27" t="s">
        <v>166</v>
      </c>
      <c r="EJ501" s="27" t="s">
        <v>166</v>
      </c>
      <c r="EK501" s="27" t="s">
        <v>166</v>
      </c>
      <c r="EL501" s="27" t="s">
        <v>166</v>
      </c>
      <c r="EM501" s="27" t="s">
        <v>166</v>
      </c>
      <c r="EN501" s="27" t="s">
        <v>166</v>
      </c>
      <c r="EO501" s="27" t="s">
        <v>166</v>
      </c>
      <c r="EP501" s="27" t="s">
        <v>166</v>
      </c>
      <c r="EQ501" s="27" t="s">
        <v>166</v>
      </c>
      <c r="ER501" s="27" t="s">
        <v>166</v>
      </c>
      <c r="ES501" s="27" t="s">
        <v>166</v>
      </c>
      <c r="ET501" s="25" t="s">
        <v>166</v>
      </c>
      <c r="EU501" s="27" t="s">
        <v>166</v>
      </c>
      <c r="EV501" s="27" t="s">
        <v>166</v>
      </c>
      <c r="EW501" s="27" t="s">
        <v>166</v>
      </c>
      <c r="EX501" s="25" t="s">
        <v>190</v>
      </c>
      <c r="EY501" s="25" t="s">
        <v>166</v>
      </c>
      <c r="EZ501" s="27" t="s">
        <v>166</v>
      </c>
      <c r="FA501" s="26" t="s">
        <v>166</v>
      </c>
      <c r="FB501" s="26" t="s">
        <v>166</v>
      </c>
      <c r="FC501" s="26" t="s">
        <v>166</v>
      </c>
      <c r="FD501" s="26" t="s">
        <v>166</v>
      </c>
      <c r="FE501" s="26" t="s">
        <v>166</v>
      </c>
      <c r="FF501" s="26" t="s">
        <v>166</v>
      </c>
      <c r="FG501" s="25" t="s">
        <v>166</v>
      </c>
      <c r="FH501" s="4">
        <f>HYPERLINK("https://my.pitchbook.com?c=257312-08T","View Company Online")</f>
      </c>
    </row>
    <row r="502">
      <c r="A502" s="14" t="s">
        <v>9751</v>
      </c>
      <c r="B502" s="14" t="s">
        <v>9752</v>
      </c>
      <c r="C502" s="14" t="s">
        <v>9753</v>
      </c>
      <c r="D502" s="14" t="s">
        <v>166</v>
      </c>
      <c r="E502" s="23" t="s">
        <v>9754</v>
      </c>
      <c r="F502" s="21">
        <v>2</v>
      </c>
      <c r="G502" s="14" t="s">
        <v>9755</v>
      </c>
      <c r="H502" s="14" t="s">
        <v>166</v>
      </c>
      <c r="I502" s="14" t="s">
        <v>9756</v>
      </c>
      <c r="J502" s="14" t="s">
        <v>9757</v>
      </c>
      <c r="K502" s="14" t="s">
        <v>207</v>
      </c>
      <c r="L502" s="14" t="s">
        <v>208</v>
      </c>
      <c r="M502" s="14" t="s">
        <v>1766</v>
      </c>
      <c r="N502" s="14" t="s">
        <v>2089</v>
      </c>
      <c r="O502" s="14" t="s">
        <v>9758</v>
      </c>
      <c r="P502" s="14" t="s">
        <v>9759</v>
      </c>
      <c r="Q502" s="14" t="s">
        <v>166</v>
      </c>
      <c r="R502" s="14" t="s">
        <v>177</v>
      </c>
      <c r="S502" s="14" t="s">
        <v>178</v>
      </c>
      <c r="T502" s="14" t="s">
        <v>179</v>
      </c>
      <c r="U502" s="14" t="s">
        <v>9760</v>
      </c>
      <c r="V502" s="14" t="s">
        <v>9761</v>
      </c>
      <c r="W502" s="21" t="s">
        <v>9762</v>
      </c>
      <c r="X502" s="14" t="s">
        <v>166</v>
      </c>
      <c r="Y502" s="14" t="s">
        <v>9763</v>
      </c>
      <c r="Z502" s="14" t="s">
        <v>9764</v>
      </c>
      <c r="AA502" s="14" t="s">
        <v>242</v>
      </c>
      <c r="AB502" s="14" t="s">
        <v>243</v>
      </c>
      <c r="AC502" s="14" t="s">
        <v>244</v>
      </c>
      <c r="AD502" s="14" t="s">
        <v>243</v>
      </c>
      <c r="AE502" s="14" t="s">
        <v>243</v>
      </c>
      <c r="AF502" s="14" t="s">
        <v>166</v>
      </c>
      <c r="AG502" s="14" t="s">
        <v>807</v>
      </c>
      <c r="AH502" s="21">
        <v>1</v>
      </c>
      <c r="AI502" s="3">
        <f>HYPERLINK("https://my.pitchbook.com/?d=206565-58T","206565-58T")</f>
      </c>
      <c r="AJ502" s="19">
        <v>44831</v>
      </c>
      <c r="AK502" s="19">
        <v>44844</v>
      </c>
      <c r="AL502" s="18">
        <v>3.03</v>
      </c>
      <c r="AM502" s="14" t="s">
        <v>185</v>
      </c>
      <c r="AN502" s="18">
        <v>6</v>
      </c>
      <c r="AO502" s="18">
        <v>9.03</v>
      </c>
      <c r="AP502" s="14" t="s">
        <v>185</v>
      </c>
      <c r="AQ502" s="21" t="s">
        <v>166</v>
      </c>
      <c r="AR502" s="21" t="s">
        <v>166</v>
      </c>
      <c r="AS502" s="17">
        <v>38.5</v>
      </c>
      <c r="AT502" s="18">
        <v>3.03</v>
      </c>
      <c r="AU502" s="21" t="s">
        <v>186</v>
      </c>
      <c r="AV502" s="21" t="s">
        <v>166</v>
      </c>
      <c r="AW502" s="18">
        <v>0.7</v>
      </c>
      <c r="AX502" s="21" t="s">
        <v>166</v>
      </c>
      <c r="AY502" s="14" t="s">
        <v>217</v>
      </c>
      <c r="AZ502" s="14" t="s">
        <v>217</v>
      </c>
      <c r="BA502" s="14" t="s">
        <v>166</v>
      </c>
      <c r="BB502" s="21" t="s">
        <v>166</v>
      </c>
      <c r="BC502" s="14" t="s">
        <v>179</v>
      </c>
      <c r="BD502" s="14" t="s">
        <v>9765</v>
      </c>
      <c r="BE502" s="14" t="s">
        <v>189</v>
      </c>
      <c r="BF502" s="18">
        <v>3.03</v>
      </c>
      <c r="BG502" s="14" t="s">
        <v>190</v>
      </c>
      <c r="BH502" s="14" t="s">
        <v>166</v>
      </c>
      <c r="BI502" s="14" t="s">
        <v>166</v>
      </c>
      <c r="BJ502" s="18" t="s">
        <v>166</v>
      </c>
      <c r="BK502" s="18" t="s">
        <v>166</v>
      </c>
      <c r="BL502" s="14" t="s">
        <v>191</v>
      </c>
      <c r="BM502" s="14" t="s">
        <v>178</v>
      </c>
      <c r="BN502" s="14" t="s">
        <v>177</v>
      </c>
      <c r="BO502" s="22" t="s">
        <v>166</v>
      </c>
      <c r="BP502" s="14" t="s">
        <v>9754</v>
      </c>
      <c r="BQ502" s="21">
        <v>2</v>
      </c>
      <c r="BR502" s="14" t="s">
        <v>166</v>
      </c>
      <c r="BS502" s="21" t="s">
        <v>166</v>
      </c>
      <c r="BT502" s="14" t="s">
        <v>166</v>
      </c>
      <c r="BU502" s="14" t="s">
        <v>166</v>
      </c>
      <c r="BV502" s="14" t="s">
        <v>166</v>
      </c>
      <c r="BW502" s="14" t="s">
        <v>166</v>
      </c>
      <c r="BX502" s="14" t="s">
        <v>166</v>
      </c>
      <c r="BY502" s="14" t="s">
        <v>166</v>
      </c>
      <c r="BZ502" s="14" t="s">
        <v>9766</v>
      </c>
      <c r="CA502" s="14" t="s">
        <v>166</v>
      </c>
      <c r="CB502" s="14" t="s">
        <v>166</v>
      </c>
      <c r="CC502" s="14" t="s">
        <v>9766</v>
      </c>
      <c r="CD502" s="14" t="s">
        <v>166</v>
      </c>
      <c r="CE502" s="18" t="s">
        <v>166</v>
      </c>
      <c r="CF502" s="16" t="s">
        <v>166</v>
      </c>
      <c r="CG502" s="17" t="s">
        <v>166</v>
      </c>
      <c r="CH502" s="16" t="s">
        <v>166</v>
      </c>
      <c r="CI502" s="16" t="s">
        <v>166</v>
      </c>
      <c r="CJ502" s="16" t="s">
        <v>166</v>
      </c>
      <c r="CK502" s="16" t="s">
        <v>166</v>
      </c>
      <c r="CL502" s="16" t="s">
        <v>166</v>
      </c>
      <c r="CM502" s="20" t="s">
        <v>166</v>
      </c>
      <c r="CN502" s="16" t="s">
        <v>166</v>
      </c>
      <c r="CO502" s="16" t="s">
        <v>166</v>
      </c>
      <c r="CP502" s="16" t="s">
        <v>166</v>
      </c>
      <c r="CQ502" s="16" t="s">
        <v>166</v>
      </c>
      <c r="CR502" s="16" t="s">
        <v>166</v>
      </c>
      <c r="CS502" s="16" t="s">
        <v>166</v>
      </c>
      <c r="CT502" s="16" t="s">
        <v>166</v>
      </c>
      <c r="CU502" s="16" t="s">
        <v>166</v>
      </c>
      <c r="CV502" s="16" t="s">
        <v>166</v>
      </c>
      <c r="CW502" s="16" t="s">
        <v>166</v>
      </c>
      <c r="CX502" s="16" t="s">
        <v>166</v>
      </c>
      <c r="CY502" s="16" t="s">
        <v>166</v>
      </c>
      <c r="CZ502" s="16" t="s">
        <v>166</v>
      </c>
      <c r="DA502" s="16" t="s">
        <v>166</v>
      </c>
      <c r="DB502" s="16" t="s">
        <v>166</v>
      </c>
      <c r="DC502" s="16" t="s">
        <v>166</v>
      </c>
      <c r="DD502" s="16" t="s">
        <v>166</v>
      </c>
      <c r="DE502" s="17" t="s">
        <v>166</v>
      </c>
      <c r="DF502" s="22">
        <v>41</v>
      </c>
      <c r="DG502" s="14" t="s">
        <v>4289</v>
      </c>
      <c r="DH502" s="14" t="s">
        <v>193</v>
      </c>
      <c r="DI502" s="14" t="s">
        <v>194</v>
      </c>
      <c r="DJ502" s="14" t="s">
        <v>4290</v>
      </c>
      <c r="DK502" s="14" t="s">
        <v>257</v>
      </c>
      <c r="DL502" s="21" t="s">
        <v>7639</v>
      </c>
      <c r="DM502" s="14" t="s">
        <v>198</v>
      </c>
      <c r="DN502" s="13" t="s">
        <v>9767</v>
      </c>
      <c r="DO502" s="20">
        <v>2021</v>
      </c>
      <c r="DP502" s="14" t="s">
        <v>166</v>
      </c>
      <c r="DQ502" s="14" t="s">
        <v>166</v>
      </c>
      <c r="DR502" s="18" t="s">
        <v>166</v>
      </c>
      <c r="DS502" s="16" t="s">
        <v>166</v>
      </c>
      <c r="DT502" s="19" t="s">
        <v>166</v>
      </c>
      <c r="DU502" s="14" t="s">
        <v>166</v>
      </c>
      <c r="DV502" s="18" t="s">
        <v>166</v>
      </c>
      <c r="DW502" s="18" t="s">
        <v>166</v>
      </c>
      <c r="DX502" s="16" t="s">
        <v>166</v>
      </c>
      <c r="DY502" s="16" t="s">
        <v>166</v>
      </c>
      <c r="DZ502" s="17" t="s">
        <v>166</v>
      </c>
      <c r="EA502" s="16" t="s">
        <v>166</v>
      </c>
      <c r="EB502" s="16" t="s">
        <v>166</v>
      </c>
      <c r="EC502" s="16" t="s">
        <v>166</v>
      </c>
      <c r="ED502" s="17" t="s">
        <v>166</v>
      </c>
      <c r="EE502" s="17" t="s">
        <v>166</v>
      </c>
      <c r="EF502" s="17" t="s">
        <v>166</v>
      </c>
      <c r="EG502" s="17" t="s">
        <v>166</v>
      </c>
      <c r="EH502" s="16" t="s">
        <v>166</v>
      </c>
      <c r="EI502" s="16" t="s">
        <v>166</v>
      </c>
      <c r="EJ502" s="16" t="s">
        <v>166</v>
      </c>
      <c r="EK502" s="16" t="s">
        <v>166</v>
      </c>
      <c r="EL502" s="16" t="s">
        <v>166</v>
      </c>
      <c r="EM502" s="16" t="s">
        <v>166</v>
      </c>
      <c r="EN502" s="16" t="s">
        <v>166</v>
      </c>
      <c r="EO502" s="16" t="s">
        <v>166</v>
      </c>
      <c r="EP502" s="16" t="s">
        <v>166</v>
      </c>
      <c r="EQ502" s="16" t="s">
        <v>166</v>
      </c>
      <c r="ER502" s="16" t="s">
        <v>166</v>
      </c>
      <c r="ES502" s="16" t="s">
        <v>166</v>
      </c>
      <c r="ET502" s="14" t="s">
        <v>166</v>
      </c>
      <c r="EU502" s="16" t="s">
        <v>166</v>
      </c>
      <c r="EV502" s="16" t="s">
        <v>166</v>
      </c>
      <c r="EW502" s="16" t="s">
        <v>166</v>
      </c>
      <c r="EX502" s="14" t="s">
        <v>190</v>
      </c>
      <c r="EY502" s="14" t="s">
        <v>166</v>
      </c>
      <c r="EZ502" s="16" t="s">
        <v>166</v>
      </c>
      <c r="FA502" s="15" t="s">
        <v>166</v>
      </c>
      <c r="FB502" s="15" t="s">
        <v>166</v>
      </c>
      <c r="FC502" s="15" t="s">
        <v>166</v>
      </c>
      <c r="FD502" s="15" t="s">
        <v>166</v>
      </c>
      <c r="FE502" s="15" t="s">
        <v>166</v>
      </c>
      <c r="FF502" s="15" t="s">
        <v>166</v>
      </c>
      <c r="FG502" s="14" t="s">
        <v>166</v>
      </c>
      <c r="FH502" s="3">
        <f>HYPERLINK("https://my.pitchbook.com?c=206565-58T","View Company Online")</f>
      </c>
    </row>
    <row r="503">
      <c r="A503" s="25" t="s">
        <v>9768</v>
      </c>
      <c r="B503" s="25" t="s">
        <v>9769</v>
      </c>
      <c r="C503" s="25" t="s">
        <v>9770</v>
      </c>
      <c r="D503" s="25" t="s">
        <v>166</v>
      </c>
      <c r="E503" s="34" t="s">
        <v>9771</v>
      </c>
      <c r="F503" s="32">
        <v>12</v>
      </c>
      <c r="G503" s="25" t="s">
        <v>9772</v>
      </c>
      <c r="H503" s="25" t="s">
        <v>166</v>
      </c>
      <c r="I503" s="25" t="s">
        <v>9773</v>
      </c>
      <c r="J503" s="25" t="s">
        <v>9774</v>
      </c>
      <c r="K503" s="25" t="s">
        <v>171</v>
      </c>
      <c r="L503" s="25" t="s">
        <v>172</v>
      </c>
      <c r="M503" s="25" t="s">
        <v>5251</v>
      </c>
      <c r="N503" s="25" t="s">
        <v>9775</v>
      </c>
      <c r="O503" s="25" t="s">
        <v>9776</v>
      </c>
      <c r="P503" s="25" t="s">
        <v>9777</v>
      </c>
      <c r="Q503" s="25" t="s">
        <v>166</v>
      </c>
      <c r="R503" s="25" t="s">
        <v>177</v>
      </c>
      <c r="S503" s="25" t="s">
        <v>178</v>
      </c>
      <c r="T503" s="25" t="s">
        <v>179</v>
      </c>
      <c r="U503" s="25" t="s">
        <v>9778</v>
      </c>
      <c r="V503" s="25" t="s">
        <v>9779</v>
      </c>
      <c r="W503" s="32" t="s">
        <v>166</v>
      </c>
      <c r="X503" s="25" t="s">
        <v>9780</v>
      </c>
      <c r="Y503" s="25" t="s">
        <v>9781</v>
      </c>
      <c r="Z503" s="25" t="s">
        <v>9782</v>
      </c>
      <c r="AA503" s="25" t="s">
        <v>166</v>
      </c>
      <c r="AB503" s="25" t="s">
        <v>166</v>
      </c>
      <c r="AC503" s="25" t="s">
        <v>166</v>
      </c>
      <c r="AD503" s="25" t="s">
        <v>166</v>
      </c>
      <c r="AE503" s="25" t="s">
        <v>166</v>
      </c>
      <c r="AF503" s="25" t="s">
        <v>166</v>
      </c>
      <c r="AG503" s="25" t="s">
        <v>166</v>
      </c>
      <c r="AH503" s="32">
        <v>1</v>
      </c>
      <c r="AI503" s="4">
        <f>HYPERLINK("https://my.pitchbook.com/?d=197158-96T","197158-96T")</f>
      </c>
      <c r="AJ503" s="30">
        <v>44713</v>
      </c>
      <c r="AK503" s="30">
        <v>45430</v>
      </c>
      <c r="AL503" s="29">
        <v>6</v>
      </c>
      <c r="AM503" s="25" t="s">
        <v>185</v>
      </c>
      <c r="AN503" s="29" t="s">
        <v>166</v>
      </c>
      <c r="AO503" s="29" t="s">
        <v>166</v>
      </c>
      <c r="AP503" s="25" t="s">
        <v>166</v>
      </c>
      <c r="AQ503" s="32" t="s">
        <v>166</v>
      </c>
      <c r="AR503" s="32" t="s">
        <v>166</v>
      </c>
      <c r="AS503" s="28" t="s">
        <v>166</v>
      </c>
      <c r="AT503" s="29">
        <v>6</v>
      </c>
      <c r="AU503" s="32" t="s">
        <v>186</v>
      </c>
      <c r="AV503" s="32" t="s">
        <v>166</v>
      </c>
      <c r="AW503" s="29" t="s">
        <v>166</v>
      </c>
      <c r="AX503" s="32" t="s">
        <v>248</v>
      </c>
      <c r="AY503" s="25" t="s">
        <v>217</v>
      </c>
      <c r="AZ503" s="25" t="s">
        <v>248</v>
      </c>
      <c r="BA503" s="25" t="s">
        <v>166</v>
      </c>
      <c r="BB503" s="32" t="s">
        <v>166</v>
      </c>
      <c r="BC503" s="25" t="s">
        <v>179</v>
      </c>
      <c r="BD503" s="25" t="s">
        <v>9774</v>
      </c>
      <c r="BE503" s="25" t="s">
        <v>189</v>
      </c>
      <c r="BF503" s="29" t="s">
        <v>166</v>
      </c>
      <c r="BG503" s="25" t="s">
        <v>190</v>
      </c>
      <c r="BH503" s="25" t="s">
        <v>166</v>
      </c>
      <c r="BI503" s="25" t="s">
        <v>166</v>
      </c>
      <c r="BJ503" s="29" t="s">
        <v>166</v>
      </c>
      <c r="BK503" s="29" t="s">
        <v>166</v>
      </c>
      <c r="BL503" s="25" t="s">
        <v>191</v>
      </c>
      <c r="BM503" s="25" t="s">
        <v>178</v>
      </c>
      <c r="BN503" s="25" t="s">
        <v>177</v>
      </c>
      <c r="BO503" s="33">
        <v>3</v>
      </c>
      <c r="BP503" s="25" t="s">
        <v>9783</v>
      </c>
      <c r="BQ503" s="32">
        <v>12</v>
      </c>
      <c r="BR503" s="25" t="s">
        <v>166</v>
      </c>
      <c r="BS503" s="32" t="s">
        <v>166</v>
      </c>
      <c r="BT503" s="25" t="s">
        <v>9784</v>
      </c>
      <c r="BU503" s="25" t="s">
        <v>166</v>
      </c>
      <c r="BV503" s="25" t="s">
        <v>9785</v>
      </c>
      <c r="BW503" s="25" t="s">
        <v>166</v>
      </c>
      <c r="BX503" s="25" t="s">
        <v>166</v>
      </c>
      <c r="BY503" s="25" t="s">
        <v>166</v>
      </c>
      <c r="BZ503" s="25" t="s">
        <v>9786</v>
      </c>
      <c r="CA503" s="25" t="s">
        <v>166</v>
      </c>
      <c r="CB503" s="25" t="s">
        <v>166</v>
      </c>
      <c r="CC503" s="25" t="s">
        <v>9786</v>
      </c>
      <c r="CD503" s="25" t="s">
        <v>166</v>
      </c>
      <c r="CE503" s="29" t="s">
        <v>166</v>
      </c>
      <c r="CF503" s="27" t="s">
        <v>166</v>
      </c>
      <c r="CG503" s="28" t="s">
        <v>166</v>
      </c>
      <c r="CH503" s="27" t="s">
        <v>166</v>
      </c>
      <c r="CI503" s="27" t="s">
        <v>166</v>
      </c>
      <c r="CJ503" s="27" t="s">
        <v>166</v>
      </c>
      <c r="CK503" s="27" t="s">
        <v>166</v>
      </c>
      <c r="CL503" s="27" t="s">
        <v>166</v>
      </c>
      <c r="CM503" s="31" t="s">
        <v>166</v>
      </c>
      <c r="CN503" s="27" t="s">
        <v>166</v>
      </c>
      <c r="CO503" s="27" t="s">
        <v>166</v>
      </c>
      <c r="CP503" s="27" t="s">
        <v>166</v>
      </c>
      <c r="CQ503" s="27" t="s">
        <v>166</v>
      </c>
      <c r="CR503" s="27" t="s">
        <v>166</v>
      </c>
      <c r="CS503" s="27" t="s">
        <v>166</v>
      </c>
      <c r="CT503" s="27" t="s">
        <v>166</v>
      </c>
      <c r="CU503" s="27" t="s">
        <v>166</v>
      </c>
      <c r="CV503" s="27" t="s">
        <v>166</v>
      </c>
      <c r="CW503" s="27" t="s">
        <v>166</v>
      </c>
      <c r="CX503" s="27" t="s">
        <v>166</v>
      </c>
      <c r="CY503" s="27" t="s">
        <v>166</v>
      </c>
      <c r="CZ503" s="27" t="s">
        <v>166</v>
      </c>
      <c r="DA503" s="27" t="s">
        <v>166</v>
      </c>
      <c r="DB503" s="27" t="s">
        <v>166</v>
      </c>
      <c r="DC503" s="27" t="s">
        <v>166</v>
      </c>
      <c r="DD503" s="27" t="s">
        <v>166</v>
      </c>
      <c r="DE503" s="28" t="s">
        <v>166</v>
      </c>
      <c r="DF503" s="33">
        <v>3</v>
      </c>
      <c r="DG503" s="25" t="s">
        <v>1634</v>
      </c>
      <c r="DH503" s="25" t="s">
        <v>193</v>
      </c>
      <c r="DI503" s="25" t="s">
        <v>194</v>
      </c>
      <c r="DJ503" s="25" t="s">
        <v>1635</v>
      </c>
      <c r="DK503" s="25" t="s">
        <v>408</v>
      </c>
      <c r="DL503" s="32" t="s">
        <v>9787</v>
      </c>
      <c r="DM503" s="25" t="s">
        <v>198</v>
      </c>
      <c r="DN503" s="24" t="s">
        <v>9788</v>
      </c>
      <c r="DO503" s="31">
        <v>2022</v>
      </c>
      <c r="DP503" s="25" t="s">
        <v>166</v>
      </c>
      <c r="DQ503" s="25" t="s">
        <v>166</v>
      </c>
      <c r="DR503" s="29" t="s">
        <v>166</v>
      </c>
      <c r="DS503" s="27" t="s">
        <v>166</v>
      </c>
      <c r="DT503" s="30" t="s">
        <v>166</v>
      </c>
      <c r="DU503" s="25" t="s">
        <v>166</v>
      </c>
      <c r="DV503" s="29" t="s">
        <v>166</v>
      </c>
      <c r="DW503" s="29" t="s">
        <v>166</v>
      </c>
      <c r="DX503" s="27" t="s">
        <v>166</v>
      </c>
      <c r="DY503" s="27" t="s">
        <v>166</v>
      </c>
      <c r="DZ503" s="28" t="s">
        <v>166</v>
      </c>
      <c r="EA503" s="27" t="s">
        <v>166</v>
      </c>
      <c r="EB503" s="27" t="s">
        <v>166</v>
      </c>
      <c r="EC503" s="27" t="s">
        <v>166</v>
      </c>
      <c r="ED503" s="28" t="s">
        <v>166</v>
      </c>
      <c r="EE503" s="28" t="s">
        <v>166</v>
      </c>
      <c r="EF503" s="28" t="s">
        <v>166</v>
      </c>
      <c r="EG503" s="28" t="s">
        <v>166</v>
      </c>
      <c r="EH503" s="27" t="s">
        <v>166</v>
      </c>
      <c r="EI503" s="27" t="s">
        <v>166</v>
      </c>
      <c r="EJ503" s="27" t="s">
        <v>166</v>
      </c>
      <c r="EK503" s="27" t="s">
        <v>166</v>
      </c>
      <c r="EL503" s="27" t="s">
        <v>166</v>
      </c>
      <c r="EM503" s="27" t="s">
        <v>166</v>
      </c>
      <c r="EN503" s="27" t="s">
        <v>166</v>
      </c>
      <c r="EO503" s="27" t="s">
        <v>166</v>
      </c>
      <c r="EP503" s="27" t="s">
        <v>166</v>
      </c>
      <c r="EQ503" s="27" t="s">
        <v>166</v>
      </c>
      <c r="ER503" s="27" t="s">
        <v>166</v>
      </c>
      <c r="ES503" s="27" t="s">
        <v>166</v>
      </c>
      <c r="ET503" s="25" t="s">
        <v>166</v>
      </c>
      <c r="EU503" s="27" t="s">
        <v>166</v>
      </c>
      <c r="EV503" s="27" t="s">
        <v>166</v>
      </c>
      <c r="EW503" s="27" t="s">
        <v>166</v>
      </c>
      <c r="EX503" s="25" t="s">
        <v>190</v>
      </c>
      <c r="EY503" s="25" t="s">
        <v>166</v>
      </c>
      <c r="EZ503" s="27" t="s">
        <v>166</v>
      </c>
      <c r="FA503" s="26" t="s">
        <v>166</v>
      </c>
      <c r="FB503" s="26" t="s">
        <v>166</v>
      </c>
      <c r="FC503" s="26" t="s">
        <v>166</v>
      </c>
      <c r="FD503" s="26" t="s">
        <v>166</v>
      </c>
      <c r="FE503" s="26" t="s">
        <v>166</v>
      </c>
      <c r="FF503" s="26" t="s">
        <v>166</v>
      </c>
      <c r="FG503" s="25" t="s">
        <v>166</v>
      </c>
      <c r="FH503" s="4">
        <f>HYPERLINK("https://my.pitchbook.com?c=197158-96T","View Company Online")</f>
      </c>
    </row>
    <row r="504">
      <c r="A504" s="14" t="s">
        <v>9789</v>
      </c>
      <c r="B504" s="14" t="s">
        <v>9790</v>
      </c>
      <c r="C504" s="14" t="s">
        <v>9791</v>
      </c>
      <c r="D504" s="14" t="s">
        <v>166</v>
      </c>
      <c r="E504" s="23" t="s">
        <v>9792</v>
      </c>
      <c r="F504" s="21">
        <v>4</v>
      </c>
      <c r="G504" s="14" t="s">
        <v>9793</v>
      </c>
      <c r="H504" s="14" t="s">
        <v>166</v>
      </c>
      <c r="I504" s="14" t="s">
        <v>9794</v>
      </c>
      <c r="J504" s="14" t="s">
        <v>9795</v>
      </c>
      <c r="K504" s="14" t="s">
        <v>1455</v>
      </c>
      <c r="L504" s="14" t="s">
        <v>5912</v>
      </c>
      <c r="M504" s="14" t="s">
        <v>7112</v>
      </c>
      <c r="N504" s="14" t="s">
        <v>9796</v>
      </c>
      <c r="O504" s="14" t="s">
        <v>9797</v>
      </c>
      <c r="P504" s="14" t="s">
        <v>9798</v>
      </c>
      <c r="Q504" s="14" t="s">
        <v>166</v>
      </c>
      <c r="R504" s="14" t="s">
        <v>177</v>
      </c>
      <c r="S504" s="14" t="s">
        <v>178</v>
      </c>
      <c r="T504" s="14" t="s">
        <v>179</v>
      </c>
      <c r="U504" s="14" t="s">
        <v>9799</v>
      </c>
      <c r="V504" s="14" t="s">
        <v>9800</v>
      </c>
      <c r="W504" s="21" t="s">
        <v>9801</v>
      </c>
      <c r="X504" s="14" t="s">
        <v>9802</v>
      </c>
      <c r="Y504" s="14" t="s">
        <v>9803</v>
      </c>
      <c r="Z504" s="14" t="s">
        <v>9804</v>
      </c>
      <c r="AA504" s="14" t="s">
        <v>166</v>
      </c>
      <c r="AB504" s="14" t="s">
        <v>166</v>
      </c>
      <c r="AC504" s="14" t="s">
        <v>166</v>
      </c>
      <c r="AD504" s="14" t="s">
        <v>166</v>
      </c>
      <c r="AE504" s="14" t="s">
        <v>166</v>
      </c>
      <c r="AF504" s="14" t="s">
        <v>166</v>
      </c>
      <c r="AG504" s="14" t="s">
        <v>166</v>
      </c>
      <c r="AH504" s="21">
        <v>1</v>
      </c>
      <c r="AI504" s="3">
        <f>HYPERLINK("https://my.pitchbook.com/?d=190725-67T","190725-67T")</f>
      </c>
      <c r="AJ504" s="19" t="s">
        <v>166</v>
      </c>
      <c r="AK504" s="19">
        <v>44484</v>
      </c>
      <c r="AL504" s="18">
        <v>2</v>
      </c>
      <c r="AM504" s="14" t="s">
        <v>185</v>
      </c>
      <c r="AN504" s="18">
        <v>18</v>
      </c>
      <c r="AO504" s="18">
        <v>20</v>
      </c>
      <c r="AP504" s="14" t="s">
        <v>185</v>
      </c>
      <c r="AQ504" s="21" t="s">
        <v>166</v>
      </c>
      <c r="AR504" s="21" t="s">
        <v>166</v>
      </c>
      <c r="AS504" s="17">
        <v>10</v>
      </c>
      <c r="AT504" s="18">
        <v>2</v>
      </c>
      <c r="AU504" s="21" t="s">
        <v>186</v>
      </c>
      <c r="AV504" s="21" t="s">
        <v>166</v>
      </c>
      <c r="AW504" s="18" t="s">
        <v>166</v>
      </c>
      <c r="AX504" s="21" t="s">
        <v>166</v>
      </c>
      <c r="AY504" s="14" t="s">
        <v>217</v>
      </c>
      <c r="AZ504" s="14" t="s">
        <v>217</v>
      </c>
      <c r="BA504" s="14" t="s">
        <v>166</v>
      </c>
      <c r="BB504" s="21" t="s">
        <v>166</v>
      </c>
      <c r="BC504" s="14" t="s">
        <v>179</v>
      </c>
      <c r="BD504" s="14" t="s">
        <v>9805</v>
      </c>
      <c r="BE504" s="14" t="s">
        <v>189</v>
      </c>
      <c r="BF504" s="18">
        <v>2</v>
      </c>
      <c r="BG504" s="14" t="s">
        <v>190</v>
      </c>
      <c r="BH504" s="14" t="s">
        <v>166</v>
      </c>
      <c r="BI504" s="14" t="s">
        <v>166</v>
      </c>
      <c r="BJ504" s="18" t="s">
        <v>166</v>
      </c>
      <c r="BK504" s="18" t="s">
        <v>166</v>
      </c>
      <c r="BL504" s="14" t="s">
        <v>191</v>
      </c>
      <c r="BM504" s="14" t="s">
        <v>178</v>
      </c>
      <c r="BN504" s="14" t="s">
        <v>177</v>
      </c>
      <c r="BO504" s="22">
        <v>1</v>
      </c>
      <c r="BP504" s="14" t="s">
        <v>9806</v>
      </c>
      <c r="BQ504" s="21">
        <v>4</v>
      </c>
      <c r="BR504" s="14" t="s">
        <v>166</v>
      </c>
      <c r="BS504" s="21" t="s">
        <v>166</v>
      </c>
      <c r="BT504" s="14" t="s">
        <v>166</v>
      </c>
      <c r="BU504" s="14" t="s">
        <v>166</v>
      </c>
      <c r="BV504" s="14" t="s">
        <v>166</v>
      </c>
      <c r="BW504" s="14" t="s">
        <v>166</v>
      </c>
      <c r="BX504" s="14" t="s">
        <v>166</v>
      </c>
      <c r="BY504" s="14" t="s">
        <v>166</v>
      </c>
      <c r="BZ504" s="14" t="s">
        <v>166</v>
      </c>
      <c r="CA504" s="14" t="s">
        <v>166</v>
      </c>
      <c r="CB504" s="14" t="s">
        <v>166</v>
      </c>
      <c r="CC504" s="14" t="s">
        <v>166</v>
      </c>
      <c r="CD504" s="14" t="s">
        <v>166</v>
      </c>
      <c r="CE504" s="18" t="s">
        <v>166</v>
      </c>
      <c r="CF504" s="16" t="s">
        <v>166</v>
      </c>
      <c r="CG504" s="17" t="s">
        <v>166</v>
      </c>
      <c r="CH504" s="16" t="s">
        <v>166</v>
      </c>
      <c r="CI504" s="16" t="s">
        <v>166</v>
      </c>
      <c r="CJ504" s="16" t="s">
        <v>166</v>
      </c>
      <c r="CK504" s="16" t="s">
        <v>166</v>
      </c>
      <c r="CL504" s="16" t="s">
        <v>166</v>
      </c>
      <c r="CM504" s="20" t="s">
        <v>166</v>
      </c>
      <c r="CN504" s="16" t="s">
        <v>166</v>
      </c>
      <c r="CO504" s="16" t="s">
        <v>166</v>
      </c>
      <c r="CP504" s="16" t="s">
        <v>166</v>
      </c>
      <c r="CQ504" s="16" t="s">
        <v>166</v>
      </c>
      <c r="CR504" s="16" t="s">
        <v>166</v>
      </c>
      <c r="CS504" s="16" t="s">
        <v>166</v>
      </c>
      <c r="CT504" s="16" t="s">
        <v>166</v>
      </c>
      <c r="CU504" s="16" t="s">
        <v>166</v>
      </c>
      <c r="CV504" s="16" t="s">
        <v>166</v>
      </c>
      <c r="CW504" s="16" t="s">
        <v>166</v>
      </c>
      <c r="CX504" s="16" t="s">
        <v>166</v>
      </c>
      <c r="CY504" s="16" t="s">
        <v>166</v>
      </c>
      <c r="CZ504" s="16" t="s">
        <v>166</v>
      </c>
      <c r="DA504" s="16" t="s">
        <v>166</v>
      </c>
      <c r="DB504" s="16" t="s">
        <v>166</v>
      </c>
      <c r="DC504" s="16" t="s">
        <v>166</v>
      </c>
      <c r="DD504" s="16" t="s">
        <v>166</v>
      </c>
      <c r="DE504" s="17" t="s">
        <v>166</v>
      </c>
      <c r="DF504" s="22">
        <v>8</v>
      </c>
      <c r="DG504" s="14" t="s">
        <v>1634</v>
      </c>
      <c r="DH504" s="14" t="s">
        <v>193</v>
      </c>
      <c r="DI504" s="14" t="s">
        <v>194</v>
      </c>
      <c r="DJ504" s="14" t="s">
        <v>1635</v>
      </c>
      <c r="DK504" s="14" t="s">
        <v>408</v>
      </c>
      <c r="DL504" s="21" t="s">
        <v>9807</v>
      </c>
      <c r="DM504" s="14" t="s">
        <v>198</v>
      </c>
      <c r="DN504" s="13" t="s">
        <v>9808</v>
      </c>
      <c r="DO504" s="20">
        <v>2020</v>
      </c>
      <c r="DP504" s="14" t="s">
        <v>166</v>
      </c>
      <c r="DQ504" s="14" t="s">
        <v>166</v>
      </c>
      <c r="DR504" s="18" t="s">
        <v>166</v>
      </c>
      <c r="DS504" s="16" t="s">
        <v>166</v>
      </c>
      <c r="DT504" s="19" t="s">
        <v>166</v>
      </c>
      <c r="DU504" s="14" t="s">
        <v>166</v>
      </c>
      <c r="DV504" s="18" t="s">
        <v>166</v>
      </c>
      <c r="DW504" s="18" t="s">
        <v>166</v>
      </c>
      <c r="DX504" s="16" t="s">
        <v>166</v>
      </c>
      <c r="DY504" s="16" t="s">
        <v>166</v>
      </c>
      <c r="DZ504" s="17" t="s">
        <v>166</v>
      </c>
      <c r="EA504" s="16" t="s">
        <v>166</v>
      </c>
      <c r="EB504" s="16" t="s">
        <v>166</v>
      </c>
      <c r="EC504" s="16" t="s">
        <v>166</v>
      </c>
      <c r="ED504" s="17" t="s">
        <v>166</v>
      </c>
      <c r="EE504" s="17" t="s">
        <v>166</v>
      </c>
      <c r="EF504" s="17" t="s">
        <v>166</v>
      </c>
      <c r="EG504" s="17" t="s">
        <v>166</v>
      </c>
      <c r="EH504" s="16" t="s">
        <v>166</v>
      </c>
      <c r="EI504" s="16" t="s">
        <v>166</v>
      </c>
      <c r="EJ504" s="16" t="s">
        <v>166</v>
      </c>
      <c r="EK504" s="16" t="s">
        <v>166</v>
      </c>
      <c r="EL504" s="16" t="s">
        <v>166</v>
      </c>
      <c r="EM504" s="16" t="s">
        <v>166</v>
      </c>
      <c r="EN504" s="16" t="s">
        <v>166</v>
      </c>
      <c r="EO504" s="16" t="s">
        <v>166</v>
      </c>
      <c r="EP504" s="16" t="s">
        <v>166</v>
      </c>
      <c r="EQ504" s="16" t="s">
        <v>166</v>
      </c>
      <c r="ER504" s="16" t="s">
        <v>166</v>
      </c>
      <c r="ES504" s="16" t="s">
        <v>166</v>
      </c>
      <c r="ET504" s="14" t="s">
        <v>166</v>
      </c>
      <c r="EU504" s="16" t="s">
        <v>166</v>
      </c>
      <c r="EV504" s="16" t="s">
        <v>166</v>
      </c>
      <c r="EW504" s="16" t="s">
        <v>166</v>
      </c>
      <c r="EX504" s="14" t="s">
        <v>190</v>
      </c>
      <c r="EY504" s="14" t="s">
        <v>166</v>
      </c>
      <c r="EZ504" s="16" t="s">
        <v>166</v>
      </c>
      <c r="FA504" s="15">
        <v>10</v>
      </c>
      <c r="FB504" s="15">
        <v>4</v>
      </c>
      <c r="FC504" s="15">
        <v>8</v>
      </c>
      <c r="FD504" s="15">
        <v>2</v>
      </c>
      <c r="FE504" s="15" t="s">
        <v>166</v>
      </c>
      <c r="FF504" s="15" t="s">
        <v>166</v>
      </c>
      <c r="FG504" s="14" t="s">
        <v>9809</v>
      </c>
      <c r="FH504" s="3">
        <f>HYPERLINK("https://my.pitchbook.com?c=190725-67T","View Company Online")</f>
      </c>
    </row>
    <row r="505">
      <c r="A505" s="25" t="s">
        <v>9810</v>
      </c>
      <c r="B505" s="25" t="s">
        <v>9811</v>
      </c>
      <c r="C505" s="25" t="s">
        <v>9812</v>
      </c>
      <c r="D505" s="25" t="s">
        <v>166</v>
      </c>
      <c r="E505" s="34" t="s">
        <v>9813</v>
      </c>
      <c r="F505" s="32">
        <v>2</v>
      </c>
      <c r="G505" s="25" t="s">
        <v>9814</v>
      </c>
      <c r="H505" s="25" t="s">
        <v>166</v>
      </c>
      <c r="I505" s="25" t="s">
        <v>9815</v>
      </c>
      <c r="J505" s="25" t="s">
        <v>9816</v>
      </c>
      <c r="K505" s="25" t="s">
        <v>1455</v>
      </c>
      <c r="L505" s="25" t="s">
        <v>1984</v>
      </c>
      <c r="M505" s="25" t="s">
        <v>2112</v>
      </c>
      <c r="N505" s="25" t="s">
        <v>3046</v>
      </c>
      <c r="O505" s="25" t="s">
        <v>1842</v>
      </c>
      <c r="P505" s="25" t="s">
        <v>9817</v>
      </c>
      <c r="Q505" s="25" t="s">
        <v>166</v>
      </c>
      <c r="R505" s="25" t="s">
        <v>177</v>
      </c>
      <c r="S505" s="25" t="s">
        <v>178</v>
      </c>
      <c r="T505" s="25" t="s">
        <v>179</v>
      </c>
      <c r="U505" s="25" t="s">
        <v>9818</v>
      </c>
      <c r="V505" s="25" t="s">
        <v>9819</v>
      </c>
      <c r="W505" s="32" t="s">
        <v>9820</v>
      </c>
      <c r="X505" s="25" t="s">
        <v>9821</v>
      </c>
      <c r="Y505" s="25" t="s">
        <v>9822</v>
      </c>
      <c r="Z505" s="25" t="s">
        <v>166</v>
      </c>
      <c r="AA505" s="25" t="s">
        <v>166</v>
      </c>
      <c r="AB505" s="25" t="s">
        <v>166</v>
      </c>
      <c r="AC505" s="25" t="s">
        <v>166</v>
      </c>
      <c r="AD505" s="25" t="s">
        <v>166</v>
      </c>
      <c r="AE505" s="25" t="s">
        <v>166</v>
      </c>
      <c r="AF505" s="25" t="s">
        <v>166</v>
      </c>
      <c r="AG505" s="25" t="s">
        <v>166</v>
      </c>
      <c r="AH505" s="32">
        <v>1</v>
      </c>
      <c r="AI505" s="4">
        <f>HYPERLINK("https://my.pitchbook.com/?d=203606-11T","203606-11T")</f>
      </c>
      <c r="AJ505" s="30" t="s">
        <v>166</v>
      </c>
      <c r="AK505" s="30">
        <v>44803</v>
      </c>
      <c r="AL505" s="29">
        <v>0.1</v>
      </c>
      <c r="AM505" s="25" t="s">
        <v>185</v>
      </c>
      <c r="AN505" s="29" t="s">
        <v>166</v>
      </c>
      <c r="AO505" s="29" t="s">
        <v>166</v>
      </c>
      <c r="AP505" s="25" t="s">
        <v>166</v>
      </c>
      <c r="AQ505" s="32" t="s">
        <v>166</v>
      </c>
      <c r="AR505" s="32" t="s">
        <v>166</v>
      </c>
      <c r="AS505" s="28" t="s">
        <v>166</v>
      </c>
      <c r="AT505" s="29">
        <v>0.1</v>
      </c>
      <c r="AU505" s="32" t="s">
        <v>186</v>
      </c>
      <c r="AV505" s="32" t="s">
        <v>166</v>
      </c>
      <c r="AW505" s="29" t="s">
        <v>166</v>
      </c>
      <c r="AX505" s="32" t="s">
        <v>166</v>
      </c>
      <c r="AY505" s="25" t="s">
        <v>217</v>
      </c>
      <c r="AZ505" s="25" t="s">
        <v>217</v>
      </c>
      <c r="BA505" s="25" t="s">
        <v>166</v>
      </c>
      <c r="BB505" s="32" t="s">
        <v>166</v>
      </c>
      <c r="BC505" s="25" t="s">
        <v>179</v>
      </c>
      <c r="BD505" s="25" t="s">
        <v>9823</v>
      </c>
      <c r="BE505" s="25" t="s">
        <v>189</v>
      </c>
      <c r="BF505" s="29">
        <v>0.1</v>
      </c>
      <c r="BG505" s="25" t="s">
        <v>190</v>
      </c>
      <c r="BH505" s="25" t="s">
        <v>166</v>
      </c>
      <c r="BI505" s="25" t="s">
        <v>166</v>
      </c>
      <c r="BJ505" s="29" t="s">
        <v>166</v>
      </c>
      <c r="BK505" s="29" t="s">
        <v>166</v>
      </c>
      <c r="BL505" s="25" t="s">
        <v>191</v>
      </c>
      <c r="BM505" s="25" t="s">
        <v>178</v>
      </c>
      <c r="BN505" s="25" t="s">
        <v>177</v>
      </c>
      <c r="BO505" s="33" t="s">
        <v>166</v>
      </c>
      <c r="BP505" s="25" t="s">
        <v>9813</v>
      </c>
      <c r="BQ505" s="32">
        <v>2</v>
      </c>
      <c r="BR505" s="25" t="s">
        <v>166</v>
      </c>
      <c r="BS505" s="32" t="s">
        <v>166</v>
      </c>
      <c r="BT505" s="25" t="s">
        <v>166</v>
      </c>
      <c r="BU505" s="25" t="s">
        <v>166</v>
      </c>
      <c r="BV505" s="25" t="s">
        <v>166</v>
      </c>
      <c r="BW505" s="25" t="s">
        <v>166</v>
      </c>
      <c r="BX505" s="25" t="s">
        <v>166</v>
      </c>
      <c r="BY505" s="25" t="s">
        <v>166</v>
      </c>
      <c r="BZ505" s="25" t="s">
        <v>166</v>
      </c>
      <c r="CA505" s="25" t="s">
        <v>166</v>
      </c>
      <c r="CB505" s="25" t="s">
        <v>166</v>
      </c>
      <c r="CC505" s="25" t="s">
        <v>166</v>
      </c>
      <c r="CD505" s="25" t="s">
        <v>166</v>
      </c>
      <c r="CE505" s="29" t="s">
        <v>166</v>
      </c>
      <c r="CF505" s="27" t="s">
        <v>166</v>
      </c>
      <c r="CG505" s="28" t="s">
        <v>166</v>
      </c>
      <c r="CH505" s="27" t="s">
        <v>166</v>
      </c>
      <c r="CI505" s="27" t="s">
        <v>166</v>
      </c>
      <c r="CJ505" s="27" t="s">
        <v>166</v>
      </c>
      <c r="CK505" s="27" t="s">
        <v>166</v>
      </c>
      <c r="CL505" s="27" t="s">
        <v>166</v>
      </c>
      <c r="CM505" s="31" t="s">
        <v>166</v>
      </c>
      <c r="CN505" s="27" t="s">
        <v>166</v>
      </c>
      <c r="CO505" s="27" t="s">
        <v>166</v>
      </c>
      <c r="CP505" s="27" t="s">
        <v>166</v>
      </c>
      <c r="CQ505" s="27" t="s">
        <v>166</v>
      </c>
      <c r="CR505" s="27" t="s">
        <v>166</v>
      </c>
      <c r="CS505" s="27" t="s">
        <v>166</v>
      </c>
      <c r="CT505" s="27" t="s">
        <v>166</v>
      </c>
      <c r="CU505" s="27" t="s">
        <v>166</v>
      </c>
      <c r="CV505" s="27" t="s">
        <v>166</v>
      </c>
      <c r="CW505" s="27" t="s">
        <v>166</v>
      </c>
      <c r="CX505" s="27" t="s">
        <v>166</v>
      </c>
      <c r="CY505" s="27" t="s">
        <v>166</v>
      </c>
      <c r="CZ505" s="27" t="s">
        <v>166</v>
      </c>
      <c r="DA505" s="27" t="s">
        <v>166</v>
      </c>
      <c r="DB505" s="27" t="s">
        <v>166</v>
      </c>
      <c r="DC505" s="27" t="s">
        <v>166</v>
      </c>
      <c r="DD505" s="27" t="s">
        <v>166</v>
      </c>
      <c r="DE505" s="28" t="s">
        <v>166</v>
      </c>
      <c r="DF505" s="33">
        <v>8</v>
      </c>
      <c r="DG505" s="25" t="s">
        <v>9824</v>
      </c>
      <c r="DH505" s="25" t="s">
        <v>193</v>
      </c>
      <c r="DI505" s="25" t="s">
        <v>194</v>
      </c>
      <c r="DJ505" s="25" t="s">
        <v>9825</v>
      </c>
      <c r="DK505" s="25" t="s">
        <v>431</v>
      </c>
      <c r="DL505" s="32" t="s">
        <v>9826</v>
      </c>
      <c r="DM505" s="25" t="s">
        <v>198</v>
      </c>
      <c r="DN505" s="24" t="s">
        <v>9827</v>
      </c>
      <c r="DO505" s="31">
        <v>2022</v>
      </c>
      <c r="DP505" s="25" t="s">
        <v>166</v>
      </c>
      <c r="DQ505" s="25" t="s">
        <v>166</v>
      </c>
      <c r="DR505" s="29" t="s">
        <v>166</v>
      </c>
      <c r="DS505" s="27" t="s">
        <v>166</v>
      </c>
      <c r="DT505" s="30" t="s">
        <v>166</v>
      </c>
      <c r="DU505" s="25" t="s">
        <v>166</v>
      </c>
      <c r="DV505" s="29" t="s">
        <v>166</v>
      </c>
      <c r="DW505" s="29" t="s">
        <v>166</v>
      </c>
      <c r="DX505" s="27" t="s">
        <v>166</v>
      </c>
      <c r="DY505" s="27" t="s">
        <v>166</v>
      </c>
      <c r="DZ505" s="28" t="s">
        <v>166</v>
      </c>
      <c r="EA505" s="27" t="s">
        <v>166</v>
      </c>
      <c r="EB505" s="27" t="s">
        <v>166</v>
      </c>
      <c r="EC505" s="27" t="s">
        <v>166</v>
      </c>
      <c r="ED505" s="28" t="s">
        <v>166</v>
      </c>
      <c r="EE505" s="28" t="s">
        <v>166</v>
      </c>
      <c r="EF505" s="28" t="s">
        <v>166</v>
      </c>
      <c r="EG505" s="28" t="s">
        <v>166</v>
      </c>
      <c r="EH505" s="27" t="s">
        <v>166</v>
      </c>
      <c r="EI505" s="27" t="s">
        <v>166</v>
      </c>
      <c r="EJ505" s="27" t="s">
        <v>166</v>
      </c>
      <c r="EK505" s="27" t="s">
        <v>166</v>
      </c>
      <c r="EL505" s="27" t="s">
        <v>166</v>
      </c>
      <c r="EM505" s="27" t="s">
        <v>166</v>
      </c>
      <c r="EN505" s="27" t="s">
        <v>166</v>
      </c>
      <c r="EO505" s="27" t="s">
        <v>166</v>
      </c>
      <c r="EP505" s="27" t="s">
        <v>166</v>
      </c>
      <c r="EQ505" s="27" t="s">
        <v>166</v>
      </c>
      <c r="ER505" s="27" t="s">
        <v>166</v>
      </c>
      <c r="ES505" s="27" t="s">
        <v>166</v>
      </c>
      <c r="ET505" s="25" t="s">
        <v>166</v>
      </c>
      <c r="EU505" s="27" t="s">
        <v>166</v>
      </c>
      <c r="EV505" s="27" t="s">
        <v>166</v>
      </c>
      <c r="EW505" s="27" t="s">
        <v>166</v>
      </c>
      <c r="EX505" s="25" t="s">
        <v>190</v>
      </c>
      <c r="EY505" s="25" t="s">
        <v>166</v>
      </c>
      <c r="EZ505" s="27" t="s">
        <v>166</v>
      </c>
      <c r="FA505" s="26" t="s">
        <v>166</v>
      </c>
      <c r="FB505" s="26" t="s">
        <v>166</v>
      </c>
      <c r="FC505" s="26" t="s">
        <v>166</v>
      </c>
      <c r="FD505" s="26" t="s">
        <v>166</v>
      </c>
      <c r="FE505" s="26" t="s">
        <v>166</v>
      </c>
      <c r="FF505" s="26" t="s">
        <v>166</v>
      </c>
      <c r="FG505" s="25" t="s">
        <v>166</v>
      </c>
      <c r="FH505" s="4">
        <f>HYPERLINK("https://my.pitchbook.com?c=203606-11T","View Company Online")</f>
      </c>
    </row>
    <row r="506">
      <c r="A506" s="14" t="s">
        <v>9828</v>
      </c>
      <c r="B506" s="14" t="s">
        <v>9829</v>
      </c>
      <c r="C506" s="14" t="s">
        <v>9830</v>
      </c>
      <c r="D506" s="14" t="s">
        <v>166</v>
      </c>
      <c r="E506" s="23" t="s">
        <v>9831</v>
      </c>
      <c r="F506" s="21">
        <v>2</v>
      </c>
      <c r="G506" s="14" t="s">
        <v>9832</v>
      </c>
      <c r="H506" s="14" t="s">
        <v>166</v>
      </c>
      <c r="I506" s="14" t="s">
        <v>9833</v>
      </c>
      <c r="J506" s="14" t="s">
        <v>9834</v>
      </c>
      <c r="K506" s="14" t="s">
        <v>207</v>
      </c>
      <c r="L506" s="14" t="s">
        <v>208</v>
      </c>
      <c r="M506" s="14" t="s">
        <v>209</v>
      </c>
      <c r="N506" s="14" t="s">
        <v>4368</v>
      </c>
      <c r="O506" s="14" t="s">
        <v>665</v>
      </c>
      <c r="P506" s="14" t="s">
        <v>9835</v>
      </c>
      <c r="Q506" s="14" t="s">
        <v>166</v>
      </c>
      <c r="R506" s="14" t="s">
        <v>177</v>
      </c>
      <c r="S506" s="14" t="s">
        <v>178</v>
      </c>
      <c r="T506" s="14" t="s">
        <v>179</v>
      </c>
      <c r="U506" s="14" t="s">
        <v>9836</v>
      </c>
      <c r="V506" s="14" t="s">
        <v>9837</v>
      </c>
      <c r="W506" s="21" t="s">
        <v>9838</v>
      </c>
      <c r="X506" s="14" t="s">
        <v>9839</v>
      </c>
      <c r="Y506" s="14" t="s">
        <v>9840</v>
      </c>
      <c r="Z506" s="14" t="s">
        <v>166</v>
      </c>
      <c r="AA506" s="14" t="s">
        <v>166</v>
      </c>
      <c r="AB506" s="14" t="s">
        <v>166</v>
      </c>
      <c r="AC506" s="14" t="s">
        <v>166</v>
      </c>
      <c r="AD506" s="14" t="s">
        <v>166</v>
      </c>
      <c r="AE506" s="14" t="s">
        <v>166</v>
      </c>
      <c r="AF506" s="14" t="s">
        <v>166</v>
      </c>
      <c r="AG506" s="14" t="s">
        <v>166</v>
      </c>
      <c r="AH506" s="21">
        <v>1</v>
      </c>
      <c r="AI506" s="3">
        <f>HYPERLINK("https://my.pitchbook.com/?d=195230-71T","195230-71T")</f>
      </c>
      <c r="AJ506" s="19" t="s">
        <v>166</v>
      </c>
      <c r="AK506" s="19">
        <v>43983</v>
      </c>
      <c r="AL506" s="18">
        <v>1</v>
      </c>
      <c r="AM506" s="14" t="s">
        <v>185</v>
      </c>
      <c r="AN506" s="18" t="s">
        <v>166</v>
      </c>
      <c r="AO506" s="18" t="s">
        <v>166</v>
      </c>
      <c r="AP506" s="14" t="s">
        <v>166</v>
      </c>
      <c r="AQ506" s="21" t="s">
        <v>166</v>
      </c>
      <c r="AR506" s="21" t="s">
        <v>166</v>
      </c>
      <c r="AS506" s="17" t="s">
        <v>166</v>
      </c>
      <c r="AT506" s="18">
        <v>1</v>
      </c>
      <c r="AU506" s="21" t="s">
        <v>186</v>
      </c>
      <c r="AV506" s="21" t="s">
        <v>166</v>
      </c>
      <c r="AW506" s="18" t="s">
        <v>166</v>
      </c>
      <c r="AX506" s="21" t="s">
        <v>166</v>
      </c>
      <c r="AY506" s="14" t="s">
        <v>217</v>
      </c>
      <c r="AZ506" s="14" t="s">
        <v>217</v>
      </c>
      <c r="BA506" s="14" t="s">
        <v>166</v>
      </c>
      <c r="BB506" s="21" t="s">
        <v>166</v>
      </c>
      <c r="BC506" s="14" t="s">
        <v>179</v>
      </c>
      <c r="BD506" s="14" t="s">
        <v>9841</v>
      </c>
      <c r="BE506" s="14" t="s">
        <v>189</v>
      </c>
      <c r="BF506" s="18">
        <v>1</v>
      </c>
      <c r="BG506" s="14" t="s">
        <v>190</v>
      </c>
      <c r="BH506" s="14" t="s">
        <v>166</v>
      </c>
      <c r="BI506" s="14" t="s">
        <v>166</v>
      </c>
      <c r="BJ506" s="18" t="s">
        <v>166</v>
      </c>
      <c r="BK506" s="18" t="s">
        <v>166</v>
      </c>
      <c r="BL506" s="14" t="s">
        <v>191</v>
      </c>
      <c r="BM506" s="14" t="s">
        <v>358</v>
      </c>
      <c r="BN506" s="14" t="s">
        <v>177</v>
      </c>
      <c r="BO506" s="22" t="s">
        <v>166</v>
      </c>
      <c r="BP506" s="14" t="s">
        <v>9831</v>
      </c>
      <c r="BQ506" s="21">
        <v>2</v>
      </c>
      <c r="BR506" s="14" t="s">
        <v>166</v>
      </c>
      <c r="BS506" s="21" t="s">
        <v>166</v>
      </c>
      <c r="BT506" s="14" t="s">
        <v>9842</v>
      </c>
      <c r="BU506" s="14" t="s">
        <v>166</v>
      </c>
      <c r="BV506" s="14" t="s">
        <v>9843</v>
      </c>
      <c r="BW506" s="14" t="s">
        <v>166</v>
      </c>
      <c r="BX506" s="14" t="s">
        <v>166</v>
      </c>
      <c r="BY506" s="14" t="s">
        <v>166</v>
      </c>
      <c r="BZ506" s="14" t="s">
        <v>166</v>
      </c>
      <c r="CA506" s="14" t="s">
        <v>166</v>
      </c>
      <c r="CB506" s="14" t="s">
        <v>166</v>
      </c>
      <c r="CC506" s="14" t="s">
        <v>166</v>
      </c>
      <c r="CD506" s="14" t="s">
        <v>166</v>
      </c>
      <c r="CE506" s="18" t="s">
        <v>166</v>
      </c>
      <c r="CF506" s="16" t="s">
        <v>166</v>
      </c>
      <c r="CG506" s="17" t="s">
        <v>166</v>
      </c>
      <c r="CH506" s="16" t="s">
        <v>166</v>
      </c>
      <c r="CI506" s="16" t="s">
        <v>166</v>
      </c>
      <c r="CJ506" s="16" t="s">
        <v>166</v>
      </c>
      <c r="CK506" s="16" t="s">
        <v>166</v>
      </c>
      <c r="CL506" s="16" t="s">
        <v>166</v>
      </c>
      <c r="CM506" s="20" t="s">
        <v>166</v>
      </c>
      <c r="CN506" s="16" t="s">
        <v>166</v>
      </c>
      <c r="CO506" s="16" t="s">
        <v>166</v>
      </c>
      <c r="CP506" s="16" t="s">
        <v>166</v>
      </c>
      <c r="CQ506" s="16" t="s">
        <v>166</v>
      </c>
      <c r="CR506" s="16" t="s">
        <v>166</v>
      </c>
      <c r="CS506" s="16" t="s">
        <v>166</v>
      </c>
      <c r="CT506" s="16" t="s">
        <v>166</v>
      </c>
      <c r="CU506" s="16" t="s">
        <v>166</v>
      </c>
      <c r="CV506" s="16" t="s">
        <v>166</v>
      </c>
      <c r="CW506" s="16" t="s">
        <v>166</v>
      </c>
      <c r="CX506" s="16" t="s">
        <v>166</v>
      </c>
      <c r="CY506" s="16" t="s">
        <v>166</v>
      </c>
      <c r="CZ506" s="16" t="s">
        <v>166</v>
      </c>
      <c r="DA506" s="16" t="s">
        <v>166</v>
      </c>
      <c r="DB506" s="16" t="s">
        <v>166</v>
      </c>
      <c r="DC506" s="16" t="s">
        <v>166</v>
      </c>
      <c r="DD506" s="16" t="s">
        <v>166</v>
      </c>
      <c r="DE506" s="17" t="s">
        <v>166</v>
      </c>
      <c r="DF506" s="22">
        <v>53</v>
      </c>
      <c r="DG506" s="14" t="s">
        <v>8200</v>
      </c>
      <c r="DH506" s="14" t="s">
        <v>193</v>
      </c>
      <c r="DI506" s="14" t="s">
        <v>194</v>
      </c>
      <c r="DJ506" s="14" t="s">
        <v>8201</v>
      </c>
      <c r="DK506" s="14" t="s">
        <v>257</v>
      </c>
      <c r="DL506" s="21" t="s">
        <v>9844</v>
      </c>
      <c r="DM506" s="14" t="s">
        <v>198</v>
      </c>
      <c r="DN506" s="13" t="s">
        <v>9845</v>
      </c>
      <c r="DO506" s="20">
        <v>2019</v>
      </c>
      <c r="DP506" s="14" t="s">
        <v>166</v>
      </c>
      <c r="DQ506" s="14" t="s">
        <v>166</v>
      </c>
      <c r="DR506" s="18" t="s">
        <v>166</v>
      </c>
      <c r="DS506" s="16" t="s">
        <v>166</v>
      </c>
      <c r="DT506" s="19" t="s">
        <v>166</v>
      </c>
      <c r="DU506" s="14" t="s">
        <v>166</v>
      </c>
      <c r="DV506" s="18" t="s">
        <v>166</v>
      </c>
      <c r="DW506" s="18" t="s">
        <v>166</v>
      </c>
      <c r="DX506" s="16" t="s">
        <v>166</v>
      </c>
      <c r="DY506" s="16" t="s">
        <v>166</v>
      </c>
      <c r="DZ506" s="17" t="s">
        <v>166</v>
      </c>
      <c r="EA506" s="16" t="s">
        <v>166</v>
      </c>
      <c r="EB506" s="16" t="s">
        <v>166</v>
      </c>
      <c r="EC506" s="16" t="s">
        <v>166</v>
      </c>
      <c r="ED506" s="17" t="s">
        <v>166</v>
      </c>
      <c r="EE506" s="17" t="s">
        <v>166</v>
      </c>
      <c r="EF506" s="17" t="s">
        <v>166</v>
      </c>
      <c r="EG506" s="17" t="s">
        <v>166</v>
      </c>
      <c r="EH506" s="16" t="s">
        <v>166</v>
      </c>
      <c r="EI506" s="16" t="s">
        <v>166</v>
      </c>
      <c r="EJ506" s="16" t="s">
        <v>166</v>
      </c>
      <c r="EK506" s="16" t="s">
        <v>166</v>
      </c>
      <c r="EL506" s="16" t="s">
        <v>166</v>
      </c>
      <c r="EM506" s="16" t="s">
        <v>166</v>
      </c>
      <c r="EN506" s="16" t="s">
        <v>166</v>
      </c>
      <c r="EO506" s="16" t="s">
        <v>166</v>
      </c>
      <c r="EP506" s="16" t="s">
        <v>166</v>
      </c>
      <c r="EQ506" s="16" t="s">
        <v>166</v>
      </c>
      <c r="ER506" s="16" t="s">
        <v>166</v>
      </c>
      <c r="ES506" s="16" t="s">
        <v>166</v>
      </c>
      <c r="ET506" s="14" t="s">
        <v>166</v>
      </c>
      <c r="EU506" s="16" t="s">
        <v>166</v>
      </c>
      <c r="EV506" s="16" t="s">
        <v>166</v>
      </c>
      <c r="EW506" s="16" t="s">
        <v>166</v>
      </c>
      <c r="EX506" s="14" t="s">
        <v>190</v>
      </c>
      <c r="EY506" s="14" t="s">
        <v>166</v>
      </c>
      <c r="EZ506" s="16" t="s">
        <v>166</v>
      </c>
      <c r="FA506" s="15" t="s">
        <v>166</v>
      </c>
      <c r="FB506" s="15" t="s">
        <v>166</v>
      </c>
      <c r="FC506" s="15" t="s">
        <v>166</v>
      </c>
      <c r="FD506" s="15" t="s">
        <v>166</v>
      </c>
      <c r="FE506" s="15" t="s">
        <v>166</v>
      </c>
      <c r="FF506" s="15" t="s">
        <v>166</v>
      </c>
      <c r="FG506" s="14" t="s">
        <v>166</v>
      </c>
      <c r="FH506" s="3">
        <f>HYPERLINK("https://my.pitchbook.com?c=195230-71T","View Company Online")</f>
      </c>
    </row>
    <row r="507">
      <c r="A507" s="25" t="s">
        <v>9846</v>
      </c>
      <c r="B507" s="25" t="s">
        <v>9847</v>
      </c>
      <c r="C507" s="25" t="s">
        <v>9848</v>
      </c>
      <c r="D507" s="25" t="s">
        <v>166</v>
      </c>
      <c r="E507" s="34" t="s">
        <v>9849</v>
      </c>
      <c r="F507" s="32">
        <v>3</v>
      </c>
      <c r="G507" s="25" t="s">
        <v>9850</v>
      </c>
      <c r="H507" s="25" t="s">
        <v>166</v>
      </c>
      <c r="I507" s="25" t="s">
        <v>9851</v>
      </c>
      <c r="J507" s="25" t="s">
        <v>9852</v>
      </c>
      <c r="K507" s="25" t="s">
        <v>207</v>
      </c>
      <c r="L507" s="25" t="s">
        <v>208</v>
      </c>
      <c r="M507" s="25" t="s">
        <v>296</v>
      </c>
      <c r="N507" s="25" t="s">
        <v>9096</v>
      </c>
      <c r="O507" s="25" t="s">
        <v>325</v>
      </c>
      <c r="P507" s="25" t="s">
        <v>9853</v>
      </c>
      <c r="Q507" s="25" t="s">
        <v>166</v>
      </c>
      <c r="R507" s="25" t="s">
        <v>177</v>
      </c>
      <c r="S507" s="25" t="s">
        <v>178</v>
      </c>
      <c r="T507" s="25" t="s">
        <v>179</v>
      </c>
      <c r="U507" s="25" t="s">
        <v>9854</v>
      </c>
      <c r="V507" s="25" t="s">
        <v>9855</v>
      </c>
      <c r="W507" s="32" t="s">
        <v>9856</v>
      </c>
      <c r="X507" s="25" t="s">
        <v>9857</v>
      </c>
      <c r="Y507" s="25" t="s">
        <v>9858</v>
      </c>
      <c r="Z507" s="25" t="s">
        <v>166</v>
      </c>
      <c r="AA507" s="25" t="s">
        <v>166</v>
      </c>
      <c r="AB507" s="25" t="s">
        <v>166</v>
      </c>
      <c r="AC507" s="25" t="s">
        <v>166</v>
      </c>
      <c r="AD507" s="25" t="s">
        <v>166</v>
      </c>
      <c r="AE507" s="25" t="s">
        <v>166</v>
      </c>
      <c r="AF507" s="25" t="s">
        <v>166</v>
      </c>
      <c r="AG507" s="25" t="s">
        <v>166</v>
      </c>
      <c r="AH507" s="32">
        <v>2</v>
      </c>
      <c r="AI507" s="4">
        <f>HYPERLINK("https://my.pitchbook.com/?d=183958-84T","183958-84T")</f>
      </c>
      <c r="AJ507" s="30">
        <v>44545</v>
      </c>
      <c r="AK507" s="30">
        <v>44560</v>
      </c>
      <c r="AL507" s="29">
        <v>1.55</v>
      </c>
      <c r="AM507" s="25" t="s">
        <v>185</v>
      </c>
      <c r="AN507" s="29" t="s">
        <v>166</v>
      </c>
      <c r="AO507" s="29" t="s">
        <v>166</v>
      </c>
      <c r="AP507" s="25" t="s">
        <v>166</v>
      </c>
      <c r="AQ507" s="32" t="s">
        <v>166</v>
      </c>
      <c r="AR507" s="32" t="s">
        <v>166</v>
      </c>
      <c r="AS507" s="28" t="s">
        <v>166</v>
      </c>
      <c r="AT507" s="29">
        <v>1.55</v>
      </c>
      <c r="AU507" s="32" t="s">
        <v>186</v>
      </c>
      <c r="AV507" s="32" t="s">
        <v>166</v>
      </c>
      <c r="AW507" s="29" t="s">
        <v>166</v>
      </c>
      <c r="AX507" s="32" t="s">
        <v>166</v>
      </c>
      <c r="AY507" s="25" t="s">
        <v>217</v>
      </c>
      <c r="AZ507" s="25" t="s">
        <v>217</v>
      </c>
      <c r="BA507" s="25" t="s">
        <v>166</v>
      </c>
      <c r="BB507" s="32" t="s">
        <v>166</v>
      </c>
      <c r="BC507" s="25" t="s">
        <v>179</v>
      </c>
      <c r="BD507" s="25" t="s">
        <v>9859</v>
      </c>
      <c r="BE507" s="25" t="s">
        <v>189</v>
      </c>
      <c r="BF507" s="29" t="s">
        <v>166</v>
      </c>
      <c r="BG507" s="25" t="s">
        <v>190</v>
      </c>
      <c r="BH507" s="25" t="s">
        <v>166</v>
      </c>
      <c r="BI507" s="25" t="s">
        <v>166</v>
      </c>
      <c r="BJ507" s="29" t="s">
        <v>166</v>
      </c>
      <c r="BK507" s="29" t="s">
        <v>166</v>
      </c>
      <c r="BL507" s="25" t="s">
        <v>191</v>
      </c>
      <c r="BM507" s="25" t="s">
        <v>178</v>
      </c>
      <c r="BN507" s="25" t="s">
        <v>177</v>
      </c>
      <c r="BO507" s="33" t="s">
        <v>166</v>
      </c>
      <c r="BP507" s="25" t="s">
        <v>9849</v>
      </c>
      <c r="BQ507" s="32">
        <v>3</v>
      </c>
      <c r="BR507" s="25" t="s">
        <v>166</v>
      </c>
      <c r="BS507" s="32" t="s">
        <v>166</v>
      </c>
      <c r="BT507" s="25" t="s">
        <v>166</v>
      </c>
      <c r="BU507" s="25" t="s">
        <v>166</v>
      </c>
      <c r="BV507" s="25" t="s">
        <v>9860</v>
      </c>
      <c r="BW507" s="25" t="s">
        <v>166</v>
      </c>
      <c r="BX507" s="25" t="s">
        <v>166</v>
      </c>
      <c r="BY507" s="25" t="s">
        <v>166</v>
      </c>
      <c r="BZ507" s="25" t="s">
        <v>9861</v>
      </c>
      <c r="CA507" s="25" t="s">
        <v>166</v>
      </c>
      <c r="CB507" s="25" t="s">
        <v>166</v>
      </c>
      <c r="CC507" s="25" t="s">
        <v>9861</v>
      </c>
      <c r="CD507" s="25" t="s">
        <v>166</v>
      </c>
      <c r="CE507" s="29" t="s">
        <v>166</v>
      </c>
      <c r="CF507" s="27" t="s">
        <v>166</v>
      </c>
      <c r="CG507" s="28" t="s">
        <v>166</v>
      </c>
      <c r="CH507" s="27" t="s">
        <v>166</v>
      </c>
      <c r="CI507" s="27" t="s">
        <v>166</v>
      </c>
      <c r="CJ507" s="27" t="s">
        <v>166</v>
      </c>
      <c r="CK507" s="27" t="s">
        <v>166</v>
      </c>
      <c r="CL507" s="27" t="s">
        <v>166</v>
      </c>
      <c r="CM507" s="31" t="s">
        <v>166</v>
      </c>
      <c r="CN507" s="27" t="s">
        <v>166</v>
      </c>
      <c r="CO507" s="27" t="s">
        <v>166</v>
      </c>
      <c r="CP507" s="27" t="s">
        <v>166</v>
      </c>
      <c r="CQ507" s="27" t="s">
        <v>166</v>
      </c>
      <c r="CR507" s="27" t="s">
        <v>166</v>
      </c>
      <c r="CS507" s="27" t="s">
        <v>166</v>
      </c>
      <c r="CT507" s="27" t="s">
        <v>166</v>
      </c>
      <c r="CU507" s="27" t="s">
        <v>166</v>
      </c>
      <c r="CV507" s="27" t="s">
        <v>166</v>
      </c>
      <c r="CW507" s="27" t="s">
        <v>166</v>
      </c>
      <c r="CX507" s="27" t="s">
        <v>166</v>
      </c>
      <c r="CY507" s="27" t="s">
        <v>166</v>
      </c>
      <c r="CZ507" s="27" t="s">
        <v>166</v>
      </c>
      <c r="DA507" s="27" t="s">
        <v>166</v>
      </c>
      <c r="DB507" s="27" t="s">
        <v>166</v>
      </c>
      <c r="DC507" s="27" t="s">
        <v>166</v>
      </c>
      <c r="DD507" s="27" t="s">
        <v>166</v>
      </c>
      <c r="DE507" s="28" t="s">
        <v>166</v>
      </c>
      <c r="DF507" s="33">
        <v>10</v>
      </c>
      <c r="DG507" s="25" t="s">
        <v>9862</v>
      </c>
      <c r="DH507" s="25" t="s">
        <v>193</v>
      </c>
      <c r="DI507" s="25" t="s">
        <v>194</v>
      </c>
      <c r="DJ507" s="25" t="s">
        <v>9863</v>
      </c>
      <c r="DK507" s="25" t="s">
        <v>3974</v>
      </c>
      <c r="DL507" s="32" t="s">
        <v>9864</v>
      </c>
      <c r="DM507" s="25" t="s">
        <v>198</v>
      </c>
      <c r="DN507" s="24" t="s">
        <v>9865</v>
      </c>
      <c r="DO507" s="31">
        <v>2018</v>
      </c>
      <c r="DP507" s="25" t="s">
        <v>166</v>
      </c>
      <c r="DQ507" s="25" t="s">
        <v>166</v>
      </c>
      <c r="DR507" s="29" t="s">
        <v>166</v>
      </c>
      <c r="DS507" s="27" t="s">
        <v>166</v>
      </c>
      <c r="DT507" s="30" t="s">
        <v>166</v>
      </c>
      <c r="DU507" s="25" t="s">
        <v>166</v>
      </c>
      <c r="DV507" s="29" t="s">
        <v>166</v>
      </c>
      <c r="DW507" s="29" t="s">
        <v>166</v>
      </c>
      <c r="DX507" s="27" t="s">
        <v>166</v>
      </c>
      <c r="DY507" s="27" t="s">
        <v>166</v>
      </c>
      <c r="DZ507" s="28" t="s">
        <v>166</v>
      </c>
      <c r="EA507" s="27" t="s">
        <v>166</v>
      </c>
      <c r="EB507" s="27" t="s">
        <v>166</v>
      </c>
      <c r="EC507" s="27" t="s">
        <v>166</v>
      </c>
      <c r="ED507" s="28" t="s">
        <v>166</v>
      </c>
      <c r="EE507" s="28" t="s">
        <v>166</v>
      </c>
      <c r="EF507" s="28" t="s">
        <v>166</v>
      </c>
      <c r="EG507" s="28" t="s">
        <v>166</v>
      </c>
      <c r="EH507" s="27" t="s">
        <v>166</v>
      </c>
      <c r="EI507" s="27" t="s">
        <v>166</v>
      </c>
      <c r="EJ507" s="27" t="s">
        <v>166</v>
      </c>
      <c r="EK507" s="27" t="s">
        <v>166</v>
      </c>
      <c r="EL507" s="27" t="s">
        <v>166</v>
      </c>
      <c r="EM507" s="27" t="s">
        <v>166</v>
      </c>
      <c r="EN507" s="27" t="s">
        <v>166</v>
      </c>
      <c r="EO507" s="27" t="s">
        <v>166</v>
      </c>
      <c r="EP507" s="27" t="s">
        <v>166</v>
      </c>
      <c r="EQ507" s="27" t="s">
        <v>166</v>
      </c>
      <c r="ER507" s="27" t="s">
        <v>166</v>
      </c>
      <c r="ES507" s="27" t="s">
        <v>166</v>
      </c>
      <c r="ET507" s="25" t="s">
        <v>166</v>
      </c>
      <c r="EU507" s="27" t="s">
        <v>166</v>
      </c>
      <c r="EV507" s="27" t="s">
        <v>166</v>
      </c>
      <c r="EW507" s="27" t="s">
        <v>166</v>
      </c>
      <c r="EX507" s="25" t="s">
        <v>190</v>
      </c>
      <c r="EY507" s="25" t="s">
        <v>166</v>
      </c>
      <c r="EZ507" s="27" t="s">
        <v>166</v>
      </c>
      <c r="FA507" s="26" t="s">
        <v>166</v>
      </c>
      <c r="FB507" s="26" t="s">
        <v>166</v>
      </c>
      <c r="FC507" s="26" t="s">
        <v>166</v>
      </c>
      <c r="FD507" s="26" t="s">
        <v>166</v>
      </c>
      <c r="FE507" s="26" t="s">
        <v>166</v>
      </c>
      <c r="FF507" s="26" t="s">
        <v>166</v>
      </c>
      <c r="FG507" s="25" t="s">
        <v>166</v>
      </c>
      <c r="FH507" s="4">
        <f>HYPERLINK("https://my.pitchbook.com?c=183958-84T","View Company Online")</f>
      </c>
    </row>
    <row r="508">
      <c r="A508" s="14" t="s">
        <v>9866</v>
      </c>
      <c r="B508" s="14" t="s">
        <v>9867</v>
      </c>
      <c r="C508" s="14" t="s">
        <v>9868</v>
      </c>
      <c r="D508" s="14" t="s">
        <v>166</v>
      </c>
      <c r="E508" s="23" t="s">
        <v>9869</v>
      </c>
      <c r="F508" s="21">
        <v>5</v>
      </c>
      <c r="G508" s="14" t="s">
        <v>9870</v>
      </c>
      <c r="H508" s="14" t="s">
        <v>166</v>
      </c>
      <c r="I508" s="14" t="s">
        <v>9871</v>
      </c>
      <c r="J508" s="14" t="s">
        <v>9872</v>
      </c>
      <c r="K508" s="14" t="s">
        <v>321</v>
      </c>
      <c r="L508" s="14" t="s">
        <v>322</v>
      </c>
      <c r="M508" s="14" t="s">
        <v>322</v>
      </c>
      <c r="N508" s="14" t="s">
        <v>2552</v>
      </c>
      <c r="O508" s="14" t="s">
        <v>1318</v>
      </c>
      <c r="P508" s="14" t="s">
        <v>9873</v>
      </c>
      <c r="Q508" s="14" t="s">
        <v>9874</v>
      </c>
      <c r="R508" s="14" t="s">
        <v>177</v>
      </c>
      <c r="S508" s="14" t="s">
        <v>178</v>
      </c>
      <c r="T508" s="14" t="s">
        <v>179</v>
      </c>
      <c r="U508" s="14" t="s">
        <v>9875</v>
      </c>
      <c r="V508" s="14" t="s">
        <v>9876</v>
      </c>
      <c r="W508" s="21" t="s">
        <v>9877</v>
      </c>
      <c r="X508" s="14" t="s">
        <v>9878</v>
      </c>
      <c r="Y508" s="14" t="s">
        <v>9879</v>
      </c>
      <c r="Z508" s="14" t="s">
        <v>166</v>
      </c>
      <c r="AA508" s="14" t="s">
        <v>242</v>
      </c>
      <c r="AB508" s="14" t="s">
        <v>243</v>
      </c>
      <c r="AC508" s="14" t="s">
        <v>244</v>
      </c>
      <c r="AD508" s="14" t="s">
        <v>243</v>
      </c>
      <c r="AE508" s="14" t="s">
        <v>243</v>
      </c>
      <c r="AF508" s="14" t="s">
        <v>245</v>
      </c>
      <c r="AG508" s="14" t="s">
        <v>807</v>
      </c>
      <c r="AH508" s="21">
        <v>2</v>
      </c>
      <c r="AI508" s="3">
        <f>HYPERLINK("https://my.pitchbook.com/?d=210853-99T","210853-99T")</f>
      </c>
      <c r="AJ508" s="19" t="s">
        <v>166</v>
      </c>
      <c r="AK508" s="19">
        <v>43928</v>
      </c>
      <c r="AL508" s="18">
        <v>4.9</v>
      </c>
      <c r="AM508" s="14" t="s">
        <v>247</v>
      </c>
      <c r="AN508" s="18">
        <v>10.1</v>
      </c>
      <c r="AO508" s="18">
        <v>15</v>
      </c>
      <c r="AP508" s="14" t="s">
        <v>185</v>
      </c>
      <c r="AQ508" s="21" t="s">
        <v>166</v>
      </c>
      <c r="AR508" s="21" t="s">
        <v>166</v>
      </c>
      <c r="AS508" s="17">
        <v>36.36</v>
      </c>
      <c r="AT508" s="18">
        <v>4.9</v>
      </c>
      <c r="AU508" s="21" t="s">
        <v>186</v>
      </c>
      <c r="AV508" s="21" t="s">
        <v>166</v>
      </c>
      <c r="AW508" s="18">
        <v>10.9</v>
      </c>
      <c r="AX508" s="21" t="s">
        <v>166</v>
      </c>
      <c r="AY508" s="14" t="s">
        <v>217</v>
      </c>
      <c r="AZ508" s="14" t="s">
        <v>217</v>
      </c>
      <c r="BA508" s="14" t="s">
        <v>166</v>
      </c>
      <c r="BB508" s="21" t="s">
        <v>166</v>
      </c>
      <c r="BC508" s="14" t="s">
        <v>179</v>
      </c>
      <c r="BD508" s="14" t="s">
        <v>9880</v>
      </c>
      <c r="BE508" s="14" t="s">
        <v>189</v>
      </c>
      <c r="BF508" s="18">
        <v>4.9</v>
      </c>
      <c r="BG508" s="14" t="s">
        <v>190</v>
      </c>
      <c r="BH508" s="14" t="s">
        <v>166</v>
      </c>
      <c r="BI508" s="14" t="s">
        <v>166</v>
      </c>
      <c r="BJ508" s="18" t="s">
        <v>166</v>
      </c>
      <c r="BK508" s="18" t="s">
        <v>166</v>
      </c>
      <c r="BL508" s="14" t="s">
        <v>191</v>
      </c>
      <c r="BM508" s="14" t="s">
        <v>178</v>
      </c>
      <c r="BN508" s="14" t="s">
        <v>177</v>
      </c>
      <c r="BO508" s="22" t="s">
        <v>166</v>
      </c>
      <c r="BP508" s="14" t="s">
        <v>9881</v>
      </c>
      <c r="BQ508" s="21">
        <v>5</v>
      </c>
      <c r="BR508" s="14" t="s">
        <v>166</v>
      </c>
      <c r="BS508" s="21" t="s">
        <v>166</v>
      </c>
      <c r="BT508" s="14" t="s">
        <v>166</v>
      </c>
      <c r="BU508" s="14" t="s">
        <v>166</v>
      </c>
      <c r="BV508" s="14" t="s">
        <v>166</v>
      </c>
      <c r="BW508" s="14" t="s">
        <v>166</v>
      </c>
      <c r="BX508" s="14" t="s">
        <v>166</v>
      </c>
      <c r="BY508" s="14" t="s">
        <v>166</v>
      </c>
      <c r="BZ508" s="14" t="s">
        <v>166</v>
      </c>
      <c r="CA508" s="14" t="s">
        <v>166</v>
      </c>
      <c r="CB508" s="14" t="s">
        <v>166</v>
      </c>
      <c r="CC508" s="14" t="s">
        <v>166</v>
      </c>
      <c r="CD508" s="14" t="s">
        <v>166</v>
      </c>
      <c r="CE508" s="18" t="s">
        <v>166</v>
      </c>
      <c r="CF508" s="16" t="s">
        <v>166</v>
      </c>
      <c r="CG508" s="17" t="s">
        <v>166</v>
      </c>
      <c r="CH508" s="16" t="s">
        <v>166</v>
      </c>
      <c r="CI508" s="16" t="s">
        <v>166</v>
      </c>
      <c r="CJ508" s="16" t="s">
        <v>166</v>
      </c>
      <c r="CK508" s="16" t="s">
        <v>166</v>
      </c>
      <c r="CL508" s="16" t="s">
        <v>166</v>
      </c>
      <c r="CM508" s="20" t="s">
        <v>166</v>
      </c>
      <c r="CN508" s="16" t="s">
        <v>166</v>
      </c>
      <c r="CO508" s="16" t="s">
        <v>166</v>
      </c>
      <c r="CP508" s="16" t="s">
        <v>166</v>
      </c>
      <c r="CQ508" s="16" t="s">
        <v>166</v>
      </c>
      <c r="CR508" s="16" t="s">
        <v>166</v>
      </c>
      <c r="CS508" s="16" t="s">
        <v>166</v>
      </c>
      <c r="CT508" s="16" t="s">
        <v>166</v>
      </c>
      <c r="CU508" s="16" t="s">
        <v>166</v>
      </c>
      <c r="CV508" s="16" t="s">
        <v>166</v>
      </c>
      <c r="CW508" s="16" t="s">
        <v>166</v>
      </c>
      <c r="CX508" s="16" t="s">
        <v>166</v>
      </c>
      <c r="CY508" s="16" t="s">
        <v>166</v>
      </c>
      <c r="CZ508" s="16" t="s">
        <v>166</v>
      </c>
      <c r="DA508" s="16" t="s">
        <v>166</v>
      </c>
      <c r="DB508" s="16" t="s">
        <v>166</v>
      </c>
      <c r="DC508" s="16" t="s">
        <v>166</v>
      </c>
      <c r="DD508" s="16" t="s">
        <v>166</v>
      </c>
      <c r="DE508" s="17" t="s">
        <v>166</v>
      </c>
      <c r="DF508" s="22">
        <v>11</v>
      </c>
      <c r="DG508" s="14" t="s">
        <v>309</v>
      </c>
      <c r="DH508" s="14" t="s">
        <v>193</v>
      </c>
      <c r="DI508" s="14" t="s">
        <v>194</v>
      </c>
      <c r="DJ508" s="14" t="s">
        <v>310</v>
      </c>
      <c r="DK508" s="14" t="s">
        <v>310</v>
      </c>
      <c r="DL508" s="21" t="s">
        <v>9882</v>
      </c>
      <c r="DM508" s="14" t="s">
        <v>198</v>
      </c>
      <c r="DN508" s="13" t="s">
        <v>9883</v>
      </c>
      <c r="DO508" s="20">
        <v>2018</v>
      </c>
      <c r="DP508" s="14" t="s">
        <v>166</v>
      </c>
      <c r="DQ508" s="14" t="s">
        <v>166</v>
      </c>
      <c r="DR508" s="18" t="s">
        <v>166</v>
      </c>
      <c r="DS508" s="16" t="s">
        <v>166</v>
      </c>
      <c r="DT508" s="19" t="s">
        <v>166</v>
      </c>
      <c r="DU508" s="14" t="s">
        <v>166</v>
      </c>
      <c r="DV508" s="18" t="s">
        <v>166</v>
      </c>
      <c r="DW508" s="18" t="s">
        <v>166</v>
      </c>
      <c r="DX508" s="16" t="s">
        <v>166</v>
      </c>
      <c r="DY508" s="16" t="s">
        <v>166</v>
      </c>
      <c r="DZ508" s="17" t="s">
        <v>166</v>
      </c>
      <c r="EA508" s="16" t="s">
        <v>166</v>
      </c>
      <c r="EB508" s="16" t="s">
        <v>166</v>
      </c>
      <c r="EC508" s="16" t="s">
        <v>166</v>
      </c>
      <c r="ED508" s="17" t="s">
        <v>166</v>
      </c>
      <c r="EE508" s="17" t="s">
        <v>166</v>
      </c>
      <c r="EF508" s="17" t="s">
        <v>166</v>
      </c>
      <c r="EG508" s="17" t="s">
        <v>166</v>
      </c>
      <c r="EH508" s="16" t="s">
        <v>166</v>
      </c>
      <c r="EI508" s="16" t="s">
        <v>166</v>
      </c>
      <c r="EJ508" s="16" t="s">
        <v>166</v>
      </c>
      <c r="EK508" s="16" t="s">
        <v>166</v>
      </c>
      <c r="EL508" s="16" t="s">
        <v>166</v>
      </c>
      <c r="EM508" s="16" t="s">
        <v>166</v>
      </c>
      <c r="EN508" s="16" t="s">
        <v>166</v>
      </c>
      <c r="EO508" s="16" t="s">
        <v>166</v>
      </c>
      <c r="EP508" s="16" t="s">
        <v>166</v>
      </c>
      <c r="EQ508" s="16" t="s">
        <v>166</v>
      </c>
      <c r="ER508" s="16" t="s">
        <v>166</v>
      </c>
      <c r="ES508" s="16" t="s">
        <v>166</v>
      </c>
      <c r="ET508" s="14" t="s">
        <v>166</v>
      </c>
      <c r="EU508" s="16" t="s">
        <v>166</v>
      </c>
      <c r="EV508" s="16" t="s">
        <v>166</v>
      </c>
      <c r="EW508" s="16" t="s">
        <v>166</v>
      </c>
      <c r="EX508" s="14" t="s">
        <v>190</v>
      </c>
      <c r="EY508" s="14" t="s">
        <v>166</v>
      </c>
      <c r="EZ508" s="16" t="s">
        <v>166</v>
      </c>
      <c r="FA508" s="15" t="s">
        <v>166</v>
      </c>
      <c r="FB508" s="15" t="s">
        <v>166</v>
      </c>
      <c r="FC508" s="15" t="s">
        <v>166</v>
      </c>
      <c r="FD508" s="15" t="s">
        <v>166</v>
      </c>
      <c r="FE508" s="15" t="s">
        <v>166</v>
      </c>
      <c r="FF508" s="15" t="s">
        <v>166</v>
      </c>
      <c r="FG508" s="14" t="s">
        <v>166</v>
      </c>
      <c r="FH508" s="3">
        <f>HYPERLINK("https://my.pitchbook.com?c=210853-99T","View Company Online")</f>
      </c>
    </row>
    <row r="509">
      <c r="A509" s="25" t="s">
        <v>9884</v>
      </c>
      <c r="B509" s="25" t="s">
        <v>9885</v>
      </c>
      <c r="C509" s="25" t="s">
        <v>9886</v>
      </c>
      <c r="D509" s="25" t="s">
        <v>166</v>
      </c>
      <c r="E509" s="34" t="s">
        <v>9887</v>
      </c>
      <c r="F509" s="32">
        <v>6</v>
      </c>
      <c r="G509" s="25" t="s">
        <v>9888</v>
      </c>
      <c r="H509" s="25" t="s">
        <v>166</v>
      </c>
      <c r="I509" s="25" t="s">
        <v>9889</v>
      </c>
      <c r="J509" s="25" t="s">
        <v>9890</v>
      </c>
      <c r="K509" s="25" t="s">
        <v>171</v>
      </c>
      <c r="L509" s="25" t="s">
        <v>172</v>
      </c>
      <c r="M509" s="25" t="s">
        <v>173</v>
      </c>
      <c r="N509" s="25" t="s">
        <v>9891</v>
      </c>
      <c r="O509" s="25" t="s">
        <v>984</v>
      </c>
      <c r="P509" s="25" t="s">
        <v>9892</v>
      </c>
      <c r="Q509" s="25" t="s">
        <v>166</v>
      </c>
      <c r="R509" s="25" t="s">
        <v>177</v>
      </c>
      <c r="S509" s="25" t="s">
        <v>178</v>
      </c>
      <c r="T509" s="25" t="s">
        <v>179</v>
      </c>
      <c r="U509" s="25" t="s">
        <v>9893</v>
      </c>
      <c r="V509" s="25" t="s">
        <v>9894</v>
      </c>
      <c r="W509" s="32" t="s">
        <v>9895</v>
      </c>
      <c r="X509" s="25" t="s">
        <v>9896</v>
      </c>
      <c r="Y509" s="25" t="s">
        <v>9897</v>
      </c>
      <c r="Z509" s="25" t="s">
        <v>9898</v>
      </c>
      <c r="AA509" s="25" t="s">
        <v>166</v>
      </c>
      <c r="AB509" s="25" t="s">
        <v>166</v>
      </c>
      <c r="AC509" s="25" t="s">
        <v>166</v>
      </c>
      <c r="AD509" s="25" t="s">
        <v>166</v>
      </c>
      <c r="AE509" s="25" t="s">
        <v>166</v>
      </c>
      <c r="AF509" s="25" t="s">
        <v>166</v>
      </c>
      <c r="AG509" s="25" t="s">
        <v>166</v>
      </c>
      <c r="AH509" s="32">
        <v>3</v>
      </c>
      <c r="AI509" s="4">
        <f>HYPERLINK("https://my.pitchbook.com/?d=201607-39T","201607-39T")</f>
      </c>
      <c r="AJ509" s="30">
        <v>44700</v>
      </c>
      <c r="AK509" s="30">
        <v>44911</v>
      </c>
      <c r="AL509" s="29">
        <v>0.5</v>
      </c>
      <c r="AM509" s="25" t="s">
        <v>185</v>
      </c>
      <c r="AN509" s="29">
        <v>4.5</v>
      </c>
      <c r="AO509" s="29">
        <v>5</v>
      </c>
      <c r="AP509" s="25" t="s">
        <v>185</v>
      </c>
      <c r="AQ509" s="32" t="s">
        <v>166</v>
      </c>
      <c r="AR509" s="32" t="s">
        <v>166</v>
      </c>
      <c r="AS509" s="28">
        <v>10</v>
      </c>
      <c r="AT509" s="29">
        <v>0.64</v>
      </c>
      <c r="AU509" s="32" t="s">
        <v>186</v>
      </c>
      <c r="AV509" s="32" t="s">
        <v>166</v>
      </c>
      <c r="AW509" s="29" t="s">
        <v>166</v>
      </c>
      <c r="AX509" s="32" t="s">
        <v>6753</v>
      </c>
      <c r="AY509" s="25" t="s">
        <v>187</v>
      </c>
      <c r="AZ509" s="25" t="s">
        <v>6753</v>
      </c>
      <c r="BA509" s="25" t="s">
        <v>166</v>
      </c>
      <c r="BB509" s="32" t="s">
        <v>166</v>
      </c>
      <c r="BC509" s="25" t="s">
        <v>179</v>
      </c>
      <c r="BD509" s="25" t="s">
        <v>9899</v>
      </c>
      <c r="BE509" s="25" t="s">
        <v>189</v>
      </c>
      <c r="BF509" s="29">
        <v>0.5</v>
      </c>
      <c r="BG509" s="25" t="s">
        <v>190</v>
      </c>
      <c r="BH509" s="25" t="s">
        <v>166</v>
      </c>
      <c r="BI509" s="25" t="s">
        <v>166</v>
      </c>
      <c r="BJ509" s="29" t="s">
        <v>166</v>
      </c>
      <c r="BK509" s="29" t="s">
        <v>166</v>
      </c>
      <c r="BL509" s="25" t="s">
        <v>191</v>
      </c>
      <c r="BM509" s="25" t="s">
        <v>178</v>
      </c>
      <c r="BN509" s="25" t="s">
        <v>177</v>
      </c>
      <c r="BO509" s="33" t="s">
        <v>166</v>
      </c>
      <c r="BP509" s="25" t="s">
        <v>9900</v>
      </c>
      <c r="BQ509" s="32">
        <v>6</v>
      </c>
      <c r="BR509" s="25" t="s">
        <v>166</v>
      </c>
      <c r="BS509" s="32" t="s">
        <v>166</v>
      </c>
      <c r="BT509" s="25" t="s">
        <v>166</v>
      </c>
      <c r="BU509" s="25" t="s">
        <v>166</v>
      </c>
      <c r="BV509" s="25" t="s">
        <v>3212</v>
      </c>
      <c r="BW509" s="25" t="s">
        <v>166</v>
      </c>
      <c r="BX509" s="25" t="s">
        <v>166</v>
      </c>
      <c r="BY509" s="25" t="s">
        <v>166</v>
      </c>
      <c r="BZ509" s="25" t="s">
        <v>9901</v>
      </c>
      <c r="CA509" s="25" t="s">
        <v>9901</v>
      </c>
      <c r="CB509" s="25" t="s">
        <v>166</v>
      </c>
      <c r="CC509" s="25" t="s">
        <v>166</v>
      </c>
      <c r="CD509" s="25" t="s">
        <v>166</v>
      </c>
      <c r="CE509" s="29" t="s">
        <v>166</v>
      </c>
      <c r="CF509" s="27" t="s">
        <v>166</v>
      </c>
      <c r="CG509" s="28" t="s">
        <v>166</v>
      </c>
      <c r="CH509" s="27" t="s">
        <v>166</v>
      </c>
      <c r="CI509" s="27" t="s">
        <v>166</v>
      </c>
      <c r="CJ509" s="27" t="s">
        <v>166</v>
      </c>
      <c r="CK509" s="27" t="s">
        <v>166</v>
      </c>
      <c r="CL509" s="27" t="s">
        <v>166</v>
      </c>
      <c r="CM509" s="31" t="s">
        <v>166</v>
      </c>
      <c r="CN509" s="27" t="s">
        <v>166</v>
      </c>
      <c r="CO509" s="27" t="s">
        <v>166</v>
      </c>
      <c r="CP509" s="27" t="s">
        <v>166</v>
      </c>
      <c r="CQ509" s="27" t="s">
        <v>166</v>
      </c>
      <c r="CR509" s="27" t="s">
        <v>166</v>
      </c>
      <c r="CS509" s="27" t="s">
        <v>166</v>
      </c>
      <c r="CT509" s="27" t="s">
        <v>166</v>
      </c>
      <c r="CU509" s="27" t="s">
        <v>166</v>
      </c>
      <c r="CV509" s="27" t="s">
        <v>166</v>
      </c>
      <c r="CW509" s="27" t="s">
        <v>166</v>
      </c>
      <c r="CX509" s="27" t="s">
        <v>166</v>
      </c>
      <c r="CY509" s="27" t="s">
        <v>166</v>
      </c>
      <c r="CZ509" s="27" t="s">
        <v>166</v>
      </c>
      <c r="DA509" s="27" t="s">
        <v>166</v>
      </c>
      <c r="DB509" s="27" t="s">
        <v>166</v>
      </c>
      <c r="DC509" s="27" t="s">
        <v>166</v>
      </c>
      <c r="DD509" s="27" t="s">
        <v>166</v>
      </c>
      <c r="DE509" s="28" t="s">
        <v>166</v>
      </c>
      <c r="DF509" s="33">
        <v>4</v>
      </c>
      <c r="DG509" s="25" t="s">
        <v>384</v>
      </c>
      <c r="DH509" s="25" t="s">
        <v>193</v>
      </c>
      <c r="DI509" s="25" t="s">
        <v>194</v>
      </c>
      <c r="DJ509" s="25" t="s">
        <v>385</v>
      </c>
      <c r="DK509" s="25" t="s">
        <v>386</v>
      </c>
      <c r="DL509" s="32" t="s">
        <v>9902</v>
      </c>
      <c r="DM509" s="25" t="s">
        <v>198</v>
      </c>
      <c r="DN509" s="24" t="s">
        <v>9903</v>
      </c>
      <c r="DO509" s="31">
        <v>2021</v>
      </c>
      <c r="DP509" s="25" t="s">
        <v>166</v>
      </c>
      <c r="DQ509" s="25" t="s">
        <v>166</v>
      </c>
      <c r="DR509" s="29" t="s">
        <v>166</v>
      </c>
      <c r="DS509" s="27" t="s">
        <v>166</v>
      </c>
      <c r="DT509" s="30" t="s">
        <v>166</v>
      </c>
      <c r="DU509" s="25" t="s">
        <v>166</v>
      </c>
      <c r="DV509" s="29" t="s">
        <v>166</v>
      </c>
      <c r="DW509" s="29" t="s">
        <v>166</v>
      </c>
      <c r="DX509" s="27" t="s">
        <v>166</v>
      </c>
      <c r="DY509" s="27" t="s">
        <v>166</v>
      </c>
      <c r="DZ509" s="28" t="s">
        <v>166</v>
      </c>
      <c r="EA509" s="27" t="s">
        <v>166</v>
      </c>
      <c r="EB509" s="27" t="s">
        <v>166</v>
      </c>
      <c r="EC509" s="27" t="s">
        <v>166</v>
      </c>
      <c r="ED509" s="28" t="s">
        <v>166</v>
      </c>
      <c r="EE509" s="28" t="s">
        <v>166</v>
      </c>
      <c r="EF509" s="28" t="s">
        <v>166</v>
      </c>
      <c r="EG509" s="28" t="s">
        <v>166</v>
      </c>
      <c r="EH509" s="27" t="s">
        <v>166</v>
      </c>
      <c r="EI509" s="27" t="s">
        <v>166</v>
      </c>
      <c r="EJ509" s="27" t="s">
        <v>166</v>
      </c>
      <c r="EK509" s="27" t="s">
        <v>166</v>
      </c>
      <c r="EL509" s="27" t="s">
        <v>166</v>
      </c>
      <c r="EM509" s="27" t="s">
        <v>166</v>
      </c>
      <c r="EN509" s="27" t="s">
        <v>166</v>
      </c>
      <c r="EO509" s="27" t="s">
        <v>166</v>
      </c>
      <c r="EP509" s="27" t="s">
        <v>166</v>
      </c>
      <c r="EQ509" s="27" t="s">
        <v>166</v>
      </c>
      <c r="ER509" s="27" t="s">
        <v>166</v>
      </c>
      <c r="ES509" s="27" t="s">
        <v>166</v>
      </c>
      <c r="ET509" s="25" t="s">
        <v>166</v>
      </c>
      <c r="EU509" s="27" t="s">
        <v>166</v>
      </c>
      <c r="EV509" s="27" t="s">
        <v>166</v>
      </c>
      <c r="EW509" s="27" t="s">
        <v>166</v>
      </c>
      <c r="EX509" s="25" t="s">
        <v>190</v>
      </c>
      <c r="EY509" s="25" t="s">
        <v>166</v>
      </c>
      <c r="EZ509" s="27" t="s">
        <v>166</v>
      </c>
      <c r="FA509" s="26" t="s">
        <v>166</v>
      </c>
      <c r="FB509" s="26" t="s">
        <v>166</v>
      </c>
      <c r="FC509" s="26" t="s">
        <v>166</v>
      </c>
      <c r="FD509" s="26" t="s">
        <v>166</v>
      </c>
      <c r="FE509" s="26" t="s">
        <v>166</v>
      </c>
      <c r="FF509" s="26" t="s">
        <v>166</v>
      </c>
      <c r="FG509" s="25" t="s">
        <v>166</v>
      </c>
      <c r="FH509" s="4">
        <f>HYPERLINK("https://my.pitchbook.com?c=201607-39T","View Company Online")</f>
      </c>
    </row>
    <row r="510">
      <c r="A510" s="14" t="s">
        <v>9904</v>
      </c>
      <c r="B510" s="14" t="s">
        <v>9905</v>
      </c>
      <c r="C510" s="14" t="s">
        <v>9906</v>
      </c>
      <c r="D510" s="14" t="s">
        <v>166</v>
      </c>
      <c r="E510" s="23" t="s">
        <v>9907</v>
      </c>
      <c r="F510" s="21">
        <v>1</v>
      </c>
      <c r="G510" s="14" t="s">
        <v>9908</v>
      </c>
      <c r="H510" s="14" t="s">
        <v>166</v>
      </c>
      <c r="I510" s="14" t="s">
        <v>9909</v>
      </c>
      <c r="J510" s="14" t="s">
        <v>9910</v>
      </c>
      <c r="K510" s="14" t="s">
        <v>207</v>
      </c>
      <c r="L510" s="14" t="s">
        <v>208</v>
      </c>
      <c r="M510" s="14" t="s">
        <v>639</v>
      </c>
      <c r="N510" s="14" t="s">
        <v>4698</v>
      </c>
      <c r="O510" s="14" t="s">
        <v>6927</v>
      </c>
      <c r="P510" s="14" t="s">
        <v>9911</v>
      </c>
      <c r="Q510" s="14" t="s">
        <v>166</v>
      </c>
      <c r="R510" s="14" t="s">
        <v>177</v>
      </c>
      <c r="S510" s="14" t="s">
        <v>178</v>
      </c>
      <c r="T510" s="14" t="s">
        <v>179</v>
      </c>
      <c r="U510" s="14" t="s">
        <v>9912</v>
      </c>
      <c r="V510" s="14" t="s">
        <v>9913</v>
      </c>
      <c r="W510" s="21" t="s">
        <v>9914</v>
      </c>
      <c r="X510" s="14" t="s">
        <v>9915</v>
      </c>
      <c r="Y510" s="14" t="s">
        <v>9916</v>
      </c>
      <c r="Z510" s="14" t="s">
        <v>166</v>
      </c>
      <c r="AA510" s="14" t="s">
        <v>166</v>
      </c>
      <c r="AB510" s="14" t="s">
        <v>166</v>
      </c>
      <c r="AC510" s="14" t="s">
        <v>166</v>
      </c>
      <c r="AD510" s="14" t="s">
        <v>166</v>
      </c>
      <c r="AE510" s="14" t="s">
        <v>166</v>
      </c>
      <c r="AF510" s="14" t="s">
        <v>166</v>
      </c>
      <c r="AG510" s="14" t="s">
        <v>166</v>
      </c>
      <c r="AH510" s="21">
        <v>2</v>
      </c>
      <c r="AI510" s="3">
        <f>HYPERLINK("https://my.pitchbook.com/?d=250595-92T","250595-92T")</f>
      </c>
      <c r="AJ510" s="19" t="s">
        <v>166</v>
      </c>
      <c r="AK510" s="19">
        <v>45292</v>
      </c>
      <c r="AL510" s="18">
        <v>2.5</v>
      </c>
      <c r="AM510" s="14" t="s">
        <v>185</v>
      </c>
      <c r="AN510" s="18">
        <v>6.5</v>
      </c>
      <c r="AO510" s="18">
        <v>9</v>
      </c>
      <c r="AP510" s="14" t="s">
        <v>185</v>
      </c>
      <c r="AQ510" s="21" t="s">
        <v>166</v>
      </c>
      <c r="AR510" s="21" t="s">
        <v>166</v>
      </c>
      <c r="AS510" s="17" t="s">
        <v>166</v>
      </c>
      <c r="AT510" s="18">
        <v>3.5</v>
      </c>
      <c r="AU510" s="21" t="s">
        <v>186</v>
      </c>
      <c r="AV510" s="21" t="s">
        <v>166</v>
      </c>
      <c r="AW510" s="18" t="s">
        <v>166</v>
      </c>
      <c r="AX510" s="21" t="s">
        <v>166</v>
      </c>
      <c r="AY510" s="14" t="s">
        <v>217</v>
      </c>
      <c r="AZ510" s="14" t="s">
        <v>217</v>
      </c>
      <c r="BA510" s="14" t="s">
        <v>166</v>
      </c>
      <c r="BB510" s="21" t="s">
        <v>166</v>
      </c>
      <c r="BC510" s="14" t="s">
        <v>179</v>
      </c>
      <c r="BD510" s="14" t="s">
        <v>9910</v>
      </c>
      <c r="BE510" s="14" t="s">
        <v>189</v>
      </c>
      <c r="BF510" s="18">
        <v>2.5</v>
      </c>
      <c r="BG510" s="14" t="s">
        <v>190</v>
      </c>
      <c r="BH510" s="14" t="s">
        <v>166</v>
      </c>
      <c r="BI510" s="14" t="s">
        <v>166</v>
      </c>
      <c r="BJ510" s="18" t="s">
        <v>166</v>
      </c>
      <c r="BK510" s="18" t="s">
        <v>166</v>
      </c>
      <c r="BL510" s="14" t="s">
        <v>191</v>
      </c>
      <c r="BM510" s="14" t="s">
        <v>178</v>
      </c>
      <c r="BN510" s="14" t="s">
        <v>177</v>
      </c>
      <c r="BO510" s="22" t="s">
        <v>166</v>
      </c>
      <c r="BP510" s="14" t="s">
        <v>9907</v>
      </c>
      <c r="BQ510" s="21">
        <v>1</v>
      </c>
      <c r="BR510" s="14" t="s">
        <v>166</v>
      </c>
      <c r="BS510" s="21" t="s">
        <v>166</v>
      </c>
      <c r="BT510" s="14" t="s">
        <v>9907</v>
      </c>
      <c r="BU510" s="14" t="s">
        <v>166</v>
      </c>
      <c r="BV510" s="14" t="s">
        <v>166</v>
      </c>
      <c r="BW510" s="14" t="s">
        <v>166</v>
      </c>
      <c r="BX510" s="14" t="s">
        <v>166</v>
      </c>
      <c r="BY510" s="14" t="s">
        <v>166</v>
      </c>
      <c r="BZ510" s="14" t="s">
        <v>166</v>
      </c>
      <c r="CA510" s="14" t="s">
        <v>166</v>
      </c>
      <c r="CB510" s="14" t="s">
        <v>166</v>
      </c>
      <c r="CC510" s="14" t="s">
        <v>166</v>
      </c>
      <c r="CD510" s="14" t="s">
        <v>166</v>
      </c>
      <c r="CE510" s="18" t="s">
        <v>166</v>
      </c>
      <c r="CF510" s="16" t="s">
        <v>166</v>
      </c>
      <c r="CG510" s="17" t="s">
        <v>166</v>
      </c>
      <c r="CH510" s="16" t="s">
        <v>166</v>
      </c>
      <c r="CI510" s="16" t="s">
        <v>166</v>
      </c>
      <c r="CJ510" s="16" t="s">
        <v>166</v>
      </c>
      <c r="CK510" s="16" t="s">
        <v>166</v>
      </c>
      <c r="CL510" s="16" t="s">
        <v>166</v>
      </c>
      <c r="CM510" s="20" t="s">
        <v>166</v>
      </c>
      <c r="CN510" s="16" t="s">
        <v>166</v>
      </c>
      <c r="CO510" s="16" t="s">
        <v>166</v>
      </c>
      <c r="CP510" s="16" t="s">
        <v>166</v>
      </c>
      <c r="CQ510" s="16" t="s">
        <v>166</v>
      </c>
      <c r="CR510" s="16" t="s">
        <v>166</v>
      </c>
      <c r="CS510" s="16" t="s">
        <v>166</v>
      </c>
      <c r="CT510" s="16" t="s">
        <v>166</v>
      </c>
      <c r="CU510" s="16" t="s">
        <v>166</v>
      </c>
      <c r="CV510" s="16" t="s">
        <v>166</v>
      </c>
      <c r="CW510" s="16" t="s">
        <v>166</v>
      </c>
      <c r="CX510" s="16" t="s">
        <v>166</v>
      </c>
      <c r="CY510" s="16" t="s">
        <v>166</v>
      </c>
      <c r="CZ510" s="16" t="s">
        <v>166</v>
      </c>
      <c r="DA510" s="16" t="s">
        <v>166</v>
      </c>
      <c r="DB510" s="16" t="s">
        <v>166</v>
      </c>
      <c r="DC510" s="16" t="s">
        <v>166</v>
      </c>
      <c r="DD510" s="16" t="s">
        <v>166</v>
      </c>
      <c r="DE510" s="17" t="s">
        <v>166</v>
      </c>
      <c r="DF510" s="22" t="s">
        <v>166</v>
      </c>
      <c r="DG510" s="14" t="s">
        <v>9917</v>
      </c>
      <c r="DH510" s="14" t="s">
        <v>193</v>
      </c>
      <c r="DI510" s="14" t="s">
        <v>194</v>
      </c>
      <c r="DJ510" s="14" t="s">
        <v>9918</v>
      </c>
      <c r="DK510" s="14" t="s">
        <v>257</v>
      </c>
      <c r="DL510" s="21" t="s">
        <v>9919</v>
      </c>
      <c r="DM510" s="14" t="s">
        <v>198</v>
      </c>
      <c r="DN510" s="13" t="s">
        <v>9920</v>
      </c>
      <c r="DO510" s="20">
        <v>2020</v>
      </c>
      <c r="DP510" s="14" t="s">
        <v>166</v>
      </c>
      <c r="DQ510" s="14" t="s">
        <v>166</v>
      </c>
      <c r="DR510" s="18" t="s">
        <v>166</v>
      </c>
      <c r="DS510" s="16" t="s">
        <v>166</v>
      </c>
      <c r="DT510" s="19" t="s">
        <v>166</v>
      </c>
      <c r="DU510" s="14" t="s">
        <v>166</v>
      </c>
      <c r="DV510" s="18" t="s">
        <v>166</v>
      </c>
      <c r="DW510" s="18" t="s">
        <v>166</v>
      </c>
      <c r="DX510" s="16" t="s">
        <v>166</v>
      </c>
      <c r="DY510" s="16" t="s">
        <v>166</v>
      </c>
      <c r="DZ510" s="17" t="s">
        <v>166</v>
      </c>
      <c r="EA510" s="16" t="s">
        <v>166</v>
      </c>
      <c r="EB510" s="16" t="s">
        <v>166</v>
      </c>
      <c r="EC510" s="16" t="s">
        <v>166</v>
      </c>
      <c r="ED510" s="17" t="s">
        <v>166</v>
      </c>
      <c r="EE510" s="17" t="s">
        <v>166</v>
      </c>
      <c r="EF510" s="17" t="s">
        <v>166</v>
      </c>
      <c r="EG510" s="17" t="s">
        <v>166</v>
      </c>
      <c r="EH510" s="16" t="s">
        <v>166</v>
      </c>
      <c r="EI510" s="16" t="s">
        <v>166</v>
      </c>
      <c r="EJ510" s="16" t="s">
        <v>166</v>
      </c>
      <c r="EK510" s="16" t="s">
        <v>166</v>
      </c>
      <c r="EL510" s="16" t="s">
        <v>166</v>
      </c>
      <c r="EM510" s="16" t="s">
        <v>166</v>
      </c>
      <c r="EN510" s="16" t="s">
        <v>166</v>
      </c>
      <c r="EO510" s="16" t="s">
        <v>166</v>
      </c>
      <c r="EP510" s="16" t="s">
        <v>166</v>
      </c>
      <c r="EQ510" s="16" t="s">
        <v>166</v>
      </c>
      <c r="ER510" s="16" t="s">
        <v>166</v>
      </c>
      <c r="ES510" s="16" t="s">
        <v>166</v>
      </c>
      <c r="ET510" s="14" t="s">
        <v>166</v>
      </c>
      <c r="EU510" s="16" t="s">
        <v>166</v>
      </c>
      <c r="EV510" s="16" t="s">
        <v>166</v>
      </c>
      <c r="EW510" s="16" t="s">
        <v>166</v>
      </c>
      <c r="EX510" s="14" t="s">
        <v>190</v>
      </c>
      <c r="EY510" s="14" t="s">
        <v>166</v>
      </c>
      <c r="EZ510" s="16" t="s">
        <v>166</v>
      </c>
      <c r="FA510" s="15">
        <v>4</v>
      </c>
      <c r="FB510" s="15">
        <v>2</v>
      </c>
      <c r="FC510" s="15">
        <v>2</v>
      </c>
      <c r="FD510" s="15">
        <v>2</v>
      </c>
      <c r="FE510" s="15" t="s">
        <v>166</v>
      </c>
      <c r="FF510" s="15" t="s">
        <v>166</v>
      </c>
      <c r="FG510" s="14" t="s">
        <v>364</v>
      </c>
      <c r="FH510" s="3">
        <f>HYPERLINK("https://my.pitchbook.com?c=250595-92T","View Company Online")</f>
      </c>
    </row>
    <row r="511">
      <c r="A511" s="25" t="s">
        <v>9921</v>
      </c>
      <c r="B511" s="25" t="s">
        <v>9922</v>
      </c>
      <c r="C511" s="25" t="s">
        <v>9923</v>
      </c>
      <c r="D511" s="25" t="s">
        <v>166</v>
      </c>
      <c r="E511" s="34" t="s">
        <v>9924</v>
      </c>
      <c r="F511" s="32">
        <v>1</v>
      </c>
      <c r="G511" s="25" t="s">
        <v>9925</v>
      </c>
      <c r="H511" s="25" t="s">
        <v>166</v>
      </c>
      <c r="I511" s="25" t="s">
        <v>9926</v>
      </c>
      <c r="J511" s="25" t="s">
        <v>9927</v>
      </c>
      <c r="K511" s="25" t="s">
        <v>207</v>
      </c>
      <c r="L511" s="25" t="s">
        <v>208</v>
      </c>
      <c r="M511" s="25" t="s">
        <v>1940</v>
      </c>
      <c r="N511" s="25" t="s">
        <v>9928</v>
      </c>
      <c r="O511" s="25" t="s">
        <v>9929</v>
      </c>
      <c r="P511" s="25" t="s">
        <v>9930</v>
      </c>
      <c r="Q511" s="25" t="s">
        <v>166</v>
      </c>
      <c r="R511" s="25" t="s">
        <v>177</v>
      </c>
      <c r="S511" s="25" t="s">
        <v>178</v>
      </c>
      <c r="T511" s="25" t="s">
        <v>179</v>
      </c>
      <c r="U511" s="25" t="s">
        <v>9931</v>
      </c>
      <c r="V511" s="25" t="s">
        <v>9932</v>
      </c>
      <c r="W511" s="32" t="s">
        <v>9933</v>
      </c>
      <c r="X511" s="25" t="s">
        <v>9934</v>
      </c>
      <c r="Y511" s="25" t="s">
        <v>9935</v>
      </c>
      <c r="Z511" s="25" t="s">
        <v>166</v>
      </c>
      <c r="AA511" s="25" t="s">
        <v>166</v>
      </c>
      <c r="AB511" s="25" t="s">
        <v>166</v>
      </c>
      <c r="AC511" s="25" t="s">
        <v>166</v>
      </c>
      <c r="AD511" s="25" t="s">
        <v>166</v>
      </c>
      <c r="AE511" s="25" t="s">
        <v>166</v>
      </c>
      <c r="AF511" s="25" t="s">
        <v>166</v>
      </c>
      <c r="AG511" s="25" t="s">
        <v>166</v>
      </c>
      <c r="AH511" s="32">
        <v>1</v>
      </c>
      <c r="AI511" s="4">
        <f>HYPERLINK("https://my.pitchbook.com/?d=172699-48T","172699-48T")</f>
      </c>
      <c r="AJ511" s="30" t="s">
        <v>166</v>
      </c>
      <c r="AK511" s="30">
        <v>44409</v>
      </c>
      <c r="AL511" s="29">
        <v>0.45</v>
      </c>
      <c r="AM511" s="25" t="s">
        <v>185</v>
      </c>
      <c r="AN511" s="29">
        <v>4.05</v>
      </c>
      <c r="AO511" s="29">
        <v>4.5</v>
      </c>
      <c r="AP511" s="25" t="s">
        <v>185</v>
      </c>
      <c r="AQ511" s="32" t="s">
        <v>166</v>
      </c>
      <c r="AR511" s="32" t="s">
        <v>166</v>
      </c>
      <c r="AS511" s="28">
        <v>10</v>
      </c>
      <c r="AT511" s="29">
        <v>0.45</v>
      </c>
      <c r="AU511" s="32" t="s">
        <v>186</v>
      </c>
      <c r="AV511" s="32" t="s">
        <v>166</v>
      </c>
      <c r="AW511" s="29" t="s">
        <v>166</v>
      </c>
      <c r="AX511" s="32" t="s">
        <v>166</v>
      </c>
      <c r="AY511" s="25" t="s">
        <v>217</v>
      </c>
      <c r="AZ511" s="25" t="s">
        <v>217</v>
      </c>
      <c r="BA511" s="25" t="s">
        <v>166</v>
      </c>
      <c r="BB511" s="32" t="s">
        <v>166</v>
      </c>
      <c r="BC511" s="25" t="s">
        <v>179</v>
      </c>
      <c r="BD511" s="25" t="s">
        <v>9927</v>
      </c>
      <c r="BE511" s="25" t="s">
        <v>189</v>
      </c>
      <c r="BF511" s="29">
        <v>0.45</v>
      </c>
      <c r="BG511" s="25" t="s">
        <v>190</v>
      </c>
      <c r="BH511" s="25" t="s">
        <v>166</v>
      </c>
      <c r="BI511" s="25" t="s">
        <v>166</v>
      </c>
      <c r="BJ511" s="29" t="s">
        <v>166</v>
      </c>
      <c r="BK511" s="29" t="s">
        <v>166</v>
      </c>
      <c r="BL511" s="25" t="s">
        <v>191</v>
      </c>
      <c r="BM511" s="25" t="s">
        <v>178</v>
      </c>
      <c r="BN511" s="25" t="s">
        <v>177</v>
      </c>
      <c r="BO511" s="33" t="s">
        <v>166</v>
      </c>
      <c r="BP511" s="25" t="s">
        <v>9924</v>
      </c>
      <c r="BQ511" s="32">
        <v>1</v>
      </c>
      <c r="BR511" s="25" t="s">
        <v>166</v>
      </c>
      <c r="BS511" s="32" t="s">
        <v>166</v>
      </c>
      <c r="BT511" s="25" t="s">
        <v>166</v>
      </c>
      <c r="BU511" s="25" t="s">
        <v>166</v>
      </c>
      <c r="BV511" s="25" t="s">
        <v>166</v>
      </c>
      <c r="BW511" s="25" t="s">
        <v>166</v>
      </c>
      <c r="BX511" s="25" t="s">
        <v>166</v>
      </c>
      <c r="BY511" s="25" t="s">
        <v>166</v>
      </c>
      <c r="BZ511" s="25" t="s">
        <v>166</v>
      </c>
      <c r="CA511" s="25" t="s">
        <v>166</v>
      </c>
      <c r="CB511" s="25" t="s">
        <v>166</v>
      </c>
      <c r="CC511" s="25" t="s">
        <v>166</v>
      </c>
      <c r="CD511" s="25" t="s">
        <v>166</v>
      </c>
      <c r="CE511" s="29" t="s">
        <v>166</v>
      </c>
      <c r="CF511" s="27" t="s">
        <v>166</v>
      </c>
      <c r="CG511" s="28" t="s">
        <v>166</v>
      </c>
      <c r="CH511" s="27" t="s">
        <v>166</v>
      </c>
      <c r="CI511" s="27" t="s">
        <v>166</v>
      </c>
      <c r="CJ511" s="27" t="s">
        <v>166</v>
      </c>
      <c r="CK511" s="27" t="s">
        <v>166</v>
      </c>
      <c r="CL511" s="27" t="s">
        <v>166</v>
      </c>
      <c r="CM511" s="31" t="s">
        <v>166</v>
      </c>
      <c r="CN511" s="27" t="s">
        <v>166</v>
      </c>
      <c r="CO511" s="27" t="s">
        <v>166</v>
      </c>
      <c r="CP511" s="27" t="s">
        <v>166</v>
      </c>
      <c r="CQ511" s="27" t="s">
        <v>166</v>
      </c>
      <c r="CR511" s="27" t="s">
        <v>166</v>
      </c>
      <c r="CS511" s="27" t="s">
        <v>166</v>
      </c>
      <c r="CT511" s="27" t="s">
        <v>166</v>
      </c>
      <c r="CU511" s="27" t="s">
        <v>166</v>
      </c>
      <c r="CV511" s="27" t="s">
        <v>166</v>
      </c>
      <c r="CW511" s="27" t="s">
        <v>166</v>
      </c>
      <c r="CX511" s="27" t="s">
        <v>166</v>
      </c>
      <c r="CY511" s="27" t="s">
        <v>166</v>
      </c>
      <c r="CZ511" s="27" t="s">
        <v>166</v>
      </c>
      <c r="DA511" s="27" t="s">
        <v>166</v>
      </c>
      <c r="DB511" s="27" t="s">
        <v>166</v>
      </c>
      <c r="DC511" s="27" t="s">
        <v>166</v>
      </c>
      <c r="DD511" s="27" t="s">
        <v>166</v>
      </c>
      <c r="DE511" s="28" t="s">
        <v>166</v>
      </c>
      <c r="DF511" s="33">
        <v>7</v>
      </c>
      <c r="DG511" s="25" t="s">
        <v>2367</v>
      </c>
      <c r="DH511" s="25" t="s">
        <v>193</v>
      </c>
      <c r="DI511" s="25" t="s">
        <v>194</v>
      </c>
      <c r="DJ511" s="25" t="s">
        <v>2368</v>
      </c>
      <c r="DK511" s="25" t="s">
        <v>2369</v>
      </c>
      <c r="DL511" s="32" t="s">
        <v>9936</v>
      </c>
      <c r="DM511" s="25" t="s">
        <v>198</v>
      </c>
      <c r="DN511" s="24" t="s">
        <v>9937</v>
      </c>
      <c r="DO511" s="31">
        <v>2020</v>
      </c>
      <c r="DP511" s="25" t="s">
        <v>166</v>
      </c>
      <c r="DQ511" s="25" t="s">
        <v>166</v>
      </c>
      <c r="DR511" s="29" t="s">
        <v>166</v>
      </c>
      <c r="DS511" s="27" t="s">
        <v>166</v>
      </c>
      <c r="DT511" s="30" t="s">
        <v>166</v>
      </c>
      <c r="DU511" s="25" t="s">
        <v>166</v>
      </c>
      <c r="DV511" s="29" t="s">
        <v>166</v>
      </c>
      <c r="DW511" s="29" t="s">
        <v>166</v>
      </c>
      <c r="DX511" s="27" t="s">
        <v>166</v>
      </c>
      <c r="DY511" s="27" t="s">
        <v>166</v>
      </c>
      <c r="DZ511" s="28" t="s">
        <v>166</v>
      </c>
      <c r="EA511" s="27" t="s">
        <v>166</v>
      </c>
      <c r="EB511" s="27" t="s">
        <v>166</v>
      </c>
      <c r="EC511" s="27" t="s">
        <v>166</v>
      </c>
      <c r="ED511" s="28" t="s">
        <v>166</v>
      </c>
      <c r="EE511" s="28" t="s">
        <v>166</v>
      </c>
      <c r="EF511" s="28" t="s">
        <v>166</v>
      </c>
      <c r="EG511" s="28" t="s">
        <v>166</v>
      </c>
      <c r="EH511" s="27" t="s">
        <v>166</v>
      </c>
      <c r="EI511" s="27" t="s">
        <v>166</v>
      </c>
      <c r="EJ511" s="27" t="s">
        <v>166</v>
      </c>
      <c r="EK511" s="27" t="s">
        <v>166</v>
      </c>
      <c r="EL511" s="27" t="s">
        <v>166</v>
      </c>
      <c r="EM511" s="27" t="s">
        <v>166</v>
      </c>
      <c r="EN511" s="27" t="s">
        <v>166</v>
      </c>
      <c r="EO511" s="27" t="s">
        <v>166</v>
      </c>
      <c r="EP511" s="27" t="s">
        <v>166</v>
      </c>
      <c r="EQ511" s="27" t="s">
        <v>166</v>
      </c>
      <c r="ER511" s="27" t="s">
        <v>166</v>
      </c>
      <c r="ES511" s="27" t="s">
        <v>166</v>
      </c>
      <c r="ET511" s="25" t="s">
        <v>166</v>
      </c>
      <c r="EU511" s="27" t="s">
        <v>166</v>
      </c>
      <c r="EV511" s="27" t="s">
        <v>166</v>
      </c>
      <c r="EW511" s="27" t="s">
        <v>166</v>
      </c>
      <c r="EX511" s="25" t="s">
        <v>190</v>
      </c>
      <c r="EY511" s="25" t="s">
        <v>166</v>
      </c>
      <c r="EZ511" s="27" t="s">
        <v>166</v>
      </c>
      <c r="FA511" s="26" t="s">
        <v>166</v>
      </c>
      <c r="FB511" s="26" t="s">
        <v>166</v>
      </c>
      <c r="FC511" s="26" t="s">
        <v>166</v>
      </c>
      <c r="FD511" s="26" t="s">
        <v>166</v>
      </c>
      <c r="FE511" s="26" t="s">
        <v>166</v>
      </c>
      <c r="FF511" s="26" t="s">
        <v>166</v>
      </c>
      <c r="FG511" s="25" t="s">
        <v>166</v>
      </c>
      <c r="FH511" s="4">
        <f>HYPERLINK("https://my.pitchbook.com?c=172699-48T","View Company Online")</f>
      </c>
    </row>
    <row r="512">
      <c r="A512" s="14" t="s">
        <v>9938</v>
      </c>
      <c r="B512" s="14" t="s">
        <v>9939</v>
      </c>
      <c r="C512" s="14" t="s">
        <v>9940</v>
      </c>
      <c r="D512" s="14" t="s">
        <v>166</v>
      </c>
      <c r="E512" s="23" t="s">
        <v>9941</v>
      </c>
      <c r="F512" s="21">
        <v>1</v>
      </c>
      <c r="G512" s="14" t="s">
        <v>9942</v>
      </c>
      <c r="H512" s="14" t="s">
        <v>166</v>
      </c>
      <c r="I512" s="14" t="s">
        <v>9943</v>
      </c>
      <c r="J512" s="14" t="s">
        <v>9944</v>
      </c>
      <c r="K512" s="14" t="s">
        <v>207</v>
      </c>
      <c r="L512" s="14" t="s">
        <v>418</v>
      </c>
      <c r="M512" s="14" t="s">
        <v>419</v>
      </c>
      <c r="N512" s="14" t="s">
        <v>9945</v>
      </c>
      <c r="O512" s="14" t="s">
        <v>166</v>
      </c>
      <c r="P512" s="14" t="s">
        <v>9946</v>
      </c>
      <c r="Q512" s="14" t="s">
        <v>166</v>
      </c>
      <c r="R512" s="14" t="s">
        <v>177</v>
      </c>
      <c r="S512" s="14" t="s">
        <v>178</v>
      </c>
      <c r="T512" s="14" t="s">
        <v>179</v>
      </c>
      <c r="U512" s="14" t="s">
        <v>9947</v>
      </c>
      <c r="V512" s="14" t="s">
        <v>9948</v>
      </c>
      <c r="W512" s="21" t="s">
        <v>166</v>
      </c>
      <c r="X512" s="14" t="s">
        <v>9949</v>
      </c>
      <c r="Y512" s="14" t="s">
        <v>9950</v>
      </c>
      <c r="Z512" s="14" t="s">
        <v>9951</v>
      </c>
      <c r="AA512" s="14" t="s">
        <v>166</v>
      </c>
      <c r="AB512" s="14" t="s">
        <v>166</v>
      </c>
      <c r="AC512" s="14" t="s">
        <v>166</v>
      </c>
      <c r="AD512" s="14" t="s">
        <v>166</v>
      </c>
      <c r="AE512" s="14" t="s">
        <v>166</v>
      </c>
      <c r="AF512" s="14" t="s">
        <v>166</v>
      </c>
      <c r="AG512" s="14" t="s">
        <v>166</v>
      </c>
      <c r="AH512" s="21">
        <v>4</v>
      </c>
      <c r="AI512" s="3">
        <f>HYPERLINK("https://my.pitchbook.com/?d=277646-41T","277646-41T")</f>
      </c>
      <c r="AJ512" s="19" t="s">
        <v>166</v>
      </c>
      <c r="AK512" s="19">
        <v>45322</v>
      </c>
      <c r="AL512" s="18">
        <v>0.1</v>
      </c>
      <c r="AM512" s="14" t="s">
        <v>185</v>
      </c>
      <c r="AN512" s="18">
        <v>10</v>
      </c>
      <c r="AO512" s="18">
        <v>10.1</v>
      </c>
      <c r="AP512" s="14" t="s">
        <v>247</v>
      </c>
      <c r="AQ512" s="21" t="s">
        <v>166</v>
      </c>
      <c r="AR512" s="21" t="s">
        <v>166</v>
      </c>
      <c r="AS512" s="17" t="s">
        <v>166</v>
      </c>
      <c r="AT512" s="18">
        <v>0.22</v>
      </c>
      <c r="AU512" s="21" t="s">
        <v>186</v>
      </c>
      <c r="AV512" s="21" t="s">
        <v>166</v>
      </c>
      <c r="AW512" s="18" t="s">
        <v>166</v>
      </c>
      <c r="AX512" s="21" t="s">
        <v>166</v>
      </c>
      <c r="AY512" s="14" t="s">
        <v>187</v>
      </c>
      <c r="AZ512" s="14" t="s">
        <v>166</v>
      </c>
      <c r="BA512" s="14" t="s">
        <v>166</v>
      </c>
      <c r="BB512" s="21" t="s">
        <v>166</v>
      </c>
      <c r="BC512" s="14" t="s">
        <v>179</v>
      </c>
      <c r="BD512" s="14" t="s">
        <v>9952</v>
      </c>
      <c r="BE512" s="14" t="s">
        <v>189</v>
      </c>
      <c r="BF512" s="18">
        <v>0.1</v>
      </c>
      <c r="BG512" s="14" t="s">
        <v>190</v>
      </c>
      <c r="BH512" s="14" t="s">
        <v>166</v>
      </c>
      <c r="BI512" s="14" t="s">
        <v>166</v>
      </c>
      <c r="BJ512" s="18" t="s">
        <v>166</v>
      </c>
      <c r="BK512" s="18" t="s">
        <v>166</v>
      </c>
      <c r="BL512" s="14" t="s">
        <v>191</v>
      </c>
      <c r="BM512" s="14" t="s">
        <v>178</v>
      </c>
      <c r="BN512" s="14" t="s">
        <v>177</v>
      </c>
      <c r="BO512" s="22">
        <v>2</v>
      </c>
      <c r="BP512" s="14" t="s">
        <v>9941</v>
      </c>
      <c r="BQ512" s="21">
        <v>1</v>
      </c>
      <c r="BR512" s="14" t="s">
        <v>166</v>
      </c>
      <c r="BS512" s="21" t="s">
        <v>166</v>
      </c>
      <c r="BT512" s="14" t="s">
        <v>166</v>
      </c>
      <c r="BU512" s="14" t="s">
        <v>166</v>
      </c>
      <c r="BV512" s="14" t="s">
        <v>166</v>
      </c>
      <c r="BW512" s="14" t="s">
        <v>166</v>
      </c>
      <c r="BX512" s="14" t="s">
        <v>166</v>
      </c>
      <c r="BY512" s="14" t="s">
        <v>166</v>
      </c>
      <c r="BZ512" s="14" t="s">
        <v>166</v>
      </c>
      <c r="CA512" s="14" t="s">
        <v>166</v>
      </c>
      <c r="CB512" s="14" t="s">
        <v>166</v>
      </c>
      <c r="CC512" s="14" t="s">
        <v>166</v>
      </c>
      <c r="CD512" s="14" t="s">
        <v>166</v>
      </c>
      <c r="CE512" s="18" t="s">
        <v>166</v>
      </c>
      <c r="CF512" s="16" t="s">
        <v>166</v>
      </c>
      <c r="CG512" s="17" t="s">
        <v>166</v>
      </c>
      <c r="CH512" s="16" t="s">
        <v>166</v>
      </c>
      <c r="CI512" s="16" t="s">
        <v>166</v>
      </c>
      <c r="CJ512" s="16" t="s">
        <v>166</v>
      </c>
      <c r="CK512" s="16" t="s">
        <v>166</v>
      </c>
      <c r="CL512" s="16" t="s">
        <v>166</v>
      </c>
      <c r="CM512" s="20" t="s">
        <v>166</v>
      </c>
      <c r="CN512" s="16" t="s">
        <v>166</v>
      </c>
      <c r="CO512" s="16" t="s">
        <v>166</v>
      </c>
      <c r="CP512" s="16" t="s">
        <v>166</v>
      </c>
      <c r="CQ512" s="16" t="s">
        <v>166</v>
      </c>
      <c r="CR512" s="16" t="s">
        <v>166</v>
      </c>
      <c r="CS512" s="16" t="s">
        <v>166</v>
      </c>
      <c r="CT512" s="16" t="s">
        <v>166</v>
      </c>
      <c r="CU512" s="16" t="s">
        <v>166</v>
      </c>
      <c r="CV512" s="16" t="s">
        <v>166</v>
      </c>
      <c r="CW512" s="16" t="s">
        <v>166</v>
      </c>
      <c r="CX512" s="16" t="s">
        <v>166</v>
      </c>
      <c r="CY512" s="16" t="s">
        <v>166</v>
      </c>
      <c r="CZ512" s="16" t="s">
        <v>166</v>
      </c>
      <c r="DA512" s="16" t="s">
        <v>166</v>
      </c>
      <c r="DB512" s="16" t="s">
        <v>166</v>
      </c>
      <c r="DC512" s="16" t="s">
        <v>166</v>
      </c>
      <c r="DD512" s="16" t="s">
        <v>166</v>
      </c>
      <c r="DE512" s="17" t="s">
        <v>166</v>
      </c>
      <c r="DF512" s="22">
        <v>5</v>
      </c>
      <c r="DG512" s="14" t="s">
        <v>9953</v>
      </c>
      <c r="DH512" s="14" t="s">
        <v>193</v>
      </c>
      <c r="DI512" s="14" t="s">
        <v>194</v>
      </c>
      <c r="DJ512" s="14" t="s">
        <v>9954</v>
      </c>
      <c r="DK512" s="14" t="s">
        <v>454</v>
      </c>
      <c r="DL512" s="21" t="s">
        <v>9955</v>
      </c>
      <c r="DM512" s="14" t="s">
        <v>198</v>
      </c>
      <c r="DN512" s="13" t="s">
        <v>9956</v>
      </c>
      <c r="DO512" s="20">
        <v>2021</v>
      </c>
      <c r="DP512" s="14" t="s">
        <v>166</v>
      </c>
      <c r="DQ512" s="14" t="s">
        <v>166</v>
      </c>
      <c r="DR512" s="18" t="s">
        <v>166</v>
      </c>
      <c r="DS512" s="16" t="s">
        <v>166</v>
      </c>
      <c r="DT512" s="19" t="s">
        <v>166</v>
      </c>
      <c r="DU512" s="14" t="s">
        <v>166</v>
      </c>
      <c r="DV512" s="18" t="s">
        <v>166</v>
      </c>
      <c r="DW512" s="18" t="s">
        <v>166</v>
      </c>
      <c r="DX512" s="16" t="s">
        <v>166</v>
      </c>
      <c r="DY512" s="16" t="s">
        <v>166</v>
      </c>
      <c r="DZ512" s="17" t="s">
        <v>166</v>
      </c>
      <c r="EA512" s="16" t="s">
        <v>166</v>
      </c>
      <c r="EB512" s="16" t="s">
        <v>166</v>
      </c>
      <c r="EC512" s="16" t="s">
        <v>166</v>
      </c>
      <c r="ED512" s="17" t="s">
        <v>166</v>
      </c>
      <c r="EE512" s="17" t="s">
        <v>166</v>
      </c>
      <c r="EF512" s="17" t="s">
        <v>166</v>
      </c>
      <c r="EG512" s="17" t="s">
        <v>166</v>
      </c>
      <c r="EH512" s="16" t="s">
        <v>166</v>
      </c>
      <c r="EI512" s="16" t="s">
        <v>166</v>
      </c>
      <c r="EJ512" s="16" t="s">
        <v>166</v>
      </c>
      <c r="EK512" s="16" t="s">
        <v>166</v>
      </c>
      <c r="EL512" s="16" t="s">
        <v>166</v>
      </c>
      <c r="EM512" s="16" t="s">
        <v>166</v>
      </c>
      <c r="EN512" s="16" t="s">
        <v>166</v>
      </c>
      <c r="EO512" s="16" t="s">
        <v>166</v>
      </c>
      <c r="EP512" s="16" t="s">
        <v>166</v>
      </c>
      <c r="EQ512" s="16" t="s">
        <v>166</v>
      </c>
      <c r="ER512" s="16" t="s">
        <v>166</v>
      </c>
      <c r="ES512" s="16" t="s">
        <v>166</v>
      </c>
      <c r="ET512" s="14" t="s">
        <v>166</v>
      </c>
      <c r="EU512" s="16" t="s">
        <v>166</v>
      </c>
      <c r="EV512" s="16" t="s">
        <v>166</v>
      </c>
      <c r="EW512" s="16" t="s">
        <v>166</v>
      </c>
      <c r="EX512" s="14" t="s">
        <v>190</v>
      </c>
      <c r="EY512" s="14" t="s">
        <v>166</v>
      </c>
      <c r="EZ512" s="16" t="s">
        <v>166</v>
      </c>
      <c r="FA512" s="15" t="s">
        <v>166</v>
      </c>
      <c r="FB512" s="15" t="s">
        <v>166</v>
      </c>
      <c r="FC512" s="15" t="s">
        <v>166</v>
      </c>
      <c r="FD512" s="15" t="s">
        <v>166</v>
      </c>
      <c r="FE512" s="15" t="s">
        <v>166</v>
      </c>
      <c r="FF512" s="15" t="s">
        <v>166</v>
      </c>
      <c r="FG512" s="14" t="s">
        <v>166</v>
      </c>
      <c r="FH512" s="3">
        <f>HYPERLINK("https://my.pitchbook.com?c=277646-41T","View Company Online")</f>
      </c>
    </row>
    <row r="513">
      <c r="A513" s="25" t="s">
        <v>9957</v>
      </c>
      <c r="B513" s="25" t="s">
        <v>9958</v>
      </c>
      <c r="C513" s="25" t="s">
        <v>9959</v>
      </c>
      <c r="D513" s="25" t="s">
        <v>166</v>
      </c>
      <c r="E513" s="34" t="s">
        <v>9960</v>
      </c>
      <c r="F513" s="32">
        <v>2</v>
      </c>
      <c r="G513" s="25" t="s">
        <v>9961</v>
      </c>
      <c r="H513" s="25" t="s">
        <v>166</v>
      </c>
      <c r="I513" s="25" t="s">
        <v>9962</v>
      </c>
      <c r="J513" s="25" t="s">
        <v>9963</v>
      </c>
      <c r="K513" s="25" t="s">
        <v>207</v>
      </c>
      <c r="L513" s="25" t="s">
        <v>208</v>
      </c>
      <c r="M513" s="25" t="s">
        <v>296</v>
      </c>
      <c r="N513" s="25" t="s">
        <v>944</v>
      </c>
      <c r="O513" s="25" t="s">
        <v>325</v>
      </c>
      <c r="P513" s="25" t="s">
        <v>9964</v>
      </c>
      <c r="Q513" s="25" t="s">
        <v>166</v>
      </c>
      <c r="R513" s="25" t="s">
        <v>177</v>
      </c>
      <c r="S513" s="25" t="s">
        <v>178</v>
      </c>
      <c r="T513" s="25" t="s">
        <v>179</v>
      </c>
      <c r="U513" s="25" t="s">
        <v>9965</v>
      </c>
      <c r="V513" s="25" t="s">
        <v>9966</v>
      </c>
      <c r="W513" s="32" t="s">
        <v>166</v>
      </c>
      <c r="X513" s="25" t="s">
        <v>9967</v>
      </c>
      <c r="Y513" s="25" t="s">
        <v>9968</v>
      </c>
      <c r="Z513" s="25" t="s">
        <v>9969</v>
      </c>
      <c r="AA513" s="25" t="s">
        <v>166</v>
      </c>
      <c r="AB513" s="25" t="s">
        <v>166</v>
      </c>
      <c r="AC513" s="25" t="s">
        <v>166</v>
      </c>
      <c r="AD513" s="25" t="s">
        <v>166</v>
      </c>
      <c r="AE513" s="25" t="s">
        <v>166</v>
      </c>
      <c r="AF513" s="25" t="s">
        <v>166</v>
      </c>
      <c r="AG513" s="25" t="s">
        <v>166</v>
      </c>
      <c r="AH513" s="32">
        <v>1</v>
      </c>
      <c r="AI513" s="4">
        <f>HYPERLINK("https://my.pitchbook.com/?d=159978-07T","159978-07T")</f>
      </c>
      <c r="AJ513" s="30" t="s">
        <v>166</v>
      </c>
      <c r="AK513" s="30">
        <v>44000</v>
      </c>
      <c r="AL513" s="29">
        <v>0.05</v>
      </c>
      <c r="AM513" s="25" t="s">
        <v>185</v>
      </c>
      <c r="AN513" s="29" t="s">
        <v>166</v>
      </c>
      <c r="AO513" s="29" t="s">
        <v>166</v>
      </c>
      <c r="AP513" s="25" t="s">
        <v>166</v>
      </c>
      <c r="AQ513" s="32" t="s">
        <v>166</v>
      </c>
      <c r="AR513" s="32" t="s">
        <v>166</v>
      </c>
      <c r="AS513" s="28" t="s">
        <v>166</v>
      </c>
      <c r="AT513" s="29">
        <v>0.05</v>
      </c>
      <c r="AU513" s="32" t="s">
        <v>186</v>
      </c>
      <c r="AV513" s="32" t="s">
        <v>166</v>
      </c>
      <c r="AW513" s="29" t="s">
        <v>166</v>
      </c>
      <c r="AX513" s="32" t="s">
        <v>166</v>
      </c>
      <c r="AY513" s="25" t="s">
        <v>187</v>
      </c>
      <c r="AZ513" s="25" t="s">
        <v>166</v>
      </c>
      <c r="BA513" s="25" t="s">
        <v>166</v>
      </c>
      <c r="BB513" s="32" t="s">
        <v>166</v>
      </c>
      <c r="BC513" s="25" t="s">
        <v>179</v>
      </c>
      <c r="BD513" s="25" t="s">
        <v>9970</v>
      </c>
      <c r="BE513" s="25" t="s">
        <v>189</v>
      </c>
      <c r="BF513" s="29">
        <v>0.05</v>
      </c>
      <c r="BG513" s="25" t="s">
        <v>190</v>
      </c>
      <c r="BH513" s="25" t="s">
        <v>166</v>
      </c>
      <c r="BI513" s="25" t="s">
        <v>166</v>
      </c>
      <c r="BJ513" s="29" t="s">
        <v>166</v>
      </c>
      <c r="BK513" s="29" t="s">
        <v>166</v>
      </c>
      <c r="BL513" s="25" t="s">
        <v>191</v>
      </c>
      <c r="BM513" s="25" t="s">
        <v>358</v>
      </c>
      <c r="BN513" s="25" t="s">
        <v>177</v>
      </c>
      <c r="BO513" s="33" t="s">
        <v>166</v>
      </c>
      <c r="BP513" s="25" t="s">
        <v>9960</v>
      </c>
      <c r="BQ513" s="32">
        <v>2</v>
      </c>
      <c r="BR513" s="25" t="s">
        <v>166</v>
      </c>
      <c r="BS513" s="32" t="s">
        <v>166</v>
      </c>
      <c r="BT513" s="25" t="s">
        <v>166</v>
      </c>
      <c r="BU513" s="25" t="s">
        <v>166</v>
      </c>
      <c r="BV513" s="25" t="s">
        <v>166</v>
      </c>
      <c r="BW513" s="25" t="s">
        <v>166</v>
      </c>
      <c r="BX513" s="25" t="s">
        <v>166</v>
      </c>
      <c r="BY513" s="25" t="s">
        <v>166</v>
      </c>
      <c r="BZ513" s="25" t="s">
        <v>166</v>
      </c>
      <c r="CA513" s="25" t="s">
        <v>166</v>
      </c>
      <c r="CB513" s="25" t="s">
        <v>166</v>
      </c>
      <c r="CC513" s="25" t="s">
        <v>166</v>
      </c>
      <c r="CD513" s="25" t="s">
        <v>166</v>
      </c>
      <c r="CE513" s="29" t="s">
        <v>166</v>
      </c>
      <c r="CF513" s="27" t="s">
        <v>166</v>
      </c>
      <c r="CG513" s="28" t="s">
        <v>166</v>
      </c>
      <c r="CH513" s="27" t="s">
        <v>166</v>
      </c>
      <c r="CI513" s="27" t="s">
        <v>166</v>
      </c>
      <c r="CJ513" s="27" t="s">
        <v>166</v>
      </c>
      <c r="CK513" s="27" t="s">
        <v>166</v>
      </c>
      <c r="CL513" s="27" t="s">
        <v>166</v>
      </c>
      <c r="CM513" s="31" t="s">
        <v>166</v>
      </c>
      <c r="CN513" s="27" t="s">
        <v>166</v>
      </c>
      <c r="CO513" s="27" t="s">
        <v>166</v>
      </c>
      <c r="CP513" s="27" t="s">
        <v>166</v>
      </c>
      <c r="CQ513" s="27" t="s">
        <v>166</v>
      </c>
      <c r="CR513" s="27" t="s">
        <v>166</v>
      </c>
      <c r="CS513" s="27" t="s">
        <v>166</v>
      </c>
      <c r="CT513" s="27" t="s">
        <v>166</v>
      </c>
      <c r="CU513" s="27" t="s">
        <v>166</v>
      </c>
      <c r="CV513" s="27" t="s">
        <v>166</v>
      </c>
      <c r="CW513" s="27" t="s">
        <v>166</v>
      </c>
      <c r="CX513" s="27" t="s">
        <v>166</v>
      </c>
      <c r="CY513" s="27" t="s">
        <v>166</v>
      </c>
      <c r="CZ513" s="27" t="s">
        <v>166</v>
      </c>
      <c r="DA513" s="27" t="s">
        <v>166</v>
      </c>
      <c r="DB513" s="27" t="s">
        <v>166</v>
      </c>
      <c r="DC513" s="27" t="s">
        <v>166</v>
      </c>
      <c r="DD513" s="27" t="s">
        <v>166</v>
      </c>
      <c r="DE513" s="28" t="s">
        <v>166</v>
      </c>
      <c r="DF513" s="33">
        <v>4</v>
      </c>
      <c r="DG513" s="25" t="s">
        <v>5665</v>
      </c>
      <c r="DH513" s="25" t="s">
        <v>193</v>
      </c>
      <c r="DI513" s="25" t="s">
        <v>194</v>
      </c>
      <c r="DJ513" s="25" t="s">
        <v>5666</v>
      </c>
      <c r="DK513" s="25" t="s">
        <v>5667</v>
      </c>
      <c r="DL513" s="32" t="s">
        <v>5668</v>
      </c>
      <c r="DM513" s="25" t="s">
        <v>198</v>
      </c>
      <c r="DN513" s="24" t="s">
        <v>9971</v>
      </c>
      <c r="DO513" s="31">
        <v>2020</v>
      </c>
      <c r="DP513" s="25" t="s">
        <v>166</v>
      </c>
      <c r="DQ513" s="25" t="s">
        <v>166</v>
      </c>
      <c r="DR513" s="29" t="s">
        <v>166</v>
      </c>
      <c r="DS513" s="27" t="s">
        <v>166</v>
      </c>
      <c r="DT513" s="30" t="s">
        <v>166</v>
      </c>
      <c r="DU513" s="25" t="s">
        <v>166</v>
      </c>
      <c r="DV513" s="29" t="s">
        <v>166</v>
      </c>
      <c r="DW513" s="29" t="s">
        <v>166</v>
      </c>
      <c r="DX513" s="27" t="s">
        <v>166</v>
      </c>
      <c r="DY513" s="27" t="s">
        <v>166</v>
      </c>
      <c r="DZ513" s="28" t="s">
        <v>166</v>
      </c>
      <c r="EA513" s="27" t="s">
        <v>166</v>
      </c>
      <c r="EB513" s="27" t="s">
        <v>166</v>
      </c>
      <c r="EC513" s="27" t="s">
        <v>166</v>
      </c>
      <c r="ED513" s="28" t="s">
        <v>166</v>
      </c>
      <c r="EE513" s="28" t="s">
        <v>166</v>
      </c>
      <c r="EF513" s="28" t="s">
        <v>166</v>
      </c>
      <c r="EG513" s="28" t="s">
        <v>166</v>
      </c>
      <c r="EH513" s="27" t="s">
        <v>166</v>
      </c>
      <c r="EI513" s="27" t="s">
        <v>166</v>
      </c>
      <c r="EJ513" s="27" t="s">
        <v>166</v>
      </c>
      <c r="EK513" s="27" t="s">
        <v>166</v>
      </c>
      <c r="EL513" s="27" t="s">
        <v>166</v>
      </c>
      <c r="EM513" s="27" t="s">
        <v>166</v>
      </c>
      <c r="EN513" s="27" t="s">
        <v>166</v>
      </c>
      <c r="EO513" s="27" t="s">
        <v>166</v>
      </c>
      <c r="EP513" s="27" t="s">
        <v>166</v>
      </c>
      <c r="EQ513" s="27" t="s">
        <v>166</v>
      </c>
      <c r="ER513" s="27" t="s">
        <v>166</v>
      </c>
      <c r="ES513" s="27" t="s">
        <v>166</v>
      </c>
      <c r="ET513" s="25" t="s">
        <v>166</v>
      </c>
      <c r="EU513" s="27" t="s">
        <v>166</v>
      </c>
      <c r="EV513" s="27" t="s">
        <v>166</v>
      </c>
      <c r="EW513" s="27" t="s">
        <v>166</v>
      </c>
      <c r="EX513" s="25" t="s">
        <v>190</v>
      </c>
      <c r="EY513" s="25" t="s">
        <v>166</v>
      </c>
      <c r="EZ513" s="27" t="s">
        <v>166</v>
      </c>
      <c r="FA513" s="26">
        <v>1</v>
      </c>
      <c r="FB513" s="26">
        <v>1</v>
      </c>
      <c r="FC513" s="26" t="s">
        <v>166</v>
      </c>
      <c r="FD513" s="26" t="s">
        <v>166</v>
      </c>
      <c r="FE513" s="26" t="s">
        <v>166</v>
      </c>
      <c r="FF513" s="26">
        <v>1</v>
      </c>
      <c r="FG513" s="25" t="s">
        <v>166</v>
      </c>
      <c r="FH513" s="4">
        <f>HYPERLINK("https://my.pitchbook.com?c=159978-07T","View Company Online")</f>
      </c>
    </row>
    <row r="514">
      <c r="A514" s="14" t="s">
        <v>9972</v>
      </c>
      <c r="B514" s="14" t="s">
        <v>9973</v>
      </c>
      <c r="C514" s="14" t="s">
        <v>9974</v>
      </c>
      <c r="D514" s="14" t="s">
        <v>166</v>
      </c>
      <c r="E514" s="23" t="s">
        <v>9975</v>
      </c>
      <c r="F514" s="21">
        <v>4</v>
      </c>
      <c r="G514" s="14" t="s">
        <v>9976</v>
      </c>
      <c r="H514" s="14" t="s">
        <v>166</v>
      </c>
      <c r="I514" s="14" t="s">
        <v>9977</v>
      </c>
      <c r="J514" s="14" t="s">
        <v>9978</v>
      </c>
      <c r="K514" s="14" t="s">
        <v>171</v>
      </c>
      <c r="L514" s="14" t="s">
        <v>172</v>
      </c>
      <c r="M514" s="14" t="s">
        <v>1689</v>
      </c>
      <c r="N514" s="14" t="s">
        <v>2828</v>
      </c>
      <c r="O514" s="14" t="s">
        <v>9979</v>
      </c>
      <c r="P514" s="14" t="s">
        <v>9980</v>
      </c>
      <c r="Q514" s="14" t="s">
        <v>166</v>
      </c>
      <c r="R514" s="14" t="s">
        <v>177</v>
      </c>
      <c r="S514" s="14" t="s">
        <v>178</v>
      </c>
      <c r="T514" s="14" t="s">
        <v>179</v>
      </c>
      <c r="U514" s="14" t="s">
        <v>9981</v>
      </c>
      <c r="V514" s="14" t="s">
        <v>9982</v>
      </c>
      <c r="W514" s="21" t="s">
        <v>9983</v>
      </c>
      <c r="X514" s="14" t="s">
        <v>9984</v>
      </c>
      <c r="Y514" s="14" t="s">
        <v>9985</v>
      </c>
      <c r="Z514" s="14" t="s">
        <v>9986</v>
      </c>
      <c r="AA514" s="14" t="s">
        <v>166</v>
      </c>
      <c r="AB514" s="14" t="s">
        <v>166</v>
      </c>
      <c r="AC514" s="14" t="s">
        <v>166</v>
      </c>
      <c r="AD514" s="14" t="s">
        <v>166</v>
      </c>
      <c r="AE514" s="14" t="s">
        <v>166</v>
      </c>
      <c r="AF514" s="14" t="s">
        <v>166</v>
      </c>
      <c r="AG514" s="14" t="s">
        <v>166</v>
      </c>
      <c r="AH514" s="21">
        <v>3</v>
      </c>
      <c r="AI514" s="3">
        <f>HYPERLINK("https://my.pitchbook.com/?d=261334-72T","261334-72T")</f>
      </c>
      <c r="AJ514" s="19" t="s">
        <v>166</v>
      </c>
      <c r="AK514" s="19">
        <v>45447</v>
      </c>
      <c r="AL514" s="18">
        <v>0.7</v>
      </c>
      <c r="AM514" s="14" t="s">
        <v>185</v>
      </c>
      <c r="AN514" s="18" t="s">
        <v>166</v>
      </c>
      <c r="AO514" s="18" t="s">
        <v>166</v>
      </c>
      <c r="AP514" s="14" t="s">
        <v>166</v>
      </c>
      <c r="AQ514" s="21" t="s">
        <v>166</v>
      </c>
      <c r="AR514" s="21" t="s">
        <v>166</v>
      </c>
      <c r="AS514" s="17" t="s">
        <v>166</v>
      </c>
      <c r="AT514" s="18">
        <v>0.72</v>
      </c>
      <c r="AU514" s="21" t="s">
        <v>186</v>
      </c>
      <c r="AV514" s="21" t="s">
        <v>166</v>
      </c>
      <c r="AW514" s="18" t="s">
        <v>166</v>
      </c>
      <c r="AX514" s="21" t="s">
        <v>166</v>
      </c>
      <c r="AY514" s="14" t="s">
        <v>217</v>
      </c>
      <c r="AZ514" s="14" t="s">
        <v>217</v>
      </c>
      <c r="BA514" s="14" t="s">
        <v>166</v>
      </c>
      <c r="BB514" s="21" t="s">
        <v>166</v>
      </c>
      <c r="BC514" s="14" t="s">
        <v>179</v>
      </c>
      <c r="BD514" s="14" t="s">
        <v>9987</v>
      </c>
      <c r="BE514" s="14" t="s">
        <v>189</v>
      </c>
      <c r="BF514" s="18">
        <v>0.7</v>
      </c>
      <c r="BG514" s="14" t="s">
        <v>190</v>
      </c>
      <c r="BH514" s="14" t="s">
        <v>166</v>
      </c>
      <c r="BI514" s="14" t="s">
        <v>166</v>
      </c>
      <c r="BJ514" s="18" t="s">
        <v>166</v>
      </c>
      <c r="BK514" s="18" t="s">
        <v>166</v>
      </c>
      <c r="BL514" s="14" t="s">
        <v>191</v>
      </c>
      <c r="BM514" s="14" t="s">
        <v>178</v>
      </c>
      <c r="BN514" s="14" t="s">
        <v>177</v>
      </c>
      <c r="BO514" s="22" t="s">
        <v>166</v>
      </c>
      <c r="BP514" s="14" t="s">
        <v>9988</v>
      </c>
      <c r="BQ514" s="21">
        <v>3</v>
      </c>
      <c r="BR514" s="14" t="s">
        <v>252</v>
      </c>
      <c r="BS514" s="21">
        <v>1</v>
      </c>
      <c r="BT514" s="14" t="s">
        <v>166</v>
      </c>
      <c r="BU514" s="14" t="s">
        <v>166</v>
      </c>
      <c r="BV514" s="14" t="s">
        <v>166</v>
      </c>
      <c r="BW514" s="14" t="s">
        <v>166</v>
      </c>
      <c r="BX514" s="14" t="s">
        <v>166</v>
      </c>
      <c r="BY514" s="14" t="s">
        <v>166</v>
      </c>
      <c r="BZ514" s="14" t="s">
        <v>166</v>
      </c>
      <c r="CA514" s="14" t="s">
        <v>166</v>
      </c>
      <c r="CB514" s="14" t="s">
        <v>166</v>
      </c>
      <c r="CC514" s="14" t="s">
        <v>166</v>
      </c>
      <c r="CD514" s="14" t="s">
        <v>166</v>
      </c>
      <c r="CE514" s="18" t="s">
        <v>166</v>
      </c>
      <c r="CF514" s="16" t="s">
        <v>166</v>
      </c>
      <c r="CG514" s="17" t="s">
        <v>166</v>
      </c>
      <c r="CH514" s="16" t="s">
        <v>166</v>
      </c>
      <c r="CI514" s="16" t="s">
        <v>166</v>
      </c>
      <c r="CJ514" s="16" t="s">
        <v>166</v>
      </c>
      <c r="CK514" s="16" t="s">
        <v>166</v>
      </c>
      <c r="CL514" s="16" t="s">
        <v>166</v>
      </c>
      <c r="CM514" s="20" t="s">
        <v>166</v>
      </c>
      <c r="CN514" s="16" t="s">
        <v>166</v>
      </c>
      <c r="CO514" s="16" t="s">
        <v>166</v>
      </c>
      <c r="CP514" s="16" t="s">
        <v>166</v>
      </c>
      <c r="CQ514" s="16" t="s">
        <v>166</v>
      </c>
      <c r="CR514" s="16" t="s">
        <v>166</v>
      </c>
      <c r="CS514" s="16" t="s">
        <v>166</v>
      </c>
      <c r="CT514" s="16" t="s">
        <v>166</v>
      </c>
      <c r="CU514" s="16" t="s">
        <v>166</v>
      </c>
      <c r="CV514" s="16" t="s">
        <v>166</v>
      </c>
      <c r="CW514" s="16" t="s">
        <v>166</v>
      </c>
      <c r="CX514" s="16" t="s">
        <v>166</v>
      </c>
      <c r="CY514" s="16" t="s">
        <v>166</v>
      </c>
      <c r="CZ514" s="16" t="s">
        <v>166</v>
      </c>
      <c r="DA514" s="16" t="s">
        <v>166</v>
      </c>
      <c r="DB514" s="16" t="s">
        <v>166</v>
      </c>
      <c r="DC514" s="16" t="s">
        <v>166</v>
      </c>
      <c r="DD514" s="16" t="s">
        <v>166</v>
      </c>
      <c r="DE514" s="17" t="s">
        <v>166</v>
      </c>
      <c r="DF514" s="22">
        <v>9</v>
      </c>
      <c r="DG514" s="14" t="s">
        <v>706</v>
      </c>
      <c r="DH514" s="14" t="s">
        <v>193</v>
      </c>
      <c r="DI514" s="14" t="s">
        <v>194</v>
      </c>
      <c r="DJ514" s="14" t="s">
        <v>707</v>
      </c>
      <c r="DK514" s="14" t="s">
        <v>386</v>
      </c>
      <c r="DL514" s="21" t="s">
        <v>9989</v>
      </c>
      <c r="DM514" s="14" t="s">
        <v>198</v>
      </c>
      <c r="DN514" s="13" t="s">
        <v>9990</v>
      </c>
      <c r="DO514" s="20">
        <v>2022</v>
      </c>
      <c r="DP514" s="14" t="s">
        <v>166</v>
      </c>
      <c r="DQ514" s="14" t="s">
        <v>166</v>
      </c>
      <c r="DR514" s="18" t="s">
        <v>166</v>
      </c>
      <c r="DS514" s="16" t="s">
        <v>166</v>
      </c>
      <c r="DT514" s="19" t="s">
        <v>166</v>
      </c>
      <c r="DU514" s="14" t="s">
        <v>166</v>
      </c>
      <c r="DV514" s="18" t="s">
        <v>166</v>
      </c>
      <c r="DW514" s="18" t="s">
        <v>166</v>
      </c>
      <c r="DX514" s="16" t="s">
        <v>166</v>
      </c>
      <c r="DY514" s="16" t="s">
        <v>166</v>
      </c>
      <c r="DZ514" s="17" t="s">
        <v>166</v>
      </c>
      <c r="EA514" s="16" t="s">
        <v>166</v>
      </c>
      <c r="EB514" s="16" t="s">
        <v>166</v>
      </c>
      <c r="EC514" s="16" t="s">
        <v>166</v>
      </c>
      <c r="ED514" s="17" t="s">
        <v>166</v>
      </c>
      <c r="EE514" s="17" t="s">
        <v>166</v>
      </c>
      <c r="EF514" s="17" t="s">
        <v>166</v>
      </c>
      <c r="EG514" s="17" t="s">
        <v>166</v>
      </c>
      <c r="EH514" s="16" t="s">
        <v>166</v>
      </c>
      <c r="EI514" s="16" t="s">
        <v>166</v>
      </c>
      <c r="EJ514" s="16" t="s">
        <v>166</v>
      </c>
      <c r="EK514" s="16" t="s">
        <v>166</v>
      </c>
      <c r="EL514" s="16" t="s">
        <v>166</v>
      </c>
      <c r="EM514" s="16" t="s">
        <v>166</v>
      </c>
      <c r="EN514" s="16" t="s">
        <v>166</v>
      </c>
      <c r="EO514" s="16" t="s">
        <v>166</v>
      </c>
      <c r="EP514" s="16" t="s">
        <v>166</v>
      </c>
      <c r="EQ514" s="16" t="s">
        <v>166</v>
      </c>
      <c r="ER514" s="16" t="s">
        <v>166</v>
      </c>
      <c r="ES514" s="16" t="s">
        <v>166</v>
      </c>
      <c r="ET514" s="14" t="s">
        <v>166</v>
      </c>
      <c r="EU514" s="16" t="s">
        <v>166</v>
      </c>
      <c r="EV514" s="16" t="s">
        <v>166</v>
      </c>
      <c r="EW514" s="16" t="s">
        <v>166</v>
      </c>
      <c r="EX514" s="14" t="s">
        <v>190</v>
      </c>
      <c r="EY514" s="14" t="s">
        <v>166</v>
      </c>
      <c r="EZ514" s="16" t="s">
        <v>166</v>
      </c>
      <c r="FA514" s="15" t="s">
        <v>166</v>
      </c>
      <c r="FB514" s="15" t="s">
        <v>166</v>
      </c>
      <c r="FC514" s="15" t="s">
        <v>166</v>
      </c>
      <c r="FD514" s="15" t="s">
        <v>166</v>
      </c>
      <c r="FE514" s="15" t="s">
        <v>166</v>
      </c>
      <c r="FF514" s="15" t="s">
        <v>166</v>
      </c>
      <c r="FG514" s="14" t="s">
        <v>166</v>
      </c>
      <c r="FH514" s="3">
        <f>HYPERLINK("https://my.pitchbook.com?c=261334-72T","View Company Online")</f>
      </c>
    </row>
    <row r="515">
      <c r="A515" s="25" t="s">
        <v>9991</v>
      </c>
      <c r="B515" s="25" t="s">
        <v>9992</v>
      </c>
      <c r="C515" s="25" t="s">
        <v>9993</v>
      </c>
      <c r="D515" s="25" t="s">
        <v>166</v>
      </c>
      <c r="E515" s="34" t="s">
        <v>9994</v>
      </c>
      <c r="F515" s="32">
        <v>21</v>
      </c>
      <c r="G515" s="25" t="s">
        <v>9995</v>
      </c>
      <c r="H515" s="25" t="s">
        <v>166</v>
      </c>
      <c r="I515" s="25" t="s">
        <v>9996</v>
      </c>
      <c r="J515" s="25" t="s">
        <v>9997</v>
      </c>
      <c r="K515" s="25" t="s">
        <v>207</v>
      </c>
      <c r="L515" s="25" t="s">
        <v>208</v>
      </c>
      <c r="M515" s="25" t="s">
        <v>296</v>
      </c>
      <c r="N515" s="25" t="s">
        <v>1052</v>
      </c>
      <c r="O515" s="25" t="s">
        <v>2931</v>
      </c>
      <c r="P515" s="25" t="s">
        <v>9998</v>
      </c>
      <c r="Q515" s="25" t="s">
        <v>166</v>
      </c>
      <c r="R515" s="25" t="s">
        <v>177</v>
      </c>
      <c r="S515" s="25" t="s">
        <v>178</v>
      </c>
      <c r="T515" s="25" t="s">
        <v>179</v>
      </c>
      <c r="U515" s="25" t="s">
        <v>9999</v>
      </c>
      <c r="V515" s="25" t="s">
        <v>10000</v>
      </c>
      <c r="W515" s="32" t="s">
        <v>10001</v>
      </c>
      <c r="X515" s="25" t="s">
        <v>10002</v>
      </c>
      <c r="Y515" s="25" t="s">
        <v>10003</v>
      </c>
      <c r="Z515" s="25" t="s">
        <v>166</v>
      </c>
      <c r="AA515" s="25" t="s">
        <v>242</v>
      </c>
      <c r="AB515" s="25" t="s">
        <v>243</v>
      </c>
      <c r="AC515" s="25" t="s">
        <v>244</v>
      </c>
      <c r="AD515" s="25" t="s">
        <v>243</v>
      </c>
      <c r="AE515" s="25" t="s">
        <v>243</v>
      </c>
      <c r="AF515" s="25" t="s">
        <v>166</v>
      </c>
      <c r="AG515" s="25" t="s">
        <v>246</v>
      </c>
      <c r="AH515" s="32">
        <v>1</v>
      </c>
      <c r="AI515" s="4">
        <f>HYPERLINK("https://my.pitchbook.com/?d=191224-54T","191224-54T")</f>
      </c>
      <c r="AJ515" s="30">
        <v>44501</v>
      </c>
      <c r="AK515" s="30">
        <v>44643</v>
      </c>
      <c r="AL515" s="29">
        <v>4.01</v>
      </c>
      <c r="AM515" s="25" t="s">
        <v>185</v>
      </c>
      <c r="AN515" s="29">
        <v>20</v>
      </c>
      <c r="AO515" s="29">
        <v>24.01</v>
      </c>
      <c r="AP515" s="25" t="s">
        <v>185</v>
      </c>
      <c r="AQ515" s="32" t="s">
        <v>166</v>
      </c>
      <c r="AR515" s="32" t="s">
        <v>166</v>
      </c>
      <c r="AS515" s="28">
        <v>25.95</v>
      </c>
      <c r="AT515" s="29">
        <v>4.01</v>
      </c>
      <c r="AU515" s="32" t="s">
        <v>186</v>
      </c>
      <c r="AV515" s="32" t="s">
        <v>166</v>
      </c>
      <c r="AW515" s="29">
        <v>3.09</v>
      </c>
      <c r="AX515" s="32" t="s">
        <v>166</v>
      </c>
      <c r="AY515" s="25" t="s">
        <v>217</v>
      </c>
      <c r="AZ515" s="25" t="s">
        <v>217</v>
      </c>
      <c r="BA515" s="25" t="s">
        <v>166</v>
      </c>
      <c r="BB515" s="32" t="s">
        <v>166</v>
      </c>
      <c r="BC515" s="25" t="s">
        <v>179</v>
      </c>
      <c r="BD515" s="25" t="s">
        <v>10004</v>
      </c>
      <c r="BE515" s="25" t="s">
        <v>189</v>
      </c>
      <c r="BF515" s="29">
        <v>4.01</v>
      </c>
      <c r="BG515" s="25" t="s">
        <v>190</v>
      </c>
      <c r="BH515" s="25" t="s">
        <v>166</v>
      </c>
      <c r="BI515" s="25" t="s">
        <v>166</v>
      </c>
      <c r="BJ515" s="29" t="s">
        <v>166</v>
      </c>
      <c r="BK515" s="29" t="s">
        <v>166</v>
      </c>
      <c r="BL515" s="25" t="s">
        <v>191</v>
      </c>
      <c r="BM515" s="25" t="s">
        <v>178</v>
      </c>
      <c r="BN515" s="25" t="s">
        <v>177</v>
      </c>
      <c r="BO515" s="33" t="s">
        <v>166</v>
      </c>
      <c r="BP515" s="25" t="s">
        <v>10005</v>
      </c>
      <c r="BQ515" s="32">
        <v>21</v>
      </c>
      <c r="BR515" s="25" t="s">
        <v>166</v>
      </c>
      <c r="BS515" s="32" t="s">
        <v>166</v>
      </c>
      <c r="BT515" s="25" t="s">
        <v>166</v>
      </c>
      <c r="BU515" s="25" t="s">
        <v>166</v>
      </c>
      <c r="BV515" s="25" t="s">
        <v>10006</v>
      </c>
      <c r="BW515" s="25" t="s">
        <v>166</v>
      </c>
      <c r="BX515" s="25" t="s">
        <v>166</v>
      </c>
      <c r="BY515" s="25" t="s">
        <v>166</v>
      </c>
      <c r="BZ515" s="25" t="s">
        <v>10007</v>
      </c>
      <c r="CA515" s="25" t="s">
        <v>10008</v>
      </c>
      <c r="CB515" s="25" t="s">
        <v>166</v>
      </c>
      <c r="CC515" s="25" t="s">
        <v>4288</v>
      </c>
      <c r="CD515" s="25" t="s">
        <v>166</v>
      </c>
      <c r="CE515" s="29" t="s">
        <v>166</v>
      </c>
      <c r="CF515" s="27" t="s">
        <v>166</v>
      </c>
      <c r="CG515" s="28" t="s">
        <v>166</v>
      </c>
      <c r="CH515" s="27" t="s">
        <v>166</v>
      </c>
      <c r="CI515" s="27" t="s">
        <v>166</v>
      </c>
      <c r="CJ515" s="27" t="s">
        <v>166</v>
      </c>
      <c r="CK515" s="27" t="s">
        <v>166</v>
      </c>
      <c r="CL515" s="27" t="s">
        <v>166</v>
      </c>
      <c r="CM515" s="31" t="s">
        <v>166</v>
      </c>
      <c r="CN515" s="27" t="s">
        <v>166</v>
      </c>
      <c r="CO515" s="27" t="s">
        <v>166</v>
      </c>
      <c r="CP515" s="27" t="s">
        <v>166</v>
      </c>
      <c r="CQ515" s="27" t="s">
        <v>166</v>
      </c>
      <c r="CR515" s="27" t="s">
        <v>166</v>
      </c>
      <c r="CS515" s="27" t="s">
        <v>166</v>
      </c>
      <c r="CT515" s="27" t="s">
        <v>166</v>
      </c>
      <c r="CU515" s="27" t="s">
        <v>166</v>
      </c>
      <c r="CV515" s="27" t="s">
        <v>166</v>
      </c>
      <c r="CW515" s="27" t="s">
        <v>166</v>
      </c>
      <c r="CX515" s="27" t="s">
        <v>166</v>
      </c>
      <c r="CY515" s="27" t="s">
        <v>166</v>
      </c>
      <c r="CZ515" s="27" t="s">
        <v>166</v>
      </c>
      <c r="DA515" s="27" t="s">
        <v>166</v>
      </c>
      <c r="DB515" s="27" t="s">
        <v>166</v>
      </c>
      <c r="DC515" s="27" t="s">
        <v>166</v>
      </c>
      <c r="DD515" s="27" t="s">
        <v>166</v>
      </c>
      <c r="DE515" s="28" t="s">
        <v>166</v>
      </c>
      <c r="DF515" s="33">
        <v>6</v>
      </c>
      <c r="DG515" s="25" t="s">
        <v>429</v>
      </c>
      <c r="DH515" s="25" t="s">
        <v>193</v>
      </c>
      <c r="DI515" s="25" t="s">
        <v>194</v>
      </c>
      <c r="DJ515" s="25" t="s">
        <v>430</v>
      </c>
      <c r="DK515" s="25" t="s">
        <v>431</v>
      </c>
      <c r="DL515" s="32" t="s">
        <v>1369</v>
      </c>
      <c r="DM515" s="25" t="s">
        <v>198</v>
      </c>
      <c r="DN515" s="24" t="s">
        <v>10009</v>
      </c>
      <c r="DO515" s="31">
        <v>2021</v>
      </c>
      <c r="DP515" s="25" t="s">
        <v>166</v>
      </c>
      <c r="DQ515" s="25" t="s">
        <v>166</v>
      </c>
      <c r="DR515" s="29" t="s">
        <v>166</v>
      </c>
      <c r="DS515" s="27" t="s">
        <v>166</v>
      </c>
      <c r="DT515" s="30" t="s">
        <v>166</v>
      </c>
      <c r="DU515" s="25" t="s">
        <v>166</v>
      </c>
      <c r="DV515" s="29" t="s">
        <v>166</v>
      </c>
      <c r="DW515" s="29" t="s">
        <v>166</v>
      </c>
      <c r="DX515" s="27" t="s">
        <v>166</v>
      </c>
      <c r="DY515" s="27" t="s">
        <v>166</v>
      </c>
      <c r="DZ515" s="28" t="s">
        <v>166</v>
      </c>
      <c r="EA515" s="27" t="s">
        <v>166</v>
      </c>
      <c r="EB515" s="27" t="s">
        <v>166</v>
      </c>
      <c r="EC515" s="27" t="s">
        <v>166</v>
      </c>
      <c r="ED515" s="28" t="s">
        <v>166</v>
      </c>
      <c r="EE515" s="28" t="s">
        <v>166</v>
      </c>
      <c r="EF515" s="28" t="s">
        <v>166</v>
      </c>
      <c r="EG515" s="28" t="s">
        <v>166</v>
      </c>
      <c r="EH515" s="27" t="s">
        <v>166</v>
      </c>
      <c r="EI515" s="27" t="s">
        <v>166</v>
      </c>
      <c r="EJ515" s="27" t="s">
        <v>166</v>
      </c>
      <c r="EK515" s="27" t="s">
        <v>166</v>
      </c>
      <c r="EL515" s="27" t="s">
        <v>166</v>
      </c>
      <c r="EM515" s="27" t="s">
        <v>166</v>
      </c>
      <c r="EN515" s="27" t="s">
        <v>166</v>
      </c>
      <c r="EO515" s="27" t="s">
        <v>166</v>
      </c>
      <c r="EP515" s="27" t="s">
        <v>166</v>
      </c>
      <c r="EQ515" s="27" t="s">
        <v>166</v>
      </c>
      <c r="ER515" s="27" t="s">
        <v>166</v>
      </c>
      <c r="ES515" s="27" t="s">
        <v>166</v>
      </c>
      <c r="ET515" s="25" t="s">
        <v>166</v>
      </c>
      <c r="EU515" s="27" t="s">
        <v>166</v>
      </c>
      <c r="EV515" s="27" t="s">
        <v>166</v>
      </c>
      <c r="EW515" s="27" t="s">
        <v>166</v>
      </c>
      <c r="EX515" s="25" t="s">
        <v>190</v>
      </c>
      <c r="EY515" s="25" t="s">
        <v>166</v>
      </c>
      <c r="EZ515" s="27" t="s">
        <v>166</v>
      </c>
      <c r="FA515" s="26" t="s">
        <v>166</v>
      </c>
      <c r="FB515" s="26" t="s">
        <v>166</v>
      </c>
      <c r="FC515" s="26" t="s">
        <v>166</v>
      </c>
      <c r="FD515" s="26" t="s">
        <v>166</v>
      </c>
      <c r="FE515" s="26" t="s">
        <v>166</v>
      </c>
      <c r="FF515" s="26" t="s">
        <v>166</v>
      </c>
      <c r="FG515" s="25" t="s">
        <v>166</v>
      </c>
      <c r="FH515" s="4">
        <f>HYPERLINK("https://my.pitchbook.com?c=191224-54T","View Company Online")</f>
      </c>
    </row>
    <row r="516">
      <c r="A516" s="14" t="s">
        <v>10010</v>
      </c>
      <c r="B516" s="14" t="s">
        <v>10011</v>
      </c>
      <c r="C516" s="14" t="s">
        <v>10012</v>
      </c>
      <c r="D516" s="14" t="s">
        <v>166</v>
      </c>
      <c r="E516" s="23" t="s">
        <v>6074</v>
      </c>
      <c r="F516" s="21">
        <v>1</v>
      </c>
      <c r="G516" s="14" t="s">
        <v>6075</v>
      </c>
      <c r="H516" s="14" t="s">
        <v>166</v>
      </c>
      <c r="I516" s="14" t="s">
        <v>10013</v>
      </c>
      <c r="J516" s="14" t="s">
        <v>10014</v>
      </c>
      <c r="K516" s="14" t="s">
        <v>207</v>
      </c>
      <c r="L516" s="14" t="s">
        <v>208</v>
      </c>
      <c r="M516" s="14" t="s">
        <v>1181</v>
      </c>
      <c r="N516" s="14" t="s">
        <v>10015</v>
      </c>
      <c r="O516" s="14" t="s">
        <v>7471</v>
      </c>
      <c r="P516" s="14" t="s">
        <v>10016</v>
      </c>
      <c r="Q516" s="14" t="s">
        <v>166</v>
      </c>
      <c r="R516" s="14" t="s">
        <v>177</v>
      </c>
      <c r="S516" s="14" t="s">
        <v>178</v>
      </c>
      <c r="T516" s="14" t="s">
        <v>179</v>
      </c>
      <c r="U516" s="14" t="s">
        <v>10017</v>
      </c>
      <c r="V516" s="14" t="s">
        <v>10018</v>
      </c>
      <c r="W516" s="21" t="s">
        <v>10019</v>
      </c>
      <c r="X516" s="14" t="s">
        <v>10020</v>
      </c>
      <c r="Y516" s="14" t="s">
        <v>10021</v>
      </c>
      <c r="Z516" s="14" t="s">
        <v>10022</v>
      </c>
      <c r="AA516" s="14" t="s">
        <v>166</v>
      </c>
      <c r="AB516" s="14" t="s">
        <v>166</v>
      </c>
      <c r="AC516" s="14" t="s">
        <v>166</v>
      </c>
      <c r="AD516" s="14" t="s">
        <v>166</v>
      </c>
      <c r="AE516" s="14" t="s">
        <v>166</v>
      </c>
      <c r="AF516" s="14" t="s">
        <v>166</v>
      </c>
      <c r="AG516" s="14" t="s">
        <v>166</v>
      </c>
      <c r="AH516" s="21">
        <v>2</v>
      </c>
      <c r="AI516" s="3">
        <f>HYPERLINK("https://my.pitchbook.com/?d=221284-00T","221284-00T")</f>
      </c>
      <c r="AJ516" s="19" t="s">
        <v>166</v>
      </c>
      <c r="AK516" s="19">
        <v>43831</v>
      </c>
      <c r="AL516" s="18">
        <v>0.33</v>
      </c>
      <c r="AM516" s="14" t="s">
        <v>185</v>
      </c>
      <c r="AN516" s="18" t="s">
        <v>166</v>
      </c>
      <c r="AO516" s="18" t="s">
        <v>166</v>
      </c>
      <c r="AP516" s="14" t="s">
        <v>166</v>
      </c>
      <c r="AQ516" s="21" t="s">
        <v>166</v>
      </c>
      <c r="AR516" s="21" t="s">
        <v>166</v>
      </c>
      <c r="AS516" s="17" t="s">
        <v>166</v>
      </c>
      <c r="AT516" s="18">
        <v>0.33</v>
      </c>
      <c r="AU516" s="21" t="s">
        <v>186</v>
      </c>
      <c r="AV516" s="21" t="s">
        <v>166</v>
      </c>
      <c r="AW516" s="18" t="s">
        <v>166</v>
      </c>
      <c r="AX516" s="21" t="s">
        <v>166</v>
      </c>
      <c r="AY516" s="14" t="s">
        <v>187</v>
      </c>
      <c r="AZ516" s="14" t="s">
        <v>166</v>
      </c>
      <c r="BA516" s="14" t="s">
        <v>166</v>
      </c>
      <c r="BB516" s="21" t="s">
        <v>166</v>
      </c>
      <c r="BC516" s="14" t="s">
        <v>179</v>
      </c>
      <c r="BD516" s="14" t="s">
        <v>10023</v>
      </c>
      <c r="BE516" s="14" t="s">
        <v>189</v>
      </c>
      <c r="BF516" s="18">
        <v>0.33</v>
      </c>
      <c r="BG516" s="14" t="s">
        <v>190</v>
      </c>
      <c r="BH516" s="14" t="s">
        <v>166</v>
      </c>
      <c r="BI516" s="14" t="s">
        <v>166</v>
      </c>
      <c r="BJ516" s="18" t="s">
        <v>166</v>
      </c>
      <c r="BK516" s="18" t="s">
        <v>166</v>
      </c>
      <c r="BL516" s="14" t="s">
        <v>191</v>
      </c>
      <c r="BM516" s="14" t="s">
        <v>358</v>
      </c>
      <c r="BN516" s="14" t="s">
        <v>177</v>
      </c>
      <c r="BO516" s="22" t="s">
        <v>166</v>
      </c>
      <c r="BP516" s="14" t="s">
        <v>6074</v>
      </c>
      <c r="BQ516" s="21">
        <v>1</v>
      </c>
      <c r="BR516" s="14" t="s">
        <v>166</v>
      </c>
      <c r="BS516" s="21" t="s">
        <v>166</v>
      </c>
      <c r="BT516" s="14" t="s">
        <v>166</v>
      </c>
      <c r="BU516" s="14" t="s">
        <v>166</v>
      </c>
      <c r="BV516" s="14" t="s">
        <v>166</v>
      </c>
      <c r="BW516" s="14" t="s">
        <v>166</v>
      </c>
      <c r="BX516" s="14" t="s">
        <v>166</v>
      </c>
      <c r="BY516" s="14" t="s">
        <v>166</v>
      </c>
      <c r="BZ516" s="14" t="s">
        <v>166</v>
      </c>
      <c r="CA516" s="14" t="s">
        <v>166</v>
      </c>
      <c r="CB516" s="14" t="s">
        <v>166</v>
      </c>
      <c r="CC516" s="14" t="s">
        <v>166</v>
      </c>
      <c r="CD516" s="14" t="s">
        <v>166</v>
      </c>
      <c r="CE516" s="18" t="s">
        <v>166</v>
      </c>
      <c r="CF516" s="16" t="s">
        <v>166</v>
      </c>
      <c r="CG516" s="17" t="s">
        <v>166</v>
      </c>
      <c r="CH516" s="16" t="s">
        <v>166</v>
      </c>
      <c r="CI516" s="16" t="s">
        <v>166</v>
      </c>
      <c r="CJ516" s="16" t="s">
        <v>166</v>
      </c>
      <c r="CK516" s="16" t="s">
        <v>166</v>
      </c>
      <c r="CL516" s="16" t="s">
        <v>166</v>
      </c>
      <c r="CM516" s="20" t="s">
        <v>166</v>
      </c>
      <c r="CN516" s="16" t="s">
        <v>166</v>
      </c>
      <c r="CO516" s="16" t="s">
        <v>166</v>
      </c>
      <c r="CP516" s="16" t="s">
        <v>166</v>
      </c>
      <c r="CQ516" s="16" t="s">
        <v>166</v>
      </c>
      <c r="CR516" s="16" t="s">
        <v>166</v>
      </c>
      <c r="CS516" s="16" t="s">
        <v>166</v>
      </c>
      <c r="CT516" s="16" t="s">
        <v>166</v>
      </c>
      <c r="CU516" s="16" t="s">
        <v>166</v>
      </c>
      <c r="CV516" s="16" t="s">
        <v>166</v>
      </c>
      <c r="CW516" s="16" t="s">
        <v>166</v>
      </c>
      <c r="CX516" s="16" t="s">
        <v>166</v>
      </c>
      <c r="CY516" s="16" t="s">
        <v>166</v>
      </c>
      <c r="CZ516" s="16" t="s">
        <v>166</v>
      </c>
      <c r="DA516" s="16" t="s">
        <v>166</v>
      </c>
      <c r="DB516" s="16" t="s">
        <v>166</v>
      </c>
      <c r="DC516" s="16" t="s">
        <v>166</v>
      </c>
      <c r="DD516" s="16" t="s">
        <v>166</v>
      </c>
      <c r="DE516" s="17" t="s">
        <v>166</v>
      </c>
      <c r="DF516" s="22">
        <v>11</v>
      </c>
      <c r="DG516" s="14" t="s">
        <v>10024</v>
      </c>
      <c r="DH516" s="14" t="s">
        <v>193</v>
      </c>
      <c r="DI516" s="14" t="s">
        <v>194</v>
      </c>
      <c r="DJ516" s="14" t="s">
        <v>10025</v>
      </c>
      <c r="DK516" s="14" t="s">
        <v>545</v>
      </c>
      <c r="DL516" s="21" t="s">
        <v>10026</v>
      </c>
      <c r="DM516" s="14" t="s">
        <v>198</v>
      </c>
      <c r="DN516" s="13" t="s">
        <v>10027</v>
      </c>
      <c r="DO516" s="20">
        <v>2017</v>
      </c>
      <c r="DP516" s="14" t="s">
        <v>166</v>
      </c>
      <c r="DQ516" s="14" t="s">
        <v>166</v>
      </c>
      <c r="DR516" s="18" t="s">
        <v>166</v>
      </c>
      <c r="DS516" s="16" t="s">
        <v>166</v>
      </c>
      <c r="DT516" s="19" t="s">
        <v>166</v>
      </c>
      <c r="DU516" s="14" t="s">
        <v>166</v>
      </c>
      <c r="DV516" s="18" t="s">
        <v>166</v>
      </c>
      <c r="DW516" s="18" t="s">
        <v>166</v>
      </c>
      <c r="DX516" s="16" t="s">
        <v>166</v>
      </c>
      <c r="DY516" s="16" t="s">
        <v>166</v>
      </c>
      <c r="DZ516" s="17" t="s">
        <v>166</v>
      </c>
      <c r="EA516" s="16" t="s">
        <v>166</v>
      </c>
      <c r="EB516" s="16" t="s">
        <v>166</v>
      </c>
      <c r="EC516" s="16" t="s">
        <v>166</v>
      </c>
      <c r="ED516" s="17" t="s">
        <v>166</v>
      </c>
      <c r="EE516" s="17" t="s">
        <v>166</v>
      </c>
      <c r="EF516" s="17" t="s">
        <v>166</v>
      </c>
      <c r="EG516" s="17" t="s">
        <v>166</v>
      </c>
      <c r="EH516" s="16" t="s">
        <v>166</v>
      </c>
      <c r="EI516" s="16" t="s">
        <v>166</v>
      </c>
      <c r="EJ516" s="16" t="s">
        <v>166</v>
      </c>
      <c r="EK516" s="16" t="s">
        <v>166</v>
      </c>
      <c r="EL516" s="16" t="s">
        <v>166</v>
      </c>
      <c r="EM516" s="16" t="s">
        <v>166</v>
      </c>
      <c r="EN516" s="16" t="s">
        <v>166</v>
      </c>
      <c r="EO516" s="16" t="s">
        <v>166</v>
      </c>
      <c r="EP516" s="16" t="s">
        <v>166</v>
      </c>
      <c r="EQ516" s="16" t="s">
        <v>166</v>
      </c>
      <c r="ER516" s="16" t="s">
        <v>166</v>
      </c>
      <c r="ES516" s="16" t="s">
        <v>166</v>
      </c>
      <c r="ET516" s="14" t="s">
        <v>166</v>
      </c>
      <c r="EU516" s="16" t="s">
        <v>166</v>
      </c>
      <c r="EV516" s="16" t="s">
        <v>166</v>
      </c>
      <c r="EW516" s="16" t="s">
        <v>166</v>
      </c>
      <c r="EX516" s="14" t="s">
        <v>190</v>
      </c>
      <c r="EY516" s="14" t="s">
        <v>166</v>
      </c>
      <c r="EZ516" s="16" t="s">
        <v>166</v>
      </c>
      <c r="FA516" s="15" t="s">
        <v>166</v>
      </c>
      <c r="FB516" s="15" t="s">
        <v>166</v>
      </c>
      <c r="FC516" s="15" t="s">
        <v>166</v>
      </c>
      <c r="FD516" s="15" t="s">
        <v>166</v>
      </c>
      <c r="FE516" s="15" t="s">
        <v>166</v>
      </c>
      <c r="FF516" s="15" t="s">
        <v>166</v>
      </c>
      <c r="FG516" s="14" t="s">
        <v>166</v>
      </c>
      <c r="FH516" s="3">
        <f>HYPERLINK("https://my.pitchbook.com?c=221284-00T","View Company Online")</f>
      </c>
    </row>
    <row r="517">
      <c r="A517" s="25" t="s">
        <v>10028</v>
      </c>
      <c r="B517" s="25" t="s">
        <v>10029</v>
      </c>
      <c r="C517" s="25" t="s">
        <v>10030</v>
      </c>
      <c r="D517" s="25" t="s">
        <v>166</v>
      </c>
      <c r="E517" s="34" t="s">
        <v>10031</v>
      </c>
      <c r="F517" s="32">
        <v>9</v>
      </c>
      <c r="G517" s="25" t="s">
        <v>10032</v>
      </c>
      <c r="H517" s="25" t="s">
        <v>166</v>
      </c>
      <c r="I517" s="25" t="s">
        <v>10033</v>
      </c>
      <c r="J517" s="25" t="s">
        <v>10034</v>
      </c>
      <c r="K517" s="25" t="s">
        <v>207</v>
      </c>
      <c r="L517" s="25" t="s">
        <v>208</v>
      </c>
      <c r="M517" s="25" t="s">
        <v>209</v>
      </c>
      <c r="N517" s="25" t="s">
        <v>396</v>
      </c>
      <c r="O517" s="25" t="s">
        <v>10035</v>
      </c>
      <c r="P517" s="25" t="s">
        <v>10036</v>
      </c>
      <c r="Q517" s="25" t="s">
        <v>166</v>
      </c>
      <c r="R517" s="25" t="s">
        <v>177</v>
      </c>
      <c r="S517" s="25" t="s">
        <v>178</v>
      </c>
      <c r="T517" s="25" t="s">
        <v>179</v>
      </c>
      <c r="U517" s="25" t="s">
        <v>10037</v>
      </c>
      <c r="V517" s="25" t="s">
        <v>10038</v>
      </c>
      <c r="W517" s="32" t="s">
        <v>10039</v>
      </c>
      <c r="X517" s="25" t="s">
        <v>166</v>
      </c>
      <c r="Y517" s="25" t="s">
        <v>10040</v>
      </c>
      <c r="Z517" s="25" t="s">
        <v>10041</v>
      </c>
      <c r="AA517" s="25" t="s">
        <v>166</v>
      </c>
      <c r="AB517" s="25" t="s">
        <v>166</v>
      </c>
      <c r="AC517" s="25" t="s">
        <v>166</v>
      </c>
      <c r="AD517" s="25" t="s">
        <v>166</v>
      </c>
      <c r="AE517" s="25" t="s">
        <v>166</v>
      </c>
      <c r="AF517" s="25" t="s">
        <v>166</v>
      </c>
      <c r="AG517" s="25" t="s">
        <v>166</v>
      </c>
      <c r="AH517" s="32">
        <v>2</v>
      </c>
      <c r="AI517" s="4">
        <f>HYPERLINK("https://my.pitchbook.com/?d=207443-98T","207443-98T")</f>
      </c>
      <c r="AJ517" s="30">
        <v>44743</v>
      </c>
      <c r="AK517" s="30">
        <v>45078</v>
      </c>
      <c r="AL517" s="29">
        <v>1.35</v>
      </c>
      <c r="AM517" s="25" t="s">
        <v>185</v>
      </c>
      <c r="AN517" s="29">
        <v>9.5</v>
      </c>
      <c r="AO517" s="29">
        <v>10.85</v>
      </c>
      <c r="AP517" s="25" t="s">
        <v>185</v>
      </c>
      <c r="AQ517" s="32" t="s">
        <v>166</v>
      </c>
      <c r="AR517" s="32" t="s">
        <v>166</v>
      </c>
      <c r="AS517" s="28">
        <v>12.44</v>
      </c>
      <c r="AT517" s="29">
        <v>1.35</v>
      </c>
      <c r="AU517" s="32" t="s">
        <v>186</v>
      </c>
      <c r="AV517" s="32" t="s">
        <v>166</v>
      </c>
      <c r="AW517" s="29" t="s">
        <v>166</v>
      </c>
      <c r="AX517" s="32" t="s">
        <v>746</v>
      </c>
      <c r="AY517" s="25" t="s">
        <v>187</v>
      </c>
      <c r="AZ517" s="25" t="s">
        <v>746</v>
      </c>
      <c r="BA517" s="25" t="s">
        <v>166</v>
      </c>
      <c r="BB517" s="32" t="s">
        <v>166</v>
      </c>
      <c r="BC517" s="25" t="s">
        <v>179</v>
      </c>
      <c r="BD517" s="25" t="s">
        <v>10042</v>
      </c>
      <c r="BE517" s="25" t="s">
        <v>189</v>
      </c>
      <c r="BF517" s="29">
        <v>1.35</v>
      </c>
      <c r="BG517" s="25" t="s">
        <v>190</v>
      </c>
      <c r="BH517" s="25" t="s">
        <v>166</v>
      </c>
      <c r="BI517" s="25" t="s">
        <v>166</v>
      </c>
      <c r="BJ517" s="29" t="s">
        <v>166</v>
      </c>
      <c r="BK517" s="29" t="s">
        <v>166</v>
      </c>
      <c r="BL517" s="25" t="s">
        <v>191</v>
      </c>
      <c r="BM517" s="25" t="s">
        <v>178</v>
      </c>
      <c r="BN517" s="25" t="s">
        <v>177</v>
      </c>
      <c r="BO517" s="33" t="s">
        <v>166</v>
      </c>
      <c r="BP517" s="25" t="s">
        <v>10043</v>
      </c>
      <c r="BQ517" s="32">
        <v>9</v>
      </c>
      <c r="BR517" s="25" t="s">
        <v>166</v>
      </c>
      <c r="BS517" s="32" t="s">
        <v>166</v>
      </c>
      <c r="BT517" s="25" t="s">
        <v>166</v>
      </c>
      <c r="BU517" s="25" t="s">
        <v>166</v>
      </c>
      <c r="BV517" s="25" t="s">
        <v>10044</v>
      </c>
      <c r="BW517" s="25" t="s">
        <v>166</v>
      </c>
      <c r="BX517" s="25" t="s">
        <v>166</v>
      </c>
      <c r="BY517" s="25" t="s">
        <v>166</v>
      </c>
      <c r="BZ517" s="25" t="s">
        <v>166</v>
      </c>
      <c r="CA517" s="25" t="s">
        <v>166</v>
      </c>
      <c r="CB517" s="25" t="s">
        <v>166</v>
      </c>
      <c r="CC517" s="25" t="s">
        <v>166</v>
      </c>
      <c r="CD517" s="25" t="s">
        <v>166</v>
      </c>
      <c r="CE517" s="29" t="s">
        <v>166</v>
      </c>
      <c r="CF517" s="27" t="s">
        <v>166</v>
      </c>
      <c r="CG517" s="28" t="s">
        <v>166</v>
      </c>
      <c r="CH517" s="27" t="s">
        <v>166</v>
      </c>
      <c r="CI517" s="27" t="s">
        <v>166</v>
      </c>
      <c r="CJ517" s="27" t="s">
        <v>166</v>
      </c>
      <c r="CK517" s="27" t="s">
        <v>166</v>
      </c>
      <c r="CL517" s="27" t="s">
        <v>166</v>
      </c>
      <c r="CM517" s="31" t="s">
        <v>166</v>
      </c>
      <c r="CN517" s="27" t="s">
        <v>166</v>
      </c>
      <c r="CO517" s="27" t="s">
        <v>166</v>
      </c>
      <c r="CP517" s="27" t="s">
        <v>166</v>
      </c>
      <c r="CQ517" s="27" t="s">
        <v>166</v>
      </c>
      <c r="CR517" s="27" t="s">
        <v>166</v>
      </c>
      <c r="CS517" s="27" t="s">
        <v>166</v>
      </c>
      <c r="CT517" s="27" t="s">
        <v>166</v>
      </c>
      <c r="CU517" s="27" t="s">
        <v>166</v>
      </c>
      <c r="CV517" s="27" t="s">
        <v>166</v>
      </c>
      <c r="CW517" s="27" t="s">
        <v>166</v>
      </c>
      <c r="CX517" s="27" t="s">
        <v>166</v>
      </c>
      <c r="CY517" s="27" t="s">
        <v>166</v>
      </c>
      <c r="CZ517" s="27" t="s">
        <v>166</v>
      </c>
      <c r="DA517" s="27" t="s">
        <v>166</v>
      </c>
      <c r="DB517" s="27" t="s">
        <v>166</v>
      </c>
      <c r="DC517" s="27" t="s">
        <v>166</v>
      </c>
      <c r="DD517" s="27" t="s">
        <v>166</v>
      </c>
      <c r="DE517" s="28" t="s">
        <v>166</v>
      </c>
      <c r="DF517" s="33">
        <v>13</v>
      </c>
      <c r="DG517" s="25" t="s">
        <v>568</v>
      </c>
      <c r="DH517" s="25" t="s">
        <v>193</v>
      </c>
      <c r="DI517" s="25" t="s">
        <v>194</v>
      </c>
      <c r="DJ517" s="25" t="s">
        <v>569</v>
      </c>
      <c r="DK517" s="25" t="s">
        <v>408</v>
      </c>
      <c r="DL517" s="32" t="s">
        <v>3646</v>
      </c>
      <c r="DM517" s="25" t="s">
        <v>198</v>
      </c>
      <c r="DN517" s="24" t="s">
        <v>10045</v>
      </c>
      <c r="DO517" s="31">
        <v>2021</v>
      </c>
      <c r="DP517" s="25" t="s">
        <v>166</v>
      </c>
      <c r="DQ517" s="25" t="s">
        <v>166</v>
      </c>
      <c r="DR517" s="29" t="s">
        <v>166</v>
      </c>
      <c r="DS517" s="27" t="s">
        <v>166</v>
      </c>
      <c r="DT517" s="30" t="s">
        <v>166</v>
      </c>
      <c r="DU517" s="25" t="s">
        <v>166</v>
      </c>
      <c r="DV517" s="29" t="s">
        <v>166</v>
      </c>
      <c r="DW517" s="29" t="s">
        <v>166</v>
      </c>
      <c r="DX517" s="27" t="s">
        <v>166</v>
      </c>
      <c r="DY517" s="27" t="s">
        <v>166</v>
      </c>
      <c r="DZ517" s="28" t="s">
        <v>166</v>
      </c>
      <c r="EA517" s="27" t="s">
        <v>166</v>
      </c>
      <c r="EB517" s="27" t="s">
        <v>166</v>
      </c>
      <c r="EC517" s="27" t="s">
        <v>166</v>
      </c>
      <c r="ED517" s="28" t="s">
        <v>166</v>
      </c>
      <c r="EE517" s="28" t="s">
        <v>166</v>
      </c>
      <c r="EF517" s="28" t="s">
        <v>166</v>
      </c>
      <c r="EG517" s="28" t="s">
        <v>166</v>
      </c>
      <c r="EH517" s="27" t="s">
        <v>166</v>
      </c>
      <c r="EI517" s="27" t="s">
        <v>166</v>
      </c>
      <c r="EJ517" s="27" t="s">
        <v>166</v>
      </c>
      <c r="EK517" s="27" t="s">
        <v>166</v>
      </c>
      <c r="EL517" s="27" t="s">
        <v>166</v>
      </c>
      <c r="EM517" s="27" t="s">
        <v>166</v>
      </c>
      <c r="EN517" s="27" t="s">
        <v>166</v>
      </c>
      <c r="EO517" s="27" t="s">
        <v>166</v>
      </c>
      <c r="EP517" s="27" t="s">
        <v>166</v>
      </c>
      <c r="EQ517" s="27" t="s">
        <v>166</v>
      </c>
      <c r="ER517" s="27" t="s">
        <v>166</v>
      </c>
      <c r="ES517" s="27" t="s">
        <v>166</v>
      </c>
      <c r="ET517" s="25" t="s">
        <v>166</v>
      </c>
      <c r="EU517" s="27" t="s">
        <v>166</v>
      </c>
      <c r="EV517" s="27" t="s">
        <v>166</v>
      </c>
      <c r="EW517" s="27" t="s">
        <v>166</v>
      </c>
      <c r="EX517" s="25" t="s">
        <v>190</v>
      </c>
      <c r="EY517" s="25" t="s">
        <v>166</v>
      </c>
      <c r="EZ517" s="27" t="s">
        <v>166</v>
      </c>
      <c r="FA517" s="26" t="s">
        <v>166</v>
      </c>
      <c r="FB517" s="26" t="s">
        <v>166</v>
      </c>
      <c r="FC517" s="26" t="s">
        <v>166</v>
      </c>
      <c r="FD517" s="26" t="s">
        <v>166</v>
      </c>
      <c r="FE517" s="26" t="s">
        <v>166</v>
      </c>
      <c r="FF517" s="26" t="s">
        <v>166</v>
      </c>
      <c r="FG517" s="25" t="s">
        <v>166</v>
      </c>
      <c r="FH517" s="4">
        <f>HYPERLINK("https://my.pitchbook.com?c=207443-98T","View Company Online")</f>
      </c>
    </row>
    <row r="518">
      <c r="A518" s="14" t="s">
        <v>10046</v>
      </c>
      <c r="B518" s="14" t="s">
        <v>10047</v>
      </c>
      <c r="C518" s="14" t="s">
        <v>10048</v>
      </c>
      <c r="D518" s="14" t="s">
        <v>166</v>
      </c>
      <c r="E518" s="23" t="s">
        <v>10049</v>
      </c>
      <c r="F518" s="21">
        <v>8</v>
      </c>
      <c r="G518" s="14" t="s">
        <v>10050</v>
      </c>
      <c r="H518" s="14" t="s">
        <v>166</v>
      </c>
      <c r="I518" s="14" t="s">
        <v>10051</v>
      </c>
      <c r="J518" s="14" t="s">
        <v>10052</v>
      </c>
      <c r="K518" s="14" t="s">
        <v>207</v>
      </c>
      <c r="L518" s="14" t="s">
        <v>208</v>
      </c>
      <c r="M518" s="14" t="s">
        <v>209</v>
      </c>
      <c r="N518" s="14" t="s">
        <v>269</v>
      </c>
      <c r="O518" s="14" t="s">
        <v>5133</v>
      </c>
      <c r="P518" s="14" t="s">
        <v>10053</v>
      </c>
      <c r="Q518" s="14" t="s">
        <v>166</v>
      </c>
      <c r="R518" s="14" t="s">
        <v>177</v>
      </c>
      <c r="S518" s="14" t="s">
        <v>178</v>
      </c>
      <c r="T518" s="14" t="s">
        <v>179</v>
      </c>
      <c r="U518" s="14" t="s">
        <v>10054</v>
      </c>
      <c r="V518" s="14" t="s">
        <v>10055</v>
      </c>
      <c r="W518" s="21" t="s">
        <v>166</v>
      </c>
      <c r="X518" s="14" t="s">
        <v>10056</v>
      </c>
      <c r="Y518" s="14" t="s">
        <v>10057</v>
      </c>
      <c r="Z518" s="14" t="s">
        <v>10058</v>
      </c>
      <c r="AA518" s="14" t="s">
        <v>166</v>
      </c>
      <c r="AB518" s="14" t="s">
        <v>166</v>
      </c>
      <c r="AC518" s="14" t="s">
        <v>166</v>
      </c>
      <c r="AD518" s="14" t="s">
        <v>166</v>
      </c>
      <c r="AE518" s="14" t="s">
        <v>166</v>
      </c>
      <c r="AF518" s="14" t="s">
        <v>166</v>
      </c>
      <c r="AG518" s="14" t="s">
        <v>166</v>
      </c>
      <c r="AH518" s="21">
        <v>2</v>
      </c>
      <c r="AI518" s="3">
        <f>HYPERLINK("https://my.pitchbook.com/?d=182700-64T","182700-64T")</f>
      </c>
      <c r="AJ518" s="19" t="s">
        <v>166</v>
      </c>
      <c r="AK518" s="19">
        <v>44498</v>
      </c>
      <c r="AL518" s="18">
        <v>6.2</v>
      </c>
      <c r="AM518" s="14" t="s">
        <v>185</v>
      </c>
      <c r="AN518" s="18" t="s">
        <v>166</v>
      </c>
      <c r="AO518" s="18" t="s">
        <v>166</v>
      </c>
      <c r="AP518" s="14" t="s">
        <v>166</v>
      </c>
      <c r="AQ518" s="21" t="s">
        <v>166</v>
      </c>
      <c r="AR518" s="21" t="s">
        <v>166</v>
      </c>
      <c r="AS518" s="17" t="s">
        <v>166</v>
      </c>
      <c r="AT518" s="18">
        <v>6.4</v>
      </c>
      <c r="AU518" s="21" t="s">
        <v>186</v>
      </c>
      <c r="AV518" s="21" t="s">
        <v>166</v>
      </c>
      <c r="AW518" s="18" t="s">
        <v>166</v>
      </c>
      <c r="AX518" s="21" t="s">
        <v>166</v>
      </c>
      <c r="AY518" s="14" t="s">
        <v>217</v>
      </c>
      <c r="AZ518" s="14" t="s">
        <v>217</v>
      </c>
      <c r="BA518" s="14" t="s">
        <v>166</v>
      </c>
      <c r="BB518" s="21" t="s">
        <v>166</v>
      </c>
      <c r="BC518" s="14" t="s">
        <v>179</v>
      </c>
      <c r="BD518" s="14" t="s">
        <v>10059</v>
      </c>
      <c r="BE518" s="14" t="s">
        <v>189</v>
      </c>
      <c r="BF518" s="18">
        <v>6.2</v>
      </c>
      <c r="BG518" s="14" t="s">
        <v>190</v>
      </c>
      <c r="BH518" s="14" t="s">
        <v>166</v>
      </c>
      <c r="BI518" s="14" t="s">
        <v>166</v>
      </c>
      <c r="BJ518" s="18" t="s">
        <v>166</v>
      </c>
      <c r="BK518" s="18" t="s">
        <v>166</v>
      </c>
      <c r="BL518" s="14" t="s">
        <v>191</v>
      </c>
      <c r="BM518" s="14" t="s">
        <v>178</v>
      </c>
      <c r="BN518" s="14" t="s">
        <v>177</v>
      </c>
      <c r="BO518" s="22" t="s">
        <v>166</v>
      </c>
      <c r="BP518" s="14" t="s">
        <v>10060</v>
      </c>
      <c r="BQ518" s="21">
        <v>8</v>
      </c>
      <c r="BR518" s="14" t="s">
        <v>166</v>
      </c>
      <c r="BS518" s="21" t="s">
        <v>166</v>
      </c>
      <c r="BT518" s="14" t="s">
        <v>10061</v>
      </c>
      <c r="BU518" s="14" t="s">
        <v>166</v>
      </c>
      <c r="BV518" s="14" t="s">
        <v>10062</v>
      </c>
      <c r="BW518" s="14" t="s">
        <v>166</v>
      </c>
      <c r="BX518" s="14" t="s">
        <v>166</v>
      </c>
      <c r="BY518" s="14" t="s">
        <v>166</v>
      </c>
      <c r="BZ518" s="14" t="s">
        <v>10063</v>
      </c>
      <c r="CA518" s="14" t="s">
        <v>770</v>
      </c>
      <c r="CB518" s="14" t="s">
        <v>166</v>
      </c>
      <c r="CC518" s="14" t="s">
        <v>10064</v>
      </c>
      <c r="CD518" s="14" t="s">
        <v>166</v>
      </c>
      <c r="CE518" s="18" t="s">
        <v>166</v>
      </c>
      <c r="CF518" s="16" t="s">
        <v>166</v>
      </c>
      <c r="CG518" s="17" t="s">
        <v>166</v>
      </c>
      <c r="CH518" s="16" t="s">
        <v>166</v>
      </c>
      <c r="CI518" s="16" t="s">
        <v>166</v>
      </c>
      <c r="CJ518" s="16" t="s">
        <v>166</v>
      </c>
      <c r="CK518" s="16" t="s">
        <v>166</v>
      </c>
      <c r="CL518" s="16" t="s">
        <v>166</v>
      </c>
      <c r="CM518" s="20" t="s">
        <v>166</v>
      </c>
      <c r="CN518" s="16" t="s">
        <v>166</v>
      </c>
      <c r="CO518" s="16" t="s">
        <v>166</v>
      </c>
      <c r="CP518" s="16" t="s">
        <v>166</v>
      </c>
      <c r="CQ518" s="16" t="s">
        <v>166</v>
      </c>
      <c r="CR518" s="16" t="s">
        <v>166</v>
      </c>
      <c r="CS518" s="16" t="s">
        <v>166</v>
      </c>
      <c r="CT518" s="16" t="s">
        <v>166</v>
      </c>
      <c r="CU518" s="16" t="s">
        <v>166</v>
      </c>
      <c r="CV518" s="16" t="s">
        <v>166</v>
      </c>
      <c r="CW518" s="16" t="s">
        <v>166</v>
      </c>
      <c r="CX518" s="16" t="s">
        <v>166</v>
      </c>
      <c r="CY518" s="16" t="s">
        <v>166</v>
      </c>
      <c r="CZ518" s="16" t="s">
        <v>166</v>
      </c>
      <c r="DA518" s="16" t="s">
        <v>166</v>
      </c>
      <c r="DB518" s="16" t="s">
        <v>166</v>
      </c>
      <c r="DC518" s="16" t="s">
        <v>166</v>
      </c>
      <c r="DD518" s="16" t="s">
        <v>166</v>
      </c>
      <c r="DE518" s="17" t="s">
        <v>166</v>
      </c>
      <c r="DF518" s="22">
        <v>7</v>
      </c>
      <c r="DG518" s="14" t="s">
        <v>10065</v>
      </c>
      <c r="DH518" s="14" t="s">
        <v>193</v>
      </c>
      <c r="DI518" s="14" t="s">
        <v>194</v>
      </c>
      <c r="DJ518" s="14" t="s">
        <v>10066</v>
      </c>
      <c r="DK518" s="14" t="s">
        <v>257</v>
      </c>
      <c r="DL518" s="21" t="s">
        <v>1491</v>
      </c>
      <c r="DM518" s="14" t="s">
        <v>198</v>
      </c>
      <c r="DN518" s="13" t="s">
        <v>10067</v>
      </c>
      <c r="DO518" s="20">
        <v>2021</v>
      </c>
      <c r="DP518" s="14" t="s">
        <v>166</v>
      </c>
      <c r="DQ518" s="14" t="s">
        <v>166</v>
      </c>
      <c r="DR518" s="18" t="s">
        <v>166</v>
      </c>
      <c r="DS518" s="16" t="s">
        <v>166</v>
      </c>
      <c r="DT518" s="19" t="s">
        <v>166</v>
      </c>
      <c r="DU518" s="14" t="s">
        <v>166</v>
      </c>
      <c r="DV518" s="18" t="s">
        <v>166</v>
      </c>
      <c r="DW518" s="18" t="s">
        <v>166</v>
      </c>
      <c r="DX518" s="16" t="s">
        <v>166</v>
      </c>
      <c r="DY518" s="16" t="s">
        <v>166</v>
      </c>
      <c r="DZ518" s="17" t="s">
        <v>166</v>
      </c>
      <c r="EA518" s="16" t="s">
        <v>166</v>
      </c>
      <c r="EB518" s="16" t="s">
        <v>166</v>
      </c>
      <c r="EC518" s="16" t="s">
        <v>166</v>
      </c>
      <c r="ED518" s="17" t="s">
        <v>166</v>
      </c>
      <c r="EE518" s="17" t="s">
        <v>166</v>
      </c>
      <c r="EF518" s="17" t="s">
        <v>166</v>
      </c>
      <c r="EG518" s="17" t="s">
        <v>166</v>
      </c>
      <c r="EH518" s="16" t="s">
        <v>166</v>
      </c>
      <c r="EI518" s="16" t="s">
        <v>166</v>
      </c>
      <c r="EJ518" s="16" t="s">
        <v>166</v>
      </c>
      <c r="EK518" s="16" t="s">
        <v>166</v>
      </c>
      <c r="EL518" s="16" t="s">
        <v>166</v>
      </c>
      <c r="EM518" s="16" t="s">
        <v>166</v>
      </c>
      <c r="EN518" s="16" t="s">
        <v>166</v>
      </c>
      <c r="EO518" s="16" t="s">
        <v>166</v>
      </c>
      <c r="EP518" s="16" t="s">
        <v>166</v>
      </c>
      <c r="EQ518" s="16" t="s">
        <v>166</v>
      </c>
      <c r="ER518" s="16" t="s">
        <v>166</v>
      </c>
      <c r="ES518" s="16" t="s">
        <v>166</v>
      </c>
      <c r="ET518" s="14" t="s">
        <v>166</v>
      </c>
      <c r="EU518" s="16" t="s">
        <v>166</v>
      </c>
      <c r="EV518" s="16" t="s">
        <v>166</v>
      </c>
      <c r="EW518" s="16" t="s">
        <v>166</v>
      </c>
      <c r="EX518" s="14" t="s">
        <v>190</v>
      </c>
      <c r="EY518" s="14" t="s">
        <v>166</v>
      </c>
      <c r="EZ518" s="16" t="s">
        <v>166</v>
      </c>
      <c r="FA518" s="15" t="s">
        <v>166</v>
      </c>
      <c r="FB518" s="15" t="s">
        <v>166</v>
      </c>
      <c r="FC518" s="15" t="s">
        <v>166</v>
      </c>
      <c r="FD518" s="15" t="s">
        <v>166</v>
      </c>
      <c r="FE518" s="15" t="s">
        <v>166</v>
      </c>
      <c r="FF518" s="15" t="s">
        <v>166</v>
      </c>
      <c r="FG518" s="14" t="s">
        <v>166</v>
      </c>
      <c r="FH518" s="3">
        <f>HYPERLINK("https://my.pitchbook.com?c=182700-64T","View Company Online")</f>
      </c>
    </row>
    <row r="519">
      <c r="A519" s="25" t="s">
        <v>10068</v>
      </c>
      <c r="B519" s="25" t="s">
        <v>10069</v>
      </c>
      <c r="C519" s="25" t="s">
        <v>10070</v>
      </c>
      <c r="D519" s="25" t="s">
        <v>166</v>
      </c>
      <c r="E519" s="34" t="s">
        <v>10071</v>
      </c>
      <c r="F519" s="32">
        <v>8</v>
      </c>
      <c r="G519" s="25" t="s">
        <v>10072</v>
      </c>
      <c r="H519" s="25" t="s">
        <v>166</v>
      </c>
      <c r="I519" s="25" t="s">
        <v>10073</v>
      </c>
      <c r="J519" s="25" t="s">
        <v>10074</v>
      </c>
      <c r="K519" s="25" t="s">
        <v>207</v>
      </c>
      <c r="L519" s="25" t="s">
        <v>208</v>
      </c>
      <c r="M519" s="25" t="s">
        <v>1940</v>
      </c>
      <c r="N519" s="25" t="s">
        <v>10075</v>
      </c>
      <c r="O519" s="25" t="s">
        <v>10076</v>
      </c>
      <c r="P519" s="25" t="s">
        <v>10077</v>
      </c>
      <c r="Q519" s="25" t="s">
        <v>166</v>
      </c>
      <c r="R519" s="25" t="s">
        <v>177</v>
      </c>
      <c r="S519" s="25" t="s">
        <v>178</v>
      </c>
      <c r="T519" s="25" t="s">
        <v>179</v>
      </c>
      <c r="U519" s="25" t="s">
        <v>10078</v>
      </c>
      <c r="V519" s="25" t="s">
        <v>10079</v>
      </c>
      <c r="W519" s="32" t="s">
        <v>10080</v>
      </c>
      <c r="X519" s="25" t="s">
        <v>10081</v>
      </c>
      <c r="Y519" s="25" t="s">
        <v>10082</v>
      </c>
      <c r="Z519" s="25" t="s">
        <v>166</v>
      </c>
      <c r="AA519" s="25" t="s">
        <v>242</v>
      </c>
      <c r="AB519" s="25" t="s">
        <v>243</v>
      </c>
      <c r="AC519" s="25" t="s">
        <v>244</v>
      </c>
      <c r="AD519" s="25" t="s">
        <v>243</v>
      </c>
      <c r="AE519" s="25" t="s">
        <v>243</v>
      </c>
      <c r="AF519" s="25" t="s">
        <v>166</v>
      </c>
      <c r="AG519" s="25" t="s">
        <v>807</v>
      </c>
      <c r="AH519" s="32">
        <v>2</v>
      </c>
      <c r="AI519" s="4">
        <f>HYPERLINK("https://my.pitchbook.com/?d=107711-83T","107711-83T")</f>
      </c>
      <c r="AJ519" s="30">
        <v>43214</v>
      </c>
      <c r="AK519" s="30">
        <v>44075</v>
      </c>
      <c r="AL519" s="29">
        <v>0.41</v>
      </c>
      <c r="AM519" s="25" t="s">
        <v>185</v>
      </c>
      <c r="AN519" s="29">
        <v>4.5</v>
      </c>
      <c r="AO519" s="29">
        <v>4.91</v>
      </c>
      <c r="AP519" s="25" t="s">
        <v>185</v>
      </c>
      <c r="AQ519" s="32" t="s">
        <v>166</v>
      </c>
      <c r="AR519" s="32" t="s">
        <v>166</v>
      </c>
      <c r="AS519" s="28">
        <v>8.26</v>
      </c>
      <c r="AT519" s="29">
        <v>0.41</v>
      </c>
      <c r="AU519" s="32" t="s">
        <v>186</v>
      </c>
      <c r="AV519" s="32" t="s">
        <v>166</v>
      </c>
      <c r="AW519" s="29">
        <v>1.79</v>
      </c>
      <c r="AX519" s="32" t="s">
        <v>166</v>
      </c>
      <c r="AY519" s="25" t="s">
        <v>217</v>
      </c>
      <c r="AZ519" s="25" t="s">
        <v>217</v>
      </c>
      <c r="BA519" s="25" t="s">
        <v>166</v>
      </c>
      <c r="BB519" s="32" t="s">
        <v>166</v>
      </c>
      <c r="BC519" s="25" t="s">
        <v>179</v>
      </c>
      <c r="BD519" s="25" t="s">
        <v>10083</v>
      </c>
      <c r="BE519" s="25" t="s">
        <v>189</v>
      </c>
      <c r="BF519" s="29">
        <v>0.41</v>
      </c>
      <c r="BG519" s="25" t="s">
        <v>190</v>
      </c>
      <c r="BH519" s="25" t="s">
        <v>166</v>
      </c>
      <c r="BI519" s="25" t="s">
        <v>166</v>
      </c>
      <c r="BJ519" s="29" t="s">
        <v>166</v>
      </c>
      <c r="BK519" s="29" t="s">
        <v>166</v>
      </c>
      <c r="BL519" s="25" t="s">
        <v>191</v>
      </c>
      <c r="BM519" s="25" t="s">
        <v>178</v>
      </c>
      <c r="BN519" s="25" t="s">
        <v>177</v>
      </c>
      <c r="BO519" s="33" t="s">
        <v>166</v>
      </c>
      <c r="BP519" s="25" t="s">
        <v>10084</v>
      </c>
      <c r="BQ519" s="32">
        <v>8</v>
      </c>
      <c r="BR519" s="25" t="s">
        <v>166</v>
      </c>
      <c r="BS519" s="32" t="s">
        <v>166</v>
      </c>
      <c r="BT519" s="25" t="s">
        <v>166</v>
      </c>
      <c r="BU519" s="25" t="s">
        <v>166</v>
      </c>
      <c r="BV519" s="25" t="s">
        <v>10085</v>
      </c>
      <c r="BW519" s="25" t="s">
        <v>166</v>
      </c>
      <c r="BX519" s="25" t="s">
        <v>166</v>
      </c>
      <c r="BY519" s="25" t="s">
        <v>166</v>
      </c>
      <c r="BZ519" s="25" t="s">
        <v>10086</v>
      </c>
      <c r="CA519" s="25" t="s">
        <v>10086</v>
      </c>
      <c r="CB519" s="25" t="s">
        <v>166</v>
      </c>
      <c r="CC519" s="25" t="s">
        <v>166</v>
      </c>
      <c r="CD519" s="25" t="s">
        <v>166</v>
      </c>
      <c r="CE519" s="29" t="s">
        <v>166</v>
      </c>
      <c r="CF519" s="27" t="s">
        <v>166</v>
      </c>
      <c r="CG519" s="28" t="s">
        <v>166</v>
      </c>
      <c r="CH519" s="27" t="s">
        <v>166</v>
      </c>
      <c r="CI519" s="27" t="s">
        <v>166</v>
      </c>
      <c r="CJ519" s="27" t="s">
        <v>166</v>
      </c>
      <c r="CK519" s="27" t="s">
        <v>166</v>
      </c>
      <c r="CL519" s="27" t="s">
        <v>166</v>
      </c>
      <c r="CM519" s="31" t="s">
        <v>166</v>
      </c>
      <c r="CN519" s="27" t="s">
        <v>166</v>
      </c>
      <c r="CO519" s="27" t="s">
        <v>166</v>
      </c>
      <c r="CP519" s="27" t="s">
        <v>166</v>
      </c>
      <c r="CQ519" s="27" t="s">
        <v>166</v>
      </c>
      <c r="CR519" s="27" t="s">
        <v>166</v>
      </c>
      <c r="CS519" s="27" t="s">
        <v>166</v>
      </c>
      <c r="CT519" s="27" t="s">
        <v>166</v>
      </c>
      <c r="CU519" s="27" t="s">
        <v>166</v>
      </c>
      <c r="CV519" s="27" t="s">
        <v>166</v>
      </c>
      <c r="CW519" s="27" t="s">
        <v>166</v>
      </c>
      <c r="CX519" s="27" t="s">
        <v>166</v>
      </c>
      <c r="CY519" s="27" t="s">
        <v>166</v>
      </c>
      <c r="CZ519" s="27" t="s">
        <v>166</v>
      </c>
      <c r="DA519" s="27" t="s">
        <v>166</v>
      </c>
      <c r="DB519" s="27" t="s">
        <v>166</v>
      </c>
      <c r="DC519" s="27" t="s">
        <v>166</v>
      </c>
      <c r="DD519" s="27" t="s">
        <v>166</v>
      </c>
      <c r="DE519" s="28" t="s">
        <v>166</v>
      </c>
      <c r="DF519" s="33">
        <v>17</v>
      </c>
      <c r="DG519" s="25" t="s">
        <v>2367</v>
      </c>
      <c r="DH519" s="25" t="s">
        <v>193</v>
      </c>
      <c r="DI519" s="25" t="s">
        <v>194</v>
      </c>
      <c r="DJ519" s="25" t="s">
        <v>2368</v>
      </c>
      <c r="DK519" s="25" t="s">
        <v>2369</v>
      </c>
      <c r="DL519" s="32" t="s">
        <v>10087</v>
      </c>
      <c r="DM519" s="25" t="s">
        <v>198</v>
      </c>
      <c r="DN519" s="24" t="s">
        <v>10088</v>
      </c>
      <c r="DO519" s="31">
        <v>2016</v>
      </c>
      <c r="DP519" s="25" t="s">
        <v>166</v>
      </c>
      <c r="DQ519" s="25" t="s">
        <v>166</v>
      </c>
      <c r="DR519" s="29" t="s">
        <v>166</v>
      </c>
      <c r="DS519" s="27" t="s">
        <v>166</v>
      </c>
      <c r="DT519" s="30" t="s">
        <v>166</v>
      </c>
      <c r="DU519" s="25" t="s">
        <v>166</v>
      </c>
      <c r="DV519" s="29" t="s">
        <v>166</v>
      </c>
      <c r="DW519" s="29" t="s">
        <v>166</v>
      </c>
      <c r="DX519" s="27" t="s">
        <v>166</v>
      </c>
      <c r="DY519" s="27" t="s">
        <v>166</v>
      </c>
      <c r="DZ519" s="28" t="s">
        <v>166</v>
      </c>
      <c r="EA519" s="27" t="s">
        <v>166</v>
      </c>
      <c r="EB519" s="27" t="s">
        <v>166</v>
      </c>
      <c r="EC519" s="27" t="s">
        <v>166</v>
      </c>
      <c r="ED519" s="28" t="s">
        <v>166</v>
      </c>
      <c r="EE519" s="28" t="s">
        <v>166</v>
      </c>
      <c r="EF519" s="28" t="s">
        <v>166</v>
      </c>
      <c r="EG519" s="28" t="s">
        <v>166</v>
      </c>
      <c r="EH519" s="27" t="s">
        <v>166</v>
      </c>
      <c r="EI519" s="27" t="s">
        <v>166</v>
      </c>
      <c r="EJ519" s="27" t="s">
        <v>166</v>
      </c>
      <c r="EK519" s="27" t="s">
        <v>166</v>
      </c>
      <c r="EL519" s="27" t="s">
        <v>166</v>
      </c>
      <c r="EM519" s="27" t="s">
        <v>166</v>
      </c>
      <c r="EN519" s="27" t="s">
        <v>166</v>
      </c>
      <c r="EO519" s="27" t="s">
        <v>166</v>
      </c>
      <c r="EP519" s="27" t="s">
        <v>166</v>
      </c>
      <c r="EQ519" s="27" t="s">
        <v>166</v>
      </c>
      <c r="ER519" s="27" t="s">
        <v>166</v>
      </c>
      <c r="ES519" s="27" t="s">
        <v>166</v>
      </c>
      <c r="ET519" s="25" t="s">
        <v>166</v>
      </c>
      <c r="EU519" s="27" t="s">
        <v>166</v>
      </c>
      <c r="EV519" s="27" t="s">
        <v>166</v>
      </c>
      <c r="EW519" s="27" t="s">
        <v>166</v>
      </c>
      <c r="EX519" s="25" t="s">
        <v>190</v>
      </c>
      <c r="EY519" s="25" t="s">
        <v>166</v>
      </c>
      <c r="EZ519" s="27" t="s">
        <v>166</v>
      </c>
      <c r="FA519" s="26">
        <v>6</v>
      </c>
      <c r="FB519" s="26">
        <v>2</v>
      </c>
      <c r="FC519" s="26">
        <v>6</v>
      </c>
      <c r="FD519" s="26" t="s">
        <v>166</v>
      </c>
      <c r="FE519" s="26" t="s">
        <v>166</v>
      </c>
      <c r="FF519" s="26" t="s">
        <v>166</v>
      </c>
      <c r="FG519" s="25" t="s">
        <v>364</v>
      </c>
      <c r="FH519" s="4">
        <f>HYPERLINK("https://my.pitchbook.com?c=107711-83T","View Company Online")</f>
      </c>
    </row>
    <row r="520">
      <c r="A520" s="14" t="s">
        <v>10089</v>
      </c>
      <c r="B520" s="14" t="s">
        <v>10090</v>
      </c>
      <c r="C520" s="14" t="s">
        <v>10091</v>
      </c>
      <c r="D520" s="14" t="s">
        <v>166</v>
      </c>
      <c r="E520" s="23" t="s">
        <v>10092</v>
      </c>
      <c r="F520" s="21">
        <v>4</v>
      </c>
      <c r="G520" s="14" t="s">
        <v>10093</v>
      </c>
      <c r="H520" s="14" t="s">
        <v>166</v>
      </c>
      <c r="I520" s="14" t="s">
        <v>10094</v>
      </c>
      <c r="J520" s="14" t="s">
        <v>10095</v>
      </c>
      <c r="K520" s="14" t="s">
        <v>1455</v>
      </c>
      <c r="L520" s="14" t="s">
        <v>1456</v>
      </c>
      <c r="M520" s="14" t="s">
        <v>1457</v>
      </c>
      <c r="N520" s="14" t="s">
        <v>1841</v>
      </c>
      <c r="O520" s="14" t="s">
        <v>211</v>
      </c>
      <c r="P520" s="14" t="s">
        <v>10096</v>
      </c>
      <c r="Q520" s="14" t="s">
        <v>166</v>
      </c>
      <c r="R520" s="14" t="s">
        <v>177</v>
      </c>
      <c r="S520" s="14" t="s">
        <v>178</v>
      </c>
      <c r="T520" s="14" t="s">
        <v>179</v>
      </c>
      <c r="U520" s="14" t="s">
        <v>10097</v>
      </c>
      <c r="V520" s="14" t="s">
        <v>10098</v>
      </c>
      <c r="W520" s="21" t="s">
        <v>166</v>
      </c>
      <c r="X520" s="14" t="s">
        <v>166</v>
      </c>
      <c r="Y520" s="14" t="s">
        <v>10099</v>
      </c>
      <c r="Z520" s="14" t="s">
        <v>10100</v>
      </c>
      <c r="AA520" s="14" t="s">
        <v>166</v>
      </c>
      <c r="AB520" s="14" t="s">
        <v>166</v>
      </c>
      <c r="AC520" s="14" t="s">
        <v>166</v>
      </c>
      <c r="AD520" s="14" t="s">
        <v>166</v>
      </c>
      <c r="AE520" s="14" t="s">
        <v>166</v>
      </c>
      <c r="AF520" s="14" t="s">
        <v>166</v>
      </c>
      <c r="AG520" s="14" t="s">
        <v>166</v>
      </c>
      <c r="AH520" s="21">
        <v>1</v>
      </c>
      <c r="AI520" s="3">
        <f>HYPERLINK("https://my.pitchbook.com/?d=188431-75T","188431-75T")</f>
      </c>
      <c r="AJ520" s="19" t="s">
        <v>166</v>
      </c>
      <c r="AK520" s="19">
        <v>44606</v>
      </c>
      <c r="AL520" s="18">
        <v>1</v>
      </c>
      <c r="AM520" s="14" t="s">
        <v>185</v>
      </c>
      <c r="AN520" s="18" t="s">
        <v>166</v>
      </c>
      <c r="AO520" s="18" t="s">
        <v>166</v>
      </c>
      <c r="AP520" s="14" t="s">
        <v>166</v>
      </c>
      <c r="AQ520" s="21" t="s">
        <v>166</v>
      </c>
      <c r="AR520" s="21" t="s">
        <v>166</v>
      </c>
      <c r="AS520" s="17" t="s">
        <v>166</v>
      </c>
      <c r="AT520" s="18">
        <v>1</v>
      </c>
      <c r="AU520" s="21" t="s">
        <v>186</v>
      </c>
      <c r="AV520" s="21" t="s">
        <v>166</v>
      </c>
      <c r="AW520" s="18" t="s">
        <v>166</v>
      </c>
      <c r="AX520" s="21" t="s">
        <v>166</v>
      </c>
      <c r="AY520" s="14" t="s">
        <v>217</v>
      </c>
      <c r="AZ520" s="14" t="s">
        <v>217</v>
      </c>
      <c r="BA520" s="14" t="s">
        <v>166</v>
      </c>
      <c r="BB520" s="21" t="s">
        <v>166</v>
      </c>
      <c r="BC520" s="14" t="s">
        <v>179</v>
      </c>
      <c r="BD520" s="14" t="s">
        <v>10101</v>
      </c>
      <c r="BE520" s="14" t="s">
        <v>189</v>
      </c>
      <c r="BF520" s="18">
        <v>1</v>
      </c>
      <c r="BG520" s="14" t="s">
        <v>190</v>
      </c>
      <c r="BH520" s="14" t="s">
        <v>166</v>
      </c>
      <c r="BI520" s="14" t="s">
        <v>166</v>
      </c>
      <c r="BJ520" s="18" t="s">
        <v>166</v>
      </c>
      <c r="BK520" s="18" t="s">
        <v>166</v>
      </c>
      <c r="BL520" s="14" t="s">
        <v>191</v>
      </c>
      <c r="BM520" s="14" t="s">
        <v>178</v>
      </c>
      <c r="BN520" s="14" t="s">
        <v>177</v>
      </c>
      <c r="BO520" s="22" t="s">
        <v>166</v>
      </c>
      <c r="BP520" s="14" t="s">
        <v>10102</v>
      </c>
      <c r="BQ520" s="21">
        <v>4</v>
      </c>
      <c r="BR520" s="14" t="s">
        <v>166</v>
      </c>
      <c r="BS520" s="21" t="s">
        <v>166</v>
      </c>
      <c r="BT520" s="14" t="s">
        <v>10103</v>
      </c>
      <c r="BU520" s="14" t="s">
        <v>166</v>
      </c>
      <c r="BV520" s="14" t="s">
        <v>10104</v>
      </c>
      <c r="BW520" s="14" t="s">
        <v>166</v>
      </c>
      <c r="BX520" s="14" t="s">
        <v>166</v>
      </c>
      <c r="BY520" s="14" t="s">
        <v>166</v>
      </c>
      <c r="BZ520" s="14" t="s">
        <v>10105</v>
      </c>
      <c r="CA520" s="14" t="s">
        <v>10105</v>
      </c>
      <c r="CB520" s="14" t="s">
        <v>166</v>
      </c>
      <c r="CC520" s="14" t="s">
        <v>166</v>
      </c>
      <c r="CD520" s="14" t="s">
        <v>166</v>
      </c>
      <c r="CE520" s="18" t="s">
        <v>166</v>
      </c>
      <c r="CF520" s="16" t="s">
        <v>166</v>
      </c>
      <c r="CG520" s="17" t="s">
        <v>166</v>
      </c>
      <c r="CH520" s="16" t="s">
        <v>166</v>
      </c>
      <c r="CI520" s="16" t="s">
        <v>166</v>
      </c>
      <c r="CJ520" s="16" t="s">
        <v>166</v>
      </c>
      <c r="CK520" s="16" t="s">
        <v>166</v>
      </c>
      <c r="CL520" s="16" t="s">
        <v>166</v>
      </c>
      <c r="CM520" s="20" t="s">
        <v>166</v>
      </c>
      <c r="CN520" s="16" t="s">
        <v>166</v>
      </c>
      <c r="CO520" s="16" t="s">
        <v>166</v>
      </c>
      <c r="CP520" s="16" t="s">
        <v>166</v>
      </c>
      <c r="CQ520" s="16" t="s">
        <v>166</v>
      </c>
      <c r="CR520" s="16" t="s">
        <v>166</v>
      </c>
      <c r="CS520" s="16" t="s">
        <v>166</v>
      </c>
      <c r="CT520" s="16" t="s">
        <v>166</v>
      </c>
      <c r="CU520" s="16" t="s">
        <v>166</v>
      </c>
      <c r="CV520" s="16" t="s">
        <v>166</v>
      </c>
      <c r="CW520" s="16" t="s">
        <v>166</v>
      </c>
      <c r="CX520" s="16" t="s">
        <v>166</v>
      </c>
      <c r="CY520" s="16" t="s">
        <v>166</v>
      </c>
      <c r="CZ520" s="16" t="s">
        <v>166</v>
      </c>
      <c r="DA520" s="16" t="s">
        <v>166</v>
      </c>
      <c r="DB520" s="16" t="s">
        <v>166</v>
      </c>
      <c r="DC520" s="16" t="s">
        <v>166</v>
      </c>
      <c r="DD520" s="16" t="s">
        <v>166</v>
      </c>
      <c r="DE520" s="17" t="s">
        <v>166</v>
      </c>
      <c r="DF520" s="22" t="s">
        <v>166</v>
      </c>
      <c r="DG520" s="14" t="s">
        <v>1077</v>
      </c>
      <c r="DH520" s="14" t="s">
        <v>193</v>
      </c>
      <c r="DI520" s="14" t="s">
        <v>194</v>
      </c>
      <c r="DJ520" s="14" t="s">
        <v>1078</v>
      </c>
      <c r="DK520" s="14" t="s">
        <v>257</v>
      </c>
      <c r="DL520" s="21" t="s">
        <v>4894</v>
      </c>
      <c r="DM520" s="14" t="s">
        <v>198</v>
      </c>
      <c r="DN520" s="13" t="s">
        <v>10106</v>
      </c>
      <c r="DO520" s="20">
        <v>2019</v>
      </c>
      <c r="DP520" s="14" t="s">
        <v>166</v>
      </c>
      <c r="DQ520" s="14" t="s">
        <v>166</v>
      </c>
      <c r="DR520" s="18" t="s">
        <v>166</v>
      </c>
      <c r="DS520" s="16" t="s">
        <v>166</v>
      </c>
      <c r="DT520" s="19" t="s">
        <v>166</v>
      </c>
      <c r="DU520" s="14" t="s">
        <v>166</v>
      </c>
      <c r="DV520" s="18" t="s">
        <v>166</v>
      </c>
      <c r="DW520" s="18" t="s">
        <v>166</v>
      </c>
      <c r="DX520" s="16" t="s">
        <v>166</v>
      </c>
      <c r="DY520" s="16" t="s">
        <v>166</v>
      </c>
      <c r="DZ520" s="17" t="s">
        <v>166</v>
      </c>
      <c r="EA520" s="16" t="s">
        <v>166</v>
      </c>
      <c r="EB520" s="16" t="s">
        <v>166</v>
      </c>
      <c r="EC520" s="16" t="s">
        <v>166</v>
      </c>
      <c r="ED520" s="17" t="s">
        <v>166</v>
      </c>
      <c r="EE520" s="17" t="s">
        <v>166</v>
      </c>
      <c r="EF520" s="17" t="s">
        <v>166</v>
      </c>
      <c r="EG520" s="17" t="s">
        <v>166</v>
      </c>
      <c r="EH520" s="16" t="s">
        <v>166</v>
      </c>
      <c r="EI520" s="16" t="s">
        <v>166</v>
      </c>
      <c r="EJ520" s="16" t="s">
        <v>166</v>
      </c>
      <c r="EK520" s="16" t="s">
        <v>166</v>
      </c>
      <c r="EL520" s="16" t="s">
        <v>166</v>
      </c>
      <c r="EM520" s="16" t="s">
        <v>166</v>
      </c>
      <c r="EN520" s="16" t="s">
        <v>166</v>
      </c>
      <c r="EO520" s="16" t="s">
        <v>166</v>
      </c>
      <c r="EP520" s="16" t="s">
        <v>166</v>
      </c>
      <c r="EQ520" s="16" t="s">
        <v>166</v>
      </c>
      <c r="ER520" s="16" t="s">
        <v>166</v>
      </c>
      <c r="ES520" s="16" t="s">
        <v>166</v>
      </c>
      <c r="ET520" s="14" t="s">
        <v>166</v>
      </c>
      <c r="EU520" s="16" t="s">
        <v>166</v>
      </c>
      <c r="EV520" s="16" t="s">
        <v>166</v>
      </c>
      <c r="EW520" s="16" t="s">
        <v>166</v>
      </c>
      <c r="EX520" s="14" t="s">
        <v>190</v>
      </c>
      <c r="EY520" s="14" t="s">
        <v>166</v>
      </c>
      <c r="EZ520" s="16" t="s">
        <v>166</v>
      </c>
      <c r="FA520" s="15" t="s">
        <v>166</v>
      </c>
      <c r="FB520" s="15" t="s">
        <v>166</v>
      </c>
      <c r="FC520" s="15" t="s">
        <v>166</v>
      </c>
      <c r="FD520" s="15" t="s">
        <v>166</v>
      </c>
      <c r="FE520" s="15" t="s">
        <v>166</v>
      </c>
      <c r="FF520" s="15" t="s">
        <v>166</v>
      </c>
      <c r="FG520" s="14" t="s">
        <v>166</v>
      </c>
      <c r="FH520" s="3">
        <f>HYPERLINK("https://my.pitchbook.com?c=188431-75T","View Company Online")</f>
      </c>
    </row>
    <row r="521">
      <c r="A521" s="25" t="s">
        <v>10107</v>
      </c>
      <c r="B521" s="25" t="s">
        <v>10108</v>
      </c>
      <c r="C521" s="25" t="s">
        <v>10109</v>
      </c>
      <c r="D521" s="25" t="s">
        <v>166</v>
      </c>
      <c r="E521" s="34" t="s">
        <v>10110</v>
      </c>
      <c r="F521" s="32">
        <v>4</v>
      </c>
      <c r="G521" s="25" t="s">
        <v>10111</v>
      </c>
      <c r="H521" s="25" t="s">
        <v>166</v>
      </c>
      <c r="I521" s="25" t="s">
        <v>10112</v>
      </c>
      <c r="J521" s="25" t="s">
        <v>10113</v>
      </c>
      <c r="K521" s="25" t="s">
        <v>207</v>
      </c>
      <c r="L521" s="25" t="s">
        <v>208</v>
      </c>
      <c r="M521" s="25" t="s">
        <v>209</v>
      </c>
      <c r="N521" s="25" t="s">
        <v>269</v>
      </c>
      <c r="O521" s="25" t="s">
        <v>4964</v>
      </c>
      <c r="P521" s="25" t="s">
        <v>10114</v>
      </c>
      <c r="Q521" s="25" t="s">
        <v>166</v>
      </c>
      <c r="R521" s="25" t="s">
        <v>177</v>
      </c>
      <c r="S521" s="25" t="s">
        <v>178</v>
      </c>
      <c r="T521" s="25" t="s">
        <v>179</v>
      </c>
      <c r="U521" s="25" t="s">
        <v>10115</v>
      </c>
      <c r="V521" s="25" t="s">
        <v>10116</v>
      </c>
      <c r="W521" s="32" t="s">
        <v>166</v>
      </c>
      <c r="X521" s="25" t="s">
        <v>10117</v>
      </c>
      <c r="Y521" s="25" t="s">
        <v>10118</v>
      </c>
      <c r="Z521" s="25" t="s">
        <v>166</v>
      </c>
      <c r="AA521" s="25" t="s">
        <v>166</v>
      </c>
      <c r="AB521" s="25" t="s">
        <v>166</v>
      </c>
      <c r="AC521" s="25" t="s">
        <v>166</v>
      </c>
      <c r="AD521" s="25" t="s">
        <v>166</v>
      </c>
      <c r="AE521" s="25" t="s">
        <v>166</v>
      </c>
      <c r="AF521" s="25" t="s">
        <v>166</v>
      </c>
      <c r="AG521" s="25" t="s">
        <v>166</v>
      </c>
      <c r="AH521" s="32">
        <v>2</v>
      </c>
      <c r="AI521" s="4">
        <f>HYPERLINK("https://my.pitchbook.com/?d=221396-14T","221396-14T")</f>
      </c>
      <c r="AJ521" s="30" t="s">
        <v>166</v>
      </c>
      <c r="AK521" s="30">
        <v>45044</v>
      </c>
      <c r="AL521" s="29">
        <v>2.5</v>
      </c>
      <c r="AM521" s="25" t="s">
        <v>185</v>
      </c>
      <c r="AN521" s="29" t="s">
        <v>166</v>
      </c>
      <c r="AO521" s="29" t="s">
        <v>166</v>
      </c>
      <c r="AP521" s="25" t="s">
        <v>166</v>
      </c>
      <c r="AQ521" s="32" t="s">
        <v>166</v>
      </c>
      <c r="AR521" s="32" t="s">
        <v>166</v>
      </c>
      <c r="AS521" s="28" t="s">
        <v>166</v>
      </c>
      <c r="AT521" s="29">
        <v>3</v>
      </c>
      <c r="AU521" s="32" t="s">
        <v>186</v>
      </c>
      <c r="AV521" s="32" t="s">
        <v>166</v>
      </c>
      <c r="AW521" s="29" t="s">
        <v>166</v>
      </c>
      <c r="AX521" s="32" t="s">
        <v>166</v>
      </c>
      <c r="AY521" s="25" t="s">
        <v>217</v>
      </c>
      <c r="AZ521" s="25" t="s">
        <v>217</v>
      </c>
      <c r="BA521" s="25" t="s">
        <v>166</v>
      </c>
      <c r="BB521" s="32" t="s">
        <v>166</v>
      </c>
      <c r="BC521" s="25" t="s">
        <v>179</v>
      </c>
      <c r="BD521" s="25" t="s">
        <v>10113</v>
      </c>
      <c r="BE521" s="25" t="s">
        <v>189</v>
      </c>
      <c r="BF521" s="29">
        <v>2.5</v>
      </c>
      <c r="BG521" s="25" t="s">
        <v>190</v>
      </c>
      <c r="BH521" s="25" t="s">
        <v>166</v>
      </c>
      <c r="BI521" s="25" t="s">
        <v>166</v>
      </c>
      <c r="BJ521" s="29" t="s">
        <v>166</v>
      </c>
      <c r="BK521" s="29" t="s">
        <v>166</v>
      </c>
      <c r="BL521" s="25" t="s">
        <v>191</v>
      </c>
      <c r="BM521" s="25" t="s">
        <v>178</v>
      </c>
      <c r="BN521" s="25" t="s">
        <v>177</v>
      </c>
      <c r="BO521" s="33" t="s">
        <v>166</v>
      </c>
      <c r="BP521" s="25" t="s">
        <v>10119</v>
      </c>
      <c r="BQ521" s="32">
        <v>3</v>
      </c>
      <c r="BR521" s="25" t="s">
        <v>914</v>
      </c>
      <c r="BS521" s="32">
        <v>1</v>
      </c>
      <c r="BT521" s="25" t="s">
        <v>10120</v>
      </c>
      <c r="BU521" s="25" t="s">
        <v>166</v>
      </c>
      <c r="BV521" s="25" t="s">
        <v>166</v>
      </c>
      <c r="BW521" s="25" t="s">
        <v>166</v>
      </c>
      <c r="BX521" s="25" t="s">
        <v>166</v>
      </c>
      <c r="BY521" s="25" t="s">
        <v>166</v>
      </c>
      <c r="BZ521" s="25" t="s">
        <v>10121</v>
      </c>
      <c r="CA521" s="25" t="s">
        <v>10121</v>
      </c>
      <c r="CB521" s="25" t="s">
        <v>166</v>
      </c>
      <c r="CC521" s="25" t="s">
        <v>166</v>
      </c>
      <c r="CD521" s="25" t="s">
        <v>166</v>
      </c>
      <c r="CE521" s="29" t="s">
        <v>166</v>
      </c>
      <c r="CF521" s="27" t="s">
        <v>166</v>
      </c>
      <c r="CG521" s="28" t="s">
        <v>166</v>
      </c>
      <c r="CH521" s="27" t="s">
        <v>166</v>
      </c>
      <c r="CI521" s="27" t="s">
        <v>166</v>
      </c>
      <c r="CJ521" s="27" t="s">
        <v>166</v>
      </c>
      <c r="CK521" s="27" t="s">
        <v>166</v>
      </c>
      <c r="CL521" s="27" t="s">
        <v>166</v>
      </c>
      <c r="CM521" s="31" t="s">
        <v>166</v>
      </c>
      <c r="CN521" s="27" t="s">
        <v>166</v>
      </c>
      <c r="CO521" s="27" t="s">
        <v>166</v>
      </c>
      <c r="CP521" s="27" t="s">
        <v>166</v>
      </c>
      <c r="CQ521" s="27" t="s">
        <v>166</v>
      </c>
      <c r="CR521" s="27" t="s">
        <v>166</v>
      </c>
      <c r="CS521" s="27" t="s">
        <v>166</v>
      </c>
      <c r="CT521" s="27" t="s">
        <v>166</v>
      </c>
      <c r="CU521" s="27" t="s">
        <v>166</v>
      </c>
      <c r="CV521" s="27" t="s">
        <v>166</v>
      </c>
      <c r="CW521" s="27" t="s">
        <v>166</v>
      </c>
      <c r="CX521" s="27" t="s">
        <v>166</v>
      </c>
      <c r="CY521" s="27" t="s">
        <v>166</v>
      </c>
      <c r="CZ521" s="27" t="s">
        <v>166</v>
      </c>
      <c r="DA521" s="27" t="s">
        <v>166</v>
      </c>
      <c r="DB521" s="27" t="s">
        <v>166</v>
      </c>
      <c r="DC521" s="27" t="s">
        <v>166</v>
      </c>
      <c r="DD521" s="27" t="s">
        <v>166</v>
      </c>
      <c r="DE521" s="28" t="s">
        <v>166</v>
      </c>
      <c r="DF521" s="33">
        <v>5</v>
      </c>
      <c r="DG521" s="25" t="s">
        <v>673</v>
      </c>
      <c r="DH521" s="25" t="s">
        <v>193</v>
      </c>
      <c r="DI521" s="25" t="s">
        <v>194</v>
      </c>
      <c r="DJ521" s="25" t="s">
        <v>674</v>
      </c>
      <c r="DK521" s="25" t="s">
        <v>257</v>
      </c>
      <c r="DL521" s="32" t="s">
        <v>1491</v>
      </c>
      <c r="DM521" s="25" t="s">
        <v>198</v>
      </c>
      <c r="DN521" s="24" t="s">
        <v>10122</v>
      </c>
      <c r="DO521" s="31">
        <v>2022</v>
      </c>
      <c r="DP521" s="25" t="s">
        <v>166</v>
      </c>
      <c r="DQ521" s="25" t="s">
        <v>166</v>
      </c>
      <c r="DR521" s="29" t="s">
        <v>166</v>
      </c>
      <c r="DS521" s="27" t="s">
        <v>166</v>
      </c>
      <c r="DT521" s="30" t="s">
        <v>166</v>
      </c>
      <c r="DU521" s="25" t="s">
        <v>166</v>
      </c>
      <c r="DV521" s="29" t="s">
        <v>166</v>
      </c>
      <c r="DW521" s="29" t="s">
        <v>166</v>
      </c>
      <c r="DX521" s="27" t="s">
        <v>166</v>
      </c>
      <c r="DY521" s="27" t="s">
        <v>166</v>
      </c>
      <c r="DZ521" s="28" t="s">
        <v>166</v>
      </c>
      <c r="EA521" s="27" t="s">
        <v>166</v>
      </c>
      <c r="EB521" s="27" t="s">
        <v>166</v>
      </c>
      <c r="EC521" s="27" t="s">
        <v>166</v>
      </c>
      <c r="ED521" s="28" t="s">
        <v>166</v>
      </c>
      <c r="EE521" s="28" t="s">
        <v>166</v>
      </c>
      <c r="EF521" s="28" t="s">
        <v>166</v>
      </c>
      <c r="EG521" s="28" t="s">
        <v>166</v>
      </c>
      <c r="EH521" s="27" t="s">
        <v>166</v>
      </c>
      <c r="EI521" s="27" t="s">
        <v>166</v>
      </c>
      <c r="EJ521" s="27" t="s">
        <v>166</v>
      </c>
      <c r="EK521" s="27" t="s">
        <v>166</v>
      </c>
      <c r="EL521" s="27" t="s">
        <v>166</v>
      </c>
      <c r="EM521" s="27" t="s">
        <v>166</v>
      </c>
      <c r="EN521" s="27" t="s">
        <v>166</v>
      </c>
      <c r="EO521" s="27" t="s">
        <v>166</v>
      </c>
      <c r="EP521" s="27" t="s">
        <v>166</v>
      </c>
      <c r="EQ521" s="27" t="s">
        <v>166</v>
      </c>
      <c r="ER521" s="27" t="s">
        <v>166</v>
      </c>
      <c r="ES521" s="27" t="s">
        <v>166</v>
      </c>
      <c r="ET521" s="25" t="s">
        <v>166</v>
      </c>
      <c r="EU521" s="27" t="s">
        <v>166</v>
      </c>
      <c r="EV521" s="27" t="s">
        <v>166</v>
      </c>
      <c r="EW521" s="27" t="s">
        <v>166</v>
      </c>
      <c r="EX521" s="25" t="s">
        <v>190</v>
      </c>
      <c r="EY521" s="25" t="s">
        <v>166</v>
      </c>
      <c r="EZ521" s="27" t="s">
        <v>166</v>
      </c>
      <c r="FA521" s="26" t="s">
        <v>166</v>
      </c>
      <c r="FB521" s="26" t="s">
        <v>166</v>
      </c>
      <c r="FC521" s="26" t="s">
        <v>166</v>
      </c>
      <c r="FD521" s="26" t="s">
        <v>166</v>
      </c>
      <c r="FE521" s="26" t="s">
        <v>166</v>
      </c>
      <c r="FF521" s="26" t="s">
        <v>166</v>
      </c>
      <c r="FG521" s="25" t="s">
        <v>166</v>
      </c>
      <c r="FH521" s="4">
        <f>HYPERLINK("https://my.pitchbook.com?c=221396-14T","View Company Online")</f>
      </c>
    </row>
    <row r="522">
      <c r="A522" s="14" t="s">
        <v>10123</v>
      </c>
      <c r="B522" s="14" t="s">
        <v>10124</v>
      </c>
      <c r="C522" s="14" t="s">
        <v>10125</v>
      </c>
      <c r="D522" s="14" t="s">
        <v>166</v>
      </c>
      <c r="E522" s="23" t="s">
        <v>10126</v>
      </c>
      <c r="F522" s="21">
        <v>2</v>
      </c>
      <c r="G522" s="14" t="s">
        <v>10127</v>
      </c>
      <c r="H522" s="14" t="s">
        <v>166</v>
      </c>
      <c r="I522" s="14" t="s">
        <v>10128</v>
      </c>
      <c r="J522" s="14" t="s">
        <v>10129</v>
      </c>
      <c r="K522" s="14" t="s">
        <v>171</v>
      </c>
      <c r="L522" s="14" t="s">
        <v>172</v>
      </c>
      <c r="M522" s="14" t="s">
        <v>173</v>
      </c>
      <c r="N522" s="14" t="s">
        <v>10130</v>
      </c>
      <c r="O522" s="14" t="s">
        <v>211</v>
      </c>
      <c r="P522" s="14" t="s">
        <v>10131</v>
      </c>
      <c r="Q522" s="14" t="s">
        <v>166</v>
      </c>
      <c r="R522" s="14" t="s">
        <v>177</v>
      </c>
      <c r="S522" s="14" t="s">
        <v>178</v>
      </c>
      <c r="T522" s="14" t="s">
        <v>179</v>
      </c>
      <c r="U522" s="14" t="s">
        <v>10132</v>
      </c>
      <c r="V522" s="14" t="s">
        <v>10133</v>
      </c>
      <c r="W522" s="21" t="s">
        <v>10134</v>
      </c>
      <c r="X522" s="14" t="s">
        <v>10135</v>
      </c>
      <c r="Y522" s="14" t="s">
        <v>10136</v>
      </c>
      <c r="Z522" s="14" t="s">
        <v>166</v>
      </c>
      <c r="AA522" s="14" t="s">
        <v>166</v>
      </c>
      <c r="AB522" s="14" t="s">
        <v>166</v>
      </c>
      <c r="AC522" s="14" t="s">
        <v>166</v>
      </c>
      <c r="AD522" s="14" t="s">
        <v>166</v>
      </c>
      <c r="AE522" s="14" t="s">
        <v>166</v>
      </c>
      <c r="AF522" s="14" t="s">
        <v>166</v>
      </c>
      <c r="AG522" s="14" t="s">
        <v>166</v>
      </c>
      <c r="AH522" s="21">
        <v>2</v>
      </c>
      <c r="AI522" s="3">
        <f>HYPERLINK("https://my.pitchbook.com/?d=249163-93T","249163-93T")</f>
      </c>
      <c r="AJ522" s="19">
        <v>45092</v>
      </c>
      <c r="AK522" s="19">
        <v>45301</v>
      </c>
      <c r="AL522" s="18">
        <v>0.43</v>
      </c>
      <c r="AM522" s="14" t="s">
        <v>185</v>
      </c>
      <c r="AN522" s="18" t="s">
        <v>166</v>
      </c>
      <c r="AO522" s="18" t="s">
        <v>166</v>
      </c>
      <c r="AP522" s="14" t="s">
        <v>166</v>
      </c>
      <c r="AQ522" s="21" t="s">
        <v>166</v>
      </c>
      <c r="AR522" s="21" t="s">
        <v>166</v>
      </c>
      <c r="AS522" s="17" t="s">
        <v>166</v>
      </c>
      <c r="AT522" s="18">
        <v>1.06</v>
      </c>
      <c r="AU522" s="21" t="s">
        <v>186</v>
      </c>
      <c r="AV522" s="21" t="s">
        <v>166</v>
      </c>
      <c r="AW522" s="18" t="s">
        <v>166</v>
      </c>
      <c r="AX522" s="21" t="s">
        <v>166</v>
      </c>
      <c r="AY522" s="14" t="s">
        <v>217</v>
      </c>
      <c r="AZ522" s="14" t="s">
        <v>217</v>
      </c>
      <c r="BA522" s="14" t="s">
        <v>166</v>
      </c>
      <c r="BB522" s="21" t="s">
        <v>166</v>
      </c>
      <c r="BC522" s="14" t="s">
        <v>179</v>
      </c>
      <c r="BD522" s="14" t="s">
        <v>10137</v>
      </c>
      <c r="BE522" s="14" t="s">
        <v>189</v>
      </c>
      <c r="BF522" s="18">
        <v>0.43</v>
      </c>
      <c r="BG522" s="14" t="s">
        <v>190</v>
      </c>
      <c r="BH522" s="14" t="s">
        <v>166</v>
      </c>
      <c r="BI522" s="14" t="s">
        <v>166</v>
      </c>
      <c r="BJ522" s="18" t="s">
        <v>166</v>
      </c>
      <c r="BK522" s="18" t="s">
        <v>166</v>
      </c>
      <c r="BL522" s="14" t="s">
        <v>191</v>
      </c>
      <c r="BM522" s="14" t="s">
        <v>178</v>
      </c>
      <c r="BN522" s="14" t="s">
        <v>177</v>
      </c>
      <c r="BO522" s="22">
        <v>6</v>
      </c>
      <c r="BP522" s="14" t="s">
        <v>10126</v>
      </c>
      <c r="BQ522" s="21">
        <v>2</v>
      </c>
      <c r="BR522" s="14" t="s">
        <v>166</v>
      </c>
      <c r="BS522" s="21" t="s">
        <v>166</v>
      </c>
      <c r="BT522" s="14" t="s">
        <v>166</v>
      </c>
      <c r="BU522" s="14" t="s">
        <v>166</v>
      </c>
      <c r="BV522" s="14" t="s">
        <v>10138</v>
      </c>
      <c r="BW522" s="14" t="s">
        <v>166</v>
      </c>
      <c r="BX522" s="14" t="s">
        <v>166</v>
      </c>
      <c r="BY522" s="14" t="s">
        <v>166</v>
      </c>
      <c r="BZ522" s="14" t="s">
        <v>166</v>
      </c>
      <c r="CA522" s="14" t="s">
        <v>166</v>
      </c>
      <c r="CB522" s="14" t="s">
        <v>166</v>
      </c>
      <c r="CC522" s="14" t="s">
        <v>166</v>
      </c>
      <c r="CD522" s="14" t="s">
        <v>166</v>
      </c>
      <c r="CE522" s="18" t="s">
        <v>166</v>
      </c>
      <c r="CF522" s="16" t="s">
        <v>166</v>
      </c>
      <c r="CG522" s="17" t="s">
        <v>166</v>
      </c>
      <c r="CH522" s="16" t="s">
        <v>166</v>
      </c>
      <c r="CI522" s="16" t="s">
        <v>166</v>
      </c>
      <c r="CJ522" s="16" t="s">
        <v>166</v>
      </c>
      <c r="CK522" s="16" t="s">
        <v>166</v>
      </c>
      <c r="CL522" s="16" t="s">
        <v>166</v>
      </c>
      <c r="CM522" s="20" t="s">
        <v>166</v>
      </c>
      <c r="CN522" s="16" t="s">
        <v>166</v>
      </c>
      <c r="CO522" s="16" t="s">
        <v>166</v>
      </c>
      <c r="CP522" s="16" t="s">
        <v>166</v>
      </c>
      <c r="CQ522" s="16" t="s">
        <v>166</v>
      </c>
      <c r="CR522" s="16" t="s">
        <v>166</v>
      </c>
      <c r="CS522" s="16" t="s">
        <v>166</v>
      </c>
      <c r="CT522" s="16" t="s">
        <v>166</v>
      </c>
      <c r="CU522" s="16" t="s">
        <v>166</v>
      </c>
      <c r="CV522" s="16" t="s">
        <v>166</v>
      </c>
      <c r="CW522" s="16" t="s">
        <v>166</v>
      </c>
      <c r="CX522" s="16" t="s">
        <v>166</v>
      </c>
      <c r="CY522" s="16" t="s">
        <v>166</v>
      </c>
      <c r="CZ522" s="16" t="s">
        <v>166</v>
      </c>
      <c r="DA522" s="16" t="s">
        <v>166</v>
      </c>
      <c r="DB522" s="16" t="s">
        <v>166</v>
      </c>
      <c r="DC522" s="16" t="s">
        <v>166</v>
      </c>
      <c r="DD522" s="16" t="s">
        <v>166</v>
      </c>
      <c r="DE522" s="17" t="s">
        <v>166</v>
      </c>
      <c r="DF522" s="22">
        <v>6</v>
      </c>
      <c r="DG522" s="14" t="s">
        <v>10139</v>
      </c>
      <c r="DH522" s="14" t="s">
        <v>193</v>
      </c>
      <c r="DI522" s="14" t="s">
        <v>194</v>
      </c>
      <c r="DJ522" s="14" t="s">
        <v>10140</v>
      </c>
      <c r="DK522" s="14" t="s">
        <v>310</v>
      </c>
      <c r="DL522" s="21" t="s">
        <v>10141</v>
      </c>
      <c r="DM522" s="14" t="s">
        <v>198</v>
      </c>
      <c r="DN522" s="13" t="s">
        <v>10142</v>
      </c>
      <c r="DO522" s="20">
        <v>2021</v>
      </c>
      <c r="DP522" s="14" t="s">
        <v>166</v>
      </c>
      <c r="DQ522" s="14" t="s">
        <v>166</v>
      </c>
      <c r="DR522" s="18" t="s">
        <v>166</v>
      </c>
      <c r="DS522" s="16" t="s">
        <v>166</v>
      </c>
      <c r="DT522" s="19" t="s">
        <v>166</v>
      </c>
      <c r="DU522" s="14" t="s">
        <v>166</v>
      </c>
      <c r="DV522" s="18" t="s">
        <v>166</v>
      </c>
      <c r="DW522" s="18" t="s">
        <v>166</v>
      </c>
      <c r="DX522" s="16" t="s">
        <v>166</v>
      </c>
      <c r="DY522" s="16" t="s">
        <v>166</v>
      </c>
      <c r="DZ522" s="17" t="s">
        <v>166</v>
      </c>
      <c r="EA522" s="16" t="s">
        <v>166</v>
      </c>
      <c r="EB522" s="16" t="s">
        <v>166</v>
      </c>
      <c r="EC522" s="16" t="s">
        <v>166</v>
      </c>
      <c r="ED522" s="17" t="s">
        <v>166</v>
      </c>
      <c r="EE522" s="17" t="s">
        <v>166</v>
      </c>
      <c r="EF522" s="17" t="s">
        <v>166</v>
      </c>
      <c r="EG522" s="17" t="s">
        <v>166</v>
      </c>
      <c r="EH522" s="16" t="s">
        <v>166</v>
      </c>
      <c r="EI522" s="16" t="s">
        <v>166</v>
      </c>
      <c r="EJ522" s="16" t="s">
        <v>166</v>
      </c>
      <c r="EK522" s="16" t="s">
        <v>166</v>
      </c>
      <c r="EL522" s="16" t="s">
        <v>166</v>
      </c>
      <c r="EM522" s="16" t="s">
        <v>166</v>
      </c>
      <c r="EN522" s="16" t="s">
        <v>166</v>
      </c>
      <c r="EO522" s="16" t="s">
        <v>166</v>
      </c>
      <c r="EP522" s="16" t="s">
        <v>166</v>
      </c>
      <c r="EQ522" s="16" t="s">
        <v>166</v>
      </c>
      <c r="ER522" s="16" t="s">
        <v>166</v>
      </c>
      <c r="ES522" s="16" t="s">
        <v>166</v>
      </c>
      <c r="ET522" s="14" t="s">
        <v>166</v>
      </c>
      <c r="EU522" s="16" t="s">
        <v>166</v>
      </c>
      <c r="EV522" s="16" t="s">
        <v>166</v>
      </c>
      <c r="EW522" s="16" t="s">
        <v>166</v>
      </c>
      <c r="EX522" s="14" t="s">
        <v>190</v>
      </c>
      <c r="EY522" s="14" t="s">
        <v>166</v>
      </c>
      <c r="EZ522" s="16" t="s">
        <v>166</v>
      </c>
      <c r="FA522" s="15" t="s">
        <v>166</v>
      </c>
      <c r="FB522" s="15" t="s">
        <v>166</v>
      </c>
      <c r="FC522" s="15" t="s">
        <v>166</v>
      </c>
      <c r="FD522" s="15" t="s">
        <v>166</v>
      </c>
      <c r="FE522" s="15" t="s">
        <v>166</v>
      </c>
      <c r="FF522" s="15" t="s">
        <v>166</v>
      </c>
      <c r="FG522" s="14" t="s">
        <v>166</v>
      </c>
      <c r="FH522" s="3">
        <f>HYPERLINK("https://my.pitchbook.com?c=249163-93T","View Company Online")</f>
      </c>
    </row>
    <row r="523">
      <c r="A523" s="25" t="s">
        <v>10143</v>
      </c>
      <c r="B523" s="25" t="s">
        <v>10144</v>
      </c>
      <c r="C523" s="25" t="s">
        <v>10145</v>
      </c>
      <c r="D523" s="25" t="s">
        <v>166</v>
      </c>
      <c r="E523" s="34" t="s">
        <v>10146</v>
      </c>
      <c r="F523" s="32">
        <v>12</v>
      </c>
      <c r="G523" s="25" t="s">
        <v>10147</v>
      </c>
      <c r="H523" s="25" t="s">
        <v>166</v>
      </c>
      <c r="I523" s="25" t="s">
        <v>10148</v>
      </c>
      <c r="J523" s="25" t="s">
        <v>10149</v>
      </c>
      <c r="K523" s="25" t="s">
        <v>1455</v>
      </c>
      <c r="L523" s="25" t="s">
        <v>1456</v>
      </c>
      <c r="M523" s="25" t="s">
        <v>1457</v>
      </c>
      <c r="N523" s="25" t="s">
        <v>10150</v>
      </c>
      <c r="O523" s="25" t="s">
        <v>1842</v>
      </c>
      <c r="P523" s="25" t="s">
        <v>10151</v>
      </c>
      <c r="Q523" s="25" t="s">
        <v>166</v>
      </c>
      <c r="R523" s="25" t="s">
        <v>177</v>
      </c>
      <c r="S523" s="25" t="s">
        <v>178</v>
      </c>
      <c r="T523" s="25" t="s">
        <v>179</v>
      </c>
      <c r="U523" s="25" t="s">
        <v>10152</v>
      </c>
      <c r="V523" s="25" t="s">
        <v>10153</v>
      </c>
      <c r="W523" s="32" t="s">
        <v>166</v>
      </c>
      <c r="X523" s="25" t="s">
        <v>10154</v>
      </c>
      <c r="Y523" s="25" t="s">
        <v>10155</v>
      </c>
      <c r="Z523" s="25" t="s">
        <v>10156</v>
      </c>
      <c r="AA523" s="25" t="s">
        <v>166</v>
      </c>
      <c r="AB523" s="25" t="s">
        <v>166</v>
      </c>
      <c r="AC523" s="25" t="s">
        <v>166</v>
      </c>
      <c r="AD523" s="25" t="s">
        <v>166</v>
      </c>
      <c r="AE523" s="25" t="s">
        <v>166</v>
      </c>
      <c r="AF523" s="25" t="s">
        <v>166</v>
      </c>
      <c r="AG523" s="25" t="s">
        <v>166</v>
      </c>
      <c r="AH523" s="32">
        <v>2</v>
      </c>
      <c r="AI523" s="4">
        <f>HYPERLINK("https://my.pitchbook.com/?d=179495-47T","179495-47T")</f>
      </c>
      <c r="AJ523" s="30">
        <v>44420</v>
      </c>
      <c r="AK523" s="30">
        <v>44820</v>
      </c>
      <c r="AL523" s="29">
        <v>0.75</v>
      </c>
      <c r="AM523" s="25" t="s">
        <v>185</v>
      </c>
      <c r="AN523" s="29" t="s">
        <v>166</v>
      </c>
      <c r="AO523" s="29" t="s">
        <v>166</v>
      </c>
      <c r="AP523" s="25" t="s">
        <v>166</v>
      </c>
      <c r="AQ523" s="32" t="s">
        <v>166</v>
      </c>
      <c r="AR523" s="32" t="s">
        <v>166</v>
      </c>
      <c r="AS523" s="28" t="s">
        <v>166</v>
      </c>
      <c r="AT523" s="29">
        <v>0.75</v>
      </c>
      <c r="AU523" s="32" t="s">
        <v>186</v>
      </c>
      <c r="AV523" s="32" t="s">
        <v>166</v>
      </c>
      <c r="AW523" s="29" t="s">
        <v>166</v>
      </c>
      <c r="AX523" s="32" t="s">
        <v>166</v>
      </c>
      <c r="AY523" s="25" t="s">
        <v>217</v>
      </c>
      <c r="AZ523" s="25" t="s">
        <v>217</v>
      </c>
      <c r="BA523" s="25" t="s">
        <v>166</v>
      </c>
      <c r="BB523" s="32" t="s">
        <v>166</v>
      </c>
      <c r="BC523" s="25" t="s">
        <v>179</v>
      </c>
      <c r="BD523" s="25" t="s">
        <v>10157</v>
      </c>
      <c r="BE523" s="25" t="s">
        <v>189</v>
      </c>
      <c r="BF523" s="29">
        <v>0.75</v>
      </c>
      <c r="BG523" s="25" t="s">
        <v>190</v>
      </c>
      <c r="BH523" s="25" t="s">
        <v>166</v>
      </c>
      <c r="BI523" s="25" t="s">
        <v>166</v>
      </c>
      <c r="BJ523" s="29" t="s">
        <v>166</v>
      </c>
      <c r="BK523" s="29" t="s">
        <v>166</v>
      </c>
      <c r="BL523" s="25" t="s">
        <v>191</v>
      </c>
      <c r="BM523" s="25" t="s">
        <v>178</v>
      </c>
      <c r="BN523" s="25" t="s">
        <v>177</v>
      </c>
      <c r="BO523" s="33">
        <v>2</v>
      </c>
      <c r="BP523" s="25" t="s">
        <v>10158</v>
      </c>
      <c r="BQ523" s="32">
        <v>12</v>
      </c>
      <c r="BR523" s="25" t="s">
        <v>166</v>
      </c>
      <c r="BS523" s="32" t="s">
        <v>166</v>
      </c>
      <c r="BT523" s="25" t="s">
        <v>166</v>
      </c>
      <c r="BU523" s="25" t="s">
        <v>166</v>
      </c>
      <c r="BV523" s="25" t="s">
        <v>10159</v>
      </c>
      <c r="BW523" s="25" t="s">
        <v>166</v>
      </c>
      <c r="BX523" s="25" t="s">
        <v>166</v>
      </c>
      <c r="BY523" s="25" t="s">
        <v>166</v>
      </c>
      <c r="BZ523" s="25" t="s">
        <v>10160</v>
      </c>
      <c r="CA523" s="25" t="s">
        <v>10160</v>
      </c>
      <c r="CB523" s="25" t="s">
        <v>166</v>
      </c>
      <c r="CC523" s="25" t="s">
        <v>166</v>
      </c>
      <c r="CD523" s="25" t="s">
        <v>166</v>
      </c>
      <c r="CE523" s="29" t="s">
        <v>166</v>
      </c>
      <c r="CF523" s="27" t="s">
        <v>166</v>
      </c>
      <c r="CG523" s="28" t="s">
        <v>166</v>
      </c>
      <c r="CH523" s="27" t="s">
        <v>166</v>
      </c>
      <c r="CI523" s="27" t="s">
        <v>166</v>
      </c>
      <c r="CJ523" s="27" t="s">
        <v>166</v>
      </c>
      <c r="CK523" s="27" t="s">
        <v>166</v>
      </c>
      <c r="CL523" s="27" t="s">
        <v>166</v>
      </c>
      <c r="CM523" s="31" t="s">
        <v>166</v>
      </c>
      <c r="CN523" s="27" t="s">
        <v>166</v>
      </c>
      <c r="CO523" s="27" t="s">
        <v>166</v>
      </c>
      <c r="CP523" s="27" t="s">
        <v>166</v>
      </c>
      <c r="CQ523" s="27" t="s">
        <v>166</v>
      </c>
      <c r="CR523" s="27" t="s">
        <v>166</v>
      </c>
      <c r="CS523" s="27" t="s">
        <v>166</v>
      </c>
      <c r="CT523" s="27" t="s">
        <v>166</v>
      </c>
      <c r="CU523" s="27" t="s">
        <v>166</v>
      </c>
      <c r="CV523" s="27" t="s">
        <v>166</v>
      </c>
      <c r="CW523" s="27" t="s">
        <v>166</v>
      </c>
      <c r="CX523" s="27" t="s">
        <v>166</v>
      </c>
      <c r="CY523" s="27" t="s">
        <v>166</v>
      </c>
      <c r="CZ523" s="27" t="s">
        <v>166</v>
      </c>
      <c r="DA523" s="27" t="s">
        <v>166</v>
      </c>
      <c r="DB523" s="27" t="s">
        <v>166</v>
      </c>
      <c r="DC523" s="27" t="s">
        <v>166</v>
      </c>
      <c r="DD523" s="27" t="s">
        <v>166</v>
      </c>
      <c r="DE523" s="28" t="s">
        <v>166</v>
      </c>
      <c r="DF523" s="33">
        <v>4</v>
      </c>
      <c r="DG523" s="25" t="s">
        <v>10161</v>
      </c>
      <c r="DH523" s="25" t="s">
        <v>193</v>
      </c>
      <c r="DI523" s="25" t="s">
        <v>194</v>
      </c>
      <c r="DJ523" s="25" t="s">
        <v>10162</v>
      </c>
      <c r="DK523" s="25" t="s">
        <v>257</v>
      </c>
      <c r="DL523" s="32" t="s">
        <v>10163</v>
      </c>
      <c r="DM523" s="25" t="s">
        <v>198</v>
      </c>
      <c r="DN523" s="24" t="s">
        <v>10164</v>
      </c>
      <c r="DO523" s="31">
        <v>2021</v>
      </c>
      <c r="DP523" s="25" t="s">
        <v>166</v>
      </c>
      <c r="DQ523" s="25" t="s">
        <v>166</v>
      </c>
      <c r="DR523" s="29" t="s">
        <v>166</v>
      </c>
      <c r="DS523" s="27" t="s">
        <v>166</v>
      </c>
      <c r="DT523" s="30" t="s">
        <v>166</v>
      </c>
      <c r="DU523" s="25" t="s">
        <v>166</v>
      </c>
      <c r="DV523" s="29" t="s">
        <v>166</v>
      </c>
      <c r="DW523" s="29" t="s">
        <v>166</v>
      </c>
      <c r="DX523" s="27" t="s">
        <v>166</v>
      </c>
      <c r="DY523" s="27" t="s">
        <v>166</v>
      </c>
      <c r="DZ523" s="28" t="s">
        <v>166</v>
      </c>
      <c r="EA523" s="27" t="s">
        <v>166</v>
      </c>
      <c r="EB523" s="27" t="s">
        <v>166</v>
      </c>
      <c r="EC523" s="27" t="s">
        <v>166</v>
      </c>
      <c r="ED523" s="28" t="s">
        <v>166</v>
      </c>
      <c r="EE523" s="28" t="s">
        <v>166</v>
      </c>
      <c r="EF523" s="28" t="s">
        <v>166</v>
      </c>
      <c r="EG523" s="28" t="s">
        <v>166</v>
      </c>
      <c r="EH523" s="27" t="s">
        <v>166</v>
      </c>
      <c r="EI523" s="27" t="s">
        <v>166</v>
      </c>
      <c r="EJ523" s="27" t="s">
        <v>166</v>
      </c>
      <c r="EK523" s="27" t="s">
        <v>166</v>
      </c>
      <c r="EL523" s="27" t="s">
        <v>166</v>
      </c>
      <c r="EM523" s="27" t="s">
        <v>166</v>
      </c>
      <c r="EN523" s="27" t="s">
        <v>166</v>
      </c>
      <c r="EO523" s="27" t="s">
        <v>166</v>
      </c>
      <c r="EP523" s="27" t="s">
        <v>166</v>
      </c>
      <c r="EQ523" s="27" t="s">
        <v>166</v>
      </c>
      <c r="ER523" s="27" t="s">
        <v>166</v>
      </c>
      <c r="ES523" s="27" t="s">
        <v>166</v>
      </c>
      <c r="ET523" s="25" t="s">
        <v>166</v>
      </c>
      <c r="EU523" s="27" t="s">
        <v>166</v>
      </c>
      <c r="EV523" s="27" t="s">
        <v>166</v>
      </c>
      <c r="EW523" s="27" t="s">
        <v>166</v>
      </c>
      <c r="EX523" s="25" t="s">
        <v>190</v>
      </c>
      <c r="EY523" s="25" t="s">
        <v>166</v>
      </c>
      <c r="EZ523" s="27" t="s">
        <v>166</v>
      </c>
      <c r="FA523" s="26" t="s">
        <v>166</v>
      </c>
      <c r="FB523" s="26" t="s">
        <v>166</v>
      </c>
      <c r="FC523" s="26" t="s">
        <v>166</v>
      </c>
      <c r="FD523" s="26" t="s">
        <v>166</v>
      </c>
      <c r="FE523" s="26" t="s">
        <v>166</v>
      </c>
      <c r="FF523" s="26" t="s">
        <v>166</v>
      </c>
      <c r="FG523" s="25" t="s">
        <v>166</v>
      </c>
      <c r="FH523" s="4">
        <f>HYPERLINK("https://my.pitchbook.com?c=179495-47T","View Company Online")</f>
      </c>
    </row>
    <row r="524">
      <c r="A524" s="14" t="s">
        <v>10165</v>
      </c>
      <c r="B524" s="14" t="s">
        <v>10166</v>
      </c>
      <c r="C524" s="14" t="s">
        <v>10167</v>
      </c>
      <c r="D524" s="14" t="s">
        <v>166</v>
      </c>
      <c r="E524" s="23" t="s">
        <v>10168</v>
      </c>
      <c r="F524" s="21">
        <v>6</v>
      </c>
      <c r="G524" s="14" t="s">
        <v>10169</v>
      </c>
      <c r="H524" s="14" t="s">
        <v>166</v>
      </c>
      <c r="I524" s="14" t="s">
        <v>10170</v>
      </c>
      <c r="J524" s="14" t="s">
        <v>10171</v>
      </c>
      <c r="K524" s="14" t="s">
        <v>321</v>
      </c>
      <c r="L524" s="14" t="s">
        <v>322</v>
      </c>
      <c r="M524" s="14" t="s">
        <v>322</v>
      </c>
      <c r="N524" s="14" t="s">
        <v>2410</v>
      </c>
      <c r="O524" s="14" t="s">
        <v>1053</v>
      </c>
      <c r="P524" s="14" t="s">
        <v>10172</v>
      </c>
      <c r="Q524" s="14" t="s">
        <v>166</v>
      </c>
      <c r="R524" s="14" t="s">
        <v>177</v>
      </c>
      <c r="S524" s="14" t="s">
        <v>178</v>
      </c>
      <c r="T524" s="14" t="s">
        <v>179</v>
      </c>
      <c r="U524" s="14" t="s">
        <v>10173</v>
      </c>
      <c r="V524" s="14" t="s">
        <v>10174</v>
      </c>
      <c r="W524" s="21" t="s">
        <v>166</v>
      </c>
      <c r="X524" s="14" t="s">
        <v>10175</v>
      </c>
      <c r="Y524" s="14" t="s">
        <v>10176</v>
      </c>
      <c r="Z524" s="14" t="s">
        <v>10177</v>
      </c>
      <c r="AA524" s="14" t="s">
        <v>166</v>
      </c>
      <c r="AB524" s="14" t="s">
        <v>166</v>
      </c>
      <c r="AC524" s="14" t="s">
        <v>166</v>
      </c>
      <c r="AD524" s="14" t="s">
        <v>166</v>
      </c>
      <c r="AE524" s="14" t="s">
        <v>166</v>
      </c>
      <c r="AF524" s="14" t="s">
        <v>166</v>
      </c>
      <c r="AG524" s="14" t="s">
        <v>166</v>
      </c>
      <c r="AH524" s="21">
        <v>2</v>
      </c>
      <c r="AI524" s="3">
        <f>HYPERLINK("https://my.pitchbook.com/?d=188057-71T","188057-71T")</f>
      </c>
      <c r="AJ524" s="19" t="s">
        <v>166</v>
      </c>
      <c r="AK524" s="19">
        <v>44663</v>
      </c>
      <c r="AL524" s="18">
        <v>4.15</v>
      </c>
      <c r="AM524" s="14" t="s">
        <v>185</v>
      </c>
      <c r="AN524" s="18" t="s">
        <v>166</v>
      </c>
      <c r="AO524" s="18" t="s">
        <v>166</v>
      </c>
      <c r="AP524" s="14" t="s">
        <v>166</v>
      </c>
      <c r="AQ524" s="21" t="s">
        <v>166</v>
      </c>
      <c r="AR524" s="21" t="s">
        <v>166</v>
      </c>
      <c r="AS524" s="17" t="s">
        <v>166</v>
      </c>
      <c r="AT524" s="18">
        <v>4.15</v>
      </c>
      <c r="AU524" s="21" t="s">
        <v>186</v>
      </c>
      <c r="AV524" s="21" t="s">
        <v>166</v>
      </c>
      <c r="AW524" s="18" t="s">
        <v>166</v>
      </c>
      <c r="AX524" s="21" t="s">
        <v>166</v>
      </c>
      <c r="AY524" s="14" t="s">
        <v>217</v>
      </c>
      <c r="AZ524" s="14" t="s">
        <v>217</v>
      </c>
      <c r="BA524" s="14" t="s">
        <v>166</v>
      </c>
      <c r="BB524" s="21" t="s">
        <v>166</v>
      </c>
      <c r="BC524" s="14" t="s">
        <v>179</v>
      </c>
      <c r="BD524" s="14" t="s">
        <v>10178</v>
      </c>
      <c r="BE524" s="14" t="s">
        <v>189</v>
      </c>
      <c r="BF524" s="18">
        <v>4.15</v>
      </c>
      <c r="BG524" s="14" t="s">
        <v>190</v>
      </c>
      <c r="BH524" s="14" t="s">
        <v>166</v>
      </c>
      <c r="BI524" s="14" t="s">
        <v>166</v>
      </c>
      <c r="BJ524" s="18" t="s">
        <v>166</v>
      </c>
      <c r="BK524" s="18" t="s">
        <v>166</v>
      </c>
      <c r="BL524" s="14" t="s">
        <v>191</v>
      </c>
      <c r="BM524" s="14" t="s">
        <v>178</v>
      </c>
      <c r="BN524" s="14" t="s">
        <v>177</v>
      </c>
      <c r="BO524" s="22" t="s">
        <v>166</v>
      </c>
      <c r="BP524" s="14" t="s">
        <v>10168</v>
      </c>
      <c r="BQ524" s="21">
        <v>6</v>
      </c>
      <c r="BR524" s="14" t="s">
        <v>166</v>
      </c>
      <c r="BS524" s="21" t="s">
        <v>166</v>
      </c>
      <c r="BT524" s="14" t="s">
        <v>10179</v>
      </c>
      <c r="BU524" s="14" t="s">
        <v>166</v>
      </c>
      <c r="BV524" s="14" t="s">
        <v>10180</v>
      </c>
      <c r="BW524" s="14" t="s">
        <v>166</v>
      </c>
      <c r="BX524" s="14" t="s">
        <v>166</v>
      </c>
      <c r="BY524" s="14" t="s">
        <v>166</v>
      </c>
      <c r="BZ524" s="14" t="s">
        <v>166</v>
      </c>
      <c r="CA524" s="14" t="s">
        <v>166</v>
      </c>
      <c r="CB524" s="14" t="s">
        <v>166</v>
      </c>
      <c r="CC524" s="14" t="s">
        <v>166</v>
      </c>
      <c r="CD524" s="14" t="s">
        <v>166</v>
      </c>
      <c r="CE524" s="18" t="s">
        <v>166</v>
      </c>
      <c r="CF524" s="16" t="s">
        <v>166</v>
      </c>
      <c r="CG524" s="17" t="s">
        <v>166</v>
      </c>
      <c r="CH524" s="16" t="s">
        <v>166</v>
      </c>
      <c r="CI524" s="16" t="s">
        <v>166</v>
      </c>
      <c r="CJ524" s="16" t="s">
        <v>166</v>
      </c>
      <c r="CK524" s="16" t="s">
        <v>166</v>
      </c>
      <c r="CL524" s="16" t="s">
        <v>166</v>
      </c>
      <c r="CM524" s="20" t="s">
        <v>166</v>
      </c>
      <c r="CN524" s="16" t="s">
        <v>166</v>
      </c>
      <c r="CO524" s="16" t="s">
        <v>166</v>
      </c>
      <c r="CP524" s="16" t="s">
        <v>166</v>
      </c>
      <c r="CQ524" s="16" t="s">
        <v>166</v>
      </c>
      <c r="CR524" s="16" t="s">
        <v>166</v>
      </c>
      <c r="CS524" s="16" t="s">
        <v>166</v>
      </c>
      <c r="CT524" s="16" t="s">
        <v>166</v>
      </c>
      <c r="CU524" s="16" t="s">
        <v>166</v>
      </c>
      <c r="CV524" s="16" t="s">
        <v>166</v>
      </c>
      <c r="CW524" s="16" t="s">
        <v>166</v>
      </c>
      <c r="CX524" s="16" t="s">
        <v>166</v>
      </c>
      <c r="CY524" s="16" t="s">
        <v>166</v>
      </c>
      <c r="CZ524" s="16" t="s">
        <v>166</v>
      </c>
      <c r="DA524" s="16" t="s">
        <v>166</v>
      </c>
      <c r="DB524" s="16" t="s">
        <v>166</v>
      </c>
      <c r="DC524" s="16" t="s">
        <v>166</v>
      </c>
      <c r="DD524" s="16" t="s">
        <v>166</v>
      </c>
      <c r="DE524" s="17" t="s">
        <v>166</v>
      </c>
      <c r="DF524" s="22">
        <v>11</v>
      </c>
      <c r="DG524" s="14" t="s">
        <v>309</v>
      </c>
      <c r="DH524" s="14" t="s">
        <v>193</v>
      </c>
      <c r="DI524" s="14" t="s">
        <v>194</v>
      </c>
      <c r="DJ524" s="14" t="s">
        <v>310</v>
      </c>
      <c r="DK524" s="14" t="s">
        <v>310</v>
      </c>
      <c r="DL524" s="21" t="s">
        <v>311</v>
      </c>
      <c r="DM524" s="14" t="s">
        <v>198</v>
      </c>
      <c r="DN524" s="13" t="s">
        <v>10181</v>
      </c>
      <c r="DO524" s="20">
        <v>2021</v>
      </c>
      <c r="DP524" s="14" t="s">
        <v>166</v>
      </c>
      <c r="DQ524" s="14" t="s">
        <v>166</v>
      </c>
      <c r="DR524" s="18" t="s">
        <v>166</v>
      </c>
      <c r="DS524" s="16" t="s">
        <v>166</v>
      </c>
      <c r="DT524" s="19" t="s">
        <v>166</v>
      </c>
      <c r="DU524" s="14" t="s">
        <v>166</v>
      </c>
      <c r="DV524" s="18" t="s">
        <v>166</v>
      </c>
      <c r="DW524" s="18" t="s">
        <v>166</v>
      </c>
      <c r="DX524" s="16" t="s">
        <v>166</v>
      </c>
      <c r="DY524" s="16" t="s">
        <v>166</v>
      </c>
      <c r="DZ524" s="17" t="s">
        <v>166</v>
      </c>
      <c r="EA524" s="16" t="s">
        <v>166</v>
      </c>
      <c r="EB524" s="16" t="s">
        <v>166</v>
      </c>
      <c r="EC524" s="16" t="s">
        <v>166</v>
      </c>
      <c r="ED524" s="17" t="s">
        <v>166</v>
      </c>
      <c r="EE524" s="17" t="s">
        <v>166</v>
      </c>
      <c r="EF524" s="17" t="s">
        <v>166</v>
      </c>
      <c r="EG524" s="17" t="s">
        <v>166</v>
      </c>
      <c r="EH524" s="16" t="s">
        <v>166</v>
      </c>
      <c r="EI524" s="16" t="s">
        <v>166</v>
      </c>
      <c r="EJ524" s="16" t="s">
        <v>166</v>
      </c>
      <c r="EK524" s="16" t="s">
        <v>166</v>
      </c>
      <c r="EL524" s="16" t="s">
        <v>166</v>
      </c>
      <c r="EM524" s="16" t="s">
        <v>166</v>
      </c>
      <c r="EN524" s="16" t="s">
        <v>166</v>
      </c>
      <c r="EO524" s="16" t="s">
        <v>166</v>
      </c>
      <c r="EP524" s="16" t="s">
        <v>166</v>
      </c>
      <c r="EQ524" s="16" t="s">
        <v>166</v>
      </c>
      <c r="ER524" s="16" t="s">
        <v>166</v>
      </c>
      <c r="ES524" s="16" t="s">
        <v>166</v>
      </c>
      <c r="ET524" s="14" t="s">
        <v>166</v>
      </c>
      <c r="EU524" s="16" t="s">
        <v>166</v>
      </c>
      <c r="EV524" s="16" t="s">
        <v>166</v>
      </c>
      <c r="EW524" s="16" t="s">
        <v>166</v>
      </c>
      <c r="EX524" s="14" t="s">
        <v>190</v>
      </c>
      <c r="EY524" s="14" t="s">
        <v>166</v>
      </c>
      <c r="EZ524" s="16" t="s">
        <v>166</v>
      </c>
      <c r="FA524" s="15" t="s">
        <v>166</v>
      </c>
      <c r="FB524" s="15" t="s">
        <v>166</v>
      </c>
      <c r="FC524" s="15" t="s">
        <v>166</v>
      </c>
      <c r="FD524" s="15" t="s">
        <v>166</v>
      </c>
      <c r="FE524" s="15" t="s">
        <v>166</v>
      </c>
      <c r="FF524" s="15" t="s">
        <v>166</v>
      </c>
      <c r="FG524" s="14" t="s">
        <v>166</v>
      </c>
      <c r="FH524" s="3">
        <f>HYPERLINK("https://my.pitchbook.com?c=188057-71T","View Company Online")</f>
      </c>
    </row>
    <row r="525">
      <c r="A525" s="25" t="s">
        <v>10182</v>
      </c>
      <c r="B525" s="25" t="s">
        <v>10183</v>
      </c>
      <c r="C525" s="25" t="s">
        <v>10184</v>
      </c>
      <c r="D525" s="25" t="s">
        <v>166</v>
      </c>
      <c r="E525" s="34" t="s">
        <v>10185</v>
      </c>
      <c r="F525" s="32">
        <v>16</v>
      </c>
      <c r="G525" s="25" t="s">
        <v>10186</v>
      </c>
      <c r="H525" s="25" t="s">
        <v>166</v>
      </c>
      <c r="I525" s="25" t="s">
        <v>10187</v>
      </c>
      <c r="J525" s="25" t="s">
        <v>10188</v>
      </c>
      <c r="K525" s="25" t="s">
        <v>1455</v>
      </c>
      <c r="L525" s="25" t="s">
        <v>1456</v>
      </c>
      <c r="M525" s="25" t="s">
        <v>3445</v>
      </c>
      <c r="N525" s="25" t="s">
        <v>10189</v>
      </c>
      <c r="O525" s="25" t="s">
        <v>2931</v>
      </c>
      <c r="P525" s="25" t="s">
        <v>10190</v>
      </c>
      <c r="Q525" s="25" t="s">
        <v>2555</v>
      </c>
      <c r="R525" s="25" t="s">
        <v>177</v>
      </c>
      <c r="S525" s="25" t="s">
        <v>178</v>
      </c>
      <c r="T525" s="25" t="s">
        <v>179</v>
      </c>
      <c r="U525" s="25" t="s">
        <v>10191</v>
      </c>
      <c r="V525" s="25" t="s">
        <v>10192</v>
      </c>
      <c r="W525" s="32" t="s">
        <v>10193</v>
      </c>
      <c r="X525" s="25" t="s">
        <v>10194</v>
      </c>
      <c r="Y525" s="25" t="s">
        <v>10195</v>
      </c>
      <c r="Z525" s="25" t="s">
        <v>166</v>
      </c>
      <c r="AA525" s="25" t="s">
        <v>242</v>
      </c>
      <c r="AB525" s="25" t="s">
        <v>243</v>
      </c>
      <c r="AC525" s="25" t="s">
        <v>244</v>
      </c>
      <c r="AD525" s="25" t="s">
        <v>243</v>
      </c>
      <c r="AE525" s="25" t="s">
        <v>243</v>
      </c>
      <c r="AF525" s="25" t="s">
        <v>166</v>
      </c>
      <c r="AG525" s="25" t="s">
        <v>246</v>
      </c>
      <c r="AH525" s="32">
        <v>1</v>
      </c>
      <c r="AI525" s="4">
        <f>HYPERLINK("https://my.pitchbook.com/?d=192902-14T","192902-14T")</f>
      </c>
      <c r="AJ525" s="30" t="s">
        <v>166</v>
      </c>
      <c r="AK525" s="30">
        <v>44676</v>
      </c>
      <c r="AL525" s="29">
        <v>6</v>
      </c>
      <c r="AM525" s="25" t="s">
        <v>185</v>
      </c>
      <c r="AN525" s="29">
        <v>17</v>
      </c>
      <c r="AO525" s="29">
        <v>23</v>
      </c>
      <c r="AP525" s="25" t="s">
        <v>185</v>
      </c>
      <c r="AQ525" s="32" t="s">
        <v>166</v>
      </c>
      <c r="AR525" s="32" t="s">
        <v>166</v>
      </c>
      <c r="AS525" s="28">
        <v>26.45</v>
      </c>
      <c r="AT525" s="29">
        <v>6</v>
      </c>
      <c r="AU525" s="32" t="s">
        <v>186</v>
      </c>
      <c r="AV525" s="32" t="s">
        <v>166</v>
      </c>
      <c r="AW525" s="29">
        <v>1.37</v>
      </c>
      <c r="AX525" s="32" t="s">
        <v>166</v>
      </c>
      <c r="AY525" s="25" t="s">
        <v>217</v>
      </c>
      <c r="AZ525" s="25" t="s">
        <v>217</v>
      </c>
      <c r="BA525" s="25" t="s">
        <v>166</v>
      </c>
      <c r="BB525" s="32" t="s">
        <v>166</v>
      </c>
      <c r="BC525" s="25" t="s">
        <v>179</v>
      </c>
      <c r="BD525" s="25" t="s">
        <v>10196</v>
      </c>
      <c r="BE525" s="25" t="s">
        <v>189</v>
      </c>
      <c r="BF525" s="29">
        <v>6</v>
      </c>
      <c r="BG525" s="25" t="s">
        <v>190</v>
      </c>
      <c r="BH525" s="25" t="s">
        <v>166</v>
      </c>
      <c r="BI525" s="25" t="s">
        <v>166</v>
      </c>
      <c r="BJ525" s="29" t="s">
        <v>166</v>
      </c>
      <c r="BK525" s="29" t="s">
        <v>166</v>
      </c>
      <c r="BL525" s="25" t="s">
        <v>191</v>
      </c>
      <c r="BM525" s="25" t="s">
        <v>178</v>
      </c>
      <c r="BN525" s="25" t="s">
        <v>177</v>
      </c>
      <c r="BO525" s="33" t="s">
        <v>166</v>
      </c>
      <c r="BP525" s="25" t="s">
        <v>10197</v>
      </c>
      <c r="BQ525" s="32">
        <v>16</v>
      </c>
      <c r="BR525" s="25" t="s">
        <v>166</v>
      </c>
      <c r="BS525" s="32" t="s">
        <v>166</v>
      </c>
      <c r="BT525" s="25" t="s">
        <v>10198</v>
      </c>
      <c r="BU525" s="25" t="s">
        <v>166</v>
      </c>
      <c r="BV525" s="25" t="s">
        <v>166</v>
      </c>
      <c r="BW525" s="25" t="s">
        <v>166</v>
      </c>
      <c r="BX525" s="25" t="s">
        <v>166</v>
      </c>
      <c r="BY525" s="25" t="s">
        <v>166</v>
      </c>
      <c r="BZ525" s="25" t="s">
        <v>10199</v>
      </c>
      <c r="CA525" s="25" t="s">
        <v>166</v>
      </c>
      <c r="CB525" s="25" t="s">
        <v>166</v>
      </c>
      <c r="CC525" s="25" t="s">
        <v>10199</v>
      </c>
      <c r="CD525" s="25" t="s">
        <v>166</v>
      </c>
      <c r="CE525" s="29" t="s">
        <v>166</v>
      </c>
      <c r="CF525" s="27" t="s">
        <v>166</v>
      </c>
      <c r="CG525" s="28" t="s">
        <v>166</v>
      </c>
      <c r="CH525" s="27" t="s">
        <v>166</v>
      </c>
      <c r="CI525" s="27" t="s">
        <v>166</v>
      </c>
      <c r="CJ525" s="27" t="s">
        <v>166</v>
      </c>
      <c r="CK525" s="27" t="s">
        <v>166</v>
      </c>
      <c r="CL525" s="27" t="s">
        <v>166</v>
      </c>
      <c r="CM525" s="31" t="s">
        <v>166</v>
      </c>
      <c r="CN525" s="27" t="s">
        <v>166</v>
      </c>
      <c r="CO525" s="27" t="s">
        <v>166</v>
      </c>
      <c r="CP525" s="27" t="s">
        <v>166</v>
      </c>
      <c r="CQ525" s="27" t="s">
        <v>166</v>
      </c>
      <c r="CR525" s="27" t="s">
        <v>166</v>
      </c>
      <c r="CS525" s="27" t="s">
        <v>166</v>
      </c>
      <c r="CT525" s="27" t="s">
        <v>166</v>
      </c>
      <c r="CU525" s="27" t="s">
        <v>166</v>
      </c>
      <c r="CV525" s="27" t="s">
        <v>166</v>
      </c>
      <c r="CW525" s="27" t="s">
        <v>166</v>
      </c>
      <c r="CX525" s="27" t="s">
        <v>166</v>
      </c>
      <c r="CY525" s="27" t="s">
        <v>166</v>
      </c>
      <c r="CZ525" s="27" t="s">
        <v>166</v>
      </c>
      <c r="DA525" s="27" t="s">
        <v>166</v>
      </c>
      <c r="DB525" s="27" t="s">
        <v>166</v>
      </c>
      <c r="DC525" s="27" t="s">
        <v>166</v>
      </c>
      <c r="DD525" s="27" t="s">
        <v>166</v>
      </c>
      <c r="DE525" s="28" t="s">
        <v>166</v>
      </c>
      <c r="DF525" s="33">
        <v>14</v>
      </c>
      <c r="DG525" s="25" t="s">
        <v>10200</v>
      </c>
      <c r="DH525" s="25" t="s">
        <v>193</v>
      </c>
      <c r="DI525" s="25" t="s">
        <v>194</v>
      </c>
      <c r="DJ525" s="25" t="s">
        <v>10201</v>
      </c>
      <c r="DK525" s="25" t="s">
        <v>257</v>
      </c>
      <c r="DL525" s="32" t="s">
        <v>10202</v>
      </c>
      <c r="DM525" s="25" t="s">
        <v>198</v>
      </c>
      <c r="DN525" s="24" t="s">
        <v>10203</v>
      </c>
      <c r="DO525" s="31">
        <v>2021</v>
      </c>
      <c r="DP525" s="25" t="s">
        <v>166</v>
      </c>
      <c r="DQ525" s="25" t="s">
        <v>166</v>
      </c>
      <c r="DR525" s="29" t="s">
        <v>166</v>
      </c>
      <c r="DS525" s="27" t="s">
        <v>166</v>
      </c>
      <c r="DT525" s="30" t="s">
        <v>166</v>
      </c>
      <c r="DU525" s="25" t="s">
        <v>166</v>
      </c>
      <c r="DV525" s="29" t="s">
        <v>166</v>
      </c>
      <c r="DW525" s="29" t="s">
        <v>166</v>
      </c>
      <c r="DX525" s="27" t="s">
        <v>166</v>
      </c>
      <c r="DY525" s="27" t="s">
        <v>166</v>
      </c>
      <c r="DZ525" s="28" t="s">
        <v>166</v>
      </c>
      <c r="EA525" s="27" t="s">
        <v>166</v>
      </c>
      <c r="EB525" s="27" t="s">
        <v>166</v>
      </c>
      <c r="EC525" s="27" t="s">
        <v>166</v>
      </c>
      <c r="ED525" s="28" t="s">
        <v>166</v>
      </c>
      <c r="EE525" s="28" t="s">
        <v>166</v>
      </c>
      <c r="EF525" s="28" t="s">
        <v>166</v>
      </c>
      <c r="EG525" s="28" t="s">
        <v>166</v>
      </c>
      <c r="EH525" s="27" t="s">
        <v>166</v>
      </c>
      <c r="EI525" s="27" t="s">
        <v>166</v>
      </c>
      <c r="EJ525" s="27" t="s">
        <v>166</v>
      </c>
      <c r="EK525" s="27" t="s">
        <v>166</v>
      </c>
      <c r="EL525" s="27" t="s">
        <v>166</v>
      </c>
      <c r="EM525" s="27" t="s">
        <v>166</v>
      </c>
      <c r="EN525" s="27" t="s">
        <v>166</v>
      </c>
      <c r="EO525" s="27" t="s">
        <v>166</v>
      </c>
      <c r="EP525" s="27" t="s">
        <v>166</v>
      </c>
      <c r="EQ525" s="27" t="s">
        <v>166</v>
      </c>
      <c r="ER525" s="27" t="s">
        <v>166</v>
      </c>
      <c r="ES525" s="27" t="s">
        <v>166</v>
      </c>
      <c r="ET525" s="25" t="s">
        <v>166</v>
      </c>
      <c r="EU525" s="27" t="s">
        <v>166</v>
      </c>
      <c r="EV525" s="27" t="s">
        <v>166</v>
      </c>
      <c r="EW525" s="27" t="s">
        <v>166</v>
      </c>
      <c r="EX525" s="25" t="s">
        <v>190</v>
      </c>
      <c r="EY525" s="25" t="s">
        <v>166</v>
      </c>
      <c r="EZ525" s="27" t="s">
        <v>166</v>
      </c>
      <c r="FA525" s="26" t="s">
        <v>166</v>
      </c>
      <c r="FB525" s="26" t="s">
        <v>166</v>
      </c>
      <c r="FC525" s="26" t="s">
        <v>166</v>
      </c>
      <c r="FD525" s="26" t="s">
        <v>166</v>
      </c>
      <c r="FE525" s="26" t="s">
        <v>166</v>
      </c>
      <c r="FF525" s="26" t="s">
        <v>166</v>
      </c>
      <c r="FG525" s="25" t="s">
        <v>166</v>
      </c>
      <c r="FH525" s="4">
        <f>HYPERLINK("https://my.pitchbook.com?c=192902-14T","View Company Online")</f>
      </c>
    </row>
    <row r="526">
      <c r="A526" s="14" t="s">
        <v>10204</v>
      </c>
      <c r="B526" s="14" t="s">
        <v>10205</v>
      </c>
      <c r="C526" s="14" t="s">
        <v>10206</v>
      </c>
      <c r="D526" s="14" t="s">
        <v>166</v>
      </c>
      <c r="E526" s="23" t="s">
        <v>10207</v>
      </c>
      <c r="F526" s="21">
        <v>8</v>
      </c>
      <c r="G526" s="14" t="s">
        <v>10208</v>
      </c>
      <c r="H526" s="14" t="s">
        <v>166</v>
      </c>
      <c r="I526" s="14" t="s">
        <v>10209</v>
      </c>
      <c r="J526" s="14" t="s">
        <v>10210</v>
      </c>
      <c r="K526" s="14" t="s">
        <v>207</v>
      </c>
      <c r="L526" s="14" t="s">
        <v>208</v>
      </c>
      <c r="M526" s="14" t="s">
        <v>209</v>
      </c>
      <c r="N526" s="14" t="s">
        <v>269</v>
      </c>
      <c r="O526" s="14" t="s">
        <v>211</v>
      </c>
      <c r="P526" s="14" t="s">
        <v>10211</v>
      </c>
      <c r="Q526" s="14" t="s">
        <v>166</v>
      </c>
      <c r="R526" s="14" t="s">
        <v>177</v>
      </c>
      <c r="S526" s="14" t="s">
        <v>178</v>
      </c>
      <c r="T526" s="14" t="s">
        <v>179</v>
      </c>
      <c r="U526" s="14" t="s">
        <v>10212</v>
      </c>
      <c r="V526" s="14" t="s">
        <v>10213</v>
      </c>
      <c r="W526" s="21" t="s">
        <v>166</v>
      </c>
      <c r="X526" s="14" t="s">
        <v>10214</v>
      </c>
      <c r="Y526" s="14" t="s">
        <v>10215</v>
      </c>
      <c r="Z526" s="14" t="s">
        <v>166</v>
      </c>
      <c r="AA526" s="14" t="s">
        <v>166</v>
      </c>
      <c r="AB526" s="14" t="s">
        <v>166</v>
      </c>
      <c r="AC526" s="14" t="s">
        <v>166</v>
      </c>
      <c r="AD526" s="14" t="s">
        <v>166</v>
      </c>
      <c r="AE526" s="14" t="s">
        <v>166</v>
      </c>
      <c r="AF526" s="14" t="s">
        <v>166</v>
      </c>
      <c r="AG526" s="14" t="s">
        <v>166</v>
      </c>
      <c r="AH526" s="21">
        <v>2</v>
      </c>
      <c r="AI526" s="3">
        <f>HYPERLINK("https://my.pitchbook.com/?d=168894-73T","168894-73T")</f>
      </c>
      <c r="AJ526" s="19">
        <v>44197</v>
      </c>
      <c r="AK526" s="19">
        <v>44315</v>
      </c>
      <c r="AL526" s="18">
        <v>1.9</v>
      </c>
      <c r="AM526" s="14" t="s">
        <v>185</v>
      </c>
      <c r="AN526" s="18" t="s">
        <v>166</v>
      </c>
      <c r="AO526" s="18" t="s">
        <v>166</v>
      </c>
      <c r="AP526" s="14" t="s">
        <v>166</v>
      </c>
      <c r="AQ526" s="21" t="s">
        <v>166</v>
      </c>
      <c r="AR526" s="21" t="s">
        <v>166</v>
      </c>
      <c r="AS526" s="17" t="s">
        <v>166</v>
      </c>
      <c r="AT526" s="18">
        <v>2.03</v>
      </c>
      <c r="AU526" s="21" t="s">
        <v>186</v>
      </c>
      <c r="AV526" s="21" t="s">
        <v>166</v>
      </c>
      <c r="AW526" s="18" t="s">
        <v>166</v>
      </c>
      <c r="AX526" s="21" t="s">
        <v>166</v>
      </c>
      <c r="AY526" s="14" t="s">
        <v>217</v>
      </c>
      <c r="AZ526" s="14" t="s">
        <v>217</v>
      </c>
      <c r="BA526" s="14" t="s">
        <v>166</v>
      </c>
      <c r="BB526" s="21" t="s">
        <v>166</v>
      </c>
      <c r="BC526" s="14" t="s">
        <v>179</v>
      </c>
      <c r="BD526" s="14" t="s">
        <v>10216</v>
      </c>
      <c r="BE526" s="14" t="s">
        <v>189</v>
      </c>
      <c r="BF526" s="18">
        <v>1.9</v>
      </c>
      <c r="BG526" s="14" t="s">
        <v>190</v>
      </c>
      <c r="BH526" s="14" t="s">
        <v>166</v>
      </c>
      <c r="BI526" s="14" t="s">
        <v>166</v>
      </c>
      <c r="BJ526" s="18" t="s">
        <v>166</v>
      </c>
      <c r="BK526" s="18" t="s">
        <v>166</v>
      </c>
      <c r="BL526" s="14" t="s">
        <v>191</v>
      </c>
      <c r="BM526" s="14" t="s">
        <v>178</v>
      </c>
      <c r="BN526" s="14" t="s">
        <v>177</v>
      </c>
      <c r="BO526" s="22" t="s">
        <v>166</v>
      </c>
      <c r="BP526" s="14" t="s">
        <v>10217</v>
      </c>
      <c r="BQ526" s="21">
        <v>8</v>
      </c>
      <c r="BR526" s="14" t="s">
        <v>166</v>
      </c>
      <c r="BS526" s="21" t="s">
        <v>166</v>
      </c>
      <c r="BT526" s="14" t="s">
        <v>10218</v>
      </c>
      <c r="BU526" s="14" t="s">
        <v>166</v>
      </c>
      <c r="BV526" s="14" t="s">
        <v>10219</v>
      </c>
      <c r="BW526" s="14" t="s">
        <v>166</v>
      </c>
      <c r="BX526" s="14" t="s">
        <v>166</v>
      </c>
      <c r="BY526" s="14" t="s">
        <v>166</v>
      </c>
      <c r="BZ526" s="14" t="s">
        <v>166</v>
      </c>
      <c r="CA526" s="14" t="s">
        <v>166</v>
      </c>
      <c r="CB526" s="14" t="s">
        <v>166</v>
      </c>
      <c r="CC526" s="14" t="s">
        <v>166</v>
      </c>
      <c r="CD526" s="14" t="s">
        <v>166</v>
      </c>
      <c r="CE526" s="18" t="s">
        <v>166</v>
      </c>
      <c r="CF526" s="16" t="s">
        <v>166</v>
      </c>
      <c r="CG526" s="17" t="s">
        <v>166</v>
      </c>
      <c r="CH526" s="16" t="s">
        <v>166</v>
      </c>
      <c r="CI526" s="16" t="s">
        <v>166</v>
      </c>
      <c r="CJ526" s="16" t="s">
        <v>166</v>
      </c>
      <c r="CK526" s="16" t="s">
        <v>166</v>
      </c>
      <c r="CL526" s="16" t="s">
        <v>166</v>
      </c>
      <c r="CM526" s="20" t="s">
        <v>166</v>
      </c>
      <c r="CN526" s="16" t="s">
        <v>166</v>
      </c>
      <c r="CO526" s="16" t="s">
        <v>166</v>
      </c>
      <c r="CP526" s="16" t="s">
        <v>166</v>
      </c>
      <c r="CQ526" s="16" t="s">
        <v>166</v>
      </c>
      <c r="CR526" s="16" t="s">
        <v>166</v>
      </c>
      <c r="CS526" s="16" t="s">
        <v>166</v>
      </c>
      <c r="CT526" s="16" t="s">
        <v>166</v>
      </c>
      <c r="CU526" s="16" t="s">
        <v>166</v>
      </c>
      <c r="CV526" s="16" t="s">
        <v>166</v>
      </c>
      <c r="CW526" s="16" t="s">
        <v>166</v>
      </c>
      <c r="CX526" s="16" t="s">
        <v>166</v>
      </c>
      <c r="CY526" s="16" t="s">
        <v>166</v>
      </c>
      <c r="CZ526" s="16" t="s">
        <v>166</v>
      </c>
      <c r="DA526" s="16" t="s">
        <v>166</v>
      </c>
      <c r="DB526" s="16" t="s">
        <v>166</v>
      </c>
      <c r="DC526" s="16" t="s">
        <v>166</v>
      </c>
      <c r="DD526" s="16" t="s">
        <v>166</v>
      </c>
      <c r="DE526" s="17" t="s">
        <v>166</v>
      </c>
      <c r="DF526" s="22">
        <v>7</v>
      </c>
      <c r="DG526" s="14" t="s">
        <v>673</v>
      </c>
      <c r="DH526" s="14" t="s">
        <v>193</v>
      </c>
      <c r="DI526" s="14" t="s">
        <v>194</v>
      </c>
      <c r="DJ526" s="14" t="s">
        <v>674</v>
      </c>
      <c r="DK526" s="14" t="s">
        <v>257</v>
      </c>
      <c r="DL526" s="21" t="s">
        <v>675</v>
      </c>
      <c r="DM526" s="14" t="s">
        <v>198</v>
      </c>
      <c r="DN526" s="13" t="s">
        <v>10220</v>
      </c>
      <c r="DO526" s="20">
        <v>2020</v>
      </c>
      <c r="DP526" s="14" t="s">
        <v>166</v>
      </c>
      <c r="DQ526" s="14" t="s">
        <v>166</v>
      </c>
      <c r="DR526" s="18" t="s">
        <v>166</v>
      </c>
      <c r="DS526" s="16" t="s">
        <v>166</v>
      </c>
      <c r="DT526" s="19" t="s">
        <v>166</v>
      </c>
      <c r="DU526" s="14" t="s">
        <v>166</v>
      </c>
      <c r="DV526" s="18" t="s">
        <v>166</v>
      </c>
      <c r="DW526" s="18" t="s">
        <v>166</v>
      </c>
      <c r="DX526" s="16" t="s">
        <v>166</v>
      </c>
      <c r="DY526" s="16" t="s">
        <v>166</v>
      </c>
      <c r="DZ526" s="17" t="s">
        <v>166</v>
      </c>
      <c r="EA526" s="16" t="s">
        <v>166</v>
      </c>
      <c r="EB526" s="16" t="s">
        <v>166</v>
      </c>
      <c r="EC526" s="16" t="s">
        <v>166</v>
      </c>
      <c r="ED526" s="17" t="s">
        <v>166</v>
      </c>
      <c r="EE526" s="17" t="s">
        <v>166</v>
      </c>
      <c r="EF526" s="17" t="s">
        <v>166</v>
      </c>
      <c r="EG526" s="17" t="s">
        <v>166</v>
      </c>
      <c r="EH526" s="16" t="s">
        <v>166</v>
      </c>
      <c r="EI526" s="16" t="s">
        <v>166</v>
      </c>
      <c r="EJ526" s="16" t="s">
        <v>166</v>
      </c>
      <c r="EK526" s="16" t="s">
        <v>166</v>
      </c>
      <c r="EL526" s="16" t="s">
        <v>166</v>
      </c>
      <c r="EM526" s="16" t="s">
        <v>166</v>
      </c>
      <c r="EN526" s="16" t="s">
        <v>166</v>
      </c>
      <c r="EO526" s="16" t="s">
        <v>166</v>
      </c>
      <c r="EP526" s="16" t="s">
        <v>166</v>
      </c>
      <c r="EQ526" s="16" t="s">
        <v>166</v>
      </c>
      <c r="ER526" s="16" t="s">
        <v>166</v>
      </c>
      <c r="ES526" s="16" t="s">
        <v>166</v>
      </c>
      <c r="ET526" s="14" t="s">
        <v>166</v>
      </c>
      <c r="EU526" s="16" t="s">
        <v>166</v>
      </c>
      <c r="EV526" s="16" t="s">
        <v>166</v>
      </c>
      <c r="EW526" s="16" t="s">
        <v>166</v>
      </c>
      <c r="EX526" s="14" t="s">
        <v>190</v>
      </c>
      <c r="EY526" s="14" t="s">
        <v>166</v>
      </c>
      <c r="EZ526" s="16" t="s">
        <v>166</v>
      </c>
      <c r="FA526" s="15" t="s">
        <v>166</v>
      </c>
      <c r="FB526" s="15" t="s">
        <v>166</v>
      </c>
      <c r="FC526" s="15" t="s">
        <v>166</v>
      </c>
      <c r="FD526" s="15" t="s">
        <v>166</v>
      </c>
      <c r="FE526" s="15" t="s">
        <v>166</v>
      </c>
      <c r="FF526" s="15" t="s">
        <v>166</v>
      </c>
      <c r="FG526" s="14" t="s">
        <v>166</v>
      </c>
      <c r="FH526" s="3">
        <f>HYPERLINK("https://my.pitchbook.com?c=168894-73T","View Company Online")</f>
      </c>
    </row>
    <row r="527">
      <c r="A527" s="25" t="s">
        <v>10221</v>
      </c>
      <c r="B527" s="25" t="s">
        <v>10222</v>
      </c>
      <c r="C527" s="25" t="s">
        <v>10223</v>
      </c>
      <c r="D527" s="25" t="s">
        <v>166</v>
      </c>
      <c r="E527" s="34" t="s">
        <v>10224</v>
      </c>
      <c r="F527" s="32">
        <v>5</v>
      </c>
      <c r="G527" s="25" t="s">
        <v>10225</v>
      </c>
      <c r="H527" s="25" t="s">
        <v>166</v>
      </c>
      <c r="I527" s="25" t="s">
        <v>10226</v>
      </c>
      <c r="J527" s="25" t="s">
        <v>10227</v>
      </c>
      <c r="K527" s="25" t="s">
        <v>171</v>
      </c>
      <c r="L527" s="25" t="s">
        <v>10228</v>
      </c>
      <c r="M527" s="25" t="s">
        <v>10229</v>
      </c>
      <c r="N527" s="25" t="s">
        <v>10230</v>
      </c>
      <c r="O527" s="25" t="s">
        <v>10231</v>
      </c>
      <c r="P527" s="25" t="s">
        <v>10232</v>
      </c>
      <c r="Q527" s="25" t="s">
        <v>10233</v>
      </c>
      <c r="R527" s="25" t="s">
        <v>177</v>
      </c>
      <c r="S527" s="25" t="s">
        <v>178</v>
      </c>
      <c r="T527" s="25" t="s">
        <v>179</v>
      </c>
      <c r="U527" s="25" t="s">
        <v>10234</v>
      </c>
      <c r="V527" s="25" t="s">
        <v>10235</v>
      </c>
      <c r="W527" s="32" t="s">
        <v>10236</v>
      </c>
      <c r="X527" s="25" t="s">
        <v>10237</v>
      </c>
      <c r="Y527" s="25" t="s">
        <v>10238</v>
      </c>
      <c r="Z527" s="25" t="s">
        <v>10239</v>
      </c>
      <c r="AA527" s="25" t="s">
        <v>242</v>
      </c>
      <c r="AB527" s="25" t="s">
        <v>243</v>
      </c>
      <c r="AC527" s="25" t="s">
        <v>244</v>
      </c>
      <c r="AD527" s="25" t="s">
        <v>243</v>
      </c>
      <c r="AE527" s="25" t="s">
        <v>243</v>
      </c>
      <c r="AF527" s="25" t="s">
        <v>245</v>
      </c>
      <c r="AG527" s="25" t="s">
        <v>246</v>
      </c>
      <c r="AH527" s="32">
        <v>1</v>
      </c>
      <c r="AI527" s="4">
        <f>HYPERLINK("https://my.pitchbook.com/?d=184224-16T","184224-16T")</f>
      </c>
      <c r="AJ527" s="30">
        <v>44522</v>
      </c>
      <c r="AK527" s="30">
        <v>45331</v>
      </c>
      <c r="AL527" s="29">
        <v>14.33</v>
      </c>
      <c r="AM527" s="25" t="s">
        <v>185</v>
      </c>
      <c r="AN527" s="29">
        <v>17.44</v>
      </c>
      <c r="AO527" s="29">
        <v>31.76</v>
      </c>
      <c r="AP527" s="25" t="s">
        <v>185</v>
      </c>
      <c r="AQ527" s="32" t="s">
        <v>166</v>
      </c>
      <c r="AR527" s="32" t="s">
        <v>166</v>
      </c>
      <c r="AS527" s="28">
        <v>45</v>
      </c>
      <c r="AT527" s="29">
        <v>14.33</v>
      </c>
      <c r="AU527" s="32" t="s">
        <v>186</v>
      </c>
      <c r="AV527" s="32" t="s">
        <v>166</v>
      </c>
      <c r="AW527" s="29">
        <v>3</v>
      </c>
      <c r="AX527" s="32" t="s">
        <v>166</v>
      </c>
      <c r="AY527" s="25" t="s">
        <v>187</v>
      </c>
      <c r="AZ527" s="25" t="s">
        <v>166</v>
      </c>
      <c r="BA527" s="25" t="s">
        <v>166</v>
      </c>
      <c r="BB527" s="32" t="s">
        <v>166</v>
      </c>
      <c r="BC527" s="25" t="s">
        <v>179</v>
      </c>
      <c r="BD527" s="25" t="s">
        <v>10240</v>
      </c>
      <c r="BE527" s="25" t="s">
        <v>189</v>
      </c>
      <c r="BF527" s="29">
        <v>14.33</v>
      </c>
      <c r="BG527" s="25" t="s">
        <v>190</v>
      </c>
      <c r="BH527" s="25" t="s">
        <v>166</v>
      </c>
      <c r="BI527" s="25" t="s">
        <v>166</v>
      </c>
      <c r="BJ527" s="29" t="s">
        <v>166</v>
      </c>
      <c r="BK527" s="29" t="s">
        <v>166</v>
      </c>
      <c r="BL527" s="25" t="s">
        <v>191</v>
      </c>
      <c r="BM527" s="25" t="s">
        <v>178</v>
      </c>
      <c r="BN527" s="25" t="s">
        <v>177</v>
      </c>
      <c r="BO527" s="33" t="s">
        <v>166</v>
      </c>
      <c r="BP527" s="25" t="s">
        <v>10241</v>
      </c>
      <c r="BQ527" s="32">
        <v>5</v>
      </c>
      <c r="BR527" s="25" t="s">
        <v>166</v>
      </c>
      <c r="BS527" s="32" t="s">
        <v>166</v>
      </c>
      <c r="BT527" s="25" t="s">
        <v>166</v>
      </c>
      <c r="BU527" s="25" t="s">
        <v>166</v>
      </c>
      <c r="BV527" s="25" t="s">
        <v>10242</v>
      </c>
      <c r="BW527" s="25" t="s">
        <v>166</v>
      </c>
      <c r="BX527" s="25" t="s">
        <v>166</v>
      </c>
      <c r="BY527" s="25" t="s">
        <v>166</v>
      </c>
      <c r="BZ527" s="25" t="s">
        <v>166</v>
      </c>
      <c r="CA527" s="25" t="s">
        <v>166</v>
      </c>
      <c r="CB527" s="25" t="s">
        <v>166</v>
      </c>
      <c r="CC527" s="25" t="s">
        <v>166</v>
      </c>
      <c r="CD527" s="25" t="s">
        <v>166</v>
      </c>
      <c r="CE527" s="29" t="s">
        <v>166</v>
      </c>
      <c r="CF527" s="27" t="s">
        <v>166</v>
      </c>
      <c r="CG527" s="28" t="s">
        <v>166</v>
      </c>
      <c r="CH527" s="27" t="s">
        <v>166</v>
      </c>
      <c r="CI527" s="27" t="s">
        <v>166</v>
      </c>
      <c r="CJ527" s="27" t="s">
        <v>166</v>
      </c>
      <c r="CK527" s="27" t="s">
        <v>166</v>
      </c>
      <c r="CL527" s="27" t="s">
        <v>166</v>
      </c>
      <c r="CM527" s="31" t="s">
        <v>166</v>
      </c>
      <c r="CN527" s="27" t="s">
        <v>166</v>
      </c>
      <c r="CO527" s="27" t="s">
        <v>166</v>
      </c>
      <c r="CP527" s="27" t="s">
        <v>166</v>
      </c>
      <c r="CQ527" s="27" t="s">
        <v>166</v>
      </c>
      <c r="CR527" s="27" t="s">
        <v>166</v>
      </c>
      <c r="CS527" s="27" t="s">
        <v>166</v>
      </c>
      <c r="CT527" s="27" t="s">
        <v>166</v>
      </c>
      <c r="CU527" s="27" t="s">
        <v>166</v>
      </c>
      <c r="CV527" s="27" t="s">
        <v>166</v>
      </c>
      <c r="CW527" s="27" t="s">
        <v>166</v>
      </c>
      <c r="CX527" s="27" t="s">
        <v>166</v>
      </c>
      <c r="CY527" s="27" t="s">
        <v>166</v>
      </c>
      <c r="CZ527" s="27" t="s">
        <v>166</v>
      </c>
      <c r="DA527" s="27" t="s">
        <v>166</v>
      </c>
      <c r="DB527" s="27" t="s">
        <v>166</v>
      </c>
      <c r="DC527" s="27" t="s">
        <v>166</v>
      </c>
      <c r="DD527" s="27" t="s">
        <v>166</v>
      </c>
      <c r="DE527" s="28" t="s">
        <v>166</v>
      </c>
      <c r="DF527" s="33">
        <v>20</v>
      </c>
      <c r="DG527" s="25" t="s">
        <v>10243</v>
      </c>
      <c r="DH527" s="25" t="s">
        <v>193</v>
      </c>
      <c r="DI527" s="25" t="s">
        <v>194</v>
      </c>
      <c r="DJ527" s="25" t="s">
        <v>10244</v>
      </c>
      <c r="DK527" s="25" t="s">
        <v>1023</v>
      </c>
      <c r="DL527" s="32" t="s">
        <v>10245</v>
      </c>
      <c r="DM527" s="25" t="s">
        <v>198</v>
      </c>
      <c r="DN527" s="24" t="s">
        <v>10246</v>
      </c>
      <c r="DO527" s="31">
        <v>2018</v>
      </c>
      <c r="DP527" s="25" t="s">
        <v>166</v>
      </c>
      <c r="DQ527" s="25" t="s">
        <v>166</v>
      </c>
      <c r="DR527" s="29" t="s">
        <v>166</v>
      </c>
      <c r="DS527" s="27" t="s">
        <v>166</v>
      </c>
      <c r="DT527" s="30" t="s">
        <v>166</v>
      </c>
      <c r="DU527" s="25" t="s">
        <v>166</v>
      </c>
      <c r="DV527" s="29" t="s">
        <v>166</v>
      </c>
      <c r="DW527" s="29" t="s">
        <v>166</v>
      </c>
      <c r="DX527" s="27" t="s">
        <v>166</v>
      </c>
      <c r="DY527" s="27" t="s">
        <v>166</v>
      </c>
      <c r="DZ527" s="28" t="s">
        <v>166</v>
      </c>
      <c r="EA527" s="27" t="s">
        <v>166</v>
      </c>
      <c r="EB527" s="27" t="s">
        <v>166</v>
      </c>
      <c r="EC527" s="27" t="s">
        <v>166</v>
      </c>
      <c r="ED527" s="28" t="s">
        <v>166</v>
      </c>
      <c r="EE527" s="28" t="s">
        <v>166</v>
      </c>
      <c r="EF527" s="28" t="s">
        <v>166</v>
      </c>
      <c r="EG527" s="28" t="s">
        <v>166</v>
      </c>
      <c r="EH527" s="27" t="s">
        <v>166</v>
      </c>
      <c r="EI527" s="27" t="s">
        <v>166</v>
      </c>
      <c r="EJ527" s="27" t="s">
        <v>166</v>
      </c>
      <c r="EK527" s="27" t="s">
        <v>166</v>
      </c>
      <c r="EL527" s="27" t="s">
        <v>166</v>
      </c>
      <c r="EM527" s="27" t="s">
        <v>166</v>
      </c>
      <c r="EN527" s="27" t="s">
        <v>166</v>
      </c>
      <c r="EO527" s="27" t="s">
        <v>166</v>
      </c>
      <c r="EP527" s="27" t="s">
        <v>166</v>
      </c>
      <c r="EQ527" s="27" t="s">
        <v>166</v>
      </c>
      <c r="ER527" s="27" t="s">
        <v>166</v>
      </c>
      <c r="ES527" s="27" t="s">
        <v>166</v>
      </c>
      <c r="ET527" s="25" t="s">
        <v>166</v>
      </c>
      <c r="EU527" s="27" t="s">
        <v>166</v>
      </c>
      <c r="EV527" s="27" t="s">
        <v>166</v>
      </c>
      <c r="EW527" s="27" t="s">
        <v>166</v>
      </c>
      <c r="EX527" s="25" t="s">
        <v>190</v>
      </c>
      <c r="EY527" s="25" t="s">
        <v>166</v>
      </c>
      <c r="EZ527" s="27" t="s">
        <v>166</v>
      </c>
      <c r="FA527" s="26" t="s">
        <v>166</v>
      </c>
      <c r="FB527" s="26" t="s">
        <v>166</v>
      </c>
      <c r="FC527" s="26" t="s">
        <v>166</v>
      </c>
      <c r="FD527" s="26" t="s">
        <v>166</v>
      </c>
      <c r="FE527" s="26" t="s">
        <v>166</v>
      </c>
      <c r="FF527" s="26" t="s">
        <v>166</v>
      </c>
      <c r="FG527" s="25" t="s">
        <v>166</v>
      </c>
      <c r="FH527" s="4">
        <f>HYPERLINK("https://my.pitchbook.com?c=184224-16T","View Company Online")</f>
      </c>
    </row>
    <row r="528">
      <c r="A528" s="14" t="s">
        <v>10247</v>
      </c>
      <c r="B528" s="14" t="s">
        <v>10248</v>
      </c>
      <c r="C528" s="14" t="s">
        <v>10249</v>
      </c>
      <c r="D528" s="14" t="s">
        <v>166</v>
      </c>
      <c r="E528" s="23" t="s">
        <v>10250</v>
      </c>
      <c r="F528" s="21">
        <v>6</v>
      </c>
      <c r="G528" s="14" t="s">
        <v>10251</v>
      </c>
      <c r="H528" s="14" t="s">
        <v>166</v>
      </c>
      <c r="I528" s="14" t="s">
        <v>10252</v>
      </c>
      <c r="J528" s="14" t="s">
        <v>10253</v>
      </c>
      <c r="K528" s="14" t="s">
        <v>207</v>
      </c>
      <c r="L528" s="14" t="s">
        <v>208</v>
      </c>
      <c r="M528" s="14" t="s">
        <v>296</v>
      </c>
      <c r="N528" s="14" t="s">
        <v>1052</v>
      </c>
      <c r="O528" s="14" t="s">
        <v>1318</v>
      </c>
      <c r="P528" s="14" t="s">
        <v>10254</v>
      </c>
      <c r="Q528" s="14" t="s">
        <v>166</v>
      </c>
      <c r="R528" s="14" t="s">
        <v>177</v>
      </c>
      <c r="S528" s="14" t="s">
        <v>178</v>
      </c>
      <c r="T528" s="14" t="s">
        <v>179</v>
      </c>
      <c r="U528" s="14" t="s">
        <v>10255</v>
      </c>
      <c r="V528" s="14" t="s">
        <v>10256</v>
      </c>
      <c r="W528" s="21" t="s">
        <v>166</v>
      </c>
      <c r="X528" s="14" t="s">
        <v>10257</v>
      </c>
      <c r="Y528" s="14" t="s">
        <v>10258</v>
      </c>
      <c r="Z528" s="14" t="s">
        <v>10259</v>
      </c>
      <c r="AA528" s="14" t="s">
        <v>166</v>
      </c>
      <c r="AB528" s="14" t="s">
        <v>166</v>
      </c>
      <c r="AC528" s="14" t="s">
        <v>166</v>
      </c>
      <c r="AD528" s="14" t="s">
        <v>166</v>
      </c>
      <c r="AE528" s="14" t="s">
        <v>166</v>
      </c>
      <c r="AF528" s="14" t="s">
        <v>166</v>
      </c>
      <c r="AG528" s="14" t="s">
        <v>166</v>
      </c>
      <c r="AH528" s="21">
        <v>4</v>
      </c>
      <c r="AI528" s="3">
        <f>HYPERLINK("https://my.pitchbook.com/?d=179762-23T","179762-23T")</f>
      </c>
      <c r="AJ528" s="19">
        <v>45107</v>
      </c>
      <c r="AK528" s="19">
        <v>45328</v>
      </c>
      <c r="AL528" s="18">
        <v>0.05</v>
      </c>
      <c r="AM528" s="14" t="s">
        <v>185</v>
      </c>
      <c r="AN528" s="18" t="s">
        <v>166</v>
      </c>
      <c r="AO528" s="18" t="s">
        <v>166</v>
      </c>
      <c r="AP528" s="14" t="s">
        <v>166</v>
      </c>
      <c r="AQ528" s="21" t="s">
        <v>166</v>
      </c>
      <c r="AR528" s="21" t="s">
        <v>166</v>
      </c>
      <c r="AS528" s="17" t="s">
        <v>166</v>
      </c>
      <c r="AT528" s="18">
        <v>0.25</v>
      </c>
      <c r="AU528" s="21" t="s">
        <v>186</v>
      </c>
      <c r="AV528" s="21" t="s">
        <v>166</v>
      </c>
      <c r="AW528" s="18" t="s">
        <v>166</v>
      </c>
      <c r="AX528" s="21" t="s">
        <v>166</v>
      </c>
      <c r="AY528" s="14" t="s">
        <v>187</v>
      </c>
      <c r="AZ528" s="14" t="s">
        <v>166</v>
      </c>
      <c r="BA528" s="14" t="s">
        <v>166</v>
      </c>
      <c r="BB528" s="21" t="s">
        <v>166</v>
      </c>
      <c r="BC528" s="14" t="s">
        <v>179</v>
      </c>
      <c r="BD528" s="14" t="s">
        <v>10253</v>
      </c>
      <c r="BE528" s="14" t="s">
        <v>189</v>
      </c>
      <c r="BF528" s="18">
        <v>0.05</v>
      </c>
      <c r="BG528" s="14" t="s">
        <v>190</v>
      </c>
      <c r="BH528" s="14" t="s">
        <v>166</v>
      </c>
      <c r="BI528" s="14" t="s">
        <v>166</v>
      </c>
      <c r="BJ528" s="18" t="s">
        <v>166</v>
      </c>
      <c r="BK528" s="18" t="s">
        <v>166</v>
      </c>
      <c r="BL528" s="14" t="s">
        <v>191</v>
      </c>
      <c r="BM528" s="14" t="s">
        <v>178</v>
      </c>
      <c r="BN528" s="14" t="s">
        <v>177</v>
      </c>
      <c r="BO528" s="22" t="s">
        <v>166</v>
      </c>
      <c r="BP528" s="14" t="s">
        <v>10250</v>
      </c>
      <c r="BQ528" s="21">
        <v>6</v>
      </c>
      <c r="BR528" s="14" t="s">
        <v>166</v>
      </c>
      <c r="BS528" s="21" t="s">
        <v>166</v>
      </c>
      <c r="BT528" s="14" t="s">
        <v>166</v>
      </c>
      <c r="BU528" s="14" t="s">
        <v>166</v>
      </c>
      <c r="BV528" s="14" t="s">
        <v>10260</v>
      </c>
      <c r="BW528" s="14" t="s">
        <v>166</v>
      </c>
      <c r="BX528" s="14" t="s">
        <v>166</v>
      </c>
      <c r="BY528" s="14" t="s">
        <v>166</v>
      </c>
      <c r="BZ528" s="14" t="s">
        <v>166</v>
      </c>
      <c r="CA528" s="14" t="s">
        <v>166</v>
      </c>
      <c r="CB528" s="14" t="s">
        <v>166</v>
      </c>
      <c r="CC528" s="14" t="s">
        <v>166</v>
      </c>
      <c r="CD528" s="14" t="s">
        <v>166</v>
      </c>
      <c r="CE528" s="18" t="s">
        <v>166</v>
      </c>
      <c r="CF528" s="16" t="s">
        <v>166</v>
      </c>
      <c r="CG528" s="17" t="s">
        <v>166</v>
      </c>
      <c r="CH528" s="16" t="s">
        <v>166</v>
      </c>
      <c r="CI528" s="16" t="s">
        <v>166</v>
      </c>
      <c r="CJ528" s="16" t="s">
        <v>166</v>
      </c>
      <c r="CK528" s="16" t="s">
        <v>166</v>
      </c>
      <c r="CL528" s="16" t="s">
        <v>166</v>
      </c>
      <c r="CM528" s="20" t="s">
        <v>166</v>
      </c>
      <c r="CN528" s="16" t="s">
        <v>166</v>
      </c>
      <c r="CO528" s="16" t="s">
        <v>166</v>
      </c>
      <c r="CP528" s="16" t="s">
        <v>166</v>
      </c>
      <c r="CQ528" s="16" t="s">
        <v>166</v>
      </c>
      <c r="CR528" s="16" t="s">
        <v>166</v>
      </c>
      <c r="CS528" s="16" t="s">
        <v>166</v>
      </c>
      <c r="CT528" s="16" t="s">
        <v>166</v>
      </c>
      <c r="CU528" s="16" t="s">
        <v>166</v>
      </c>
      <c r="CV528" s="16" t="s">
        <v>166</v>
      </c>
      <c r="CW528" s="16" t="s">
        <v>166</v>
      </c>
      <c r="CX528" s="16" t="s">
        <v>166</v>
      </c>
      <c r="CY528" s="16" t="s">
        <v>166</v>
      </c>
      <c r="CZ528" s="16" t="s">
        <v>166</v>
      </c>
      <c r="DA528" s="16" t="s">
        <v>166</v>
      </c>
      <c r="DB528" s="16" t="s">
        <v>166</v>
      </c>
      <c r="DC528" s="16" t="s">
        <v>166</v>
      </c>
      <c r="DD528" s="16" t="s">
        <v>166</v>
      </c>
      <c r="DE528" s="17" t="s">
        <v>166</v>
      </c>
      <c r="DF528" s="22">
        <v>10</v>
      </c>
      <c r="DG528" s="14" t="s">
        <v>309</v>
      </c>
      <c r="DH528" s="14" t="s">
        <v>193</v>
      </c>
      <c r="DI528" s="14" t="s">
        <v>194</v>
      </c>
      <c r="DJ528" s="14" t="s">
        <v>310</v>
      </c>
      <c r="DK528" s="14" t="s">
        <v>310</v>
      </c>
      <c r="DL528" s="21" t="s">
        <v>166</v>
      </c>
      <c r="DM528" s="14" t="s">
        <v>198</v>
      </c>
      <c r="DN528" s="13" t="s">
        <v>10261</v>
      </c>
      <c r="DO528" s="20">
        <v>2019</v>
      </c>
      <c r="DP528" s="14" t="s">
        <v>166</v>
      </c>
      <c r="DQ528" s="14" t="s">
        <v>166</v>
      </c>
      <c r="DR528" s="18" t="s">
        <v>166</v>
      </c>
      <c r="DS528" s="16" t="s">
        <v>166</v>
      </c>
      <c r="DT528" s="19" t="s">
        <v>166</v>
      </c>
      <c r="DU528" s="14" t="s">
        <v>166</v>
      </c>
      <c r="DV528" s="18" t="s">
        <v>166</v>
      </c>
      <c r="DW528" s="18" t="s">
        <v>166</v>
      </c>
      <c r="DX528" s="16" t="s">
        <v>166</v>
      </c>
      <c r="DY528" s="16" t="s">
        <v>166</v>
      </c>
      <c r="DZ528" s="17" t="s">
        <v>166</v>
      </c>
      <c r="EA528" s="16" t="s">
        <v>166</v>
      </c>
      <c r="EB528" s="16" t="s">
        <v>166</v>
      </c>
      <c r="EC528" s="16" t="s">
        <v>166</v>
      </c>
      <c r="ED528" s="17" t="s">
        <v>166</v>
      </c>
      <c r="EE528" s="17" t="s">
        <v>166</v>
      </c>
      <c r="EF528" s="17" t="s">
        <v>166</v>
      </c>
      <c r="EG528" s="17" t="s">
        <v>166</v>
      </c>
      <c r="EH528" s="16" t="s">
        <v>166</v>
      </c>
      <c r="EI528" s="16" t="s">
        <v>166</v>
      </c>
      <c r="EJ528" s="16" t="s">
        <v>166</v>
      </c>
      <c r="EK528" s="16" t="s">
        <v>166</v>
      </c>
      <c r="EL528" s="16" t="s">
        <v>166</v>
      </c>
      <c r="EM528" s="16" t="s">
        <v>166</v>
      </c>
      <c r="EN528" s="16" t="s">
        <v>166</v>
      </c>
      <c r="EO528" s="16" t="s">
        <v>166</v>
      </c>
      <c r="EP528" s="16" t="s">
        <v>166</v>
      </c>
      <c r="EQ528" s="16" t="s">
        <v>166</v>
      </c>
      <c r="ER528" s="16" t="s">
        <v>166</v>
      </c>
      <c r="ES528" s="16" t="s">
        <v>166</v>
      </c>
      <c r="ET528" s="14" t="s">
        <v>166</v>
      </c>
      <c r="EU528" s="16" t="s">
        <v>166</v>
      </c>
      <c r="EV528" s="16" t="s">
        <v>166</v>
      </c>
      <c r="EW528" s="16" t="s">
        <v>166</v>
      </c>
      <c r="EX528" s="14" t="s">
        <v>190</v>
      </c>
      <c r="EY528" s="14" t="s">
        <v>166</v>
      </c>
      <c r="EZ528" s="16" t="s">
        <v>166</v>
      </c>
      <c r="FA528" s="15" t="s">
        <v>166</v>
      </c>
      <c r="FB528" s="15" t="s">
        <v>166</v>
      </c>
      <c r="FC528" s="15" t="s">
        <v>166</v>
      </c>
      <c r="FD528" s="15" t="s">
        <v>166</v>
      </c>
      <c r="FE528" s="15" t="s">
        <v>166</v>
      </c>
      <c r="FF528" s="15" t="s">
        <v>166</v>
      </c>
      <c r="FG528" s="14" t="s">
        <v>166</v>
      </c>
      <c r="FH528" s="3">
        <f>HYPERLINK("https://my.pitchbook.com?c=179762-23T","View Company Online")</f>
      </c>
    </row>
    <row r="529">
      <c r="A529" s="25" t="s">
        <v>10262</v>
      </c>
      <c r="B529" s="25" t="s">
        <v>10263</v>
      </c>
      <c r="C529" s="25" t="s">
        <v>10264</v>
      </c>
      <c r="D529" s="25" t="s">
        <v>166</v>
      </c>
      <c r="E529" s="34" t="s">
        <v>10265</v>
      </c>
      <c r="F529" s="32">
        <v>2</v>
      </c>
      <c r="G529" s="25" t="s">
        <v>10266</v>
      </c>
      <c r="H529" s="25" t="s">
        <v>166</v>
      </c>
      <c r="I529" s="25" t="s">
        <v>10267</v>
      </c>
      <c r="J529" s="25" t="s">
        <v>10268</v>
      </c>
      <c r="K529" s="25" t="s">
        <v>207</v>
      </c>
      <c r="L529" s="25" t="s">
        <v>208</v>
      </c>
      <c r="M529" s="25" t="s">
        <v>1181</v>
      </c>
      <c r="N529" s="25" t="s">
        <v>5371</v>
      </c>
      <c r="O529" s="25" t="s">
        <v>10269</v>
      </c>
      <c r="P529" s="25" t="s">
        <v>10270</v>
      </c>
      <c r="Q529" s="25" t="s">
        <v>166</v>
      </c>
      <c r="R529" s="25" t="s">
        <v>177</v>
      </c>
      <c r="S529" s="25" t="s">
        <v>178</v>
      </c>
      <c r="T529" s="25" t="s">
        <v>179</v>
      </c>
      <c r="U529" s="25" t="s">
        <v>10271</v>
      </c>
      <c r="V529" s="25" t="s">
        <v>10272</v>
      </c>
      <c r="W529" s="32" t="s">
        <v>166</v>
      </c>
      <c r="X529" s="25" t="s">
        <v>10273</v>
      </c>
      <c r="Y529" s="25" t="s">
        <v>10274</v>
      </c>
      <c r="Z529" s="25" t="s">
        <v>166</v>
      </c>
      <c r="AA529" s="25" t="s">
        <v>166</v>
      </c>
      <c r="AB529" s="25" t="s">
        <v>166</v>
      </c>
      <c r="AC529" s="25" t="s">
        <v>166</v>
      </c>
      <c r="AD529" s="25" t="s">
        <v>166</v>
      </c>
      <c r="AE529" s="25" t="s">
        <v>166</v>
      </c>
      <c r="AF529" s="25" t="s">
        <v>166</v>
      </c>
      <c r="AG529" s="25" t="s">
        <v>166</v>
      </c>
      <c r="AH529" s="32">
        <v>1</v>
      </c>
      <c r="AI529" s="4">
        <f>HYPERLINK("https://my.pitchbook.com/?d=176612-23T","176612-23T")</f>
      </c>
      <c r="AJ529" s="30" t="s">
        <v>166</v>
      </c>
      <c r="AK529" s="30">
        <v>44392</v>
      </c>
      <c r="AL529" s="29">
        <v>0.35</v>
      </c>
      <c r="AM529" s="25" t="s">
        <v>185</v>
      </c>
      <c r="AN529" s="29" t="s">
        <v>166</v>
      </c>
      <c r="AO529" s="29" t="s">
        <v>166</v>
      </c>
      <c r="AP529" s="25" t="s">
        <v>166</v>
      </c>
      <c r="AQ529" s="32" t="s">
        <v>166</v>
      </c>
      <c r="AR529" s="32" t="s">
        <v>166</v>
      </c>
      <c r="AS529" s="28" t="s">
        <v>166</v>
      </c>
      <c r="AT529" s="29">
        <v>0.35</v>
      </c>
      <c r="AU529" s="32" t="s">
        <v>186</v>
      </c>
      <c r="AV529" s="32" t="s">
        <v>166</v>
      </c>
      <c r="AW529" s="29" t="s">
        <v>166</v>
      </c>
      <c r="AX529" s="32" t="s">
        <v>166</v>
      </c>
      <c r="AY529" s="25" t="s">
        <v>217</v>
      </c>
      <c r="AZ529" s="25" t="s">
        <v>217</v>
      </c>
      <c r="BA529" s="25" t="s">
        <v>166</v>
      </c>
      <c r="BB529" s="32" t="s">
        <v>166</v>
      </c>
      <c r="BC529" s="25" t="s">
        <v>179</v>
      </c>
      <c r="BD529" s="25" t="s">
        <v>10275</v>
      </c>
      <c r="BE529" s="25" t="s">
        <v>189</v>
      </c>
      <c r="BF529" s="29">
        <v>0.35</v>
      </c>
      <c r="BG529" s="25" t="s">
        <v>190</v>
      </c>
      <c r="BH529" s="25" t="s">
        <v>166</v>
      </c>
      <c r="BI529" s="25" t="s">
        <v>166</v>
      </c>
      <c r="BJ529" s="29" t="s">
        <v>166</v>
      </c>
      <c r="BK529" s="29" t="s">
        <v>166</v>
      </c>
      <c r="BL529" s="25" t="s">
        <v>191</v>
      </c>
      <c r="BM529" s="25" t="s">
        <v>178</v>
      </c>
      <c r="BN529" s="25" t="s">
        <v>177</v>
      </c>
      <c r="BO529" s="33" t="s">
        <v>166</v>
      </c>
      <c r="BP529" s="25" t="s">
        <v>10265</v>
      </c>
      <c r="BQ529" s="32">
        <v>2</v>
      </c>
      <c r="BR529" s="25" t="s">
        <v>166</v>
      </c>
      <c r="BS529" s="32" t="s">
        <v>166</v>
      </c>
      <c r="BT529" s="25" t="s">
        <v>10276</v>
      </c>
      <c r="BU529" s="25" t="s">
        <v>166</v>
      </c>
      <c r="BV529" s="25" t="s">
        <v>166</v>
      </c>
      <c r="BW529" s="25" t="s">
        <v>166</v>
      </c>
      <c r="BX529" s="25" t="s">
        <v>166</v>
      </c>
      <c r="BY529" s="25" t="s">
        <v>166</v>
      </c>
      <c r="BZ529" s="25" t="s">
        <v>166</v>
      </c>
      <c r="CA529" s="25" t="s">
        <v>166</v>
      </c>
      <c r="CB529" s="25" t="s">
        <v>166</v>
      </c>
      <c r="CC529" s="25" t="s">
        <v>166</v>
      </c>
      <c r="CD529" s="25" t="s">
        <v>166</v>
      </c>
      <c r="CE529" s="29" t="s">
        <v>166</v>
      </c>
      <c r="CF529" s="27" t="s">
        <v>166</v>
      </c>
      <c r="CG529" s="28" t="s">
        <v>166</v>
      </c>
      <c r="CH529" s="27" t="s">
        <v>166</v>
      </c>
      <c r="CI529" s="27" t="s">
        <v>166</v>
      </c>
      <c r="CJ529" s="27" t="s">
        <v>166</v>
      </c>
      <c r="CK529" s="27" t="s">
        <v>166</v>
      </c>
      <c r="CL529" s="27" t="s">
        <v>166</v>
      </c>
      <c r="CM529" s="31" t="s">
        <v>166</v>
      </c>
      <c r="CN529" s="27" t="s">
        <v>166</v>
      </c>
      <c r="CO529" s="27" t="s">
        <v>166</v>
      </c>
      <c r="CP529" s="27" t="s">
        <v>166</v>
      </c>
      <c r="CQ529" s="27" t="s">
        <v>166</v>
      </c>
      <c r="CR529" s="27" t="s">
        <v>166</v>
      </c>
      <c r="CS529" s="27" t="s">
        <v>166</v>
      </c>
      <c r="CT529" s="27" t="s">
        <v>166</v>
      </c>
      <c r="CU529" s="27" t="s">
        <v>166</v>
      </c>
      <c r="CV529" s="27" t="s">
        <v>166</v>
      </c>
      <c r="CW529" s="27" t="s">
        <v>166</v>
      </c>
      <c r="CX529" s="27" t="s">
        <v>166</v>
      </c>
      <c r="CY529" s="27" t="s">
        <v>166</v>
      </c>
      <c r="CZ529" s="27" t="s">
        <v>166</v>
      </c>
      <c r="DA529" s="27" t="s">
        <v>166</v>
      </c>
      <c r="DB529" s="27" t="s">
        <v>166</v>
      </c>
      <c r="DC529" s="27" t="s">
        <v>166</v>
      </c>
      <c r="DD529" s="27" t="s">
        <v>166</v>
      </c>
      <c r="DE529" s="28" t="s">
        <v>166</v>
      </c>
      <c r="DF529" s="33">
        <v>7</v>
      </c>
      <c r="DG529" s="25" t="s">
        <v>568</v>
      </c>
      <c r="DH529" s="25" t="s">
        <v>193</v>
      </c>
      <c r="DI529" s="25" t="s">
        <v>194</v>
      </c>
      <c r="DJ529" s="25" t="s">
        <v>569</v>
      </c>
      <c r="DK529" s="25" t="s">
        <v>408</v>
      </c>
      <c r="DL529" s="32" t="s">
        <v>10277</v>
      </c>
      <c r="DM529" s="25" t="s">
        <v>198</v>
      </c>
      <c r="DN529" s="24" t="s">
        <v>10278</v>
      </c>
      <c r="DO529" s="31">
        <v>2020</v>
      </c>
      <c r="DP529" s="25" t="s">
        <v>166</v>
      </c>
      <c r="DQ529" s="25" t="s">
        <v>166</v>
      </c>
      <c r="DR529" s="29" t="s">
        <v>166</v>
      </c>
      <c r="DS529" s="27" t="s">
        <v>166</v>
      </c>
      <c r="DT529" s="30" t="s">
        <v>166</v>
      </c>
      <c r="DU529" s="25" t="s">
        <v>166</v>
      </c>
      <c r="DV529" s="29" t="s">
        <v>166</v>
      </c>
      <c r="DW529" s="29" t="s">
        <v>166</v>
      </c>
      <c r="DX529" s="27" t="s">
        <v>166</v>
      </c>
      <c r="DY529" s="27" t="s">
        <v>166</v>
      </c>
      <c r="DZ529" s="28" t="s">
        <v>166</v>
      </c>
      <c r="EA529" s="27" t="s">
        <v>166</v>
      </c>
      <c r="EB529" s="27" t="s">
        <v>166</v>
      </c>
      <c r="EC529" s="27" t="s">
        <v>166</v>
      </c>
      <c r="ED529" s="28" t="s">
        <v>166</v>
      </c>
      <c r="EE529" s="28" t="s">
        <v>166</v>
      </c>
      <c r="EF529" s="28" t="s">
        <v>166</v>
      </c>
      <c r="EG529" s="28" t="s">
        <v>166</v>
      </c>
      <c r="EH529" s="27" t="s">
        <v>166</v>
      </c>
      <c r="EI529" s="27" t="s">
        <v>166</v>
      </c>
      <c r="EJ529" s="27" t="s">
        <v>166</v>
      </c>
      <c r="EK529" s="27" t="s">
        <v>166</v>
      </c>
      <c r="EL529" s="27" t="s">
        <v>166</v>
      </c>
      <c r="EM529" s="27" t="s">
        <v>166</v>
      </c>
      <c r="EN529" s="27" t="s">
        <v>166</v>
      </c>
      <c r="EO529" s="27" t="s">
        <v>166</v>
      </c>
      <c r="EP529" s="27" t="s">
        <v>166</v>
      </c>
      <c r="EQ529" s="27" t="s">
        <v>166</v>
      </c>
      <c r="ER529" s="27" t="s">
        <v>166</v>
      </c>
      <c r="ES529" s="27" t="s">
        <v>166</v>
      </c>
      <c r="ET529" s="25" t="s">
        <v>166</v>
      </c>
      <c r="EU529" s="27" t="s">
        <v>166</v>
      </c>
      <c r="EV529" s="27" t="s">
        <v>166</v>
      </c>
      <c r="EW529" s="27" t="s">
        <v>166</v>
      </c>
      <c r="EX529" s="25" t="s">
        <v>190</v>
      </c>
      <c r="EY529" s="25" t="s">
        <v>166</v>
      </c>
      <c r="EZ529" s="27" t="s">
        <v>166</v>
      </c>
      <c r="FA529" s="26" t="s">
        <v>166</v>
      </c>
      <c r="FB529" s="26" t="s">
        <v>166</v>
      </c>
      <c r="FC529" s="26" t="s">
        <v>166</v>
      </c>
      <c r="FD529" s="26" t="s">
        <v>166</v>
      </c>
      <c r="FE529" s="26" t="s">
        <v>166</v>
      </c>
      <c r="FF529" s="26" t="s">
        <v>166</v>
      </c>
      <c r="FG529" s="25" t="s">
        <v>166</v>
      </c>
      <c r="FH529" s="4">
        <f>HYPERLINK("https://my.pitchbook.com?c=176612-23T","View Company Online")</f>
      </c>
    </row>
    <row r="530">
      <c r="A530" s="14" t="s">
        <v>10279</v>
      </c>
      <c r="B530" s="14" t="s">
        <v>10280</v>
      </c>
      <c r="C530" s="14" t="s">
        <v>10281</v>
      </c>
      <c r="D530" s="14" t="s">
        <v>166</v>
      </c>
      <c r="E530" s="23" t="s">
        <v>10282</v>
      </c>
      <c r="F530" s="21">
        <v>7</v>
      </c>
      <c r="G530" s="14" t="s">
        <v>10283</v>
      </c>
      <c r="H530" s="14" t="s">
        <v>166</v>
      </c>
      <c r="I530" s="14" t="s">
        <v>10284</v>
      </c>
      <c r="J530" s="14" t="s">
        <v>10285</v>
      </c>
      <c r="K530" s="14" t="s">
        <v>1500</v>
      </c>
      <c r="L530" s="14" t="s">
        <v>2334</v>
      </c>
      <c r="M530" s="14" t="s">
        <v>2335</v>
      </c>
      <c r="N530" s="14" t="s">
        <v>10286</v>
      </c>
      <c r="O530" s="14" t="s">
        <v>2225</v>
      </c>
      <c r="P530" s="14" t="s">
        <v>10287</v>
      </c>
      <c r="Q530" s="14" t="s">
        <v>10288</v>
      </c>
      <c r="R530" s="14" t="s">
        <v>177</v>
      </c>
      <c r="S530" s="14" t="s">
        <v>178</v>
      </c>
      <c r="T530" s="14" t="s">
        <v>179</v>
      </c>
      <c r="U530" s="14" t="s">
        <v>10289</v>
      </c>
      <c r="V530" s="14" t="s">
        <v>10290</v>
      </c>
      <c r="W530" s="21" t="s">
        <v>10291</v>
      </c>
      <c r="X530" s="14" t="s">
        <v>10292</v>
      </c>
      <c r="Y530" s="14" t="s">
        <v>10293</v>
      </c>
      <c r="Z530" s="14" t="s">
        <v>10294</v>
      </c>
      <c r="AA530" s="14" t="s">
        <v>242</v>
      </c>
      <c r="AB530" s="14" t="s">
        <v>243</v>
      </c>
      <c r="AC530" s="14" t="s">
        <v>244</v>
      </c>
      <c r="AD530" s="14" t="s">
        <v>243</v>
      </c>
      <c r="AE530" s="14" t="s">
        <v>243</v>
      </c>
      <c r="AF530" s="14" t="s">
        <v>166</v>
      </c>
      <c r="AG530" s="14" t="s">
        <v>246</v>
      </c>
      <c r="AH530" s="21">
        <v>2</v>
      </c>
      <c r="AI530" s="3">
        <f>HYPERLINK("https://my.pitchbook.com/?d=139352-41T","139352-41T")</f>
      </c>
      <c r="AJ530" s="19">
        <v>44007</v>
      </c>
      <c r="AK530" s="19">
        <v>44020</v>
      </c>
      <c r="AL530" s="18">
        <v>1.74</v>
      </c>
      <c r="AM530" s="14" t="s">
        <v>185</v>
      </c>
      <c r="AN530" s="18">
        <v>4</v>
      </c>
      <c r="AO530" s="18">
        <v>5.74</v>
      </c>
      <c r="AP530" s="14" t="s">
        <v>185</v>
      </c>
      <c r="AQ530" s="21" t="s">
        <v>166</v>
      </c>
      <c r="AR530" s="21" t="s">
        <v>166</v>
      </c>
      <c r="AS530" s="17">
        <v>30.28</v>
      </c>
      <c r="AT530" s="18">
        <v>1.88</v>
      </c>
      <c r="AU530" s="21" t="s">
        <v>186</v>
      </c>
      <c r="AV530" s="21" t="s">
        <v>166</v>
      </c>
      <c r="AW530" s="18">
        <v>0.37</v>
      </c>
      <c r="AX530" s="21" t="s">
        <v>166</v>
      </c>
      <c r="AY530" s="14" t="s">
        <v>217</v>
      </c>
      <c r="AZ530" s="14" t="s">
        <v>217</v>
      </c>
      <c r="BA530" s="14" t="s">
        <v>166</v>
      </c>
      <c r="BB530" s="21" t="s">
        <v>166</v>
      </c>
      <c r="BC530" s="14" t="s">
        <v>179</v>
      </c>
      <c r="BD530" s="14" t="s">
        <v>10295</v>
      </c>
      <c r="BE530" s="14" t="s">
        <v>189</v>
      </c>
      <c r="BF530" s="18">
        <v>1.74</v>
      </c>
      <c r="BG530" s="14" t="s">
        <v>190</v>
      </c>
      <c r="BH530" s="14" t="s">
        <v>166</v>
      </c>
      <c r="BI530" s="14" t="s">
        <v>166</v>
      </c>
      <c r="BJ530" s="18" t="s">
        <v>166</v>
      </c>
      <c r="BK530" s="18" t="s">
        <v>166</v>
      </c>
      <c r="BL530" s="14" t="s">
        <v>191</v>
      </c>
      <c r="BM530" s="14" t="s">
        <v>178</v>
      </c>
      <c r="BN530" s="14" t="s">
        <v>177</v>
      </c>
      <c r="BO530" s="22" t="s">
        <v>166</v>
      </c>
      <c r="BP530" s="14" t="s">
        <v>10296</v>
      </c>
      <c r="BQ530" s="21">
        <v>7</v>
      </c>
      <c r="BR530" s="14" t="s">
        <v>166</v>
      </c>
      <c r="BS530" s="21" t="s">
        <v>166</v>
      </c>
      <c r="BT530" s="14" t="s">
        <v>10297</v>
      </c>
      <c r="BU530" s="14" t="s">
        <v>166</v>
      </c>
      <c r="BV530" s="14" t="s">
        <v>10298</v>
      </c>
      <c r="BW530" s="14" t="s">
        <v>166</v>
      </c>
      <c r="BX530" s="14" t="s">
        <v>166</v>
      </c>
      <c r="BY530" s="14" t="s">
        <v>166</v>
      </c>
      <c r="BZ530" s="14" t="s">
        <v>10299</v>
      </c>
      <c r="CA530" s="14" t="s">
        <v>1327</v>
      </c>
      <c r="CB530" s="14" t="s">
        <v>166</v>
      </c>
      <c r="CC530" s="14" t="s">
        <v>9861</v>
      </c>
      <c r="CD530" s="14" t="s">
        <v>166</v>
      </c>
      <c r="CE530" s="18" t="s">
        <v>166</v>
      </c>
      <c r="CF530" s="16" t="s">
        <v>166</v>
      </c>
      <c r="CG530" s="17" t="s">
        <v>166</v>
      </c>
      <c r="CH530" s="16" t="s">
        <v>166</v>
      </c>
      <c r="CI530" s="16" t="s">
        <v>166</v>
      </c>
      <c r="CJ530" s="16" t="s">
        <v>166</v>
      </c>
      <c r="CK530" s="16" t="s">
        <v>166</v>
      </c>
      <c r="CL530" s="16" t="s">
        <v>166</v>
      </c>
      <c r="CM530" s="20" t="s">
        <v>166</v>
      </c>
      <c r="CN530" s="16" t="s">
        <v>166</v>
      </c>
      <c r="CO530" s="16" t="s">
        <v>166</v>
      </c>
      <c r="CP530" s="16" t="s">
        <v>166</v>
      </c>
      <c r="CQ530" s="16" t="s">
        <v>166</v>
      </c>
      <c r="CR530" s="16" t="s">
        <v>166</v>
      </c>
      <c r="CS530" s="16" t="s">
        <v>166</v>
      </c>
      <c r="CT530" s="16" t="s">
        <v>166</v>
      </c>
      <c r="CU530" s="16" t="s">
        <v>166</v>
      </c>
      <c r="CV530" s="16" t="s">
        <v>166</v>
      </c>
      <c r="CW530" s="16" t="s">
        <v>166</v>
      </c>
      <c r="CX530" s="16" t="s">
        <v>166</v>
      </c>
      <c r="CY530" s="16" t="s">
        <v>166</v>
      </c>
      <c r="CZ530" s="16" t="s">
        <v>166</v>
      </c>
      <c r="DA530" s="16" t="s">
        <v>166</v>
      </c>
      <c r="DB530" s="16" t="s">
        <v>166</v>
      </c>
      <c r="DC530" s="16" t="s">
        <v>166</v>
      </c>
      <c r="DD530" s="16" t="s">
        <v>166</v>
      </c>
      <c r="DE530" s="17" t="s">
        <v>166</v>
      </c>
      <c r="DF530" s="22">
        <v>58</v>
      </c>
      <c r="DG530" s="14" t="s">
        <v>2439</v>
      </c>
      <c r="DH530" s="14" t="s">
        <v>193</v>
      </c>
      <c r="DI530" s="14" t="s">
        <v>194</v>
      </c>
      <c r="DJ530" s="14" t="s">
        <v>2440</v>
      </c>
      <c r="DK530" s="14" t="s">
        <v>454</v>
      </c>
      <c r="DL530" s="21" t="s">
        <v>10300</v>
      </c>
      <c r="DM530" s="14" t="s">
        <v>198</v>
      </c>
      <c r="DN530" s="13" t="s">
        <v>10301</v>
      </c>
      <c r="DO530" s="20">
        <v>2019</v>
      </c>
      <c r="DP530" s="14" t="s">
        <v>166</v>
      </c>
      <c r="DQ530" s="14" t="s">
        <v>166</v>
      </c>
      <c r="DR530" s="18" t="s">
        <v>166</v>
      </c>
      <c r="DS530" s="16" t="s">
        <v>166</v>
      </c>
      <c r="DT530" s="19" t="s">
        <v>166</v>
      </c>
      <c r="DU530" s="14" t="s">
        <v>166</v>
      </c>
      <c r="DV530" s="18" t="s">
        <v>166</v>
      </c>
      <c r="DW530" s="18" t="s">
        <v>166</v>
      </c>
      <c r="DX530" s="16" t="s">
        <v>166</v>
      </c>
      <c r="DY530" s="16" t="s">
        <v>166</v>
      </c>
      <c r="DZ530" s="17" t="s">
        <v>166</v>
      </c>
      <c r="EA530" s="16" t="s">
        <v>166</v>
      </c>
      <c r="EB530" s="16" t="s">
        <v>166</v>
      </c>
      <c r="EC530" s="16" t="s">
        <v>166</v>
      </c>
      <c r="ED530" s="17" t="s">
        <v>166</v>
      </c>
      <c r="EE530" s="17" t="s">
        <v>166</v>
      </c>
      <c r="EF530" s="17" t="s">
        <v>166</v>
      </c>
      <c r="EG530" s="17" t="s">
        <v>166</v>
      </c>
      <c r="EH530" s="16" t="s">
        <v>166</v>
      </c>
      <c r="EI530" s="16" t="s">
        <v>166</v>
      </c>
      <c r="EJ530" s="16" t="s">
        <v>166</v>
      </c>
      <c r="EK530" s="16" t="s">
        <v>166</v>
      </c>
      <c r="EL530" s="16" t="s">
        <v>166</v>
      </c>
      <c r="EM530" s="16" t="s">
        <v>166</v>
      </c>
      <c r="EN530" s="16" t="s">
        <v>166</v>
      </c>
      <c r="EO530" s="16" t="s">
        <v>166</v>
      </c>
      <c r="EP530" s="16" t="s">
        <v>166</v>
      </c>
      <c r="EQ530" s="16" t="s">
        <v>166</v>
      </c>
      <c r="ER530" s="16" t="s">
        <v>166</v>
      </c>
      <c r="ES530" s="16" t="s">
        <v>166</v>
      </c>
      <c r="ET530" s="14" t="s">
        <v>166</v>
      </c>
      <c r="EU530" s="16" t="s">
        <v>166</v>
      </c>
      <c r="EV530" s="16" t="s">
        <v>166</v>
      </c>
      <c r="EW530" s="16" t="s">
        <v>166</v>
      </c>
      <c r="EX530" s="14" t="s">
        <v>190</v>
      </c>
      <c r="EY530" s="14" t="s">
        <v>166</v>
      </c>
      <c r="EZ530" s="16" t="s">
        <v>166</v>
      </c>
      <c r="FA530" s="15" t="s">
        <v>166</v>
      </c>
      <c r="FB530" s="15" t="s">
        <v>166</v>
      </c>
      <c r="FC530" s="15" t="s">
        <v>166</v>
      </c>
      <c r="FD530" s="15" t="s">
        <v>166</v>
      </c>
      <c r="FE530" s="15" t="s">
        <v>166</v>
      </c>
      <c r="FF530" s="15" t="s">
        <v>166</v>
      </c>
      <c r="FG530" s="14" t="s">
        <v>166</v>
      </c>
      <c r="FH530" s="3">
        <f>HYPERLINK("https://my.pitchbook.com?c=139352-41T","View Company Online")</f>
      </c>
    </row>
    <row r="531">
      <c r="A531" s="25" t="s">
        <v>10302</v>
      </c>
      <c r="B531" s="25" t="s">
        <v>10303</v>
      </c>
      <c r="C531" s="25" t="s">
        <v>10304</v>
      </c>
      <c r="D531" s="25" t="s">
        <v>166</v>
      </c>
      <c r="E531" s="34" t="s">
        <v>10305</v>
      </c>
      <c r="F531" s="32">
        <v>4</v>
      </c>
      <c r="G531" s="25" t="s">
        <v>10306</v>
      </c>
      <c r="H531" s="25" t="s">
        <v>166</v>
      </c>
      <c r="I531" s="25" t="s">
        <v>10307</v>
      </c>
      <c r="J531" s="25" t="s">
        <v>10308</v>
      </c>
      <c r="K531" s="25" t="s">
        <v>207</v>
      </c>
      <c r="L531" s="25" t="s">
        <v>208</v>
      </c>
      <c r="M531" s="25" t="s">
        <v>209</v>
      </c>
      <c r="N531" s="25" t="s">
        <v>1824</v>
      </c>
      <c r="O531" s="25" t="s">
        <v>641</v>
      </c>
      <c r="P531" s="25" t="s">
        <v>10309</v>
      </c>
      <c r="Q531" s="25" t="s">
        <v>166</v>
      </c>
      <c r="R531" s="25" t="s">
        <v>177</v>
      </c>
      <c r="S531" s="25" t="s">
        <v>178</v>
      </c>
      <c r="T531" s="25" t="s">
        <v>179</v>
      </c>
      <c r="U531" s="25" t="s">
        <v>10310</v>
      </c>
      <c r="V531" s="25" t="s">
        <v>10311</v>
      </c>
      <c r="W531" s="32" t="s">
        <v>10312</v>
      </c>
      <c r="X531" s="25" t="s">
        <v>166</v>
      </c>
      <c r="Y531" s="25" t="s">
        <v>10313</v>
      </c>
      <c r="Z531" s="25" t="s">
        <v>166</v>
      </c>
      <c r="AA531" s="25" t="s">
        <v>242</v>
      </c>
      <c r="AB531" s="25" t="s">
        <v>243</v>
      </c>
      <c r="AC531" s="25" t="s">
        <v>244</v>
      </c>
      <c r="AD531" s="25" t="s">
        <v>243</v>
      </c>
      <c r="AE531" s="25" t="s">
        <v>243</v>
      </c>
      <c r="AF531" s="25" t="s">
        <v>166</v>
      </c>
      <c r="AG531" s="25" t="s">
        <v>807</v>
      </c>
      <c r="AH531" s="32">
        <v>1</v>
      </c>
      <c r="AI531" s="4">
        <f>HYPERLINK("https://my.pitchbook.com/?d=188692-66T","188692-66T")</f>
      </c>
      <c r="AJ531" s="30">
        <v>44602</v>
      </c>
      <c r="AK531" s="30">
        <v>45107</v>
      </c>
      <c r="AL531" s="29">
        <v>1.23</v>
      </c>
      <c r="AM531" s="25" t="s">
        <v>185</v>
      </c>
      <c r="AN531" s="29">
        <v>4</v>
      </c>
      <c r="AO531" s="29">
        <v>5.23</v>
      </c>
      <c r="AP531" s="25" t="s">
        <v>185</v>
      </c>
      <c r="AQ531" s="32" t="s">
        <v>166</v>
      </c>
      <c r="AR531" s="32" t="s">
        <v>166</v>
      </c>
      <c r="AS531" s="28">
        <v>23.44</v>
      </c>
      <c r="AT531" s="29">
        <v>1.23</v>
      </c>
      <c r="AU531" s="32" t="s">
        <v>186</v>
      </c>
      <c r="AV531" s="32" t="s">
        <v>166</v>
      </c>
      <c r="AW531" s="29">
        <v>0.84</v>
      </c>
      <c r="AX531" s="32" t="s">
        <v>166</v>
      </c>
      <c r="AY531" s="25" t="s">
        <v>217</v>
      </c>
      <c r="AZ531" s="25" t="s">
        <v>217</v>
      </c>
      <c r="BA531" s="25" t="s">
        <v>166</v>
      </c>
      <c r="BB531" s="32" t="s">
        <v>166</v>
      </c>
      <c r="BC531" s="25" t="s">
        <v>179</v>
      </c>
      <c r="BD531" s="25" t="s">
        <v>10308</v>
      </c>
      <c r="BE531" s="25" t="s">
        <v>189</v>
      </c>
      <c r="BF531" s="29">
        <v>1.23</v>
      </c>
      <c r="BG531" s="25" t="s">
        <v>190</v>
      </c>
      <c r="BH531" s="25" t="s">
        <v>166</v>
      </c>
      <c r="BI531" s="25" t="s">
        <v>166</v>
      </c>
      <c r="BJ531" s="29" t="s">
        <v>166</v>
      </c>
      <c r="BK531" s="29" t="s">
        <v>166</v>
      </c>
      <c r="BL531" s="25" t="s">
        <v>191</v>
      </c>
      <c r="BM531" s="25" t="s">
        <v>178</v>
      </c>
      <c r="BN531" s="25" t="s">
        <v>177</v>
      </c>
      <c r="BO531" s="33" t="s">
        <v>166</v>
      </c>
      <c r="BP531" s="25" t="s">
        <v>10314</v>
      </c>
      <c r="BQ531" s="32">
        <v>4</v>
      </c>
      <c r="BR531" s="25" t="s">
        <v>166</v>
      </c>
      <c r="BS531" s="32" t="s">
        <v>166</v>
      </c>
      <c r="BT531" s="25" t="s">
        <v>166</v>
      </c>
      <c r="BU531" s="25" t="s">
        <v>166</v>
      </c>
      <c r="BV531" s="25" t="s">
        <v>10315</v>
      </c>
      <c r="BW531" s="25" t="s">
        <v>166</v>
      </c>
      <c r="BX531" s="25" t="s">
        <v>166</v>
      </c>
      <c r="BY531" s="25" t="s">
        <v>166</v>
      </c>
      <c r="BZ531" s="25" t="s">
        <v>166</v>
      </c>
      <c r="CA531" s="25" t="s">
        <v>166</v>
      </c>
      <c r="CB531" s="25" t="s">
        <v>166</v>
      </c>
      <c r="CC531" s="25" t="s">
        <v>166</v>
      </c>
      <c r="CD531" s="25" t="s">
        <v>166</v>
      </c>
      <c r="CE531" s="29" t="s">
        <v>166</v>
      </c>
      <c r="CF531" s="27" t="s">
        <v>166</v>
      </c>
      <c r="CG531" s="28" t="s">
        <v>166</v>
      </c>
      <c r="CH531" s="27" t="s">
        <v>166</v>
      </c>
      <c r="CI531" s="27" t="s">
        <v>166</v>
      </c>
      <c r="CJ531" s="27" t="s">
        <v>166</v>
      </c>
      <c r="CK531" s="27" t="s">
        <v>166</v>
      </c>
      <c r="CL531" s="27" t="s">
        <v>166</v>
      </c>
      <c r="CM531" s="31" t="s">
        <v>166</v>
      </c>
      <c r="CN531" s="27" t="s">
        <v>166</v>
      </c>
      <c r="CO531" s="27" t="s">
        <v>166</v>
      </c>
      <c r="CP531" s="27" t="s">
        <v>166</v>
      </c>
      <c r="CQ531" s="27" t="s">
        <v>166</v>
      </c>
      <c r="CR531" s="27" t="s">
        <v>166</v>
      </c>
      <c r="CS531" s="27" t="s">
        <v>166</v>
      </c>
      <c r="CT531" s="27" t="s">
        <v>166</v>
      </c>
      <c r="CU531" s="27" t="s">
        <v>166</v>
      </c>
      <c r="CV531" s="27" t="s">
        <v>166</v>
      </c>
      <c r="CW531" s="27" t="s">
        <v>166</v>
      </c>
      <c r="CX531" s="27" t="s">
        <v>166</v>
      </c>
      <c r="CY531" s="27" t="s">
        <v>166</v>
      </c>
      <c r="CZ531" s="27" t="s">
        <v>166</v>
      </c>
      <c r="DA531" s="27" t="s">
        <v>166</v>
      </c>
      <c r="DB531" s="27" t="s">
        <v>166</v>
      </c>
      <c r="DC531" s="27" t="s">
        <v>166</v>
      </c>
      <c r="DD531" s="27" t="s">
        <v>166</v>
      </c>
      <c r="DE531" s="28" t="s">
        <v>166</v>
      </c>
      <c r="DF531" s="33">
        <v>3</v>
      </c>
      <c r="DG531" s="25" t="s">
        <v>10316</v>
      </c>
      <c r="DH531" s="25" t="s">
        <v>193</v>
      </c>
      <c r="DI531" s="25" t="s">
        <v>194</v>
      </c>
      <c r="DJ531" s="25" t="s">
        <v>10317</v>
      </c>
      <c r="DK531" s="25" t="s">
        <v>10318</v>
      </c>
      <c r="DL531" s="32" t="s">
        <v>10319</v>
      </c>
      <c r="DM531" s="25" t="s">
        <v>198</v>
      </c>
      <c r="DN531" s="24" t="s">
        <v>10320</v>
      </c>
      <c r="DO531" s="31">
        <v>2019</v>
      </c>
      <c r="DP531" s="25" t="s">
        <v>166</v>
      </c>
      <c r="DQ531" s="25" t="s">
        <v>166</v>
      </c>
      <c r="DR531" s="29" t="s">
        <v>166</v>
      </c>
      <c r="DS531" s="27" t="s">
        <v>166</v>
      </c>
      <c r="DT531" s="30" t="s">
        <v>166</v>
      </c>
      <c r="DU531" s="25" t="s">
        <v>166</v>
      </c>
      <c r="DV531" s="29" t="s">
        <v>166</v>
      </c>
      <c r="DW531" s="29" t="s">
        <v>166</v>
      </c>
      <c r="DX531" s="27" t="s">
        <v>166</v>
      </c>
      <c r="DY531" s="27" t="s">
        <v>166</v>
      </c>
      <c r="DZ531" s="28" t="s">
        <v>166</v>
      </c>
      <c r="EA531" s="27" t="s">
        <v>166</v>
      </c>
      <c r="EB531" s="27" t="s">
        <v>166</v>
      </c>
      <c r="EC531" s="27" t="s">
        <v>166</v>
      </c>
      <c r="ED531" s="28" t="s">
        <v>166</v>
      </c>
      <c r="EE531" s="28" t="s">
        <v>166</v>
      </c>
      <c r="EF531" s="28" t="s">
        <v>166</v>
      </c>
      <c r="EG531" s="28" t="s">
        <v>166</v>
      </c>
      <c r="EH531" s="27" t="s">
        <v>166</v>
      </c>
      <c r="EI531" s="27" t="s">
        <v>166</v>
      </c>
      <c r="EJ531" s="27" t="s">
        <v>166</v>
      </c>
      <c r="EK531" s="27" t="s">
        <v>166</v>
      </c>
      <c r="EL531" s="27" t="s">
        <v>166</v>
      </c>
      <c r="EM531" s="27" t="s">
        <v>166</v>
      </c>
      <c r="EN531" s="27" t="s">
        <v>166</v>
      </c>
      <c r="EO531" s="27" t="s">
        <v>166</v>
      </c>
      <c r="EP531" s="27" t="s">
        <v>166</v>
      </c>
      <c r="EQ531" s="27" t="s">
        <v>166</v>
      </c>
      <c r="ER531" s="27" t="s">
        <v>166</v>
      </c>
      <c r="ES531" s="27" t="s">
        <v>166</v>
      </c>
      <c r="ET531" s="25" t="s">
        <v>166</v>
      </c>
      <c r="EU531" s="27" t="s">
        <v>166</v>
      </c>
      <c r="EV531" s="27" t="s">
        <v>166</v>
      </c>
      <c r="EW531" s="27" t="s">
        <v>166</v>
      </c>
      <c r="EX531" s="25" t="s">
        <v>190</v>
      </c>
      <c r="EY531" s="25" t="s">
        <v>166</v>
      </c>
      <c r="EZ531" s="27" t="s">
        <v>166</v>
      </c>
      <c r="FA531" s="26" t="s">
        <v>166</v>
      </c>
      <c r="FB531" s="26" t="s">
        <v>166</v>
      </c>
      <c r="FC531" s="26" t="s">
        <v>166</v>
      </c>
      <c r="FD531" s="26" t="s">
        <v>166</v>
      </c>
      <c r="FE531" s="26" t="s">
        <v>166</v>
      </c>
      <c r="FF531" s="26" t="s">
        <v>166</v>
      </c>
      <c r="FG531" s="25" t="s">
        <v>166</v>
      </c>
      <c r="FH531" s="4">
        <f>HYPERLINK("https://my.pitchbook.com?c=188692-66T","View Company Online")</f>
      </c>
    </row>
    <row r="532">
      <c r="A532" s="14" t="s">
        <v>10321</v>
      </c>
      <c r="B532" s="14" t="s">
        <v>10322</v>
      </c>
      <c r="C532" s="14" t="s">
        <v>10323</v>
      </c>
      <c r="D532" s="14" t="s">
        <v>166</v>
      </c>
      <c r="E532" s="23" t="s">
        <v>10324</v>
      </c>
      <c r="F532" s="21">
        <v>2</v>
      </c>
      <c r="G532" s="14" t="s">
        <v>10325</v>
      </c>
      <c r="H532" s="14" t="s">
        <v>166</v>
      </c>
      <c r="I532" s="14" t="s">
        <v>10326</v>
      </c>
      <c r="J532" s="14" t="s">
        <v>10327</v>
      </c>
      <c r="K532" s="14" t="s">
        <v>207</v>
      </c>
      <c r="L532" s="14" t="s">
        <v>208</v>
      </c>
      <c r="M532" s="14" t="s">
        <v>209</v>
      </c>
      <c r="N532" s="14" t="s">
        <v>1529</v>
      </c>
      <c r="O532" s="14" t="s">
        <v>8841</v>
      </c>
      <c r="P532" s="14" t="s">
        <v>10328</v>
      </c>
      <c r="Q532" s="14" t="s">
        <v>166</v>
      </c>
      <c r="R532" s="14" t="s">
        <v>177</v>
      </c>
      <c r="S532" s="14" t="s">
        <v>178</v>
      </c>
      <c r="T532" s="14" t="s">
        <v>179</v>
      </c>
      <c r="U532" s="14" t="s">
        <v>10329</v>
      </c>
      <c r="V532" s="14" t="s">
        <v>10330</v>
      </c>
      <c r="W532" s="21" t="s">
        <v>166</v>
      </c>
      <c r="X532" s="14" t="s">
        <v>166</v>
      </c>
      <c r="Y532" s="14" t="s">
        <v>10331</v>
      </c>
      <c r="Z532" s="14" t="s">
        <v>10332</v>
      </c>
      <c r="AA532" s="14" t="s">
        <v>166</v>
      </c>
      <c r="AB532" s="14" t="s">
        <v>166</v>
      </c>
      <c r="AC532" s="14" t="s">
        <v>166</v>
      </c>
      <c r="AD532" s="14" t="s">
        <v>166</v>
      </c>
      <c r="AE532" s="14" t="s">
        <v>166</v>
      </c>
      <c r="AF532" s="14" t="s">
        <v>166</v>
      </c>
      <c r="AG532" s="14" t="s">
        <v>166</v>
      </c>
      <c r="AH532" s="21">
        <v>1</v>
      </c>
      <c r="AI532" s="3">
        <f>HYPERLINK("https://my.pitchbook.com/?d=165066-49T","165066-49T")</f>
      </c>
      <c r="AJ532" s="19" t="s">
        <v>166</v>
      </c>
      <c r="AK532" s="19">
        <v>43831</v>
      </c>
      <c r="AL532" s="18">
        <v>0.5</v>
      </c>
      <c r="AM532" s="14" t="s">
        <v>185</v>
      </c>
      <c r="AN532" s="18" t="s">
        <v>166</v>
      </c>
      <c r="AO532" s="18" t="s">
        <v>166</v>
      </c>
      <c r="AP532" s="14" t="s">
        <v>166</v>
      </c>
      <c r="AQ532" s="21" t="s">
        <v>166</v>
      </c>
      <c r="AR532" s="21" t="s">
        <v>166</v>
      </c>
      <c r="AS532" s="17" t="s">
        <v>166</v>
      </c>
      <c r="AT532" s="18">
        <v>0.5</v>
      </c>
      <c r="AU532" s="21" t="s">
        <v>186</v>
      </c>
      <c r="AV532" s="21" t="s">
        <v>166</v>
      </c>
      <c r="AW532" s="18" t="s">
        <v>166</v>
      </c>
      <c r="AX532" s="21" t="s">
        <v>166</v>
      </c>
      <c r="AY532" s="14" t="s">
        <v>217</v>
      </c>
      <c r="AZ532" s="14" t="s">
        <v>217</v>
      </c>
      <c r="BA532" s="14" t="s">
        <v>166</v>
      </c>
      <c r="BB532" s="21" t="s">
        <v>166</v>
      </c>
      <c r="BC532" s="14" t="s">
        <v>179</v>
      </c>
      <c r="BD532" s="14" t="s">
        <v>10333</v>
      </c>
      <c r="BE532" s="14" t="s">
        <v>189</v>
      </c>
      <c r="BF532" s="18">
        <v>0.5</v>
      </c>
      <c r="BG532" s="14" t="s">
        <v>190</v>
      </c>
      <c r="BH532" s="14" t="s">
        <v>166</v>
      </c>
      <c r="BI532" s="14" t="s">
        <v>166</v>
      </c>
      <c r="BJ532" s="18" t="s">
        <v>166</v>
      </c>
      <c r="BK532" s="18" t="s">
        <v>166</v>
      </c>
      <c r="BL532" s="14" t="s">
        <v>191</v>
      </c>
      <c r="BM532" s="14" t="s">
        <v>358</v>
      </c>
      <c r="BN532" s="14" t="s">
        <v>177</v>
      </c>
      <c r="BO532" s="22" t="s">
        <v>166</v>
      </c>
      <c r="BP532" s="14" t="s">
        <v>10324</v>
      </c>
      <c r="BQ532" s="21">
        <v>2</v>
      </c>
      <c r="BR532" s="14" t="s">
        <v>166</v>
      </c>
      <c r="BS532" s="21" t="s">
        <v>166</v>
      </c>
      <c r="BT532" s="14" t="s">
        <v>166</v>
      </c>
      <c r="BU532" s="14" t="s">
        <v>166</v>
      </c>
      <c r="BV532" s="14" t="s">
        <v>166</v>
      </c>
      <c r="BW532" s="14" t="s">
        <v>166</v>
      </c>
      <c r="BX532" s="14" t="s">
        <v>166</v>
      </c>
      <c r="BY532" s="14" t="s">
        <v>166</v>
      </c>
      <c r="BZ532" s="14" t="s">
        <v>166</v>
      </c>
      <c r="CA532" s="14" t="s">
        <v>166</v>
      </c>
      <c r="CB532" s="14" t="s">
        <v>166</v>
      </c>
      <c r="CC532" s="14" t="s">
        <v>166</v>
      </c>
      <c r="CD532" s="14" t="s">
        <v>166</v>
      </c>
      <c r="CE532" s="18" t="s">
        <v>166</v>
      </c>
      <c r="CF532" s="16" t="s">
        <v>166</v>
      </c>
      <c r="CG532" s="17" t="s">
        <v>166</v>
      </c>
      <c r="CH532" s="16" t="s">
        <v>166</v>
      </c>
      <c r="CI532" s="16" t="s">
        <v>166</v>
      </c>
      <c r="CJ532" s="16" t="s">
        <v>166</v>
      </c>
      <c r="CK532" s="16" t="s">
        <v>166</v>
      </c>
      <c r="CL532" s="16" t="s">
        <v>166</v>
      </c>
      <c r="CM532" s="20" t="s">
        <v>166</v>
      </c>
      <c r="CN532" s="16" t="s">
        <v>166</v>
      </c>
      <c r="CO532" s="16" t="s">
        <v>166</v>
      </c>
      <c r="CP532" s="16" t="s">
        <v>166</v>
      </c>
      <c r="CQ532" s="16" t="s">
        <v>166</v>
      </c>
      <c r="CR532" s="16" t="s">
        <v>166</v>
      </c>
      <c r="CS532" s="16" t="s">
        <v>166</v>
      </c>
      <c r="CT532" s="16" t="s">
        <v>166</v>
      </c>
      <c r="CU532" s="16" t="s">
        <v>166</v>
      </c>
      <c r="CV532" s="16" t="s">
        <v>166</v>
      </c>
      <c r="CW532" s="16" t="s">
        <v>166</v>
      </c>
      <c r="CX532" s="16" t="s">
        <v>166</v>
      </c>
      <c r="CY532" s="16" t="s">
        <v>166</v>
      </c>
      <c r="CZ532" s="16" t="s">
        <v>166</v>
      </c>
      <c r="DA532" s="16" t="s">
        <v>166</v>
      </c>
      <c r="DB532" s="16" t="s">
        <v>166</v>
      </c>
      <c r="DC532" s="16" t="s">
        <v>166</v>
      </c>
      <c r="DD532" s="16" t="s">
        <v>166</v>
      </c>
      <c r="DE532" s="17" t="s">
        <v>166</v>
      </c>
      <c r="DF532" s="22">
        <v>16</v>
      </c>
      <c r="DG532" s="14" t="s">
        <v>10334</v>
      </c>
      <c r="DH532" s="14" t="s">
        <v>193</v>
      </c>
      <c r="DI532" s="14" t="s">
        <v>194</v>
      </c>
      <c r="DJ532" s="14" t="s">
        <v>10335</v>
      </c>
      <c r="DK532" s="14" t="s">
        <v>2861</v>
      </c>
      <c r="DL532" s="21" t="s">
        <v>10336</v>
      </c>
      <c r="DM532" s="14" t="s">
        <v>198</v>
      </c>
      <c r="DN532" s="13" t="s">
        <v>10337</v>
      </c>
      <c r="DO532" s="20">
        <v>2020</v>
      </c>
      <c r="DP532" s="14" t="s">
        <v>166</v>
      </c>
      <c r="DQ532" s="14" t="s">
        <v>166</v>
      </c>
      <c r="DR532" s="18" t="s">
        <v>166</v>
      </c>
      <c r="DS532" s="16" t="s">
        <v>166</v>
      </c>
      <c r="DT532" s="19" t="s">
        <v>166</v>
      </c>
      <c r="DU532" s="14" t="s">
        <v>166</v>
      </c>
      <c r="DV532" s="18" t="s">
        <v>166</v>
      </c>
      <c r="DW532" s="18" t="s">
        <v>166</v>
      </c>
      <c r="DX532" s="16" t="s">
        <v>166</v>
      </c>
      <c r="DY532" s="16" t="s">
        <v>166</v>
      </c>
      <c r="DZ532" s="17" t="s">
        <v>166</v>
      </c>
      <c r="EA532" s="16" t="s">
        <v>166</v>
      </c>
      <c r="EB532" s="16" t="s">
        <v>166</v>
      </c>
      <c r="EC532" s="16" t="s">
        <v>166</v>
      </c>
      <c r="ED532" s="17" t="s">
        <v>166</v>
      </c>
      <c r="EE532" s="17" t="s">
        <v>166</v>
      </c>
      <c r="EF532" s="17" t="s">
        <v>166</v>
      </c>
      <c r="EG532" s="17" t="s">
        <v>166</v>
      </c>
      <c r="EH532" s="16" t="s">
        <v>166</v>
      </c>
      <c r="EI532" s="16" t="s">
        <v>166</v>
      </c>
      <c r="EJ532" s="16" t="s">
        <v>166</v>
      </c>
      <c r="EK532" s="16" t="s">
        <v>166</v>
      </c>
      <c r="EL532" s="16" t="s">
        <v>166</v>
      </c>
      <c r="EM532" s="16" t="s">
        <v>166</v>
      </c>
      <c r="EN532" s="16" t="s">
        <v>166</v>
      </c>
      <c r="EO532" s="16" t="s">
        <v>166</v>
      </c>
      <c r="EP532" s="16" t="s">
        <v>166</v>
      </c>
      <c r="EQ532" s="16" t="s">
        <v>166</v>
      </c>
      <c r="ER532" s="16" t="s">
        <v>166</v>
      </c>
      <c r="ES532" s="16" t="s">
        <v>166</v>
      </c>
      <c r="ET532" s="14" t="s">
        <v>166</v>
      </c>
      <c r="EU532" s="16" t="s">
        <v>166</v>
      </c>
      <c r="EV532" s="16" t="s">
        <v>166</v>
      </c>
      <c r="EW532" s="16" t="s">
        <v>166</v>
      </c>
      <c r="EX532" s="14" t="s">
        <v>190</v>
      </c>
      <c r="EY532" s="14" t="s">
        <v>166</v>
      </c>
      <c r="EZ532" s="16" t="s">
        <v>166</v>
      </c>
      <c r="FA532" s="15" t="s">
        <v>166</v>
      </c>
      <c r="FB532" s="15" t="s">
        <v>166</v>
      </c>
      <c r="FC532" s="15" t="s">
        <v>166</v>
      </c>
      <c r="FD532" s="15" t="s">
        <v>166</v>
      </c>
      <c r="FE532" s="15" t="s">
        <v>166</v>
      </c>
      <c r="FF532" s="15" t="s">
        <v>166</v>
      </c>
      <c r="FG532" s="14" t="s">
        <v>166</v>
      </c>
      <c r="FH532" s="3">
        <f>HYPERLINK("https://my.pitchbook.com?c=165066-49T","View Company Online")</f>
      </c>
    </row>
    <row r="533">
      <c r="A533" s="25" t="s">
        <v>10338</v>
      </c>
      <c r="B533" s="25" t="s">
        <v>10339</v>
      </c>
      <c r="C533" s="25" t="s">
        <v>10340</v>
      </c>
      <c r="D533" s="25" t="s">
        <v>166</v>
      </c>
      <c r="E533" s="34" t="s">
        <v>10341</v>
      </c>
      <c r="F533" s="32">
        <v>3</v>
      </c>
      <c r="G533" s="25" t="s">
        <v>10342</v>
      </c>
      <c r="H533" s="25" t="s">
        <v>166</v>
      </c>
      <c r="I533" s="25" t="s">
        <v>10343</v>
      </c>
      <c r="J533" s="25" t="s">
        <v>10344</v>
      </c>
      <c r="K533" s="25" t="s">
        <v>1455</v>
      </c>
      <c r="L533" s="25" t="s">
        <v>1984</v>
      </c>
      <c r="M533" s="25" t="s">
        <v>2112</v>
      </c>
      <c r="N533" s="25" t="s">
        <v>3046</v>
      </c>
      <c r="O533" s="25" t="s">
        <v>10345</v>
      </c>
      <c r="P533" s="25" t="s">
        <v>10346</v>
      </c>
      <c r="Q533" s="25" t="s">
        <v>166</v>
      </c>
      <c r="R533" s="25" t="s">
        <v>177</v>
      </c>
      <c r="S533" s="25" t="s">
        <v>178</v>
      </c>
      <c r="T533" s="25" t="s">
        <v>179</v>
      </c>
      <c r="U533" s="25" t="s">
        <v>10347</v>
      </c>
      <c r="V533" s="25" t="s">
        <v>10348</v>
      </c>
      <c r="W533" s="32" t="s">
        <v>10349</v>
      </c>
      <c r="X533" s="25" t="s">
        <v>10350</v>
      </c>
      <c r="Y533" s="25" t="s">
        <v>10351</v>
      </c>
      <c r="Z533" s="25" t="s">
        <v>10352</v>
      </c>
      <c r="AA533" s="25" t="s">
        <v>166</v>
      </c>
      <c r="AB533" s="25" t="s">
        <v>166</v>
      </c>
      <c r="AC533" s="25" t="s">
        <v>166</v>
      </c>
      <c r="AD533" s="25" t="s">
        <v>166</v>
      </c>
      <c r="AE533" s="25" t="s">
        <v>166</v>
      </c>
      <c r="AF533" s="25" t="s">
        <v>166</v>
      </c>
      <c r="AG533" s="25" t="s">
        <v>166</v>
      </c>
      <c r="AH533" s="32">
        <v>1</v>
      </c>
      <c r="AI533" s="4">
        <f>HYPERLINK("https://my.pitchbook.com/?d=186941-44T","186941-44T")</f>
      </c>
      <c r="AJ533" s="30" t="s">
        <v>166</v>
      </c>
      <c r="AK533" s="30">
        <v>44579</v>
      </c>
      <c r="AL533" s="29">
        <v>1.75</v>
      </c>
      <c r="AM533" s="25" t="s">
        <v>185</v>
      </c>
      <c r="AN533" s="29">
        <v>10</v>
      </c>
      <c r="AO533" s="29">
        <v>11.75</v>
      </c>
      <c r="AP533" s="25" t="s">
        <v>185</v>
      </c>
      <c r="AQ533" s="32" t="s">
        <v>166</v>
      </c>
      <c r="AR533" s="32" t="s">
        <v>166</v>
      </c>
      <c r="AS533" s="28" t="s">
        <v>166</v>
      </c>
      <c r="AT533" s="29">
        <v>1.75</v>
      </c>
      <c r="AU533" s="32" t="s">
        <v>186</v>
      </c>
      <c r="AV533" s="32" t="s">
        <v>166</v>
      </c>
      <c r="AW533" s="29" t="s">
        <v>166</v>
      </c>
      <c r="AX533" s="32" t="s">
        <v>166</v>
      </c>
      <c r="AY533" s="25" t="s">
        <v>217</v>
      </c>
      <c r="AZ533" s="25" t="s">
        <v>217</v>
      </c>
      <c r="BA533" s="25" t="s">
        <v>166</v>
      </c>
      <c r="BB533" s="32" t="s">
        <v>166</v>
      </c>
      <c r="BC533" s="25" t="s">
        <v>179</v>
      </c>
      <c r="BD533" s="25" t="s">
        <v>10353</v>
      </c>
      <c r="BE533" s="25" t="s">
        <v>189</v>
      </c>
      <c r="BF533" s="29" t="s">
        <v>166</v>
      </c>
      <c r="BG533" s="25" t="s">
        <v>190</v>
      </c>
      <c r="BH533" s="25" t="s">
        <v>166</v>
      </c>
      <c r="BI533" s="25" t="s">
        <v>166</v>
      </c>
      <c r="BJ533" s="29" t="s">
        <v>166</v>
      </c>
      <c r="BK533" s="29" t="s">
        <v>166</v>
      </c>
      <c r="BL533" s="25" t="s">
        <v>191</v>
      </c>
      <c r="BM533" s="25" t="s">
        <v>178</v>
      </c>
      <c r="BN533" s="25" t="s">
        <v>177</v>
      </c>
      <c r="BO533" s="33">
        <v>2</v>
      </c>
      <c r="BP533" s="25" t="s">
        <v>10341</v>
      </c>
      <c r="BQ533" s="32">
        <v>3</v>
      </c>
      <c r="BR533" s="25" t="s">
        <v>166</v>
      </c>
      <c r="BS533" s="32" t="s">
        <v>166</v>
      </c>
      <c r="BT533" s="25" t="s">
        <v>166</v>
      </c>
      <c r="BU533" s="25" t="s">
        <v>166</v>
      </c>
      <c r="BV533" s="25" t="s">
        <v>166</v>
      </c>
      <c r="BW533" s="25" t="s">
        <v>166</v>
      </c>
      <c r="BX533" s="25" t="s">
        <v>166</v>
      </c>
      <c r="BY533" s="25" t="s">
        <v>166</v>
      </c>
      <c r="BZ533" s="25" t="s">
        <v>166</v>
      </c>
      <c r="CA533" s="25" t="s">
        <v>166</v>
      </c>
      <c r="CB533" s="25" t="s">
        <v>166</v>
      </c>
      <c r="CC533" s="25" t="s">
        <v>166</v>
      </c>
      <c r="CD533" s="25" t="s">
        <v>166</v>
      </c>
      <c r="CE533" s="29" t="s">
        <v>166</v>
      </c>
      <c r="CF533" s="27" t="s">
        <v>166</v>
      </c>
      <c r="CG533" s="28" t="s">
        <v>166</v>
      </c>
      <c r="CH533" s="27" t="s">
        <v>166</v>
      </c>
      <c r="CI533" s="27" t="s">
        <v>166</v>
      </c>
      <c r="CJ533" s="27" t="s">
        <v>166</v>
      </c>
      <c r="CK533" s="27" t="s">
        <v>166</v>
      </c>
      <c r="CL533" s="27" t="s">
        <v>166</v>
      </c>
      <c r="CM533" s="31" t="s">
        <v>166</v>
      </c>
      <c r="CN533" s="27" t="s">
        <v>166</v>
      </c>
      <c r="CO533" s="27" t="s">
        <v>166</v>
      </c>
      <c r="CP533" s="27" t="s">
        <v>166</v>
      </c>
      <c r="CQ533" s="27" t="s">
        <v>166</v>
      </c>
      <c r="CR533" s="27" t="s">
        <v>166</v>
      </c>
      <c r="CS533" s="27" t="s">
        <v>166</v>
      </c>
      <c r="CT533" s="27" t="s">
        <v>166</v>
      </c>
      <c r="CU533" s="27" t="s">
        <v>166</v>
      </c>
      <c r="CV533" s="27" t="s">
        <v>166</v>
      </c>
      <c r="CW533" s="27" t="s">
        <v>166</v>
      </c>
      <c r="CX533" s="27" t="s">
        <v>166</v>
      </c>
      <c r="CY533" s="27" t="s">
        <v>166</v>
      </c>
      <c r="CZ533" s="27" t="s">
        <v>166</v>
      </c>
      <c r="DA533" s="27" t="s">
        <v>166</v>
      </c>
      <c r="DB533" s="27" t="s">
        <v>166</v>
      </c>
      <c r="DC533" s="27" t="s">
        <v>166</v>
      </c>
      <c r="DD533" s="27" t="s">
        <v>166</v>
      </c>
      <c r="DE533" s="28" t="s">
        <v>166</v>
      </c>
      <c r="DF533" s="33">
        <v>15</v>
      </c>
      <c r="DG533" s="25" t="s">
        <v>360</v>
      </c>
      <c r="DH533" s="25" t="s">
        <v>193</v>
      </c>
      <c r="DI533" s="25" t="s">
        <v>194</v>
      </c>
      <c r="DJ533" s="25" t="s">
        <v>361</v>
      </c>
      <c r="DK533" s="25" t="s">
        <v>196</v>
      </c>
      <c r="DL533" s="32" t="s">
        <v>10354</v>
      </c>
      <c r="DM533" s="25" t="s">
        <v>198</v>
      </c>
      <c r="DN533" s="24" t="s">
        <v>10355</v>
      </c>
      <c r="DO533" s="31">
        <v>2021</v>
      </c>
      <c r="DP533" s="25" t="s">
        <v>166</v>
      </c>
      <c r="DQ533" s="25" t="s">
        <v>166</v>
      </c>
      <c r="DR533" s="29" t="s">
        <v>166</v>
      </c>
      <c r="DS533" s="27" t="s">
        <v>166</v>
      </c>
      <c r="DT533" s="30" t="s">
        <v>166</v>
      </c>
      <c r="DU533" s="25" t="s">
        <v>166</v>
      </c>
      <c r="DV533" s="29" t="s">
        <v>166</v>
      </c>
      <c r="DW533" s="29" t="s">
        <v>166</v>
      </c>
      <c r="DX533" s="27" t="s">
        <v>166</v>
      </c>
      <c r="DY533" s="27" t="s">
        <v>166</v>
      </c>
      <c r="DZ533" s="28" t="s">
        <v>166</v>
      </c>
      <c r="EA533" s="27" t="s">
        <v>166</v>
      </c>
      <c r="EB533" s="27" t="s">
        <v>166</v>
      </c>
      <c r="EC533" s="27" t="s">
        <v>166</v>
      </c>
      <c r="ED533" s="28" t="s">
        <v>166</v>
      </c>
      <c r="EE533" s="28" t="s">
        <v>166</v>
      </c>
      <c r="EF533" s="28" t="s">
        <v>166</v>
      </c>
      <c r="EG533" s="28" t="s">
        <v>166</v>
      </c>
      <c r="EH533" s="27" t="s">
        <v>166</v>
      </c>
      <c r="EI533" s="27" t="s">
        <v>166</v>
      </c>
      <c r="EJ533" s="27" t="s">
        <v>166</v>
      </c>
      <c r="EK533" s="27" t="s">
        <v>166</v>
      </c>
      <c r="EL533" s="27" t="s">
        <v>166</v>
      </c>
      <c r="EM533" s="27" t="s">
        <v>166</v>
      </c>
      <c r="EN533" s="27" t="s">
        <v>166</v>
      </c>
      <c r="EO533" s="27" t="s">
        <v>166</v>
      </c>
      <c r="EP533" s="27" t="s">
        <v>166</v>
      </c>
      <c r="EQ533" s="27" t="s">
        <v>166</v>
      </c>
      <c r="ER533" s="27" t="s">
        <v>166</v>
      </c>
      <c r="ES533" s="27" t="s">
        <v>166</v>
      </c>
      <c r="ET533" s="25" t="s">
        <v>166</v>
      </c>
      <c r="EU533" s="27" t="s">
        <v>166</v>
      </c>
      <c r="EV533" s="27" t="s">
        <v>166</v>
      </c>
      <c r="EW533" s="27" t="s">
        <v>166</v>
      </c>
      <c r="EX533" s="25" t="s">
        <v>190</v>
      </c>
      <c r="EY533" s="25" t="s">
        <v>166</v>
      </c>
      <c r="EZ533" s="27" t="s">
        <v>166</v>
      </c>
      <c r="FA533" s="26">
        <v>1</v>
      </c>
      <c r="FB533" s="26">
        <v>1</v>
      </c>
      <c r="FC533" s="26" t="s">
        <v>166</v>
      </c>
      <c r="FD533" s="26">
        <v>1</v>
      </c>
      <c r="FE533" s="26" t="s">
        <v>166</v>
      </c>
      <c r="FF533" s="26" t="s">
        <v>166</v>
      </c>
      <c r="FG533" s="25" t="s">
        <v>775</v>
      </c>
      <c r="FH533" s="4">
        <f>HYPERLINK("https://my.pitchbook.com?c=186941-44T","View Company Online")</f>
      </c>
    </row>
    <row r="534">
      <c r="A534" s="14" t="s">
        <v>10356</v>
      </c>
      <c r="B534" s="14" t="s">
        <v>10357</v>
      </c>
      <c r="C534" s="14" t="s">
        <v>10358</v>
      </c>
      <c r="D534" s="14" t="s">
        <v>166</v>
      </c>
      <c r="E534" s="23" t="s">
        <v>10359</v>
      </c>
      <c r="F534" s="21">
        <v>3</v>
      </c>
      <c r="G534" s="14" t="s">
        <v>10360</v>
      </c>
      <c r="H534" s="14" t="s">
        <v>166</v>
      </c>
      <c r="I534" s="14" t="s">
        <v>10361</v>
      </c>
      <c r="J534" s="14" t="s">
        <v>10362</v>
      </c>
      <c r="K534" s="14" t="s">
        <v>207</v>
      </c>
      <c r="L534" s="14" t="s">
        <v>208</v>
      </c>
      <c r="M534" s="14" t="s">
        <v>209</v>
      </c>
      <c r="N534" s="14" t="s">
        <v>10363</v>
      </c>
      <c r="O534" s="14" t="s">
        <v>1127</v>
      </c>
      <c r="P534" s="14" t="s">
        <v>10364</v>
      </c>
      <c r="Q534" s="14" t="s">
        <v>166</v>
      </c>
      <c r="R534" s="14" t="s">
        <v>177</v>
      </c>
      <c r="S534" s="14" t="s">
        <v>178</v>
      </c>
      <c r="T534" s="14" t="s">
        <v>179</v>
      </c>
      <c r="U534" s="14" t="s">
        <v>10365</v>
      </c>
      <c r="V534" s="14" t="s">
        <v>10366</v>
      </c>
      <c r="W534" s="21" t="s">
        <v>10367</v>
      </c>
      <c r="X534" s="14" t="s">
        <v>10368</v>
      </c>
      <c r="Y534" s="14" t="s">
        <v>10369</v>
      </c>
      <c r="Z534" s="14" t="s">
        <v>166</v>
      </c>
      <c r="AA534" s="14" t="s">
        <v>166</v>
      </c>
      <c r="AB534" s="14" t="s">
        <v>166</v>
      </c>
      <c r="AC534" s="14" t="s">
        <v>166</v>
      </c>
      <c r="AD534" s="14" t="s">
        <v>166</v>
      </c>
      <c r="AE534" s="14" t="s">
        <v>166</v>
      </c>
      <c r="AF534" s="14" t="s">
        <v>166</v>
      </c>
      <c r="AG534" s="14" t="s">
        <v>166</v>
      </c>
      <c r="AH534" s="21">
        <v>2</v>
      </c>
      <c r="AI534" s="3">
        <f>HYPERLINK("https://my.pitchbook.com/?d=201076-84T","201076-84T")</f>
      </c>
      <c r="AJ534" s="19" t="s">
        <v>166</v>
      </c>
      <c r="AK534" s="19">
        <v>44773</v>
      </c>
      <c r="AL534" s="18">
        <v>0.5</v>
      </c>
      <c r="AM534" s="14" t="s">
        <v>185</v>
      </c>
      <c r="AN534" s="18">
        <v>3</v>
      </c>
      <c r="AO534" s="18">
        <v>3.5</v>
      </c>
      <c r="AP534" s="14" t="s">
        <v>185</v>
      </c>
      <c r="AQ534" s="21" t="s">
        <v>166</v>
      </c>
      <c r="AR534" s="21" t="s">
        <v>166</v>
      </c>
      <c r="AS534" s="17" t="s">
        <v>166</v>
      </c>
      <c r="AT534" s="18">
        <v>0.5</v>
      </c>
      <c r="AU534" s="21" t="s">
        <v>186</v>
      </c>
      <c r="AV534" s="21" t="s">
        <v>166</v>
      </c>
      <c r="AW534" s="18" t="s">
        <v>166</v>
      </c>
      <c r="AX534" s="21" t="s">
        <v>746</v>
      </c>
      <c r="AY534" s="14" t="s">
        <v>187</v>
      </c>
      <c r="AZ534" s="14" t="s">
        <v>746</v>
      </c>
      <c r="BA534" s="14" t="s">
        <v>166</v>
      </c>
      <c r="BB534" s="21" t="s">
        <v>166</v>
      </c>
      <c r="BC534" s="14" t="s">
        <v>179</v>
      </c>
      <c r="BD534" s="14" t="s">
        <v>10370</v>
      </c>
      <c r="BE534" s="14" t="s">
        <v>189</v>
      </c>
      <c r="BF534" s="18">
        <v>0.5</v>
      </c>
      <c r="BG534" s="14" t="s">
        <v>190</v>
      </c>
      <c r="BH534" s="14" t="s">
        <v>166</v>
      </c>
      <c r="BI534" s="14" t="s">
        <v>166</v>
      </c>
      <c r="BJ534" s="18" t="s">
        <v>166</v>
      </c>
      <c r="BK534" s="18" t="s">
        <v>166</v>
      </c>
      <c r="BL534" s="14" t="s">
        <v>191</v>
      </c>
      <c r="BM534" s="14" t="s">
        <v>178</v>
      </c>
      <c r="BN534" s="14" t="s">
        <v>177</v>
      </c>
      <c r="BO534" s="22" t="s">
        <v>166</v>
      </c>
      <c r="BP534" s="14" t="s">
        <v>10359</v>
      </c>
      <c r="BQ534" s="21">
        <v>3</v>
      </c>
      <c r="BR534" s="14" t="s">
        <v>166</v>
      </c>
      <c r="BS534" s="21" t="s">
        <v>166</v>
      </c>
      <c r="BT534" s="14" t="s">
        <v>166</v>
      </c>
      <c r="BU534" s="14" t="s">
        <v>166</v>
      </c>
      <c r="BV534" s="14" t="s">
        <v>166</v>
      </c>
      <c r="BW534" s="14" t="s">
        <v>166</v>
      </c>
      <c r="BX534" s="14" t="s">
        <v>166</v>
      </c>
      <c r="BY534" s="14" t="s">
        <v>166</v>
      </c>
      <c r="BZ534" s="14" t="s">
        <v>166</v>
      </c>
      <c r="CA534" s="14" t="s">
        <v>166</v>
      </c>
      <c r="CB534" s="14" t="s">
        <v>166</v>
      </c>
      <c r="CC534" s="14" t="s">
        <v>166</v>
      </c>
      <c r="CD534" s="14" t="s">
        <v>166</v>
      </c>
      <c r="CE534" s="18" t="s">
        <v>166</v>
      </c>
      <c r="CF534" s="16" t="s">
        <v>166</v>
      </c>
      <c r="CG534" s="17" t="s">
        <v>166</v>
      </c>
      <c r="CH534" s="16" t="s">
        <v>166</v>
      </c>
      <c r="CI534" s="16" t="s">
        <v>166</v>
      </c>
      <c r="CJ534" s="16" t="s">
        <v>166</v>
      </c>
      <c r="CK534" s="16" t="s">
        <v>166</v>
      </c>
      <c r="CL534" s="16" t="s">
        <v>166</v>
      </c>
      <c r="CM534" s="20" t="s">
        <v>166</v>
      </c>
      <c r="CN534" s="16" t="s">
        <v>166</v>
      </c>
      <c r="CO534" s="16" t="s">
        <v>166</v>
      </c>
      <c r="CP534" s="16" t="s">
        <v>166</v>
      </c>
      <c r="CQ534" s="16" t="s">
        <v>166</v>
      </c>
      <c r="CR534" s="16" t="s">
        <v>166</v>
      </c>
      <c r="CS534" s="16" t="s">
        <v>166</v>
      </c>
      <c r="CT534" s="16" t="s">
        <v>166</v>
      </c>
      <c r="CU534" s="16" t="s">
        <v>166</v>
      </c>
      <c r="CV534" s="16" t="s">
        <v>166</v>
      </c>
      <c r="CW534" s="16" t="s">
        <v>166</v>
      </c>
      <c r="CX534" s="16" t="s">
        <v>166</v>
      </c>
      <c r="CY534" s="16" t="s">
        <v>166</v>
      </c>
      <c r="CZ534" s="16" t="s">
        <v>166</v>
      </c>
      <c r="DA534" s="16" t="s">
        <v>166</v>
      </c>
      <c r="DB534" s="16" t="s">
        <v>166</v>
      </c>
      <c r="DC534" s="16" t="s">
        <v>166</v>
      </c>
      <c r="DD534" s="16" t="s">
        <v>166</v>
      </c>
      <c r="DE534" s="17" t="s">
        <v>166</v>
      </c>
      <c r="DF534" s="22">
        <v>5</v>
      </c>
      <c r="DG534" s="14" t="s">
        <v>5665</v>
      </c>
      <c r="DH534" s="14" t="s">
        <v>193</v>
      </c>
      <c r="DI534" s="14" t="s">
        <v>194</v>
      </c>
      <c r="DJ534" s="14" t="s">
        <v>5666</v>
      </c>
      <c r="DK534" s="14" t="s">
        <v>5667</v>
      </c>
      <c r="DL534" s="21" t="s">
        <v>5668</v>
      </c>
      <c r="DM534" s="14" t="s">
        <v>198</v>
      </c>
      <c r="DN534" s="13" t="s">
        <v>10371</v>
      </c>
      <c r="DO534" s="20">
        <v>2020</v>
      </c>
      <c r="DP534" s="14" t="s">
        <v>166</v>
      </c>
      <c r="DQ534" s="14" t="s">
        <v>166</v>
      </c>
      <c r="DR534" s="18" t="s">
        <v>166</v>
      </c>
      <c r="DS534" s="16" t="s">
        <v>166</v>
      </c>
      <c r="DT534" s="19" t="s">
        <v>166</v>
      </c>
      <c r="DU534" s="14" t="s">
        <v>166</v>
      </c>
      <c r="DV534" s="18" t="s">
        <v>166</v>
      </c>
      <c r="DW534" s="18" t="s">
        <v>166</v>
      </c>
      <c r="DX534" s="16" t="s">
        <v>166</v>
      </c>
      <c r="DY534" s="16" t="s">
        <v>166</v>
      </c>
      <c r="DZ534" s="17" t="s">
        <v>166</v>
      </c>
      <c r="EA534" s="16" t="s">
        <v>166</v>
      </c>
      <c r="EB534" s="16" t="s">
        <v>166</v>
      </c>
      <c r="EC534" s="16" t="s">
        <v>166</v>
      </c>
      <c r="ED534" s="17" t="s">
        <v>166</v>
      </c>
      <c r="EE534" s="17" t="s">
        <v>166</v>
      </c>
      <c r="EF534" s="17" t="s">
        <v>166</v>
      </c>
      <c r="EG534" s="17" t="s">
        <v>166</v>
      </c>
      <c r="EH534" s="16" t="s">
        <v>166</v>
      </c>
      <c r="EI534" s="16" t="s">
        <v>166</v>
      </c>
      <c r="EJ534" s="16" t="s">
        <v>166</v>
      </c>
      <c r="EK534" s="16" t="s">
        <v>166</v>
      </c>
      <c r="EL534" s="16" t="s">
        <v>166</v>
      </c>
      <c r="EM534" s="16" t="s">
        <v>166</v>
      </c>
      <c r="EN534" s="16" t="s">
        <v>166</v>
      </c>
      <c r="EO534" s="16" t="s">
        <v>166</v>
      </c>
      <c r="EP534" s="16" t="s">
        <v>166</v>
      </c>
      <c r="EQ534" s="16" t="s">
        <v>166</v>
      </c>
      <c r="ER534" s="16" t="s">
        <v>166</v>
      </c>
      <c r="ES534" s="16" t="s">
        <v>166</v>
      </c>
      <c r="ET534" s="14" t="s">
        <v>166</v>
      </c>
      <c r="EU534" s="16" t="s">
        <v>166</v>
      </c>
      <c r="EV534" s="16" t="s">
        <v>166</v>
      </c>
      <c r="EW534" s="16" t="s">
        <v>166</v>
      </c>
      <c r="EX534" s="14" t="s">
        <v>190</v>
      </c>
      <c r="EY534" s="14" t="s">
        <v>166</v>
      </c>
      <c r="EZ534" s="16" t="s">
        <v>166</v>
      </c>
      <c r="FA534" s="15" t="s">
        <v>166</v>
      </c>
      <c r="FB534" s="15" t="s">
        <v>166</v>
      </c>
      <c r="FC534" s="15" t="s">
        <v>166</v>
      </c>
      <c r="FD534" s="15" t="s">
        <v>166</v>
      </c>
      <c r="FE534" s="15" t="s">
        <v>166</v>
      </c>
      <c r="FF534" s="15" t="s">
        <v>166</v>
      </c>
      <c r="FG534" s="14" t="s">
        <v>166</v>
      </c>
      <c r="FH534" s="3">
        <f>HYPERLINK("https://my.pitchbook.com?c=201076-84T","View Company Online")</f>
      </c>
    </row>
    <row r="535">
      <c r="A535" s="25" t="s">
        <v>10372</v>
      </c>
      <c r="B535" s="25" t="s">
        <v>10373</v>
      </c>
      <c r="C535" s="25" t="s">
        <v>10374</v>
      </c>
      <c r="D535" s="25" t="s">
        <v>166</v>
      </c>
      <c r="E535" s="34" t="s">
        <v>10375</v>
      </c>
      <c r="F535" s="32">
        <v>5</v>
      </c>
      <c r="G535" s="25" t="s">
        <v>10376</v>
      </c>
      <c r="H535" s="25" t="s">
        <v>166</v>
      </c>
      <c r="I535" s="25" t="s">
        <v>10377</v>
      </c>
      <c r="J535" s="25" t="s">
        <v>10378</v>
      </c>
      <c r="K535" s="25" t="s">
        <v>207</v>
      </c>
      <c r="L535" s="25" t="s">
        <v>208</v>
      </c>
      <c r="M535" s="25" t="s">
        <v>1766</v>
      </c>
      <c r="N535" s="25" t="s">
        <v>10379</v>
      </c>
      <c r="O535" s="25" t="s">
        <v>10380</v>
      </c>
      <c r="P535" s="25" t="s">
        <v>10381</v>
      </c>
      <c r="Q535" s="25" t="s">
        <v>166</v>
      </c>
      <c r="R535" s="25" t="s">
        <v>177</v>
      </c>
      <c r="S535" s="25" t="s">
        <v>178</v>
      </c>
      <c r="T535" s="25" t="s">
        <v>179</v>
      </c>
      <c r="U535" s="25" t="s">
        <v>10382</v>
      </c>
      <c r="V535" s="25" t="s">
        <v>10383</v>
      </c>
      <c r="W535" s="32" t="s">
        <v>10384</v>
      </c>
      <c r="X535" s="25" t="s">
        <v>10385</v>
      </c>
      <c r="Y535" s="25" t="s">
        <v>10386</v>
      </c>
      <c r="Z535" s="25" t="s">
        <v>166</v>
      </c>
      <c r="AA535" s="25" t="s">
        <v>242</v>
      </c>
      <c r="AB535" s="25" t="s">
        <v>243</v>
      </c>
      <c r="AC535" s="25" t="s">
        <v>244</v>
      </c>
      <c r="AD535" s="25" t="s">
        <v>243</v>
      </c>
      <c r="AE535" s="25" t="s">
        <v>243</v>
      </c>
      <c r="AF535" s="25" t="s">
        <v>166</v>
      </c>
      <c r="AG535" s="25" t="s">
        <v>807</v>
      </c>
      <c r="AH535" s="32">
        <v>1</v>
      </c>
      <c r="AI535" s="4">
        <f>HYPERLINK("https://my.pitchbook.com/?d=179816-05T","179816-05T")</f>
      </c>
      <c r="AJ535" s="30" t="s">
        <v>166</v>
      </c>
      <c r="AK535" s="30">
        <v>44406</v>
      </c>
      <c r="AL535" s="29">
        <v>3</v>
      </c>
      <c r="AM535" s="25" t="s">
        <v>247</v>
      </c>
      <c r="AN535" s="29">
        <v>7</v>
      </c>
      <c r="AO535" s="29">
        <v>10</v>
      </c>
      <c r="AP535" s="25" t="s">
        <v>247</v>
      </c>
      <c r="AQ535" s="32" t="s">
        <v>166</v>
      </c>
      <c r="AR535" s="32" t="s">
        <v>166</v>
      </c>
      <c r="AS535" s="28">
        <v>30</v>
      </c>
      <c r="AT535" s="29">
        <v>3</v>
      </c>
      <c r="AU535" s="32" t="s">
        <v>186</v>
      </c>
      <c r="AV535" s="32" t="s">
        <v>166</v>
      </c>
      <c r="AW535" s="29">
        <v>0.51</v>
      </c>
      <c r="AX535" s="32" t="s">
        <v>166</v>
      </c>
      <c r="AY535" s="25" t="s">
        <v>217</v>
      </c>
      <c r="AZ535" s="25" t="s">
        <v>217</v>
      </c>
      <c r="BA535" s="25" t="s">
        <v>166</v>
      </c>
      <c r="BB535" s="32" t="s">
        <v>166</v>
      </c>
      <c r="BC535" s="25" t="s">
        <v>179</v>
      </c>
      <c r="BD535" s="25" t="s">
        <v>10387</v>
      </c>
      <c r="BE535" s="25" t="s">
        <v>189</v>
      </c>
      <c r="BF535" s="29">
        <v>3</v>
      </c>
      <c r="BG535" s="25" t="s">
        <v>190</v>
      </c>
      <c r="BH535" s="25" t="s">
        <v>166</v>
      </c>
      <c r="BI535" s="25" t="s">
        <v>166</v>
      </c>
      <c r="BJ535" s="29" t="s">
        <v>166</v>
      </c>
      <c r="BK535" s="29" t="s">
        <v>166</v>
      </c>
      <c r="BL535" s="25" t="s">
        <v>191</v>
      </c>
      <c r="BM535" s="25" t="s">
        <v>178</v>
      </c>
      <c r="BN535" s="25" t="s">
        <v>177</v>
      </c>
      <c r="BO535" s="33" t="s">
        <v>166</v>
      </c>
      <c r="BP535" s="25" t="s">
        <v>10388</v>
      </c>
      <c r="BQ535" s="32">
        <v>4</v>
      </c>
      <c r="BR535" s="25" t="s">
        <v>166</v>
      </c>
      <c r="BS535" s="32" t="s">
        <v>166</v>
      </c>
      <c r="BT535" s="25" t="s">
        <v>10389</v>
      </c>
      <c r="BU535" s="25" t="s">
        <v>166</v>
      </c>
      <c r="BV535" s="25" t="s">
        <v>10390</v>
      </c>
      <c r="BW535" s="25" t="s">
        <v>166</v>
      </c>
      <c r="BX535" s="25" t="s">
        <v>166</v>
      </c>
      <c r="BY535" s="25" t="s">
        <v>166</v>
      </c>
      <c r="BZ535" s="25" t="s">
        <v>10391</v>
      </c>
      <c r="CA535" s="25" t="s">
        <v>10391</v>
      </c>
      <c r="CB535" s="25" t="s">
        <v>166</v>
      </c>
      <c r="CC535" s="25" t="s">
        <v>166</v>
      </c>
      <c r="CD535" s="25" t="s">
        <v>166</v>
      </c>
      <c r="CE535" s="29" t="s">
        <v>166</v>
      </c>
      <c r="CF535" s="27" t="s">
        <v>166</v>
      </c>
      <c r="CG535" s="28" t="s">
        <v>166</v>
      </c>
      <c r="CH535" s="27" t="s">
        <v>166</v>
      </c>
      <c r="CI535" s="27" t="s">
        <v>166</v>
      </c>
      <c r="CJ535" s="27" t="s">
        <v>166</v>
      </c>
      <c r="CK535" s="27" t="s">
        <v>166</v>
      </c>
      <c r="CL535" s="27" t="s">
        <v>166</v>
      </c>
      <c r="CM535" s="31" t="s">
        <v>166</v>
      </c>
      <c r="CN535" s="27" t="s">
        <v>166</v>
      </c>
      <c r="CO535" s="27" t="s">
        <v>166</v>
      </c>
      <c r="CP535" s="27" t="s">
        <v>166</v>
      </c>
      <c r="CQ535" s="27" t="s">
        <v>166</v>
      </c>
      <c r="CR535" s="27" t="s">
        <v>166</v>
      </c>
      <c r="CS535" s="27" t="s">
        <v>166</v>
      </c>
      <c r="CT535" s="27" t="s">
        <v>166</v>
      </c>
      <c r="CU535" s="27" t="s">
        <v>166</v>
      </c>
      <c r="CV535" s="27" t="s">
        <v>166</v>
      </c>
      <c r="CW535" s="27" t="s">
        <v>166</v>
      </c>
      <c r="CX535" s="27" t="s">
        <v>166</v>
      </c>
      <c r="CY535" s="27" t="s">
        <v>166</v>
      </c>
      <c r="CZ535" s="27" t="s">
        <v>166</v>
      </c>
      <c r="DA535" s="27" t="s">
        <v>166</v>
      </c>
      <c r="DB535" s="27" t="s">
        <v>166</v>
      </c>
      <c r="DC535" s="27" t="s">
        <v>166</v>
      </c>
      <c r="DD535" s="27" t="s">
        <v>166</v>
      </c>
      <c r="DE535" s="28" t="s">
        <v>166</v>
      </c>
      <c r="DF535" s="33">
        <v>16</v>
      </c>
      <c r="DG535" s="25" t="s">
        <v>3138</v>
      </c>
      <c r="DH535" s="25" t="s">
        <v>193</v>
      </c>
      <c r="DI535" s="25" t="s">
        <v>194</v>
      </c>
      <c r="DJ535" s="25" t="s">
        <v>3139</v>
      </c>
      <c r="DK535" s="25" t="s">
        <v>257</v>
      </c>
      <c r="DL535" s="32" t="s">
        <v>10392</v>
      </c>
      <c r="DM535" s="25" t="s">
        <v>198</v>
      </c>
      <c r="DN535" s="24" t="s">
        <v>10393</v>
      </c>
      <c r="DO535" s="31">
        <v>2019</v>
      </c>
      <c r="DP535" s="25" t="s">
        <v>166</v>
      </c>
      <c r="DQ535" s="25" t="s">
        <v>166</v>
      </c>
      <c r="DR535" s="29" t="s">
        <v>166</v>
      </c>
      <c r="DS535" s="27" t="s">
        <v>166</v>
      </c>
      <c r="DT535" s="30" t="s">
        <v>166</v>
      </c>
      <c r="DU535" s="25" t="s">
        <v>166</v>
      </c>
      <c r="DV535" s="29" t="s">
        <v>166</v>
      </c>
      <c r="DW535" s="29" t="s">
        <v>166</v>
      </c>
      <c r="DX535" s="27" t="s">
        <v>166</v>
      </c>
      <c r="DY535" s="27" t="s">
        <v>166</v>
      </c>
      <c r="DZ535" s="28" t="s">
        <v>166</v>
      </c>
      <c r="EA535" s="27" t="s">
        <v>166</v>
      </c>
      <c r="EB535" s="27" t="s">
        <v>166</v>
      </c>
      <c r="EC535" s="27" t="s">
        <v>166</v>
      </c>
      <c r="ED535" s="28" t="s">
        <v>166</v>
      </c>
      <c r="EE535" s="28" t="s">
        <v>166</v>
      </c>
      <c r="EF535" s="28" t="s">
        <v>166</v>
      </c>
      <c r="EG535" s="28" t="s">
        <v>166</v>
      </c>
      <c r="EH535" s="27" t="s">
        <v>166</v>
      </c>
      <c r="EI535" s="27" t="s">
        <v>166</v>
      </c>
      <c r="EJ535" s="27" t="s">
        <v>166</v>
      </c>
      <c r="EK535" s="27" t="s">
        <v>166</v>
      </c>
      <c r="EL535" s="27" t="s">
        <v>166</v>
      </c>
      <c r="EM535" s="27" t="s">
        <v>166</v>
      </c>
      <c r="EN535" s="27" t="s">
        <v>166</v>
      </c>
      <c r="EO535" s="27" t="s">
        <v>166</v>
      </c>
      <c r="EP535" s="27" t="s">
        <v>166</v>
      </c>
      <c r="EQ535" s="27" t="s">
        <v>166</v>
      </c>
      <c r="ER535" s="27" t="s">
        <v>166</v>
      </c>
      <c r="ES535" s="27" t="s">
        <v>166</v>
      </c>
      <c r="ET535" s="25" t="s">
        <v>166</v>
      </c>
      <c r="EU535" s="27" t="s">
        <v>166</v>
      </c>
      <c r="EV535" s="27" t="s">
        <v>166</v>
      </c>
      <c r="EW535" s="27" t="s">
        <v>166</v>
      </c>
      <c r="EX535" s="25" t="s">
        <v>190</v>
      </c>
      <c r="EY535" s="25" t="s">
        <v>166</v>
      </c>
      <c r="EZ535" s="27" t="s">
        <v>166</v>
      </c>
      <c r="FA535" s="26" t="s">
        <v>166</v>
      </c>
      <c r="FB535" s="26" t="s">
        <v>166</v>
      </c>
      <c r="FC535" s="26" t="s">
        <v>166</v>
      </c>
      <c r="FD535" s="26" t="s">
        <v>166</v>
      </c>
      <c r="FE535" s="26" t="s">
        <v>166</v>
      </c>
      <c r="FF535" s="26" t="s">
        <v>166</v>
      </c>
      <c r="FG535" s="25" t="s">
        <v>166</v>
      </c>
      <c r="FH535" s="4">
        <f>HYPERLINK("https://my.pitchbook.com?c=179816-05T","View Company Online")</f>
      </c>
    </row>
    <row r="536">
      <c r="A536" s="14" t="s">
        <v>10394</v>
      </c>
      <c r="B536" s="14" t="s">
        <v>10395</v>
      </c>
      <c r="C536" s="14" t="s">
        <v>10396</v>
      </c>
      <c r="D536" s="14" t="s">
        <v>166</v>
      </c>
      <c r="E536" s="23" t="s">
        <v>10397</v>
      </c>
      <c r="F536" s="21">
        <v>1</v>
      </c>
      <c r="G536" s="14" t="s">
        <v>10398</v>
      </c>
      <c r="H536" s="14" t="s">
        <v>166</v>
      </c>
      <c r="I536" s="14" t="s">
        <v>10399</v>
      </c>
      <c r="J536" s="14" t="s">
        <v>10400</v>
      </c>
      <c r="K536" s="14" t="s">
        <v>207</v>
      </c>
      <c r="L536" s="14" t="s">
        <v>208</v>
      </c>
      <c r="M536" s="14" t="s">
        <v>209</v>
      </c>
      <c r="N536" s="14" t="s">
        <v>684</v>
      </c>
      <c r="O536" s="14" t="s">
        <v>7769</v>
      </c>
      <c r="P536" s="14" t="s">
        <v>10401</v>
      </c>
      <c r="Q536" s="14" t="s">
        <v>166</v>
      </c>
      <c r="R536" s="14" t="s">
        <v>177</v>
      </c>
      <c r="S536" s="14" t="s">
        <v>178</v>
      </c>
      <c r="T536" s="14" t="s">
        <v>179</v>
      </c>
      <c r="U536" s="14" t="s">
        <v>10402</v>
      </c>
      <c r="V536" s="14" t="s">
        <v>10403</v>
      </c>
      <c r="W536" s="21" t="s">
        <v>10404</v>
      </c>
      <c r="X536" s="14" t="s">
        <v>10405</v>
      </c>
      <c r="Y536" s="14" t="s">
        <v>10406</v>
      </c>
      <c r="Z536" s="14" t="s">
        <v>166</v>
      </c>
      <c r="AA536" s="14" t="s">
        <v>166</v>
      </c>
      <c r="AB536" s="14" t="s">
        <v>166</v>
      </c>
      <c r="AC536" s="14" t="s">
        <v>166</v>
      </c>
      <c r="AD536" s="14" t="s">
        <v>166</v>
      </c>
      <c r="AE536" s="14" t="s">
        <v>166</v>
      </c>
      <c r="AF536" s="14" t="s">
        <v>166</v>
      </c>
      <c r="AG536" s="14" t="s">
        <v>166</v>
      </c>
      <c r="AH536" s="21">
        <v>4</v>
      </c>
      <c r="AI536" s="3">
        <f>HYPERLINK("https://my.pitchbook.com/?d=255166-48T","255166-48T")</f>
      </c>
      <c r="AJ536" s="19" t="s">
        <v>166</v>
      </c>
      <c r="AK536" s="19">
        <v>44896</v>
      </c>
      <c r="AL536" s="18">
        <v>0.23</v>
      </c>
      <c r="AM536" s="14" t="s">
        <v>185</v>
      </c>
      <c r="AN536" s="18" t="s">
        <v>166</v>
      </c>
      <c r="AO536" s="18" t="s">
        <v>166</v>
      </c>
      <c r="AP536" s="14" t="s">
        <v>166</v>
      </c>
      <c r="AQ536" s="21" t="s">
        <v>166</v>
      </c>
      <c r="AR536" s="21">
        <v>2.33</v>
      </c>
      <c r="AS536" s="17" t="s">
        <v>166</v>
      </c>
      <c r="AT536" s="18">
        <v>0.73</v>
      </c>
      <c r="AU536" s="21" t="s">
        <v>186</v>
      </c>
      <c r="AV536" s="21" t="s">
        <v>166</v>
      </c>
      <c r="AW536" s="18" t="s">
        <v>166</v>
      </c>
      <c r="AX536" s="21" t="s">
        <v>166</v>
      </c>
      <c r="AY536" s="14" t="s">
        <v>187</v>
      </c>
      <c r="AZ536" s="14" t="s">
        <v>166</v>
      </c>
      <c r="BA536" s="14" t="s">
        <v>166</v>
      </c>
      <c r="BB536" s="21" t="s">
        <v>166</v>
      </c>
      <c r="BC536" s="14" t="s">
        <v>179</v>
      </c>
      <c r="BD536" s="14" t="s">
        <v>10400</v>
      </c>
      <c r="BE536" s="14" t="s">
        <v>189</v>
      </c>
      <c r="BF536" s="18" t="s">
        <v>166</v>
      </c>
      <c r="BG536" s="14" t="s">
        <v>190</v>
      </c>
      <c r="BH536" s="14" t="s">
        <v>166</v>
      </c>
      <c r="BI536" s="14" t="s">
        <v>166</v>
      </c>
      <c r="BJ536" s="18">
        <v>0.23</v>
      </c>
      <c r="BK536" s="18" t="s">
        <v>166</v>
      </c>
      <c r="BL536" s="14" t="s">
        <v>191</v>
      </c>
      <c r="BM536" s="14" t="s">
        <v>178</v>
      </c>
      <c r="BN536" s="14" t="s">
        <v>177</v>
      </c>
      <c r="BO536" s="22">
        <v>7</v>
      </c>
      <c r="BP536" s="14" t="s">
        <v>10397</v>
      </c>
      <c r="BQ536" s="21">
        <v>1</v>
      </c>
      <c r="BR536" s="14" t="s">
        <v>166</v>
      </c>
      <c r="BS536" s="21" t="s">
        <v>166</v>
      </c>
      <c r="BT536" s="14" t="s">
        <v>166</v>
      </c>
      <c r="BU536" s="14" t="s">
        <v>166</v>
      </c>
      <c r="BV536" s="14" t="s">
        <v>166</v>
      </c>
      <c r="BW536" s="14" t="s">
        <v>166</v>
      </c>
      <c r="BX536" s="14" t="s">
        <v>166</v>
      </c>
      <c r="BY536" s="14" t="s">
        <v>166</v>
      </c>
      <c r="BZ536" s="14" t="s">
        <v>166</v>
      </c>
      <c r="CA536" s="14" t="s">
        <v>166</v>
      </c>
      <c r="CB536" s="14" t="s">
        <v>166</v>
      </c>
      <c r="CC536" s="14" t="s">
        <v>166</v>
      </c>
      <c r="CD536" s="14" t="s">
        <v>166</v>
      </c>
      <c r="CE536" s="18" t="s">
        <v>166</v>
      </c>
      <c r="CF536" s="16" t="s">
        <v>166</v>
      </c>
      <c r="CG536" s="17" t="s">
        <v>166</v>
      </c>
      <c r="CH536" s="16" t="s">
        <v>166</v>
      </c>
      <c r="CI536" s="16" t="s">
        <v>166</v>
      </c>
      <c r="CJ536" s="16" t="s">
        <v>166</v>
      </c>
      <c r="CK536" s="16" t="s">
        <v>166</v>
      </c>
      <c r="CL536" s="16" t="s">
        <v>166</v>
      </c>
      <c r="CM536" s="20" t="s">
        <v>166</v>
      </c>
      <c r="CN536" s="16" t="s">
        <v>166</v>
      </c>
      <c r="CO536" s="16" t="s">
        <v>166</v>
      </c>
      <c r="CP536" s="16" t="s">
        <v>166</v>
      </c>
      <c r="CQ536" s="16" t="s">
        <v>166</v>
      </c>
      <c r="CR536" s="16" t="s">
        <v>166</v>
      </c>
      <c r="CS536" s="16" t="s">
        <v>166</v>
      </c>
      <c r="CT536" s="16" t="s">
        <v>166</v>
      </c>
      <c r="CU536" s="16" t="s">
        <v>166</v>
      </c>
      <c r="CV536" s="16" t="s">
        <v>166</v>
      </c>
      <c r="CW536" s="16" t="s">
        <v>166</v>
      </c>
      <c r="CX536" s="16" t="s">
        <v>166</v>
      </c>
      <c r="CY536" s="16" t="s">
        <v>166</v>
      </c>
      <c r="CZ536" s="16" t="s">
        <v>166</v>
      </c>
      <c r="DA536" s="16" t="s">
        <v>166</v>
      </c>
      <c r="DB536" s="16" t="s">
        <v>166</v>
      </c>
      <c r="DC536" s="16" t="s">
        <v>166</v>
      </c>
      <c r="DD536" s="16" t="s">
        <v>166</v>
      </c>
      <c r="DE536" s="17" t="s">
        <v>166</v>
      </c>
      <c r="DF536" s="22">
        <v>17</v>
      </c>
      <c r="DG536" s="14" t="s">
        <v>384</v>
      </c>
      <c r="DH536" s="14" t="s">
        <v>193</v>
      </c>
      <c r="DI536" s="14" t="s">
        <v>194</v>
      </c>
      <c r="DJ536" s="14" t="s">
        <v>385</v>
      </c>
      <c r="DK536" s="14" t="s">
        <v>386</v>
      </c>
      <c r="DL536" s="21" t="s">
        <v>10407</v>
      </c>
      <c r="DM536" s="14" t="s">
        <v>198</v>
      </c>
      <c r="DN536" s="13" t="s">
        <v>10408</v>
      </c>
      <c r="DO536" s="20">
        <v>2018</v>
      </c>
      <c r="DP536" s="14" t="s">
        <v>166</v>
      </c>
      <c r="DQ536" s="14" t="s">
        <v>10409</v>
      </c>
      <c r="DR536" s="18">
        <v>0.23</v>
      </c>
      <c r="DS536" s="16" t="s">
        <v>166</v>
      </c>
      <c r="DT536" s="19" t="s">
        <v>166</v>
      </c>
      <c r="DU536" s="14" t="s">
        <v>166</v>
      </c>
      <c r="DV536" s="18" t="s">
        <v>166</v>
      </c>
      <c r="DW536" s="18" t="s">
        <v>166</v>
      </c>
      <c r="DX536" s="16" t="s">
        <v>166</v>
      </c>
      <c r="DY536" s="16" t="s">
        <v>166</v>
      </c>
      <c r="DZ536" s="17" t="s">
        <v>166</v>
      </c>
      <c r="EA536" s="16" t="s">
        <v>166</v>
      </c>
      <c r="EB536" s="16" t="s">
        <v>166</v>
      </c>
      <c r="EC536" s="16" t="s">
        <v>166</v>
      </c>
      <c r="ED536" s="17" t="s">
        <v>166</v>
      </c>
      <c r="EE536" s="17" t="s">
        <v>166</v>
      </c>
      <c r="EF536" s="17" t="s">
        <v>166</v>
      </c>
      <c r="EG536" s="17" t="s">
        <v>166</v>
      </c>
      <c r="EH536" s="16" t="s">
        <v>166</v>
      </c>
      <c r="EI536" s="16" t="s">
        <v>166</v>
      </c>
      <c r="EJ536" s="16" t="s">
        <v>166</v>
      </c>
      <c r="EK536" s="16" t="s">
        <v>166</v>
      </c>
      <c r="EL536" s="16" t="s">
        <v>166</v>
      </c>
      <c r="EM536" s="16" t="s">
        <v>166</v>
      </c>
      <c r="EN536" s="16" t="s">
        <v>166</v>
      </c>
      <c r="EO536" s="16" t="s">
        <v>166</v>
      </c>
      <c r="EP536" s="16" t="s">
        <v>166</v>
      </c>
      <c r="EQ536" s="16" t="s">
        <v>166</v>
      </c>
      <c r="ER536" s="16" t="s">
        <v>166</v>
      </c>
      <c r="ES536" s="16" t="s">
        <v>166</v>
      </c>
      <c r="ET536" s="14" t="s">
        <v>166</v>
      </c>
      <c r="EU536" s="16" t="s">
        <v>166</v>
      </c>
      <c r="EV536" s="16" t="s">
        <v>166</v>
      </c>
      <c r="EW536" s="16" t="s">
        <v>166</v>
      </c>
      <c r="EX536" s="14" t="s">
        <v>190</v>
      </c>
      <c r="EY536" s="14" t="s">
        <v>190</v>
      </c>
      <c r="EZ536" s="16" t="s">
        <v>166</v>
      </c>
      <c r="FA536" s="15" t="s">
        <v>166</v>
      </c>
      <c r="FB536" s="15" t="s">
        <v>166</v>
      </c>
      <c r="FC536" s="15" t="s">
        <v>166</v>
      </c>
      <c r="FD536" s="15" t="s">
        <v>166</v>
      </c>
      <c r="FE536" s="15" t="s">
        <v>166</v>
      </c>
      <c r="FF536" s="15" t="s">
        <v>166</v>
      </c>
      <c r="FG536" s="14" t="s">
        <v>166</v>
      </c>
      <c r="FH536" s="3">
        <f>HYPERLINK("https://my.pitchbook.com?c=255166-48T","View Company Online")</f>
      </c>
    </row>
    <row r="537">
      <c r="A537" s="25" t="s">
        <v>10410</v>
      </c>
      <c r="B537" s="25" t="s">
        <v>10411</v>
      </c>
      <c r="C537" s="25" t="s">
        <v>10412</v>
      </c>
      <c r="D537" s="25" t="s">
        <v>166</v>
      </c>
      <c r="E537" s="34" t="s">
        <v>10413</v>
      </c>
      <c r="F537" s="32">
        <v>6</v>
      </c>
      <c r="G537" s="25" t="s">
        <v>10414</v>
      </c>
      <c r="H537" s="25" t="s">
        <v>166</v>
      </c>
      <c r="I537" s="25" t="s">
        <v>10415</v>
      </c>
      <c r="J537" s="25" t="s">
        <v>3220</v>
      </c>
      <c r="K537" s="25" t="s">
        <v>1455</v>
      </c>
      <c r="L537" s="25" t="s">
        <v>10416</v>
      </c>
      <c r="M537" s="25" t="s">
        <v>10417</v>
      </c>
      <c r="N537" s="25" t="s">
        <v>10418</v>
      </c>
      <c r="O537" s="25" t="s">
        <v>10419</v>
      </c>
      <c r="P537" s="25" t="s">
        <v>10420</v>
      </c>
      <c r="Q537" s="25" t="s">
        <v>166</v>
      </c>
      <c r="R537" s="25" t="s">
        <v>177</v>
      </c>
      <c r="S537" s="25" t="s">
        <v>178</v>
      </c>
      <c r="T537" s="25" t="s">
        <v>179</v>
      </c>
      <c r="U537" s="25" t="s">
        <v>10421</v>
      </c>
      <c r="V537" s="25" t="s">
        <v>10422</v>
      </c>
      <c r="W537" s="32" t="s">
        <v>10423</v>
      </c>
      <c r="X537" s="25" t="s">
        <v>10424</v>
      </c>
      <c r="Y537" s="25" t="s">
        <v>10425</v>
      </c>
      <c r="Z537" s="25" t="s">
        <v>166</v>
      </c>
      <c r="AA537" s="25" t="s">
        <v>242</v>
      </c>
      <c r="AB537" s="25" t="s">
        <v>243</v>
      </c>
      <c r="AC537" s="25" t="s">
        <v>244</v>
      </c>
      <c r="AD537" s="25" t="s">
        <v>243</v>
      </c>
      <c r="AE537" s="25" t="s">
        <v>243</v>
      </c>
      <c r="AF537" s="25" t="s">
        <v>245</v>
      </c>
      <c r="AG537" s="25" t="s">
        <v>807</v>
      </c>
      <c r="AH537" s="32">
        <v>5</v>
      </c>
      <c r="AI537" s="4">
        <f>HYPERLINK("https://my.pitchbook.com/?d=133110-55T","133110-55T")</f>
      </c>
      <c r="AJ537" s="30">
        <v>42867</v>
      </c>
      <c r="AK537" s="30">
        <v>44137</v>
      </c>
      <c r="AL537" s="29">
        <v>0.3</v>
      </c>
      <c r="AM537" s="25" t="s">
        <v>185</v>
      </c>
      <c r="AN537" s="29">
        <v>5</v>
      </c>
      <c r="AO537" s="29">
        <v>5.3</v>
      </c>
      <c r="AP537" s="25" t="s">
        <v>185</v>
      </c>
      <c r="AQ537" s="32" t="s">
        <v>166</v>
      </c>
      <c r="AR537" s="32" t="s">
        <v>166</v>
      </c>
      <c r="AS537" s="28">
        <v>5.66</v>
      </c>
      <c r="AT537" s="29">
        <v>0.45</v>
      </c>
      <c r="AU537" s="32" t="s">
        <v>186</v>
      </c>
      <c r="AV537" s="32" t="s">
        <v>166</v>
      </c>
      <c r="AW537" s="29">
        <v>5</v>
      </c>
      <c r="AX537" s="32" t="s">
        <v>166</v>
      </c>
      <c r="AY537" s="25" t="s">
        <v>217</v>
      </c>
      <c r="AZ537" s="25" t="s">
        <v>217</v>
      </c>
      <c r="BA537" s="25" t="s">
        <v>166</v>
      </c>
      <c r="BB537" s="32" t="s">
        <v>166</v>
      </c>
      <c r="BC537" s="25" t="s">
        <v>179</v>
      </c>
      <c r="BD537" s="25" t="s">
        <v>10426</v>
      </c>
      <c r="BE537" s="25" t="s">
        <v>189</v>
      </c>
      <c r="BF537" s="29">
        <v>0.3</v>
      </c>
      <c r="BG537" s="25" t="s">
        <v>190</v>
      </c>
      <c r="BH537" s="25" t="s">
        <v>166</v>
      </c>
      <c r="BI537" s="25" t="s">
        <v>166</v>
      </c>
      <c r="BJ537" s="29" t="s">
        <v>166</v>
      </c>
      <c r="BK537" s="29" t="s">
        <v>166</v>
      </c>
      <c r="BL537" s="25" t="s">
        <v>191</v>
      </c>
      <c r="BM537" s="25" t="s">
        <v>358</v>
      </c>
      <c r="BN537" s="25" t="s">
        <v>177</v>
      </c>
      <c r="BO537" s="33" t="s">
        <v>166</v>
      </c>
      <c r="BP537" s="25" t="s">
        <v>10427</v>
      </c>
      <c r="BQ537" s="32">
        <v>5</v>
      </c>
      <c r="BR537" s="25" t="s">
        <v>8854</v>
      </c>
      <c r="BS537" s="32">
        <v>1</v>
      </c>
      <c r="BT537" s="25" t="s">
        <v>166</v>
      </c>
      <c r="BU537" s="25" t="s">
        <v>166</v>
      </c>
      <c r="BV537" s="25" t="s">
        <v>10428</v>
      </c>
      <c r="BW537" s="25" t="s">
        <v>166</v>
      </c>
      <c r="BX537" s="25" t="s">
        <v>166</v>
      </c>
      <c r="BY537" s="25" t="s">
        <v>166</v>
      </c>
      <c r="BZ537" s="25" t="s">
        <v>166</v>
      </c>
      <c r="CA537" s="25" t="s">
        <v>166</v>
      </c>
      <c r="CB537" s="25" t="s">
        <v>166</v>
      </c>
      <c r="CC537" s="25" t="s">
        <v>166</v>
      </c>
      <c r="CD537" s="25" t="s">
        <v>166</v>
      </c>
      <c r="CE537" s="29" t="s">
        <v>166</v>
      </c>
      <c r="CF537" s="27" t="s">
        <v>166</v>
      </c>
      <c r="CG537" s="28" t="s">
        <v>166</v>
      </c>
      <c r="CH537" s="27" t="s">
        <v>166</v>
      </c>
      <c r="CI537" s="27" t="s">
        <v>166</v>
      </c>
      <c r="CJ537" s="27" t="s">
        <v>166</v>
      </c>
      <c r="CK537" s="27" t="s">
        <v>166</v>
      </c>
      <c r="CL537" s="27" t="s">
        <v>166</v>
      </c>
      <c r="CM537" s="31" t="s">
        <v>166</v>
      </c>
      <c r="CN537" s="27" t="s">
        <v>166</v>
      </c>
      <c r="CO537" s="27" t="s">
        <v>166</v>
      </c>
      <c r="CP537" s="27" t="s">
        <v>166</v>
      </c>
      <c r="CQ537" s="27" t="s">
        <v>166</v>
      </c>
      <c r="CR537" s="27" t="s">
        <v>166</v>
      </c>
      <c r="CS537" s="27" t="s">
        <v>166</v>
      </c>
      <c r="CT537" s="27" t="s">
        <v>166</v>
      </c>
      <c r="CU537" s="27" t="s">
        <v>166</v>
      </c>
      <c r="CV537" s="27" t="s">
        <v>166</v>
      </c>
      <c r="CW537" s="27" t="s">
        <v>166</v>
      </c>
      <c r="CX537" s="27" t="s">
        <v>166</v>
      </c>
      <c r="CY537" s="27" t="s">
        <v>166</v>
      </c>
      <c r="CZ537" s="27" t="s">
        <v>166</v>
      </c>
      <c r="DA537" s="27" t="s">
        <v>166</v>
      </c>
      <c r="DB537" s="27" t="s">
        <v>166</v>
      </c>
      <c r="DC537" s="27" t="s">
        <v>166</v>
      </c>
      <c r="DD537" s="27" t="s">
        <v>166</v>
      </c>
      <c r="DE537" s="28" t="s">
        <v>166</v>
      </c>
      <c r="DF537" s="33">
        <v>13</v>
      </c>
      <c r="DG537" s="25" t="s">
        <v>10429</v>
      </c>
      <c r="DH537" s="25" t="s">
        <v>193</v>
      </c>
      <c r="DI537" s="25" t="s">
        <v>194</v>
      </c>
      <c r="DJ537" s="25" t="s">
        <v>10430</v>
      </c>
      <c r="DK537" s="25" t="s">
        <v>2861</v>
      </c>
      <c r="DL537" s="32" t="s">
        <v>10431</v>
      </c>
      <c r="DM537" s="25" t="s">
        <v>198</v>
      </c>
      <c r="DN537" s="24" t="s">
        <v>10432</v>
      </c>
      <c r="DO537" s="31">
        <v>2017</v>
      </c>
      <c r="DP537" s="25" t="s">
        <v>166</v>
      </c>
      <c r="DQ537" s="25" t="s">
        <v>166</v>
      </c>
      <c r="DR537" s="29" t="s">
        <v>166</v>
      </c>
      <c r="DS537" s="27" t="s">
        <v>166</v>
      </c>
      <c r="DT537" s="30" t="s">
        <v>166</v>
      </c>
      <c r="DU537" s="25" t="s">
        <v>166</v>
      </c>
      <c r="DV537" s="29" t="s">
        <v>166</v>
      </c>
      <c r="DW537" s="29" t="s">
        <v>166</v>
      </c>
      <c r="DX537" s="27" t="s">
        <v>166</v>
      </c>
      <c r="DY537" s="27" t="s">
        <v>166</v>
      </c>
      <c r="DZ537" s="28" t="s">
        <v>166</v>
      </c>
      <c r="EA537" s="27" t="s">
        <v>166</v>
      </c>
      <c r="EB537" s="27" t="s">
        <v>166</v>
      </c>
      <c r="EC537" s="27" t="s">
        <v>166</v>
      </c>
      <c r="ED537" s="28" t="s">
        <v>166</v>
      </c>
      <c r="EE537" s="28" t="s">
        <v>166</v>
      </c>
      <c r="EF537" s="28" t="s">
        <v>166</v>
      </c>
      <c r="EG537" s="28" t="s">
        <v>166</v>
      </c>
      <c r="EH537" s="27" t="s">
        <v>166</v>
      </c>
      <c r="EI537" s="27" t="s">
        <v>166</v>
      </c>
      <c r="EJ537" s="27" t="s">
        <v>166</v>
      </c>
      <c r="EK537" s="27" t="s">
        <v>166</v>
      </c>
      <c r="EL537" s="27" t="s">
        <v>166</v>
      </c>
      <c r="EM537" s="27" t="s">
        <v>166</v>
      </c>
      <c r="EN537" s="27" t="s">
        <v>166</v>
      </c>
      <c r="EO537" s="27" t="s">
        <v>166</v>
      </c>
      <c r="EP537" s="27" t="s">
        <v>166</v>
      </c>
      <c r="EQ537" s="27" t="s">
        <v>166</v>
      </c>
      <c r="ER537" s="27" t="s">
        <v>166</v>
      </c>
      <c r="ES537" s="27" t="s">
        <v>166</v>
      </c>
      <c r="ET537" s="25" t="s">
        <v>166</v>
      </c>
      <c r="EU537" s="27" t="s">
        <v>166</v>
      </c>
      <c r="EV537" s="27" t="s">
        <v>166</v>
      </c>
      <c r="EW537" s="27" t="s">
        <v>166</v>
      </c>
      <c r="EX537" s="25" t="s">
        <v>190</v>
      </c>
      <c r="EY537" s="25" t="s">
        <v>166</v>
      </c>
      <c r="EZ537" s="27" t="s">
        <v>166</v>
      </c>
      <c r="FA537" s="26" t="s">
        <v>166</v>
      </c>
      <c r="FB537" s="26" t="s">
        <v>166</v>
      </c>
      <c r="FC537" s="26" t="s">
        <v>166</v>
      </c>
      <c r="FD537" s="26" t="s">
        <v>166</v>
      </c>
      <c r="FE537" s="26" t="s">
        <v>166</v>
      </c>
      <c r="FF537" s="26" t="s">
        <v>166</v>
      </c>
      <c r="FG537" s="25" t="s">
        <v>166</v>
      </c>
      <c r="FH537" s="4">
        <f>HYPERLINK("https://my.pitchbook.com?c=133110-55T","View Company Online")</f>
      </c>
    </row>
    <row r="538">
      <c r="A538" s="14" t="s">
        <v>10433</v>
      </c>
      <c r="B538" s="14" t="s">
        <v>10434</v>
      </c>
      <c r="C538" s="14" t="s">
        <v>10435</v>
      </c>
      <c r="D538" s="14" t="s">
        <v>166</v>
      </c>
      <c r="E538" s="23" t="s">
        <v>10436</v>
      </c>
      <c r="F538" s="21">
        <v>9</v>
      </c>
      <c r="G538" s="14" t="s">
        <v>10437</v>
      </c>
      <c r="H538" s="14" t="s">
        <v>166</v>
      </c>
      <c r="I538" s="14" t="s">
        <v>10438</v>
      </c>
      <c r="J538" s="14" t="s">
        <v>10439</v>
      </c>
      <c r="K538" s="14" t="s">
        <v>1455</v>
      </c>
      <c r="L538" s="14" t="s">
        <v>1984</v>
      </c>
      <c r="M538" s="14" t="s">
        <v>1985</v>
      </c>
      <c r="N538" s="14" t="s">
        <v>2661</v>
      </c>
      <c r="O538" s="14" t="s">
        <v>2394</v>
      </c>
      <c r="P538" s="14" t="s">
        <v>10440</v>
      </c>
      <c r="Q538" s="14" t="s">
        <v>166</v>
      </c>
      <c r="R538" s="14" t="s">
        <v>177</v>
      </c>
      <c r="S538" s="14" t="s">
        <v>178</v>
      </c>
      <c r="T538" s="14" t="s">
        <v>179</v>
      </c>
      <c r="U538" s="14" t="s">
        <v>10441</v>
      </c>
      <c r="V538" s="14" t="s">
        <v>10442</v>
      </c>
      <c r="W538" s="21" t="s">
        <v>10443</v>
      </c>
      <c r="X538" s="14" t="s">
        <v>10444</v>
      </c>
      <c r="Y538" s="14" t="s">
        <v>10445</v>
      </c>
      <c r="Z538" s="14" t="s">
        <v>10446</v>
      </c>
      <c r="AA538" s="14" t="s">
        <v>242</v>
      </c>
      <c r="AB538" s="14" t="s">
        <v>243</v>
      </c>
      <c r="AC538" s="14" t="s">
        <v>244</v>
      </c>
      <c r="AD538" s="14" t="s">
        <v>243</v>
      </c>
      <c r="AE538" s="14" t="s">
        <v>243</v>
      </c>
      <c r="AF538" s="14" t="s">
        <v>245</v>
      </c>
      <c r="AG538" s="14" t="s">
        <v>246</v>
      </c>
      <c r="AH538" s="21">
        <v>1</v>
      </c>
      <c r="AI538" s="3">
        <f>HYPERLINK("https://my.pitchbook.com/?d=179135-11T","179135-11T")</f>
      </c>
      <c r="AJ538" s="19" t="s">
        <v>166</v>
      </c>
      <c r="AK538" s="19">
        <v>44435</v>
      </c>
      <c r="AL538" s="18">
        <v>4.92</v>
      </c>
      <c r="AM538" s="14" t="s">
        <v>185</v>
      </c>
      <c r="AN538" s="18">
        <v>10</v>
      </c>
      <c r="AO538" s="18">
        <v>14.92</v>
      </c>
      <c r="AP538" s="14" t="s">
        <v>185</v>
      </c>
      <c r="AQ538" s="21" t="s">
        <v>166</v>
      </c>
      <c r="AR538" s="21" t="s">
        <v>166</v>
      </c>
      <c r="AS538" s="17">
        <v>34.4</v>
      </c>
      <c r="AT538" s="18">
        <v>4.92</v>
      </c>
      <c r="AU538" s="21" t="s">
        <v>186</v>
      </c>
      <c r="AV538" s="21" t="s">
        <v>166</v>
      </c>
      <c r="AW538" s="18">
        <v>1.64</v>
      </c>
      <c r="AX538" s="21" t="s">
        <v>166</v>
      </c>
      <c r="AY538" s="14" t="s">
        <v>217</v>
      </c>
      <c r="AZ538" s="14" t="s">
        <v>217</v>
      </c>
      <c r="BA538" s="14" t="s">
        <v>166</v>
      </c>
      <c r="BB538" s="21" t="s">
        <v>166</v>
      </c>
      <c r="BC538" s="14" t="s">
        <v>179</v>
      </c>
      <c r="BD538" s="14" t="s">
        <v>10447</v>
      </c>
      <c r="BE538" s="14" t="s">
        <v>189</v>
      </c>
      <c r="BF538" s="18">
        <v>4.92</v>
      </c>
      <c r="BG538" s="14" t="s">
        <v>190</v>
      </c>
      <c r="BH538" s="14" t="s">
        <v>166</v>
      </c>
      <c r="BI538" s="14" t="s">
        <v>166</v>
      </c>
      <c r="BJ538" s="18" t="s">
        <v>166</v>
      </c>
      <c r="BK538" s="18" t="s">
        <v>166</v>
      </c>
      <c r="BL538" s="14" t="s">
        <v>191</v>
      </c>
      <c r="BM538" s="14" t="s">
        <v>178</v>
      </c>
      <c r="BN538" s="14" t="s">
        <v>177</v>
      </c>
      <c r="BO538" s="22" t="s">
        <v>166</v>
      </c>
      <c r="BP538" s="14" t="s">
        <v>10448</v>
      </c>
      <c r="BQ538" s="21">
        <v>9</v>
      </c>
      <c r="BR538" s="14" t="s">
        <v>166</v>
      </c>
      <c r="BS538" s="21" t="s">
        <v>166</v>
      </c>
      <c r="BT538" s="14" t="s">
        <v>10449</v>
      </c>
      <c r="BU538" s="14" t="s">
        <v>166</v>
      </c>
      <c r="BV538" s="14" t="s">
        <v>10450</v>
      </c>
      <c r="BW538" s="14" t="s">
        <v>166</v>
      </c>
      <c r="BX538" s="14" t="s">
        <v>166</v>
      </c>
      <c r="BY538" s="14" t="s">
        <v>166</v>
      </c>
      <c r="BZ538" s="14" t="s">
        <v>10451</v>
      </c>
      <c r="CA538" s="14" t="s">
        <v>166</v>
      </c>
      <c r="CB538" s="14" t="s">
        <v>166</v>
      </c>
      <c r="CC538" s="14" t="s">
        <v>10451</v>
      </c>
      <c r="CD538" s="14" t="s">
        <v>166</v>
      </c>
      <c r="CE538" s="18" t="s">
        <v>166</v>
      </c>
      <c r="CF538" s="16" t="s">
        <v>166</v>
      </c>
      <c r="CG538" s="17" t="s">
        <v>166</v>
      </c>
      <c r="CH538" s="16" t="s">
        <v>166</v>
      </c>
      <c r="CI538" s="16" t="s">
        <v>166</v>
      </c>
      <c r="CJ538" s="16" t="s">
        <v>166</v>
      </c>
      <c r="CK538" s="16" t="s">
        <v>166</v>
      </c>
      <c r="CL538" s="16" t="s">
        <v>166</v>
      </c>
      <c r="CM538" s="20" t="s">
        <v>166</v>
      </c>
      <c r="CN538" s="16" t="s">
        <v>166</v>
      </c>
      <c r="CO538" s="16" t="s">
        <v>166</v>
      </c>
      <c r="CP538" s="16" t="s">
        <v>166</v>
      </c>
      <c r="CQ538" s="16" t="s">
        <v>166</v>
      </c>
      <c r="CR538" s="16" t="s">
        <v>166</v>
      </c>
      <c r="CS538" s="16" t="s">
        <v>166</v>
      </c>
      <c r="CT538" s="16" t="s">
        <v>166</v>
      </c>
      <c r="CU538" s="16" t="s">
        <v>166</v>
      </c>
      <c r="CV538" s="16" t="s">
        <v>166</v>
      </c>
      <c r="CW538" s="16" t="s">
        <v>166</v>
      </c>
      <c r="CX538" s="16" t="s">
        <v>166</v>
      </c>
      <c r="CY538" s="16" t="s">
        <v>166</v>
      </c>
      <c r="CZ538" s="16" t="s">
        <v>166</v>
      </c>
      <c r="DA538" s="16" t="s">
        <v>166</v>
      </c>
      <c r="DB538" s="16" t="s">
        <v>166</v>
      </c>
      <c r="DC538" s="16" t="s">
        <v>166</v>
      </c>
      <c r="DD538" s="16" t="s">
        <v>166</v>
      </c>
      <c r="DE538" s="17" t="s">
        <v>166</v>
      </c>
      <c r="DF538" s="22">
        <v>70</v>
      </c>
      <c r="DG538" s="14" t="s">
        <v>309</v>
      </c>
      <c r="DH538" s="14" t="s">
        <v>193</v>
      </c>
      <c r="DI538" s="14" t="s">
        <v>194</v>
      </c>
      <c r="DJ538" s="14" t="s">
        <v>310</v>
      </c>
      <c r="DK538" s="14" t="s">
        <v>310</v>
      </c>
      <c r="DL538" s="21" t="s">
        <v>873</v>
      </c>
      <c r="DM538" s="14" t="s">
        <v>198</v>
      </c>
      <c r="DN538" s="13" t="s">
        <v>10452</v>
      </c>
      <c r="DO538" s="20">
        <v>2018</v>
      </c>
      <c r="DP538" s="14" t="s">
        <v>166</v>
      </c>
      <c r="DQ538" s="14" t="s">
        <v>166</v>
      </c>
      <c r="DR538" s="18" t="s">
        <v>166</v>
      </c>
      <c r="DS538" s="16" t="s">
        <v>166</v>
      </c>
      <c r="DT538" s="19" t="s">
        <v>166</v>
      </c>
      <c r="DU538" s="14" t="s">
        <v>166</v>
      </c>
      <c r="DV538" s="18" t="s">
        <v>166</v>
      </c>
      <c r="DW538" s="18" t="s">
        <v>166</v>
      </c>
      <c r="DX538" s="16" t="s">
        <v>166</v>
      </c>
      <c r="DY538" s="16" t="s">
        <v>166</v>
      </c>
      <c r="DZ538" s="17" t="s">
        <v>166</v>
      </c>
      <c r="EA538" s="16" t="s">
        <v>166</v>
      </c>
      <c r="EB538" s="16" t="s">
        <v>166</v>
      </c>
      <c r="EC538" s="16" t="s">
        <v>166</v>
      </c>
      <c r="ED538" s="17" t="s">
        <v>166</v>
      </c>
      <c r="EE538" s="17" t="s">
        <v>166</v>
      </c>
      <c r="EF538" s="17" t="s">
        <v>166</v>
      </c>
      <c r="EG538" s="17" t="s">
        <v>166</v>
      </c>
      <c r="EH538" s="16" t="s">
        <v>166</v>
      </c>
      <c r="EI538" s="16" t="s">
        <v>166</v>
      </c>
      <c r="EJ538" s="16" t="s">
        <v>166</v>
      </c>
      <c r="EK538" s="16" t="s">
        <v>166</v>
      </c>
      <c r="EL538" s="16" t="s">
        <v>166</v>
      </c>
      <c r="EM538" s="16" t="s">
        <v>166</v>
      </c>
      <c r="EN538" s="16" t="s">
        <v>166</v>
      </c>
      <c r="EO538" s="16" t="s">
        <v>166</v>
      </c>
      <c r="EP538" s="16" t="s">
        <v>166</v>
      </c>
      <c r="EQ538" s="16" t="s">
        <v>166</v>
      </c>
      <c r="ER538" s="16" t="s">
        <v>166</v>
      </c>
      <c r="ES538" s="16" t="s">
        <v>166</v>
      </c>
      <c r="ET538" s="14" t="s">
        <v>166</v>
      </c>
      <c r="EU538" s="16" t="s">
        <v>166</v>
      </c>
      <c r="EV538" s="16" t="s">
        <v>166</v>
      </c>
      <c r="EW538" s="16" t="s">
        <v>166</v>
      </c>
      <c r="EX538" s="14" t="s">
        <v>190</v>
      </c>
      <c r="EY538" s="14" t="s">
        <v>166</v>
      </c>
      <c r="EZ538" s="16" t="s">
        <v>166</v>
      </c>
      <c r="FA538" s="15" t="s">
        <v>166</v>
      </c>
      <c r="FB538" s="15" t="s">
        <v>166</v>
      </c>
      <c r="FC538" s="15" t="s">
        <v>166</v>
      </c>
      <c r="FD538" s="15" t="s">
        <v>166</v>
      </c>
      <c r="FE538" s="15" t="s">
        <v>166</v>
      </c>
      <c r="FF538" s="15" t="s">
        <v>166</v>
      </c>
      <c r="FG538" s="14" t="s">
        <v>166</v>
      </c>
      <c r="FH538" s="3">
        <f>HYPERLINK("https://my.pitchbook.com?c=179135-11T","View Company Online")</f>
      </c>
    </row>
    <row r="539">
      <c r="A539" s="25" t="s">
        <v>10453</v>
      </c>
      <c r="B539" s="25" t="s">
        <v>10454</v>
      </c>
      <c r="C539" s="25" t="s">
        <v>10455</v>
      </c>
      <c r="D539" s="25" t="s">
        <v>166</v>
      </c>
      <c r="E539" s="34" t="s">
        <v>10456</v>
      </c>
      <c r="F539" s="32">
        <v>10</v>
      </c>
      <c r="G539" s="25" t="s">
        <v>10457</v>
      </c>
      <c r="H539" s="25" t="s">
        <v>166</v>
      </c>
      <c r="I539" s="25" t="s">
        <v>10458</v>
      </c>
      <c r="J539" s="25" t="s">
        <v>10459</v>
      </c>
      <c r="K539" s="25" t="s">
        <v>207</v>
      </c>
      <c r="L539" s="25" t="s">
        <v>208</v>
      </c>
      <c r="M539" s="25" t="s">
        <v>621</v>
      </c>
      <c r="N539" s="25" t="s">
        <v>10460</v>
      </c>
      <c r="O539" s="25" t="s">
        <v>4299</v>
      </c>
      <c r="P539" s="25" t="s">
        <v>10461</v>
      </c>
      <c r="Q539" s="25" t="s">
        <v>926</v>
      </c>
      <c r="R539" s="25" t="s">
        <v>177</v>
      </c>
      <c r="S539" s="25" t="s">
        <v>358</v>
      </c>
      <c r="T539" s="25" t="s">
        <v>179</v>
      </c>
      <c r="U539" s="25" t="s">
        <v>10462</v>
      </c>
      <c r="V539" s="25" t="s">
        <v>10463</v>
      </c>
      <c r="W539" s="32" t="s">
        <v>166</v>
      </c>
      <c r="X539" s="25" t="s">
        <v>166</v>
      </c>
      <c r="Y539" s="25" t="s">
        <v>10464</v>
      </c>
      <c r="Z539" s="25" t="s">
        <v>166</v>
      </c>
      <c r="AA539" s="25" t="s">
        <v>242</v>
      </c>
      <c r="AB539" s="25" t="s">
        <v>190</v>
      </c>
      <c r="AC539" s="25" t="s">
        <v>244</v>
      </c>
      <c r="AD539" s="25" t="s">
        <v>243</v>
      </c>
      <c r="AE539" s="25" t="s">
        <v>243</v>
      </c>
      <c r="AF539" s="25" t="s">
        <v>245</v>
      </c>
      <c r="AG539" s="25" t="s">
        <v>246</v>
      </c>
      <c r="AH539" s="32">
        <v>1</v>
      </c>
      <c r="AI539" s="4">
        <f>HYPERLINK("https://my.pitchbook.com/?d=221374-36T","221374-36T")</f>
      </c>
      <c r="AJ539" s="30">
        <v>45043</v>
      </c>
      <c r="AK539" s="30">
        <v>45195</v>
      </c>
      <c r="AL539" s="29">
        <v>3.9</v>
      </c>
      <c r="AM539" s="25" t="s">
        <v>185</v>
      </c>
      <c r="AN539" s="29">
        <v>10</v>
      </c>
      <c r="AO539" s="29">
        <v>14.9</v>
      </c>
      <c r="AP539" s="25" t="s">
        <v>185</v>
      </c>
      <c r="AQ539" s="32" t="s">
        <v>166</v>
      </c>
      <c r="AR539" s="32" t="s">
        <v>166</v>
      </c>
      <c r="AS539" s="28">
        <v>42.3</v>
      </c>
      <c r="AT539" s="29">
        <v>3.9</v>
      </c>
      <c r="AU539" s="32" t="s">
        <v>186</v>
      </c>
      <c r="AV539" s="32" t="s">
        <v>166</v>
      </c>
      <c r="AW539" s="29">
        <v>1.42</v>
      </c>
      <c r="AX539" s="32" t="s">
        <v>166</v>
      </c>
      <c r="AY539" s="25" t="s">
        <v>217</v>
      </c>
      <c r="AZ539" s="25" t="s">
        <v>217</v>
      </c>
      <c r="BA539" s="25" t="s">
        <v>166</v>
      </c>
      <c r="BB539" s="32" t="s">
        <v>166</v>
      </c>
      <c r="BC539" s="25" t="s">
        <v>179</v>
      </c>
      <c r="BD539" s="25" t="s">
        <v>10465</v>
      </c>
      <c r="BE539" s="25" t="s">
        <v>189</v>
      </c>
      <c r="BF539" s="29">
        <v>3.9</v>
      </c>
      <c r="BG539" s="25" t="s">
        <v>190</v>
      </c>
      <c r="BH539" s="25" t="s">
        <v>166</v>
      </c>
      <c r="BI539" s="25" t="s">
        <v>166</v>
      </c>
      <c r="BJ539" s="29" t="s">
        <v>166</v>
      </c>
      <c r="BK539" s="29" t="s">
        <v>166</v>
      </c>
      <c r="BL539" s="25" t="s">
        <v>191</v>
      </c>
      <c r="BM539" s="25" t="s">
        <v>358</v>
      </c>
      <c r="BN539" s="25" t="s">
        <v>177</v>
      </c>
      <c r="BO539" s="33" t="s">
        <v>166</v>
      </c>
      <c r="BP539" s="25" t="s">
        <v>10466</v>
      </c>
      <c r="BQ539" s="32">
        <v>10</v>
      </c>
      <c r="BR539" s="25" t="s">
        <v>166</v>
      </c>
      <c r="BS539" s="32" t="s">
        <v>166</v>
      </c>
      <c r="BT539" s="25" t="s">
        <v>10467</v>
      </c>
      <c r="BU539" s="25" t="s">
        <v>166</v>
      </c>
      <c r="BV539" s="25" t="s">
        <v>166</v>
      </c>
      <c r="BW539" s="25" t="s">
        <v>166</v>
      </c>
      <c r="BX539" s="25" t="s">
        <v>166</v>
      </c>
      <c r="BY539" s="25" t="s">
        <v>166</v>
      </c>
      <c r="BZ539" s="25" t="s">
        <v>10468</v>
      </c>
      <c r="CA539" s="25" t="s">
        <v>10469</v>
      </c>
      <c r="CB539" s="25" t="s">
        <v>166</v>
      </c>
      <c r="CC539" s="25" t="s">
        <v>10470</v>
      </c>
      <c r="CD539" s="25" t="s">
        <v>166</v>
      </c>
      <c r="CE539" s="29" t="s">
        <v>166</v>
      </c>
      <c r="CF539" s="27" t="s">
        <v>166</v>
      </c>
      <c r="CG539" s="28" t="s">
        <v>166</v>
      </c>
      <c r="CH539" s="27" t="s">
        <v>166</v>
      </c>
      <c r="CI539" s="27" t="s">
        <v>166</v>
      </c>
      <c r="CJ539" s="27" t="s">
        <v>166</v>
      </c>
      <c r="CK539" s="27" t="s">
        <v>166</v>
      </c>
      <c r="CL539" s="27" t="s">
        <v>166</v>
      </c>
      <c r="CM539" s="31" t="s">
        <v>166</v>
      </c>
      <c r="CN539" s="27" t="s">
        <v>166</v>
      </c>
      <c r="CO539" s="27" t="s">
        <v>166</v>
      </c>
      <c r="CP539" s="27" t="s">
        <v>166</v>
      </c>
      <c r="CQ539" s="27" t="s">
        <v>166</v>
      </c>
      <c r="CR539" s="27" t="s">
        <v>166</v>
      </c>
      <c r="CS539" s="27" t="s">
        <v>166</v>
      </c>
      <c r="CT539" s="27" t="s">
        <v>166</v>
      </c>
      <c r="CU539" s="27" t="s">
        <v>166</v>
      </c>
      <c r="CV539" s="27" t="s">
        <v>166</v>
      </c>
      <c r="CW539" s="27" t="s">
        <v>166</v>
      </c>
      <c r="CX539" s="27" t="s">
        <v>166</v>
      </c>
      <c r="CY539" s="27" t="s">
        <v>166</v>
      </c>
      <c r="CZ539" s="27" t="s">
        <v>166</v>
      </c>
      <c r="DA539" s="27" t="s">
        <v>166</v>
      </c>
      <c r="DB539" s="27" t="s">
        <v>166</v>
      </c>
      <c r="DC539" s="27" t="s">
        <v>166</v>
      </c>
      <c r="DD539" s="27" t="s">
        <v>166</v>
      </c>
      <c r="DE539" s="28" t="s">
        <v>166</v>
      </c>
      <c r="DF539" s="33">
        <v>9</v>
      </c>
      <c r="DG539" s="25" t="s">
        <v>673</v>
      </c>
      <c r="DH539" s="25" t="s">
        <v>193</v>
      </c>
      <c r="DI539" s="25" t="s">
        <v>194</v>
      </c>
      <c r="DJ539" s="25" t="s">
        <v>674</v>
      </c>
      <c r="DK539" s="25" t="s">
        <v>257</v>
      </c>
      <c r="DL539" s="32" t="s">
        <v>166</v>
      </c>
      <c r="DM539" s="25" t="s">
        <v>198</v>
      </c>
      <c r="DN539" s="24" t="s">
        <v>10471</v>
      </c>
      <c r="DO539" s="31">
        <v>2022</v>
      </c>
      <c r="DP539" s="25" t="s">
        <v>166</v>
      </c>
      <c r="DQ539" s="25" t="s">
        <v>166</v>
      </c>
      <c r="DR539" s="29" t="s">
        <v>166</v>
      </c>
      <c r="DS539" s="27" t="s">
        <v>166</v>
      </c>
      <c r="DT539" s="30" t="s">
        <v>166</v>
      </c>
      <c r="DU539" s="25" t="s">
        <v>166</v>
      </c>
      <c r="DV539" s="29" t="s">
        <v>166</v>
      </c>
      <c r="DW539" s="29" t="s">
        <v>166</v>
      </c>
      <c r="DX539" s="27" t="s">
        <v>166</v>
      </c>
      <c r="DY539" s="27" t="s">
        <v>166</v>
      </c>
      <c r="DZ539" s="28" t="s">
        <v>166</v>
      </c>
      <c r="EA539" s="27" t="s">
        <v>166</v>
      </c>
      <c r="EB539" s="27" t="s">
        <v>166</v>
      </c>
      <c r="EC539" s="27" t="s">
        <v>166</v>
      </c>
      <c r="ED539" s="28" t="s">
        <v>166</v>
      </c>
      <c r="EE539" s="28" t="s">
        <v>166</v>
      </c>
      <c r="EF539" s="28" t="s">
        <v>166</v>
      </c>
      <c r="EG539" s="28" t="s">
        <v>166</v>
      </c>
      <c r="EH539" s="27" t="s">
        <v>166</v>
      </c>
      <c r="EI539" s="27" t="s">
        <v>166</v>
      </c>
      <c r="EJ539" s="27" t="s">
        <v>166</v>
      </c>
      <c r="EK539" s="27" t="s">
        <v>166</v>
      </c>
      <c r="EL539" s="27" t="s">
        <v>166</v>
      </c>
      <c r="EM539" s="27" t="s">
        <v>166</v>
      </c>
      <c r="EN539" s="27" t="s">
        <v>166</v>
      </c>
      <c r="EO539" s="27" t="s">
        <v>166</v>
      </c>
      <c r="EP539" s="27" t="s">
        <v>166</v>
      </c>
      <c r="EQ539" s="27" t="s">
        <v>166</v>
      </c>
      <c r="ER539" s="27" t="s">
        <v>166</v>
      </c>
      <c r="ES539" s="27" t="s">
        <v>166</v>
      </c>
      <c r="ET539" s="25" t="s">
        <v>166</v>
      </c>
      <c r="EU539" s="27" t="s">
        <v>166</v>
      </c>
      <c r="EV539" s="27" t="s">
        <v>166</v>
      </c>
      <c r="EW539" s="27" t="s">
        <v>166</v>
      </c>
      <c r="EX539" s="25" t="s">
        <v>190</v>
      </c>
      <c r="EY539" s="25" t="s">
        <v>166</v>
      </c>
      <c r="EZ539" s="27" t="s">
        <v>166</v>
      </c>
      <c r="FA539" s="26" t="s">
        <v>166</v>
      </c>
      <c r="FB539" s="26" t="s">
        <v>166</v>
      </c>
      <c r="FC539" s="26" t="s">
        <v>166</v>
      </c>
      <c r="FD539" s="26" t="s">
        <v>166</v>
      </c>
      <c r="FE539" s="26" t="s">
        <v>166</v>
      </c>
      <c r="FF539" s="26" t="s">
        <v>166</v>
      </c>
      <c r="FG539" s="25" t="s">
        <v>166</v>
      </c>
      <c r="FH539" s="4">
        <f>HYPERLINK("https://my.pitchbook.com?c=221374-36T","View Company Online")</f>
      </c>
    </row>
    <row r="540">
      <c r="A540" s="14" t="s">
        <v>10472</v>
      </c>
      <c r="B540" s="14" t="s">
        <v>10473</v>
      </c>
      <c r="C540" s="14" t="s">
        <v>10474</v>
      </c>
      <c r="D540" s="14" t="s">
        <v>166</v>
      </c>
      <c r="E540" s="23" t="s">
        <v>10475</v>
      </c>
      <c r="F540" s="21">
        <v>3</v>
      </c>
      <c r="G540" s="14" t="s">
        <v>10476</v>
      </c>
      <c r="H540" s="14" t="s">
        <v>166</v>
      </c>
      <c r="I540" s="14" t="s">
        <v>10477</v>
      </c>
      <c r="J540" s="14" t="s">
        <v>10478</v>
      </c>
      <c r="K540" s="14" t="s">
        <v>207</v>
      </c>
      <c r="L540" s="14" t="s">
        <v>208</v>
      </c>
      <c r="M540" s="14" t="s">
        <v>209</v>
      </c>
      <c r="N540" s="14" t="s">
        <v>396</v>
      </c>
      <c r="O540" s="14" t="s">
        <v>166</v>
      </c>
      <c r="P540" s="14" t="s">
        <v>10479</v>
      </c>
      <c r="Q540" s="14" t="s">
        <v>166</v>
      </c>
      <c r="R540" s="14" t="s">
        <v>177</v>
      </c>
      <c r="S540" s="14" t="s">
        <v>178</v>
      </c>
      <c r="T540" s="14" t="s">
        <v>179</v>
      </c>
      <c r="U540" s="14" t="s">
        <v>10480</v>
      </c>
      <c r="V540" s="14" t="s">
        <v>10481</v>
      </c>
      <c r="W540" s="21" t="s">
        <v>166</v>
      </c>
      <c r="X540" s="14" t="s">
        <v>10482</v>
      </c>
      <c r="Y540" s="14" t="s">
        <v>10483</v>
      </c>
      <c r="Z540" s="14" t="s">
        <v>166</v>
      </c>
      <c r="AA540" s="14" t="s">
        <v>242</v>
      </c>
      <c r="AB540" s="14" t="s">
        <v>243</v>
      </c>
      <c r="AC540" s="14" t="s">
        <v>244</v>
      </c>
      <c r="AD540" s="14" t="s">
        <v>243</v>
      </c>
      <c r="AE540" s="14" t="s">
        <v>243</v>
      </c>
      <c r="AF540" s="14" t="s">
        <v>166</v>
      </c>
      <c r="AG540" s="14" t="s">
        <v>246</v>
      </c>
      <c r="AH540" s="21">
        <v>1</v>
      </c>
      <c r="AI540" s="3">
        <f>HYPERLINK("https://my.pitchbook.com/?d=180802-36T","180802-36T")</f>
      </c>
      <c r="AJ540" s="19" t="s">
        <v>166</v>
      </c>
      <c r="AK540" s="19">
        <v>44317</v>
      </c>
      <c r="AL540" s="18">
        <v>0.1</v>
      </c>
      <c r="AM540" s="14" t="s">
        <v>185</v>
      </c>
      <c r="AN540" s="18">
        <v>2.9</v>
      </c>
      <c r="AO540" s="18">
        <v>3</v>
      </c>
      <c r="AP540" s="14" t="s">
        <v>185</v>
      </c>
      <c r="AQ540" s="21" t="s">
        <v>166</v>
      </c>
      <c r="AR540" s="21" t="s">
        <v>166</v>
      </c>
      <c r="AS540" s="17">
        <v>3.33</v>
      </c>
      <c r="AT540" s="18">
        <v>0.1</v>
      </c>
      <c r="AU540" s="21" t="s">
        <v>186</v>
      </c>
      <c r="AV540" s="21" t="s">
        <v>166</v>
      </c>
      <c r="AW540" s="18">
        <v>0.3</v>
      </c>
      <c r="AX540" s="21" t="s">
        <v>166</v>
      </c>
      <c r="AY540" s="14" t="s">
        <v>217</v>
      </c>
      <c r="AZ540" s="14" t="s">
        <v>217</v>
      </c>
      <c r="BA540" s="14" t="s">
        <v>166</v>
      </c>
      <c r="BB540" s="21" t="s">
        <v>166</v>
      </c>
      <c r="BC540" s="14" t="s">
        <v>179</v>
      </c>
      <c r="BD540" s="14" t="s">
        <v>10484</v>
      </c>
      <c r="BE540" s="14" t="s">
        <v>189</v>
      </c>
      <c r="BF540" s="18">
        <v>0.1</v>
      </c>
      <c r="BG540" s="14" t="s">
        <v>190</v>
      </c>
      <c r="BH540" s="14" t="s">
        <v>166</v>
      </c>
      <c r="BI540" s="14" t="s">
        <v>166</v>
      </c>
      <c r="BJ540" s="18" t="s">
        <v>166</v>
      </c>
      <c r="BK540" s="18" t="s">
        <v>166</v>
      </c>
      <c r="BL540" s="14" t="s">
        <v>191</v>
      </c>
      <c r="BM540" s="14" t="s">
        <v>178</v>
      </c>
      <c r="BN540" s="14" t="s">
        <v>177</v>
      </c>
      <c r="BO540" s="22" t="s">
        <v>166</v>
      </c>
      <c r="BP540" s="14" t="s">
        <v>10475</v>
      </c>
      <c r="BQ540" s="21">
        <v>3</v>
      </c>
      <c r="BR540" s="14" t="s">
        <v>166</v>
      </c>
      <c r="BS540" s="21" t="s">
        <v>166</v>
      </c>
      <c r="BT540" s="14" t="s">
        <v>166</v>
      </c>
      <c r="BU540" s="14" t="s">
        <v>166</v>
      </c>
      <c r="BV540" s="14" t="s">
        <v>166</v>
      </c>
      <c r="BW540" s="14" t="s">
        <v>166</v>
      </c>
      <c r="BX540" s="14" t="s">
        <v>166</v>
      </c>
      <c r="BY540" s="14" t="s">
        <v>166</v>
      </c>
      <c r="BZ540" s="14" t="s">
        <v>166</v>
      </c>
      <c r="CA540" s="14" t="s">
        <v>166</v>
      </c>
      <c r="CB540" s="14" t="s">
        <v>166</v>
      </c>
      <c r="CC540" s="14" t="s">
        <v>166</v>
      </c>
      <c r="CD540" s="14" t="s">
        <v>166</v>
      </c>
      <c r="CE540" s="18" t="s">
        <v>166</v>
      </c>
      <c r="CF540" s="16" t="s">
        <v>166</v>
      </c>
      <c r="CG540" s="17" t="s">
        <v>166</v>
      </c>
      <c r="CH540" s="16" t="s">
        <v>166</v>
      </c>
      <c r="CI540" s="16" t="s">
        <v>166</v>
      </c>
      <c r="CJ540" s="16" t="s">
        <v>166</v>
      </c>
      <c r="CK540" s="16" t="s">
        <v>166</v>
      </c>
      <c r="CL540" s="16" t="s">
        <v>166</v>
      </c>
      <c r="CM540" s="20" t="s">
        <v>166</v>
      </c>
      <c r="CN540" s="16" t="s">
        <v>166</v>
      </c>
      <c r="CO540" s="16" t="s">
        <v>166</v>
      </c>
      <c r="CP540" s="16" t="s">
        <v>166</v>
      </c>
      <c r="CQ540" s="16" t="s">
        <v>166</v>
      </c>
      <c r="CR540" s="16" t="s">
        <v>166</v>
      </c>
      <c r="CS540" s="16" t="s">
        <v>166</v>
      </c>
      <c r="CT540" s="16" t="s">
        <v>166</v>
      </c>
      <c r="CU540" s="16" t="s">
        <v>166</v>
      </c>
      <c r="CV540" s="16" t="s">
        <v>166</v>
      </c>
      <c r="CW540" s="16" t="s">
        <v>166</v>
      </c>
      <c r="CX540" s="16" t="s">
        <v>166</v>
      </c>
      <c r="CY540" s="16" t="s">
        <v>166</v>
      </c>
      <c r="CZ540" s="16" t="s">
        <v>166</v>
      </c>
      <c r="DA540" s="16" t="s">
        <v>166</v>
      </c>
      <c r="DB540" s="16" t="s">
        <v>166</v>
      </c>
      <c r="DC540" s="16" t="s">
        <v>166</v>
      </c>
      <c r="DD540" s="16" t="s">
        <v>166</v>
      </c>
      <c r="DE540" s="17" t="s">
        <v>166</v>
      </c>
      <c r="DF540" s="22">
        <v>5</v>
      </c>
      <c r="DG540" s="14" t="s">
        <v>309</v>
      </c>
      <c r="DH540" s="14" t="s">
        <v>193</v>
      </c>
      <c r="DI540" s="14" t="s">
        <v>194</v>
      </c>
      <c r="DJ540" s="14" t="s">
        <v>310</v>
      </c>
      <c r="DK540" s="14" t="s">
        <v>310</v>
      </c>
      <c r="DL540" s="21" t="s">
        <v>10485</v>
      </c>
      <c r="DM540" s="14" t="s">
        <v>198</v>
      </c>
      <c r="DN540" s="13" t="s">
        <v>10486</v>
      </c>
      <c r="DO540" s="20">
        <v>2020</v>
      </c>
      <c r="DP540" s="14" t="s">
        <v>166</v>
      </c>
      <c r="DQ540" s="14" t="s">
        <v>166</v>
      </c>
      <c r="DR540" s="18" t="s">
        <v>166</v>
      </c>
      <c r="DS540" s="16" t="s">
        <v>166</v>
      </c>
      <c r="DT540" s="19" t="s">
        <v>166</v>
      </c>
      <c r="DU540" s="14" t="s">
        <v>166</v>
      </c>
      <c r="DV540" s="18" t="s">
        <v>166</v>
      </c>
      <c r="DW540" s="18" t="s">
        <v>166</v>
      </c>
      <c r="DX540" s="16" t="s">
        <v>166</v>
      </c>
      <c r="DY540" s="16" t="s">
        <v>166</v>
      </c>
      <c r="DZ540" s="17" t="s">
        <v>166</v>
      </c>
      <c r="EA540" s="16" t="s">
        <v>166</v>
      </c>
      <c r="EB540" s="16" t="s">
        <v>166</v>
      </c>
      <c r="EC540" s="16" t="s">
        <v>166</v>
      </c>
      <c r="ED540" s="17" t="s">
        <v>166</v>
      </c>
      <c r="EE540" s="17" t="s">
        <v>166</v>
      </c>
      <c r="EF540" s="17" t="s">
        <v>166</v>
      </c>
      <c r="EG540" s="17" t="s">
        <v>166</v>
      </c>
      <c r="EH540" s="16" t="s">
        <v>166</v>
      </c>
      <c r="EI540" s="16" t="s">
        <v>166</v>
      </c>
      <c r="EJ540" s="16" t="s">
        <v>166</v>
      </c>
      <c r="EK540" s="16" t="s">
        <v>166</v>
      </c>
      <c r="EL540" s="16" t="s">
        <v>166</v>
      </c>
      <c r="EM540" s="16" t="s">
        <v>166</v>
      </c>
      <c r="EN540" s="16" t="s">
        <v>166</v>
      </c>
      <c r="EO540" s="16" t="s">
        <v>166</v>
      </c>
      <c r="EP540" s="16" t="s">
        <v>166</v>
      </c>
      <c r="EQ540" s="16" t="s">
        <v>166</v>
      </c>
      <c r="ER540" s="16" t="s">
        <v>166</v>
      </c>
      <c r="ES540" s="16" t="s">
        <v>166</v>
      </c>
      <c r="ET540" s="14" t="s">
        <v>166</v>
      </c>
      <c r="EU540" s="16" t="s">
        <v>166</v>
      </c>
      <c r="EV540" s="16" t="s">
        <v>166</v>
      </c>
      <c r="EW540" s="16" t="s">
        <v>166</v>
      </c>
      <c r="EX540" s="14" t="s">
        <v>190</v>
      </c>
      <c r="EY540" s="14" t="s">
        <v>166</v>
      </c>
      <c r="EZ540" s="16" t="s">
        <v>166</v>
      </c>
      <c r="FA540" s="15">
        <v>1</v>
      </c>
      <c r="FB540" s="15">
        <v>1</v>
      </c>
      <c r="FC540" s="15" t="s">
        <v>166</v>
      </c>
      <c r="FD540" s="15">
        <v>1</v>
      </c>
      <c r="FE540" s="15" t="s">
        <v>166</v>
      </c>
      <c r="FF540" s="15" t="s">
        <v>166</v>
      </c>
      <c r="FG540" s="14" t="s">
        <v>7389</v>
      </c>
      <c r="FH540" s="3">
        <f>HYPERLINK("https://my.pitchbook.com?c=180802-36T","View Company Online")</f>
      </c>
    </row>
    <row r="541">
      <c r="A541" s="25" t="s">
        <v>10487</v>
      </c>
      <c r="B541" s="25" t="s">
        <v>10488</v>
      </c>
      <c r="C541" s="25" t="s">
        <v>10489</v>
      </c>
      <c r="D541" s="25" t="s">
        <v>166</v>
      </c>
      <c r="E541" s="34" t="s">
        <v>5715</v>
      </c>
      <c r="F541" s="32">
        <v>1</v>
      </c>
      <c r="G541" s="25" t="s">
        <v>5716</v>
      </c>
      <c r="H541" s="25" t="s">
        <v>166</v>
      </c>
      <c r="I541" s="25" t="s">
        <v>10490</v>
      </c>
      <c r="J541" s="25" t="s">
        <v>10491</v>
      </c>
      <c r="K541" s="25" t="s">
        <v>171</v>
      </c>
      <c r="L541" s="25" t="s">
        <v>172</v>
      </c>
      <c r="M541" s="25" t="s">
        <v>173</v>
      </c>
      <c r="N541" s="25" t="s">
        <v>10492</v>
      </c>
      <c r="O541" s="25" t="s">
        <v>10493</v>
      </c>
      <c r="P541" s="25" t="s">
        <v>10494</v>
      </c>
      <c r="Q541" s="25" t="s">
        <v>166</v>
      </c>
      <c r="R541" s="25" t="s">
        <v>177</v>
      </c>
      <c r="S541" s="25" t="s">
        <v>178</v>
      </c>
      <c r="T541" s="25" t="s">
        <v>179</v>
      </c>
      <c r="U541" s="25" t="s">
        <v>10495</v>
      </c>
      <c r="V541" s="25" t="s">
        <v>10496</v>
      </c>
      <c r="W541" s="32" t="s">
        <v>10497</v>
      </c>
      <c r="X541" s="25" t="s">
        <v>10498</v>
      </c>
      <c r="Y541" s="25" t="s">
        <v>10499</v>
      </c>
      <c r="Z541" s="25" t="s">
        <v>10500</v>
      </c>
      <c r="AA541" s="25" t="s">
        <v>166</v>
      </c>
      <c r="AB541" s="25" t="s">
        <v>166</v>
      </c>
      <c r="AC541" s="25" t="s">
        <v>166</v>
      </c>
      <c r="AD541" s="25" t="s">
        <v>166</v>
      </c>
      <c r="AE541" s="25" t="s">
        <v>166</v>
      </c>
      <c r="AF541" s="25" t="s">
        <v>166</v>
      </c>
      <c r="AG541" s="25" t="s">
        <v>166</v>
      </c>
      <c r="AH541" s="32">
        <v>2</v>
      </c>
      <c r="AI541" s="4">
        <f>HYPERLINK("https://my.pitchbook.com/?d=185316-31T","185316-31T")</f>
      </c>
      <c r="AJ541" s="30" t="s">
        <v>166</v>
      </c>
      <c r="AK541" s="30">
        <v>44515</v>
      </c>
      <c r="AL541" s="29">
        <v>0.5</v>
      </c>
      <c r="AM541" s="25" t="s">
        <v>185</v>
      </c>
      <c r="AN541" s="29" t="s">
        <v>166</v>
      </c>
      <c r="AO541" s="29" t="s">
        <v>166</v>
      </c>
      <c r="AP541" s="25" t="s">
        <v>166</v>
      </c>
      <c r="AQ541" s="32" t="s">
        <v>166</v>
      </c>
      <c r="AR541" s="32" t="s">
        <v>166</v>
      </c>
      <c r="AS541" s="28" t="s">
        <v>166</v>
      </c>
      <c r="AT541" s="29">
        <v>0.52</v>
      </c>
      <c r="AU541" s="32" t="s">
        <v>186</v>
      </c>
      <c r="AV541" s="32" t="s">
        <v>166</v>
      </c>
      <c r="AW541" s="29" t="s">
        <v>166</v>
      </c>
      <c r="AX541" s="32" t="s">
        <v>166</v>
      </c>
      <c r="AY541" s="25" t="s">
        <v>217</v>
      </c>
      <c r="AZ541" s="25" t="s">
        <v>217</v>
      </c>
      <c r="BA541" s="25" t="s">
        <v>166</v>
      </c>
      <c r="BB541" s="32" t="s">
        <v>166</v>
      </c>
      <c r="BC541" s="25" t="s">
        <v>179</v>
      </c>
      <c r="BD541" s="25" t="s">
        <v>10491</v>
      </c>
      <c r="BE541" s="25" t="s">
        <v>189</v>
      </c>
      <c r="BF541" s="29">
        <v>0.15</v>
      </c>
      <c r="BG541" s="25" t="s">
        <v>190</v>
      </c>
      <c r="BH541" s="25" t="s">
        <v>166</v>
      </c>
      <c r="BI541" s="25" t="s">
        <v>166</v>
      </c>
      <c r="BJ541" s="29">
        <v>0.35</v>
      </c>
      <c r="BK541" s="29" t="s">
        <v>166</v>
      </c>
      <c r="BL541" s="25" t="s">
        <v>191</v>
      </c>
      <c r="BM541" s="25" t="s">
        <v>178</v>
      </c>
      <c r="BN541" s="25" t="s">
        <v>177</v>
      </c>
      <c r="BO541" s="33" t="s">
        <v>166</v>
      </c>
      <c r="BP541" s="25" t="s">
        <v>5715</v>
      </c>
      <c r="BQ541" s="32">
        <v>1</v>
      </c>
      <c r="BR541" s="25" t="s">
        <v>166</v>
      </c>
      <c r="BS541" s="32" t="s">
        <v>166</v>
      </c>
      <c r="BT541" s="25" t="s">
        <v>166</v>
      </c>
      <c r="BU541" s="25" t="s">
        <v>166</v>
      </c>
      <c r="BV541" s="25" t="s">
        <v>10501</v>
      </c>
      <c r="BW541" s="25" t="s">
        <v>166</v>
      </c>
      <c r="BX541" s="25" t="s">
        <v>166</v>
      </c>
      <c r="BY541" s="25" t="s">
        <v>166</v>
      </c>
      <c r="BZ541" s="25" t="s">
        <v>166</v>
      </c>
      <c r="CA541" s="25" t="s">
        <v>166</v>
      </c>
      <c r="CB541" s="25" t="s">
        <v>166</v>
      </c>
      <c r="CC541" s="25" t="s">
        <v>166</v>
      </c>
      <c r="CD541" s="25" t="s">
        <v>166</v>
      </c>
      <c r="CE541" s="29" t="s">
        <v>166</v>
      </c>
      <c r="CF541" s="27" t="s">
        <v>166</v>
      </c>
      <c r="CG541" s="28" t="s">
        <v>166</v>
      </c>
      <c r="CH541" s="27" t="s">
        <v>166</v>
      </c>
      <c r="CI541" s="27" t="s">
        <v>166</v>
      </c>
      <c r="CJ541" s="27" t="s">
        <v>166</v>
      </c>
      <c r="CK541" s="27" t="s">
        <v>166</v>
      </c>
      <c r="CL541" s="27" t="s">
        <v>166</v>
      </c>
      <c r="CM541" s="31" t="s">
        <v>166</v>
      </c>
      <c r="CN541" s="27" t="s">
        <v>166</v>
      </c>
      <c r="CO541" s="27" t="s">
        <v>166</v>
      </c>
      <c r="CP541" s="27" t="s">
        <v>166</v>
      </c>
      <c r="CQ541" s="27" t="s">
        <v>166</v>
      </c>
      <c r="CR541" s="27" t="s">
        <v>166</v>
      </c>
      <c r="CS541" s="27" t="s">
        <v>166</v>
      </c>
      <c r="CT541" s="27" t="s">
        <v>166</v>
      </c>
      <c r="CU541" s="27" t="s">
        <v>166</v>
      </c>
      <c r="CV541" s="27" t="s">
        <v>166</v>
      </c>
      <c r="CW541" s="27" t="s">
        <v>166</v>
      </c>
      <c r="CX541" s="27" t="s">
        <v>166</v>
      </c>
      <c r="CY541" s="27">
        <v>2.33</v>
      </c>
      <c r="CZ541" s="27" t="s">
        <v>166</v>
      </c>
      <c r="DA541" s="27" t="s">
        <v>166</v>
      </c>
      <c r="DB541" s="27" t="s">
        <v>166</v>
      </c>
      <c r="DC541" s="27" t="s">
        <v>166</v>
      </c>
      <c r="DD541" s="27" t="s">
        <v>166</v>
      </c>
      <c r="DE541" s="28" t="s">
        <v>166</v>
      </c>
      <c r="DF541" s="33">
        <v>7</v>
      </c>
      <c r="DG541" s="25" t="s">
        <v>10502</v>
      </c>
      <c r="DH541" s="25" t="s">
        <v>193</v>
      </c>
      <c r="DI541" s="25" t="s">
        <v>194</v>
      </c>
      <c r="DJ541" s="25" t="s">
        <v>10503</v>
      </c>
      <c r="DK541" s="25" t="s">
        <v>10504</v>
      </c>
      <c r="DL541" s="32" t="s">
        <v>10505</v>
      </c>
      <c r="DM541" s="25" t="s">
        <v>198</v>
      </c>
      <c r="DN541" s="24" t="s">
        <v>10506</v>
      </c>
      <c r="DO541" s="31">
        <v>2018</v>
      </c>
      <c r="DP541" s="25" t="s">
        <v>166</v>
      </c>
      <c r="DQ541" s="25" t="s">
        <v>10507</v>
      </c>
      <c r="DR541" s="29">
        <v>0.35</v>
      </c>
      <c r="DS541" s="27" t="s">
        <v>166</v>
      </c>
      <c r="DT541" s="30" t="s">
        <v>166</v>
      </c>
      <c r="DU541" s="25" t="s">
        <v>166</v>
      </c>
      <c r="DV541" s="29" t="s">
        <v>166</v>
      </c>
      <c r="DW541" s="29" t="s">
        <v>166</v>
      </c>
      <c r="DX541" s="27" t="s">
        <v>166</v>
      </c>
      <c r="DY541" s="27" t="s">
        <v>166</v>
      </c>
      <c r="DZ541" s="28" t="s">
        <v>166</v>
      </c>
      <c r="EA541" s="27" t="s">
        <v>166</v>
      </c>
      <c r="EB541" s="27" t="s">
        <v>166</v>
      </c>
      <c r="EC541" s="27" t="s">
        <v>166</v>
      </c>
      <c r="ED541" s="28" t="s">
        <v>166</v>
      </c>
      <c r="EE541" s="28" t="s">
        <v>166</v>
      </c>
      <c r="EF541" s="28" t="s">
        <v>166</v>
      </c>
      <c r="EG541" s="28" t="s">
        <v>166</v>
      </c>
      <c r="EH541" s="27" t="s">
        <v>166</v>
      </c>
      <c r="EI541" s="27" t="s">
        <v>166</v>
      </c>
      <c r="EJ541" s="27" t="s">
        <v>166</v>
      </c>
      <c r="EK541" s="27" t="s">
        <v>166</v>
      </c>
      <c r="EL541" s="27" t="s">
        <v>166</v>
      </c>
      <c r="EM541" s="27" t="s">
        <v>166</v>
      </c>
      <c r="EN541" s="27" t="s">
        <v>166</v>
      </c>
      <c r="EO541" s="27" t="s">
        <v>166</v>
      </c>
      <c r="EP541" s="27" t="s">
        <v>166</v>
      </c>
      <c r="EQ541" s="27" t="s">
        <v>166</v>
      </c>
      <c r="ER541" s="27" t="s">
        <v>166</v>
      </c>
      <c r="ES541" s="27" t="s">
        <v>166</v>
      </c>
      <c r="ET541" s="25" t="s">
        <v>166</v>
      </c>
      <c r="EU541" s="27" t="s">
        <v>166</v>
      </c>
      <c r="EV541" s="27" t="s">
        <v>166</v>
      </c>
      <c r="EW541" s="27" t="s">
        <v>166</v>
      </c>
      <c r="EX541" s="25" t="s">
        <v>190</v>
      </c>
      <c r="EY541" s="25" t="s">
        <v>190</v>
      </c>
      <c r="EZ541" s="27" t="s">
        <v>166</v>
      </c>
      <c r="FA541" s="26" t="s">
        <v>166</v>
      </c>
      <c r="FB541" s="26" t="s">
        <v>166</v>
      </c>
      <c r="FC541" s="26" t="s">
        <v>166</v>
      </c>
      <c r="FD541" s="26" t="s">
        <v>166</v>
      </c>
      <c r="FE541" s="26" t="s">
        <v>166</v>
      </c>
      <c r="FF541" s="26" t="s">
        <v>166</v>
      </c>
      <c r="FG541" s="25" t="s">
        <v>166</v>
      </c>
      <c r="FH541" s="4">
        <f>HYPERLINK("https://my.pitchbook.com?c=185316-31T","View Company Online")</f>
      </c>
    </row>
    <row r="542">
      <c r="A542" s="14" t="s">
        <v>10508</v>
      </c>
      <c r="B542" s="14" t="s">
        <v>10509</v>
      </c>
      <c r="C542" s="14" t="s">
        <v>10510</v>
      </c>
      <c r="D542" s="14" t="s">
        <v>166</v>
      </c>
      <c r="E542" s="23" t="s">
        <v>10511</v>
      </c>
      <c r="F542" s="21">
        <v>10</v>
      </c>
      <c r="G542" s="14" t="s">
        <v>10512</v>
      </c>
      <c r="H542" s="14" t="s">
        <v>166</v>
      </c>
      <c r="I542" s="14" t="s">
        <v>10513</v>
      </c>
      <c r="J542" s="14" t="s">
        <v>10514</v>
      </c>
      <c r="K542" s="14" t="s">
        <v>207</v>
      </c>
      <c r="L542" s="14" t="s">
        <v>208</v>
      </c>
      <c r="M542" s="14" t="s">
        <v>639</v>
      </c>
      <c r="N542" s="14" t="s">
        <v>10515</v>
      </c>
      <c r="O542" s="14" t="s">
        <v>10516</v>
      </c>
      <c r="P542" s="14" t="s">
        <v>10517</v>
      </c>
      <c r="Q542" s="14" t="s">
        <v>166</v>
      </c>
      <c r="R542" s="14" t="s">
        <v>177</v>
      </c>
      <c r="S542" s="14" t="s">
        <v>178</v>
      </c>
      <c r="T542" s="14" t="s">
        <v>179</v>
      </c>
      <c r="U542" s="14" t="s">
        <v>10518</v>
      </c>
      <c r="V542" s="14" t="s">
        <v>10519</v>
      </c>
      <c r="W542" s="21" t="s">
        <v>166</v>
      </c>
      <c r="X542" s="14" t="s">
        <v>10520</v>
      </c>
      <c r="Y542" s="14" t="s">
        <v>10521</v>
      </c>
      <c r="Z542" s="14" t="s">
        <v>10522</v>
      </c>
      <c r="AA542" s="14" t="s">
        <v>166</v>
      </c>
      <c r="AB542" s="14" t="s">
        <v>166</v>
      </c>
      <c r="AC542" s="14" t="s">
        <v>166</v>
      </c>
      <c r="AD542" s="14" t="s">
        <v>166</v>
      </c>
      <c r="AE542" s="14" t="s">
        <v>166</v>
      </c>
      <c r="AF542" s="14" t="s">
        <v>166</v>
      </c>
      <c r="AG542" s="14" t="s">
        <v>166</v>
      </c>
      <c r="AH542" s="21">
        <v>6</v>
      </c>
      <c r="AI542" s="3">
        <f>HYPERLINK("https://my.pitchbook.com/?d=171652-33T","171652-33T")</f>
      </c>
      <c r="AJ542" s="19" t="s">
        <v>166</v>
      </c>
      <c r="AK542" s="19">
        <v>44321</v>
      </c>
      <c r="AL542" s="18">
        <v>1.1</v>
      </c>
      <c r="AM542" s="14" t="s">
        <v>185</v>
      </c>
      <c r="AN542" s="18" t="s">
        <v>166</v>
      </c>
      <c r="AO542" s="18" t="s">
        <v>166</v>
      </c>
      <c r="AP542" s="14" t="s">
        <v>166</v>
      </c>
      <c r="AQ542" s="21" t="s">
        <v>166</v>
      </c>
      <c r="AR542" s="21" t="s">
        <v>166</v>
      </c>
      <c r="AS542" s="17" t="s">
        <v>166</v>
      </c>
      <c r="AT542" s="18">
        <v>1.46</v>
      </c>
      <c r="AU542" s="21" t="s">
        <v>186</v>
      </c>
      <c r="AV542" s="21" t="s">
        <v>166</v>
      </c>
      <c r="AW542" s="18" t="s">
        <v>166</v>
      </c>
      <c r="AX542" s="21" t="s">
        <v>166</v>
      </c>
      <c r="AY542" s="14" t="s">
        <v>217</v>
      </c>
      <c r="AZ542" s="14" t="s">
        <v>217</v>
      </c>
      <c r="BA542" s="14" t="s">
        <v>166</v>
      </c>
      <c r="BB542" s="21" t="s">
        <v>166</v>
      </c>
      <c r="BC542" s="14" t="s">
        <v>179</v>
      </c>
      <c r="BD542" s="14" t="s">
        <v>10523</v>
      </c>
      <c r="BE542" s="14" t="s">
        <v>189</v>
      </c>
      <c r="BF542" s="18">
        <v>1.1</v>
      </c>
      <c r="BG542" s="14" t="s">
        <v>190</v>
      </c>
      <c r="BH542" s="14" t="s">
        <v>166</v>
      </c>
      <c r="BI542" s="14" t="s">
        <v>166</v>
      </c>
      <c r="BJ542" s="18" t="s">
        <v>166</v>
      </c>
      <c r="BK542" s="18" t="s">
        <v>166</v>
      </c>
      <c r="BL542" s="14" t="s">
        <v>191</v>
      </c>
      <c r="BM542" s="14" t="s">
        <v>178</v>
      </c>
      <c r="BN542" s="14" t="s">
        <v>177</v>
      </c>
      <c r="BO542" s="22" t="s">
        <v>166</v>
      </c>
      <c r="BP542" s="14" t="s">
        <v>10524</v>
      </c>
      <c r="BQ542" s="21">
        <v>10</v>
      </c>
      <c r="BR542" s="14" t="s">
        <v>166</v>
      </c>
      <c r="BS542" s="21" t="s">
        <v>166</v>
      </c>
      <c r="BT542" s="14" t="s">
        <v>10525</v>
      </c>
      <c r="BU542" s="14" t="s">
        <v>166</v>
      </c>
      <c r="BV542" s="14" t="s">
        <v>10526</v>
      </c>
      <c r="BW542" s="14" t="s">
        <v>166</v>
      </c>
      <c r="BX542" s="14" t="s">
        <v>166</v>
      </c>
      <c r="BY542" s="14" t="s">
        <v>166</v>
      </c>
      <c r="BZ542" s="14" t="s">
        <v>166</v>
      </c>
      <c r="CA542" s="14" t="s">
        <v>166</v>
      </c>
      <c r="CB542" s="14" t="s">
        <v>166</v>
      </c>
      <c r="CC542" s="14" t="s">
        <v>166</v>
      </c>
      <c r="CD542" s="14" t="s">
        <v>166</v>
      </c>
      <c r="CE542" s="18" t="s">
        <v>166</v>
      </c>
      <c r="CF542" s="16" t="s">
        <v>166</v>
      </c>
      <c r="CG542" s="17" t="s">
        <v>166</v>
      </c>
      <c r="CH542" s="16" t="s">
        <v>166</v>
      </c>
      <c r="CI542" s="16">
        <v>-0.02</v>
      </c>
      <c r="CJ542" s="16" t="s">
        <v>166</v>
      </c>
      <c r="CK542" s="16" t="s">
        <v>166</v>
      </c>
      <c r="CL542" s="16" t="s">
        <v>166</v>
      </c>
      <c r="CM542" s="20">
        <v>2020</v>
      </c>
      <c r="CN542" s="16" t="s">
        <v>166</v>
      </c>
      <c r="CO542" s="16" t="s">
        <v>166</v>
      </c>
      <c r="CP542" s="16" t="s">
        <v>166</v>
      </c>
      <c r="CQ542" s="16" t="s">
        <v>166</v>
      </c>
      <c r="CR542" s="16" t="s">
        <v>166</v>
      </c>
      <c r="CS542" s="16" t="s">
        <v>166</v>
      </c>
      <c r="CT542" s="16" t="s">
        <v>166</v>
      </c>
      <c r="CU542" s="16">
        <v>-64.38</v>
      </c>
      <c r="CV542" s="16" t="s">
        <v>166</v>
      </c>
      <c r="CW542" s="16" t="s">
        <v>166</v>
      </c>
      <c r="CX542" s="16" t="s">
        <v>166</v>
      </c>
      <c r="CY542" s="16" t="s">
        <v>166</v>
      </c>
      <c r="CZ542" s="16" t="s">
        <v>166</v>
      </c>
      <c r="DA542" s="16" t="s">
        <v>166</v>
      </c>
      <c r="DB542" s="16" t="s">
        <v>166</v>
      </c>
      <c r="DC542" s="16" t="s">
        <v>166</v>
      </c>
      <c r="DD542" s="16" t="s">
        <v>166</v>
      </c>
      <c r="DE542" s="17" t="s">
        <v>166</v>
      </c>
      <c r="DF542" s="22">
        <v>6</v>
      </c>
      <c r="DG542" s="14" t="s">
        <v>673</v>
      </c>
      <c r="DH542" s="14" t="s">
        <v>193</v>
      </c>
      <c r="DI542" s="14" t="s">
        <v>194</v>
      </c>
      <c r="DJ542" s="14" t="s">
        <v>674</v>
      </c>
      <c r="DK542" s="14" t="s">
        <v>257</v>
      </c>
      <c r="DL542" s="21" t="s">
        <v>1866</v>
      </c>
      <c r="DM542" s="14" t="s">
        <v>198</v>
      </c>
      <c r="DN542" s="13" t="s">
        <v>10527</v>
      </c>
      <c r="DO542" s="20">
        <v>2016</v>
      </c>
      <c r="DP542" s="14" t="s">
        <v>166</v>
      </c>
      <c r="DQ542" s="14" t="s">
        <v>166</v>
      </c>
      <c r="DR542" s="18" t="s">
        <v>166</v>
      </c>
      <c r="DS542" s="16" t="s">
        <v>166</v>
      </c>
      <c r="DT542" s="19" t="s">
        <v>166</v>
      </c>
      <c r="DU542" s="14" t="s">
        <v>166</v>
      </c>
      <c r="DV542" s="18" t="s">
        <v>166</v>
      </c>
      <c r="DW542" s="18" t="s">
        <v>166</v>
      </c>
      <c r="DX542" s="16" t="s">
        <v>166</v>
      </c>
      <c r="DY542" s="16" t="s">
        <v>166</v>
      </c>
      <c r="DZ542" s="17" t="s">
        <v>166</v>
      </c>
      <c r="EA542" s="16" t="s">
        <v>166</v>
      </c>
      <c r="EB542" s="16" t="s">
        <v>166</v>
      </c>
      <c r="EC542" s="16" t="s">
        <v>166</v>
      </c>
      <c r="ED542" s="17" t="s">
        <v>166</v>
      </c>
      <c r="EE542" s="17" t="s">
        <v>166</v>
      </c>
      <c r="EF542" s="17" t="s">
        <v>166</v>
      </c>
      <c r="EG542" s="17" t="s">
        <v>166</v>
      </c>
      <c r="EH542" s="16" t="s">
        <v>166</v>
      </c>
      <c r="EI542" s="16" t="s">
        <v>166</v>
      </c>
      <c r="EJ542" s="16" t="s">
        <v>166</v>
      </c>
      <c r="EK542" s="16" t="s">
        <v>166</v>
      </c>
      <c r="EL542" s="16" t="s">
        <v>166</v>
      </c>
      <c r="EM542" s="16" t="s">
        <v>166</v>
      </c>
      <c r="EN542" s="16" t="s">
        <v>166</v>
      </c>
      <c r="EO542" s="16" t="s">
        <v>166</v>
      </c>
      <c r="EP542" s="16" t="s">
        <v>166</v>
      </c>
      <c r="EQ542" s="16" t="s">
        <v>166</v>
      </c>
      <c r="ER542" s="16" t="s">
        <v>166</v>
      </c>
      <c r="ES542" s="16" t="s">
        <v>166</v>
      </c>
      <c r="ET542" s="14" t="s">
        <v>166</v>
      </c>
      <c r="EU542" s="16" t="s">
        <v>166</v>
      </c>
      <c r="EV542" s="16" t="s">
        <v>166</v>
      </c>
      <c r="EW542" s="16" t="s">
        <v>166</v>
      </c>
      <c r="EX542" s="14" t="s">
        <v>190</v>
      </c>
      <c r="EY542" s="14" t="s">
        <v>166</v>
      </c>
      <c r="EZ542" s="16" t="s">
        <v>166</v>
      </c>
      <c r="FA542" s="15" t="s">
        <v>166</v>
      </c>
      <c r="FB542" s="15" t="s">
        <v>166</v>
      </c>
      <c r="FC542" s="15" t="s">
        <v>166</v>
      </c>
      <c r="FD542" s="15" t="s">
        <v>166</v>
      </c>
      <c r="FE542" s="15" t="s">
        <v>166</v>
      </c>
      <c r="FF542" s="15" t="s">
        <v>166</v>
      </c>
      <c r="FG542" s="14" t="s">
        <v>166</v>
      </c>
      <c r="FH542" s="3">
        <f>HYPERLINK("https://my.pitchbook.com?c=171652-33T","View Company Online")</f>
      </c>
    </row>
    <row r="543">
      <c r="A543" s="25" t="s">
        <v>10528</v>
      </c>
      <c r="B543" s="25" t="s">
        <v>10529</v>
      </c>
      <c r="C543" s="25" t="s">
        <v>10530</v>
      </c>
      <c r="D543" s="25" t="s">
        <v>166</v>
      </c>
      <c r="E543" s="34" t="s">
        <v>10531</v>
      </c>
      <c r="F543" s="32">
        <v>10</v>
      </c>
      <c r="G543" s="25" t="s">
        <v>10532</v>
      </c>
      <c r="H543" s="25" t="s">
        <v>166</v>
      </c>
      <c r="I543" s="25" t="s">
        <v>10533</v>
      </c>
      <c r="J543" s="25" t="s">
        <v>10534</v>
      </c>
      <c r="K543" s="25" t="s">
        <v>171</v>
      </c>
      <c r="L543" s="25" t="s">
        <v>172</v>
      </c>
      <c r="M543" s="25" t="s">
        <v>1033</v>
      </c>
      <c r="N543" s="25" t="s">
        <v>10535</v>
      </c>
      <c r="O543" s="25" t="s">
        <v>2702</v>
      </c>
      <c r="P543" s="25" t="s">
        <v>10536</v>
      </c>
      <c r="Q543" s="25" t="s">
        <v>166</v>
      </c>
      <c r="R543" s="25" t="s">
        <v>177</v>
      </c>
      <c r="S543" s="25" t="s">
        <v>178</v>
      </c>
      <c r="T543" s="25" t="s">
        <v>179</v>
      </c>
      <c r="U543" s="25" t="s">
        <v>10537</v>
      </c>
      <c r="V543" s="25" t="s">
        <v>10538</v>
      </c>
      <c r="W543" s="32" t="s">
        <v>166</v>
      </c>
      <c r="X543" s="25" t="s">
        <v>10539</v>
      </c>
      <c r="Y543" s="25" t="s">
        <v>10540</v>
      </c>
      <c r="Z543" s="25" t="s">
        <v>166</v>
      </c>
      <c r="AA543" s="25" t="s">
        <v>242</v>
      </c>
      <c r="AB543" s="25" t="s">
        <v>243</v>
      </c>
      <c r="AC543" s="25" t="s">
        <v>244</v>
      </c>
      <c r="AD543" s="25" t="s">
        <v>243</v>
      </c>
      <c r="AE543" s="25" t="s">
        <v>243</v>
      </c>
      <c r="AF543" s="25" t="s">
        <v>166</v>
      </c>
      <c r="AG543" s="25" t="s">
        <v>246</v>
      </c>
      <c r="AH543" s="32">
        <v>1</v>
      </c>
      <c r="AI543" s="4">
        <f>HYPERLINK("https://my.pitchbook.com/?d=164831-95T","164831-95T")</f>
      </c>
      <c r="AJ543" s="30" t="s">
        <v>166</v>
      </c>
      <c r="AK543" s="30">
        <v>44134</v>
      </c>
      <c r="AL543" s="29">
        <v>2</v>
      </c>
      <c r="AM543" s="25" t="s">
        <v>247</v>
      </c>
      <c r="AN543" s="29">
        <v>3</v>
      </c>
      <c r="AO543" s="29">
        <v>5</v>
      </c>
      <c r="AP543" s="25" t="s">
        <v>185</v>
      </c>
      <c r="AQ543" s="32" t="s">
        <v>166</v>
      </c>
      <c r="AR543" s="32" t="s">
        <v>166</v>
      </c>
      <c r="AS543" s="28">
        <v>40</v>
      </c>
      <c r="AT543" s="29">
        <v>2</v>
      </c>
      <c r="AU543" s="32" t="s">
        <v>186</v>
      </c>
      <c r="AV543" s="32" t="s">
        <v>166</v>
      </c>
      <c r="AW543" s="29">
        <v>0.66</v>
      </c>
      <c r="AX543" s="32" t="s">
        <v>166</v>
      </c>
      <c r="AY543" s="25" t="s">
        <v>217</v>
      </c>
      <c r="AZ543" s="25" t="s">
        <v>217</v>
      </c>
      <c r="BA543" s="25" t="s">
        <v>166</v>
      </c>
      <c r="BB543" s="32" t="s">
        <v>166</v>
      </c>
      <c r="BC543" s="25" t="s">
        <v>179</v>
      </c>
      <c r="BD543" s="25" t="s">
        <v>10541</v>
      </c>
      <c r="BE543" s="25" t="s">
        <v>189</v>
      </c>
      <c r="BF543" s="29">
        <v>2</v>
      </c>
      <c r="BG543" s="25" t="s">
        <v>190</v>
      </c>
      <c r="BH543" s="25" t="s">
        <v>166</v>
      </c>
      <c r="BI543" s="25" t="s">
        <v>166</v>
      </c>
      <c r="BJ543" s="29" t="s">
        <v>166</v>
      </c>
      <c r="BK543" s="29" t="s">
        <v>166</v>
      </c>
      <c r="BL543" s="25" t="s">
        <v>191</v>
      </c>
      <c r="BM543" s="25" t="s">
        <v>178</v>
      </c>
      <c r="BN543" s="25" t="s">
        <v>177</v>
      </c>
      <c r="BO543" s="33" t="s">
        <v>166</v>
      </c>
      <c r="BP543" s="25" t="s">
        <v>10542</v>
      </c>
      <c r="BQ543" s="32">
        <v>10</v>
      </c>
      <c r="BR543" s="25" t="s">
        <v>166</v>
      </c>
      <c r="BS543" s="32" t="s">
        <v>166</v>
      </c>
      <c r="BT543" s="25" t="s">
        <v>166</v>
      </c>
      <c r="BU543" s="25" t="s">
        <v>166</v>
      </c>
      <c r="BV543" s="25" t="s">
        <v>10543</v>
      </c>
      <c r="BW543" s="25" t="s">
        <v>166</v>
      </c>
      <c r="BX543" s="25" t="s">
        <v>166</v>
      </c>
      <c r="BY543" s="25" t="s">
        <v>166</v>
      </c>
      <c r="BZ543" s="25" t="s">
        <v>166</v>
      </c>
      <c r="CA543" s="25" t="s">
        <v>166</v>
      </c>
      <c r="CB543" s="25" t="s">
        <v>166</v>
      </c>
      <c r="CC543" s="25" t="s">
        <v>166</v>
      </c>
      <c r="CD543" s="25" t="s">
        <v>166</v>
      </c>
      <c r="CE543" s="29" t="s">
        <v>166</v>
      </c>
      <c r="CF543" s="27" t="s">
        <v>166</v>
      </c>
      <c r="CG543" s="28" t="s">
        <v>166</v>
      </c>
      <c r="CH543" s="27" t="s">
        <v>166</v>
      </c>
      <c r="CI543" s="27" t="s">
        <v>166</v>
      </c>
      <c r="CJ543" s="27" t="s">
        <v>166</v>
      </c>
      <c r="CK543" s="27" t="s">
        <v>166</v>
      </c>
      <c r="CL543" s="27" t="s">
        <v>166</v>
      </c>
      <c r="CM543" s="31" t="s">
        <v>166</v>
      </c>
      <c r="CN543" s="27" t="s">
        <v>166</v>
      </c>
      <c r="CO543" s="27" t="s">
        <v>166</v>
      </c>
      <c r="CP543" s="27" t="s">
        <v>166</v>
      </c>
      <c r="CQ543" s="27" t="s">
        <v>166</v>
      </c>
      <c r="CR543" s="27" t="s">
        <v>166</v>
      </c>
      <c r="CS543" s="27" t="s">
        <v>166</v>
      </c>
      <c r="CT543" s="27" t="s">
        <v>166</v>
      </c>
      <c r="CU543" s="27" t="s">
        <v>166</v>
      </c>
      <c r="CV543" s="27" t="s">
        <v>166</v>
      </c>
      <c r="CW543" s="27" t="s">
        <v>166</v>
      </c>
      <c r="CX543" s="27" t="s">
        <v>166</v>
      </c>
      <c r="CY543" s="27" t="s">
        <v>166</v>
      </c>
      <c r="CZ543" s="27" t="s">
        <v>166</v>
      </c>
      <c r="DA543" s="27" t="s">
        <v>166</v>
      </c>
      <c r="DB543" s="27" t="s">
        <v>166</v>
      </c>
      <c r="DC543" s="27" t="s">
        <v>166</v>
      </c>
      <c r="DD543" s="27" t="s">
        <v>166</v>
      </c>
      <c r="DE543" s="28" t="s">
        <v>166</v>
      </c>
      <c r="DF543" s="33">
        <v>57</v>
      </c>
      <c r="DG543" s="25" t="s">
        <v>309</v>
      </c>
      <c r="DH543" s="25" t="s">
        <v>193</v>
      </c>
      <c r="DI543" s="25" t="s">
        <v>194</v>
      </c>
      <c r="DJ543" s="25" t="s">
        <v>310</v>
      </c>
      <c r="DK543" s="25" t="s">
        <v>310</v>
      </c>
      <c r="DL543" s="32" t="s">
        <v>166</v>
      </c>
      <c r="DM543" s="25" t="s">
        <v>198</v>
      </c>
      <c r="DN543" s="24" t="s">
        <v>10544</v>
      </c>
      <c r="DO543" s="31">
        <v>2019</v>
      </c>
      <c r="DP543" s="25" t="s">
        <v>166</v>
      </c>
      <c r="DQ543" s="25" t="s">
        <v>166</v>
      </c>
      <c r="DR543" s="29" t="s">
        <v>166</v>
      </c>
      <c r="DS543" s="27" t="s">
        <v>166</v>
      </c>
      <c r="DT543" s="30" t="s">
        <v>166</v>
      </c>
      <c r="DU543" s="25" t="s">
        <v>166</v>
      </c>
      <c r="DV543" s="29" t="s">
        <v>166</v>
      </c>
      <c r="DW543" s="29" t="s">
        <v>166</v>
      </c>
      <c r="DX543" s="27" t="s">
        <v>166</v>
      </c>
      <c r="DY543" s="27" t="s">
        <v>166</v>
      </c>
      <c r="DZ543" s="28" t="s">
        <v>166</v>
      </c>
      <c r="EA543" s="27" t="s">
        <v>166</v>
      </c>
      <c r="EB543" s="27" t="s">
        <v>166</v>
      </c>
      <c r="EC543" s="27" t="s">
        <v>166</v>
      </c>
      <c r="ED543" s="28" t="s">
        <v>166</v>
      </c>
      <c r="EE543" s="28" t="s">
        <v>166</v>
      </c>
      <c r="EF543" s="28" t="s">
        <v>166</v>
      </c>
      <c r="EG543" s="28" t="s">
        <v>166</v>
      </c>
      <c r="EH543" s="27" t="s">
        <v>166</v>
      </c>
      <c r="EI543" s="27" t="s">
        <v>166</v>
      </c>
      <c r="EJ543" s="27" t="s">
        <v>166</v>
      </c>
      <c r="EK543" s="27" t="s">
        <v>166</v>
      </c>
      <c r="EL543" s="27" t="s">
        <v>166</v>
      </c>
      <c r="EM543" s="27" t="s">
        <v>166</v>
      </c>
      <c r="EN543" s="27" t="s">
        <v>166</v>
      </c>
      <c r="EO543" s="27" t="s">
        <v>166</v>
      </c>
      <c r="EP543" s="27" t="s">
        <v>166</v>
      </c>
      <c r="EQ543" s="27" t="s">
        <v>166</v>
      </c>
      <c r="ER543" s="27" t="s">
        <v>166</v>
      </c>
      <c r="ES543" s="27" t="s">
        <v>166</v>
      </c>
      <c r="ET543" s="25" t="s">
        <v>166</v>
      </c>
      <c r="EU543" s="27" t="s">
        <v>166</v>
      </c>
      <c r="EV543" s="27" t="s">
        <v>166</v>
      </c>
      <c r="EW543" s="27" t="s">
        <v>166</v>
      </c>
      <c r="EX543" s="25" t="s">
        <v>190</v>
      </c>
      <c r="EY543" s="25" t="s">
        <v>166</v>
      </c>
      <c r="EZ543" s="27" t="s">
        <v>166</v>
      </c>
      <c r="FA543" s="26" t="s">
        <v>166</v>
      </c>
      <c r="FB543" s="26" t="s">
        <v>166</v>
      </c>
      <c r="FC543" s="26" t="s">
        <v>166</v>
      </c>
      <c r="FD543" s="26" t="s">
        <v>166</v>
      </c>
      <c r="FE543" s="26" t="s">
        <v>166</v>
      </c>
      <c r="FF543" s="26" t="s">
        <v>166</v>
      </c>
      <c r="FG543" s="25" t="s">
        <v>166</v>
      </c>
      <c r="FH543" s="4">
        <f>HYPERLINK("https://my.pitchbook.com?c=164831-95T","View Company Online")</f>
      </c>
    </row>
    <row r="544">
      <c r="A544" s="14" t="s">
        <v>10545</v>
      </c>
      <c r="B544" s="14" t="s">
        <v>10546</v>
      </c>
      <c r="C544" s="14" t="s">
        <v>10547</v>
      </c>
      <c r="D544" s="14" t="s">
        <v>166</v>
      </c>
      <c r="E544" s="23" t="s">
        <v>10548</v>
      </c>
      <c r="F544" s="21">
        <v>5</v>
      </c>
      <c r="G544" s="14" t="s">
        <v>10549</v>
      </c>
      <c r="H544" s="14" t="s">
        <v>166</v>
      </c>
      <c r="I544" s="14" t="s">
        <v>10550</v>
      </c>
      <c r="J544" s="14" t="s">
        <v>10551</v>
      </c>
      <c r="K544" s="14" t="s">
        <v>207</v>
      </c>
      <c r="L544" s="14" t="s">
        <v>208</v>
      </c>
      <c r="M544" s="14" t="s">
        <v>209</v>
      </c>
      <c r="N544" s="14" t="s">
        <v>10552</v>
      </c>
      <c r="O544" s="14" t="s">
        <v>7769</v>
      </c>
      <c r="P544" s="14" t="s">
        <v>10553</v>
      </c>
      <c r="Q544" s="14" t="s">
        <v>166</v>
      </c>
      <c r="R544" s="14" t="s">
        <v>177</v>
      </c>
      <c r="S544" s="14" t="s">
        <v>178</v>
      </c>
      <c r="T544" s="14" t="s">
        <v>179</v>
      </c>
      <c r="U544" s="14" t="s">
        <v>10554</v>
      </c>
      <c r="V544" s="14" t="s">
        <v>10555</v>
      </c>
      <c r="W544" s="21" t="s">
        <v>166</v>
      </c>
      <c r="X544" s="14" t="s">
        <v>166</v>
      </c>
      <c r="Y544" s="14" t="s">
        <v>10556</v>
      </c>
      <c r="Z544" s="14" t="s">
        <v>166</v>
      </c>
      <c r="AA544" s="14" t="s">
        <v>166</v>
      </c>
      <c r="AB544" s="14" t="s">
        <v>166</v>
      </c>
      <c r="AC544" s="14" t="s">
        <v>166</v>
      </c>
      <c r="AD544" s="14" t="s">
        <v>166</v>
      </c>
      <c r="AE544" s="14" t="s">
        <v>166</v>
      </c>
      <c r="AF544" s="14" t="s">
        <v>166</v>
      </c>
      <c r="AG544" s="14" t="s">
        <v>166</v>
      </c>
      <c r="AH544" s="21">
        <v>3</v>
      </c>
      <c r="AI544" s="3">
        <f>HYPERLINK("https://my.pitchbook.com/?d=214167-97T","214167-97T")</f>
      </c>
      <c r="AJ544" s="19" t="s">
        <v>166</v>
      </c>
      <c r="AK544" s="19">
        <v>44595</v>
      </c>
      <c r="AL544" s="18">
        <v>1.25</v>
      </c>
      <c r="AM544" s="14" t="s">
        <v>185</v>
      </c>
      <c r="AN544" s="18" t="s">
        <v>166</v>
      </c>
      <c r="AO544" s="18" t="s">
        <v>166</v>
      </c>
      <c r="AP544" s="14" t="s">
        <v>166</v>
      </c>
      <c r="AQ544" s="21" t="s">
        <v>166</v>
      </c>
      <c r="AR544" s="21" t="s">
        <v>166</v>
      </c>
      <c r="AS544" s="17" t="s">
        <v>166</v>
      </c>
      <c r="AT544" s="18">
        <v>3.75</v>
      </c>
      <c r="AU544" s="21" t="s">
        <v>186</v>
      </c>
      <c r="AV544" s="21" t="s">
        <v>166</v>
      </c>
      <c r="AW544" s="18" t="s">
        <v>166</v>
      </c>
      <c r="AX544" s="21" t="s">
        <v>166</v>
      </c>
      <c r="AY544" s="14" t="s">
        <v>217</v>
      </c>
      <c r="AZ544" s="14" t="s">
        <v>217</v>
      </c>
      <c r="BA544" s="14" t="s">
        <v>166</v>
      </c>
      <c r="BB544" s="21" t="s">
        <v>166</v>
      </c>
      <c r="BC544" s="14" t="s">
        <v>179</v>
      </c>
      <c r="BD544" s="14" t="s">
        <v>10557</v>
      </c>
      <c r="BE544" s="14" t="s">
        <v>189</v>
      </c>
      <c r="BF544" s="18">
        <v>1.25</v>
      </c>
      <c r="BG544" s="14" t="s">
        <v>190</v>
      </c>
      <c r="BH544" s="14" t="s">
        <v>166</v>
      </c>
      <c r="BI544" s="14" t="s">
        <v>166</v>
      </c>
      <c r="BJ544" s="18" t="s">
        <v>166</v>
      </c>
      <c r="BK544" s="18" t="s">
        <v>166</v>
      </c>
      <c r="BL544" s="14" t="s">
        <v>191</v>
      </c>
      <c r="BM544" s="14" t="s">
        <v>178</v>
      </c>
      <c r="BN544" s="14" t="s">
        <v>177</v>
      </c>
      <c r="BO544" s="22" t="s">
        <v>166</v>
      </c>
      <c r="BP544" s="14" t="s">
        <v>10558</v>
      </c>
      <c r="BQ544" s="21">
        <v>5</v>
      </c>
      <c r="BR544" s="14" t="s">
        <v>166</v>
      </c>
      <c r="BS544" s="21" t="s">
        <v>166</v>
      </c>
      <c r="BT544" s="14" t="s">
        <v>10559</v>
      </c>
      <c r="BU544" s="14" t="s">
        <v>166</v>
      </c>
      <c r="BV544" s="14" t="s">
        <v>10560</v>
      </c>
      <c r="BW544" s="14" t="s">
        <v>166</v>
      </c>
      <c r="BX544" s="14" t="s">
        <v>166</v>
      </c>
      <c r="BY544" s="14" t="s">
        <v>166</v>
      </c>
      <c r="BZ544" s="14" t="s">
        <v>166</v>
      </c>
      <c r="CA544" s="14" t="s">
        <v>166</v>
      </c>
      <c r="CB544" s="14" t="s">
        <v>166</v>
      </c>
      <c r="CC544" s="14" t="s">
        <v>166</v>
      </c>
      <c r="CD544" s="14" t="s">
        <v>166</v>
      </c>
      <c r="CE544" s="18" t="s">
        <v>166</v>
      </c>
      <c r="CF544" s="16" t="s">
        <v>166</v>
      </c>
      <c r="CG544" s="17" t="s">
        <v>166</v>
      </c>
      <c r="CH544" s="16" t="s">
        <v>166</v>
      </c>
      <c r="CI544" s="16" t="s">
        <v>166</v>
      </c>
      <c r="CJ544" s="16" t="s">
        <v>166</v>
      </c>
      <c r="CK544" s="16" t="s">
        <v>166</v>
      </c>
      <c r="CL544" s="16" t="s">
        <v>166</v>
      </c>
      <c r="CM544" s="20" t="s">
        <v>166</v>
      </c>
      <c r="CN544" s="16" t="s">
        <v>166</v>
      </c>
      <c r="CO544" s="16" t="s">
        <v>166</v>
      </c>
      <c r="CP544" s="16" t="s">
        <v>166</v>
      </c>
      <c r="CQ544" s="16" t="s">
        <v>166</v>
      </c>
      <c r="CR544" s="16" t="s">
        <v>166</v>
      </c>
      <c r="CS544" s="16" t="s">
        <v>166</v>
      </c>
      <c r="CT544" s="16" t="s">
        <v>166</v>
      </c>
      <c r="CU544" s="16" t="s">
        <v>166</v>
      </c>
      <c r="CV544" s="16" t="s">
        <v>166</v>
      </c>
      <c r="CW544" s="16" t="s">
        <v>166</v>
      </c>
      <c r="CX544" s="16" t="s">
        <v>166</v>
      </c>
      <c r="CY544" s="16" t="s">
        <v>166</v>
      </c>
      <c r="CZ544" s="16" t="s">
        <v>166</v>
      </c>
      <c r="DA544" s="16" t="s">
        <v>166</v>
      </c>
      <c r="DB544" s="16" t="s">
        <v>166</v>
      </c>
      <c r="DC544" s="16" t="s">
        <v>166</v>
      </c>
      <c r="DD544" s="16" t="s">
        <v>166</v>
      </c>
      <c r="DE544" s="17" t="s">
        <v>166</v>
      </c>
      <c r="DF544" s="22">
        <v>21</v>
      </c>
      <c r="DG544" s="14" t="s">
        <v>10561</v>
      </c>
      <c r="DH544" s="14" t="s">
        <v>193</v>
      </c>
      <c r="DI544" s="14" t="s">
        <v>194</v>
      </c>
      <c r="DJ544" s="14" t="s">
        <v>10562</v>
      </c>
      <c r="DK544" s="14" t="s">
        <v>8633</v>
      </c>
      <c r="DL544" s="21" t="s">
        <v>10563</v>
      </c>
      <c r="DM544" s="14" t="s">
        <v>198</v>
      </c>
      <c r="DN544" s="13" t="s">
        <v>10564</v>
      </c>
      <c r="DO544" s="20">
        <v>2018</v>
      </c>
      <c r="DP544" s="14" t="s">
        <v>166</v>
      </c>
      <c r="DQ544" s="14" t="s">
        <v>166</v>
      </c>
      <c r="DR544" s="18" t="s">
        <v>166</v>
      </c>
      <c r="DS544" s="16" t="s">
        <v>166</v>
      </c>
      <c r="DT544" s="19" t="s">
        <v>166</v>
      </c>
      <c r="DU544" s="14" t="s">
        <v>166</v>
      </c>
      <c r="DV544" s="18" t="s">
        <v>166</v>
      </c>
      <c r="DW544" s="18" t="s">
        <v>166</v>
      </c>
      <c r="DX544" s="16" t="s">
        <v>166</v>
      </c>
      <c r="DY544" s="16" t="s">
        <v>166</v>
      </c>
      <c r="DZ544" s="17" t="s">
        <v>166</v>
      </c>
      <c r="EA544" s="16" t="s">
        <v>166</v>
      </c>
      <c r="EB544" s="16" t="s">
        <v>166</v>
      </c>
      <c r="EC544" s="16" t="s">
        <v>166</v>
      </c>
      <c r="ED544" s="17" t="s">
        <v>166</v>
      </c>
      <c r="EE544" s="17" t="s">
        <v>166</v>
      </c>
      <c r="EF544" s="17" t="s">
        <v>166</v>
      </c>
      <c r="EG544" s="17" t="s">
        <v>166</v>
      </c>
      <c r="EH544" s="16" t="s">
        <v>166</v>
      </c>
      <c r="EI544" s="16" t="s">
        <v>166</v>
      </c>
      <c r="EJ544" s="16" t="s">
        <v>166</v>
      </c>
      <c r="EK544" s="16" t="s">
        <v>166</v>
      </c>
      <c r="EL544" s="16" t="s">
        <v>166</v>
      </c>
      <c r="EM544" s="16" t="s">
        <v>166</v>
      </c>
      <c r="EN544" s="16" t="s">
        <v>166</v>
      </c>
      <c r="EO544" s="16" t="s">
        <v>166</v>
      </c>
      <c r="EP544" s="16" t="s">
        <v>166</v>
      </c>
      <c r="EQ544" s="16" t="s">
        <v>166</v>
      </c>
      <c r="ER544" s="16" t="s">
        <v>166</v>
      </c>
      <c r="ES544" s="16" t="s">
        <v>166</v>
      </c>
      <c r="ET544" s="14" t="s">
        <v>166</v>
      </c>
      <c r="EU544" s="16" t="s">
        <v>166</v>
      </c>
      <c r="EV544" s="16" t="s">
        <v>166</v>
      </c>
      <c r="EW544" s="16" t="s">
        <v>166</v>
      </c>
      <c r="EX544" s="14" t="s">
        <v>190</v>
      </c>
      <c r="EY544" s="14" t="s">
        <v>166</v>
      </c>
      <c r="EZ544" s="16" t="s">
        <v>166</v>
      </c>
      <c r="FA544" s="15" t="s">
        <v>166</v>
      </c>
      <c r="FB544" s="15" t="s">
        <v>166</v>
      </c>
      <c r="FC544" s="15" t="s">
        <v>166</v>
      </c>
      <c r="FD544" s="15" t="s">
        <v>166</v>
      </c>
      <c r="FE544" s="15" t="s">
        <v>166</v>
      </c>
      <c r="FF544" s="15" t="s">
        <v>166</v>
      </c>
      <c r="FG544" s="14" t="s">
        <v>166</v>
      </c>
      <c r="FH544" s="3">
        <f>HYPERLINK("https://my.pitchbook.com?c=214167-97T","View Company Online")</f>
      </c>
    </row>
    <row r="545">
      <c r="A545" s="25" t="s">
        <v>10565</v>
      </c>
      <c r="B545" s="25" t="s">
        <v>10566</v>
      </c>
      <c r="C545" s="25" t="s">
        <v>10567</v>
      </c>
      <c r="D545" s="25" t="s">
        <v>166</v>
      </c>
      <c r="E545" s="34" t="s">
        <v>10568</v>
      </c>
      <c r="F545" s="32">
        <v>5</v>
      </c>
      <c r="G545" s="25" t="s">
        <v>10569</v>
      </c>
      <c r="H545" s="25" t="s">
        <v>166</v>
      </c>
      <c r="I545" s="25" t="s">
        <v>10570</v>
      </c>
      <c r="J545" s="25" t="s">
        <v>10571</v>
      </c>
      <c r="K545" s="25" t="s">
        <v>1455</v>
      </c>
      <c r="L545" s="25" t="s">
        <v>1984</v>
      </c>
      <c r="M545" s="25" t="s">
        <v>2112</v>
      </c>
      <c r="N545" s="25" t="s">
        <v>3046</v>
      </c>
      <c r="O545" s="25" t="s">
        <v>10572</v>
      </c>
      <c r="P545" s="25" t="s">
        <v>10573</v>
      </c>
      <c r="Q545" s="25" t="s">
        <v>166</v>
      </c>
      <c r="R545" s="25" t="s">
        <v>177</v>
      </c>
      <c r="S545" s="25" t="s">
        <v>178</v>
      </c>
      <c r="T545" s="25" t="s">
        <v>179</v>
      </c>
      <c r="U545" s="25" t="s">
        <v>10574</v>
      </c>
      <c r="V545" s="25" t="s">
        <v>10575</v>
      </c>
      <c r="W545" s="32" t="s">
        <v>10576</v>
      </c>
      <c r="X545" s="25" t="s">
        <v>10577</v>
      </c>
      <c r="Y545" s="25" t="s">
        <v>10578</v>
      </c>
      <c r="Z545" s="25" t="s">
        <v>166</v>
      </c>
      <c r="AA545" s="25" t="s">
        <v>166</v>
      </c>
      <c r="AB545" s="25" t="s">
        <v>166</v>
      </c>
      <c r="AC545" s="25" t="s">
        <v>166</v>
      </c>
      <c r="AD545" s="25" t="s">
        <v>166</v>
      </c>
      <c r="AE545" s="25" t="s">
        <v>166</v>
      </c>
      <c r="AF545" s="25" t="s">
        <v>166</v>
      </c>
      <c r="AG545" s="25" t="s">
        <v>166</v>
      </c>
      <c r="AH545" s="32">
        <v>6</v>
      </c>
      <c r="AI545" s="4">
        <f>HYPERLINK("https://my.pitchbook.com/?d=122924-71T","122924-71T")</f>
      </c>
      <c r="AJ545" s="30" t="s">
        <v>166</v>
      </c>
      <c r="AK545" s="30">
        <v>43857</v>
      </c>
      <c r="AL545" s="29">
        <v>0.5</v>
      </c>
      <c r="AM545" s="25" t="s">
        <v>185</v>
      </c>
      <c r="AN545" s="29" t="s">
        <v>166</v>
      </c>
      <c r="AO545" s="29" t="s">
        <v>166</v>
      </c>
      <c r="AP545" s="25" t="s">
        <v>166</v>
      </c>
      <c r="AQ545" s="32" t="s">
        <v>166</v>
      </c>
      <c r="AR545" s="32" t="s">
        <v>166</v>
      </c>
      <c r="AS545" s="28" t="s">
        <v>166</v>
      </c>
      <c r="AT545" s="29">
        <v>0.6</v>
      </c>
      <c r="AU545" s="32" t="s">
        <v>186</v>
      </c>
      <c r="AV545" s="32" t="s">
        <v>166</v>
      </c>
      <c r="AW545" s="29" t="s">
        <v>166</v>
      </c>
      <c r="AX545" s="32" t="s">
        <v>166</v>
      </c>
      <c r="AY545" s="25" t="s">
        <v>249</v>
      </c>
      <c r="AZ545" s="25" t="s">
        <v>166</v>
      </c>
      <c r="BA545" s="25" t="s">
        <v>166</v>
      </c>
      <c r="BB545" s="32" t="s">
        <v>166</v>
      </c>
      <c r="BC545" s="25" t="s">
        <v>179</v>
      </c>
      <c r="BD545" s="25" t="s">
        <v>10579</v>
      </c>
      <c r="BE545" s="25" t="s">
        <v>189</v>
      </c>
      <c r="BF545" s="29">
        <v>0.5</v>
      </c>
      <c r="BG545" s="25" t="s">
        <v>190</v>
      </c>
      <c r="BH545" s="25" t="s">
        <v>166</v>
      </c>
      <c r="BI545" s="25" t="s">
        <v>166</v>
      </c>
      <c r="BJ545" s="29" t="s">
        <v>166</v>
      </c>
      <c r="BK545" s="29" t="s">
        <v>166</v>
      </c>
      <c r="BL545" s="25" t="s">
        <v>191</v>
      </c>
      <c r="BM545" s="25" t="s">
        <v>178</v>
      </c>
      <c r="BN545" s="25" t="s">
        <v>177</v>
      </c>
      <c r="BO545" s="33">
        <v>12</v>
      </c>
      <c r="BP545" s="25" t="s">
        <v>10580</v>
      </c>
      <c r="BQ545" s="32">
        <v>2</v>
      </c>
      <c r="BR545" s="25" t="s">
        <v>10581</v>
      </c>
      <c r="BS545" s="32">
        <v>3</v>
      </c>
      <c r="BT545" s="25" t="s">
        <v>10582</v>
      </c>
      <c r="BU545" s="25" t="s">
        <v>166</v>
      </c>
      <c r="BV545" s="25" t="s">
        <v>10583</v>
      </c>
      <c r="BW545" s="25" t="s">
        <v>166</v>
      </c>
      <c r="BX545" s="25" t="s">
        <v>166</v>
      </c>
      <c r="BY545" s="25" t="s">
        <v>166</v>
      </c>
      <c r="BZ545" s="25" t="s">
        <v>166</v>
      </c>
      <c r="CA545" s="25" t="s">
        <v>166</v>
      </c>
      <c r="CB545" s="25" t="s">
        <v>166</v>
      </c>
      <c r="CC545" s="25" t="s">
        <v>166</v>
      </c>
      <c r="CD545" s="25" t="s">
        <v>166</v>
      </c>
      <c r="CE545" s="29" t="s">
        <v>166</v>
      </c>
      <c r="CF545" s="27" t="s">
        <v>166</v>
      </c>
      <c r="CG545" s="28" t="s">
        <v>166</v>
      </c>
      <c r="CH545" s="27" t="s">
        <v>166</v>
      </c>
      <c r="CI545" s="27" t="s">
        <v>166</v>
      </c>
      <c r="CJ545" s="27" t="s">
        <v>166</v>
      </c>
      <c r="CK545" s="27" t="s">
        <v>166</v>
      </c>
      <c r="CL545" s="27" t="s">
        <v>166</v>
      </c>
      <c r="CM545" s="31" t="s">
        <v>166</v>
      </c>
      <c r="CN545" s="27" t="s">
        <v>166</v>
      </c>
      <c r="CO545" s="27" t="s">
        <v>166</v>
      </c>
      <c r="CP545" s="27" t="s">
        <v>166</v>
      </c>
      <c r="CQ545" s="27" t="s">
        <v>166</v>
      </c>
      <c r="CR545" s="27" t="s">
        <v>166</v>
      </c>
      <c r="CS545" s="27" t="s">
        <v>166</v>
      </c>
      <c r="CT545" s="27" t="s">
        <v>166</v>
      </c>
      <c r="CU545" s="27" t="s">
        <v>166</v>
      </c>
      <c r="CV545" s="27" t="s">
        <v>166</v>
      </c>
      <c r="CW545" s="27" t="s">
        <v>166</v>
      </c>
      <c r="CX545" s="27" t="s">
        <v>166</v>
      </c>
      <c r="CY545" s="27" t="s">
        <v>166</v>
      </c>
      <c r="CZ545" s="27" t="s">
        <v>166</v>
      </c>
      <c r="DA545" s="27" t="s">
        <v>166</v>
      </c>
      <c r="DB545" s="27" t="s">
        <v>166</v>
      </c>
      <c r="DC545" s="27" t="s">
        <v>166</v>
      </c>
      <c r="DD545" s="27" t="s">
        <v>166</v>
      </c>
      <c r="DE545" s="28" t="s">
        <v>166</v>
      </c>
      <c r="DF545" s="33">
        <v>25</v>
      </c>
      <c r="DG545" s="25" t="s">
        <v>673</v>
      </c>
      <c r="DH545" s="25" t="s">
        <v>193</v>
      </c>
      <c r="DI545" s="25" t="s">
        <v>194</v>
      </c>
      <c r="DJ545" s="25" t="s">
        <v>674</v>
      </c>
      <c r="DK545" s="25" t="s">
        <v>257</v>
      </c>
      <c r="DL545" s="32" t="s">
        <v>1491</v>
      </c>
      <c r="DM545" s="25" t="s">
        <v>198</v>
      </c>
      <c r="DN545" s="24" t="s">
        <v>10584</v>
      </c>
      <c r="DO545" s="31">
        <v>2015</v>
      </c>
      <c r="DP545" s="25" t="s">
        <v>166</v>
      </c>
      <c r="DQ545" s="25" t="s">
        <v>166</v>
      </c>
      <c r="DR545" s="29" t="s">
        <v>166</v>
      </c>
      <c r="DS545" s="27" t="s">
        <v>166</v>
      </c>
      <c r="DT545" s="30" t="s">
        <v>166</v>
      </c>
      <c r="DU545" s="25" t="s">
        <v>166</v>
      </c>
      <c r="DV545" s="29" t="s">
        <v>166</v>
      </c>
      <c r="DW545" s="29" t="s">
        <v>166</v>
      </c>
      <c r="DX545" s="27" t="s">
        <v>166</v>
      </c>
      <c r="DY545" s="27" t="s">
        <v>166</v>
      </c>
      <c r="DZ545" s="28" t="s">
        <v>166</v>
      </c>
      <c r="EA545" s="27" t="s">
        <v>166</v>
      </c>
      <c r="EB545" s="27" t="s">
        <v>166</v>
      </c>
      <c r="EC545" s="27" t="s">
        <v>166</v>
      </c>
      <c r="ED545" s="28" t="s">
        <v>166</v>
      </c>
      <c r="EE545" s="28" t="s">
        <v>166</v>
      </c>
      <c r="EF545" s="28" t="s">
        <v>166</v>
      </c>
      <c r="EG545" s="28" t="s">
        <v>166</v>
      </c>
      <c r="EH545" s="27" t="s">
        <v>166</v>
      </c>
      <c r="EI545" s="27" t="s">
        <v>166</v>
      </c>
      <c r="EJ545" s="27" t="s">
        <v>166</v>
      </c>
      <c r="EK545" s="27" t="s">
        <v>166</v>
      </c>
      <c r="EL545" s="27" t="s">
        <v>166</v>
      </c>
      <c r="EM545" s="27" t="s">
        <v>166</v>
      </c>
      <c r="EN545" s="27" t="s">
        <v>166</v>
      </c>
      <c r="EO545" s="27" t="s">
        <v>166</v>
      </c>
      <c r="EP545" s="27" t="s">
        <v>166</v>
      </c>
      <c r="EQ545" s="27" t="s">
        <v>166</v>
      </c>
      <c r="ER545" s="27" t="s">
        <v>166</v>
      </c>
      <c r="ES545" s="27" t="s">
        <v>166</v>
      </c>
      <c r="ET545" s="25" t="s">
        <v>166</v>
      </c>
      <c r="EU545" s="27" t="s">
        <v>166</v>
      </c>
      <c r="EV545" s="27" t="s">
        <v>166</v>
      </c>
      <c r="EW545" s="27" t="s">
        <v>166</v>
      </c>
      <c r="EX545" s="25" t="s">
        <v>190</v>
      </c>
      <c r="EY545" s="25" t="s">
        <v>166</v>
      </c>
      <c r="EZ545" s="27" t="s">
        <v>166</v>
      </c>
      <c r="FA545" s="26" t="s">
        <v>166</v>
      </c>
      <c r="FB545" s="26" t="s">
        <v>166</v>
      </c>
      <c r="FC545" s="26" t="s">
        <v>166</v>
      </c>
      <c r="FD545" s="26" t="s">
        <v>166</v>
      </c>
      <c r="FE545" s="26" t="s">
        <v>166</v>
      </c>
      <c r="FF545" s="26" t="s">
        <v>166</v>
      </c>
      <c r="FG545" s="25" t="s">
        <v>166</v>
      </c>
      <c r="FH545" s="4">
        <f>HYPERLINK("https://my.pitchbook.com?c=122924-71T","View Company Online")</f>
      </c>
    </row>
    <row r="546">
      <c r="A546" s="14" t="s">
        <v>10585</v>
      </c>
      <c r="B546" s="14" t="s">
        <v>10586</v>
      </c>
      <c r="C546" s="14" t="s">
        <v>10587</v>
      </c>
      <c r="D546" s="14" t="s">
        <v>166</v>
      </c>
      <c r="E546" s="23" t="s">
        <v>10588</v>
      </c>
      <c r="F546" s="21">
        <v>6</v>
      </c>
      <c r="G546" s="14" t="s">
        <v>10589</v>
      </c>
      <c r="H546" s="14" t="s">
        <v>166</v>
      </c>
      <c r="I546" s="14" t="s">
        <v>10590</v>
      </c>
      <c r="J546" s="14" t="s">
        <v>10591</v>
      </c>
      <c r="K546" s="14" t="s">
        <v>207</v>
      </c>
      <c r="L546" s="14" t="s">
        <v>208</v>
      </c>
      <c r="M546" s="14" t="s">
        <v>209</v>
      </c>
      <c r="N546" s="14" t="s">
        <v>3407</v>
      </c>
      <c r="O546" s="14" t="s">
        <v>10592</v>
      </c>
      <c r="P546" s="14" t="s">
        <v>10593</v>
      </c>
      <c r="Q546" s="14" t="s">
        <v>166</v>
      </c>
      <c r="R546" s="14" t="s">
        <v>177</v>
      </c>
      <c r="S546" s="14" t="s">
        <v>178</v>
      </c>
      <c r="T546" s="14" t="s">
        <v>179</v>
      </c>
      <c r="U546" s="14" t="s">
        <v>10594</v>
      </c>
      <c r="V546" s="14" t="s">
        <v>10595</v>
      </c>
      <c r="W546" s="21" t="s">
        <v>166</v>
      </c>
      <c r="X546" s="14" t="s">
        <v>10596</v>
      </c>
      <c r="Y546" s="14" t="s">
        <v>10597</v>
      </c>
      <c r="Z546" s="14" t="s">
        <v>166</v>
      </c>
      <c r="AA546" s="14" t="s">
        <v>242</v>
      </c>
      <c r="AB546" s="14" t="s">
        <v>243</v>
      </c>
      <c r="AC546" s="14" t="s">
        <v>244</v>
      </c>
      <c r="AD546" s="14" t="s">
        <v>243</v>
      </c>
      <c r="AE546" s="14" t="s">
        <v>243</v>
      </c>
      <c r="AF546" s="14" t="s">
        <v>245</v>
      </c>
      <c r="AG546" s="14" t="s">
        <v>246</v>
      </c>
      <c r="AH546" s="21">
        <v>2</v>
      </c>
      <c r="AI546" s="3">
        <f>HYPERLINK("https://my.pitchbook.com/?d=172240-12T","172240-12T")</f>
      </c>
      <c r="AJ546" s="19" t="s">
        <v>166</v>
      </c>
      <c r="AK546" s="19">
        <v>44333</v>
      </c>
      <c r="AL546" s="18">
        <v>4.5</v>
      </c>
      <c r="AM546" s="14" t="s">
        <v>185</v>
      </c>
      <c r="AN546" s="18">
        <v>10</v>
      </c>
      <c r="AO546" s="18">
        <v>14.5</v>
      </c>
      <c r="AP546" s="14" t="s">
        <v>185</v>
      </c>
      <c r="AQ546" s="21" t="s">
        <v>166</v>
      </c>
      <c r="AR546" s="21" t="s">
        <v>166</v>
      </c>
      <c r="AS546" s="17">
        <v>31.03</v>
      </c>
      <c r="AT546" s="18">
        <v>4.5</v>
      </c>
      <c r="AU546" s="21" t="s">
        <v>186</v>
      </c>
      <c r="AV546" s="21" t="s">
        <v>166</v>
      </c>
      <c r="AW546" s="18">
        <v>1.3</v>
      </c>
      <c r="AX546" s="21" t="s">
        <v>166</v>
      </c>
      <c r="AY546" s="14" t="s">
        <v>217</v>
      </c>
      <c r="AZ546" s="14" t="s">
        <v>217</v>
      </c>
      <c r="BA546" s="14" t="s">
        <v>166</v>
      </c>
      <c r="BB546" s="21" t="s">
        <v>166</v>
      </c>
      <c r="BC546" s="14" t="s">
        <v>179</v>
      </c>
      <c r="BD546" s="14" t="s">
        <v>10598</v>
      </c>
      <c r="BE546" s="14" t="s">
        <v>189</v>
      </c>
      <c r="BF546" s="18">
        <v>4.5</v>
      </c>
      <c r="BG546" s="14" t="s">
        <v>190</v>
      </c>
      <c r="BH546" s="14" t="s">
        <v>166</v>
      </c>
      <c r="BI546" s="14" t="s">
        <v>166</v>
      </c>
      <c r="BJ546" s="18" t="s">
        <v>166</v>
      </c>
      <c r="BK546" s="18" t="s">
        <v>166</v>
      </c>
      <c r="BL546" s="14" t="s">
        <v>191</v>
      </c>
      <c r="BM546" s="14" t="s">
        <v>178</v>
      </c>
      <c r="BN546" s="14" t="s">
        <v>177</v>
      </c>
      <c r="BO546" s="22" t="s">
        <v>166</v>
      </c>
      <c r="BP546" s="14" t="s">
        <v>10599</v>
      </c>
      <c r="BQ546" s="21">
        <v>6</v>
      </c>
      <c r="BR546" s="14" t="s">
        <v>166</v>
      </c>
      <c r="BS546" s="21" t="s">
        <v>166</v>
      </c>
      <c r="BT546" s="14" t="s">
        <v>10600</v>
      </c>
      <c r="BU546" s="14" t="s">
        <v>166</v>
      </c>
      <c r="BV546" s="14" t="s">
        <v>10601</v>
      </c>
      <c r="BW546" s="14" t="s">
        <v>166</v>
      </c>
      <c r="BX546" s="14" t="s">
        <v>166</v>
      </c>
      <c r="BY546" s="14" t="s">
        <v>166</v>
      </c>
      <c r="BZ546" s="14" t="s">
        <v>166</v>
      </c>
      <c r="CA546" s="14" t="s">
        <v>166</v>
      </c>
      <c r="CB546" s="14" t="s">
        <v>166</v>
      </c>
      <c r="CC546" s="14" t="s">
        <v>166</v>
      </c>
      <c r="CD546" s="14" t="s">
        <v>166</v>
      </c>
      <c r="CE546" s="18" t="s">
        <v>166</v>
      </c>
      <c r="CF546" s="16" t="s">
        <v>166</v>
      </c>
      <c r="CG546" s="17" t="s">
        <v>166</v>
      </c>
      <c r="CH546" s="16" t="s">
        <v>166</v>
      </c>
      <c r="CI546" s="16" t="s">
        <v>166</v>
      </c>
      <c r="CJ546" s="16" t="s">
        <v>166</v>
      </c>
      <c r="CK546" s="16" t="s">
        <v>166</v>
      </c>
      <c r="CL546" s="16" t="s">
        <v>166</v>
      </c>
      <c r="CM546" s="20" t="s">
        <v>166</v>
      </c>
      <c r="CN546" s="16" t="s">
        <v>166</v>
      </c>
      <c r="CO546" s="16" t="s">
        <v>166</v>
      </c>
      <c r="CP546" s="16" t="s">
        <v>166</v>
      </c>
      <c r="CQ546" s="16" t="s">
        <v>166</v>
      </c>
      <c r="CR546" s="16" t="s">
        <v>166</v>
      </c>
      <c r="CS546" s="16" t="s">
        <v>166</v>
      </c>
      <c r="CT546" s="16" t="s">
        <v>166</v>
      </c>
      <c r="CU546" s="16" t="s">
        <v>166</v>
      </c>
      <c r="CV546" s="16" t="s">
        <v>166</v>
      </c>
      <c r="CW546" s="16" t="s">
        <v>166</v>
      </c>
      <c r="CX546" s="16" t="s">
        <v>166</v>
      </c>
      <c r="CY546" s="16" t="s">
        <v>166</v>
      </c>
      <c r="CZ546" s="16" t="s">
        <v>166</v>
      </c>
      <c r="DA546" s="16" t="s">
        <v>166</v>
      </c>
      <c r="DB546" s="16" t="s">
        <v>166</v>
      </c>
      <c r="DC546" s="16" t="s">
        <v>166</v>
      </c>
      <c r="DD546" s="16" t="s">
        <v>166</v>
      </c>
      <c r="DE546" s="17" t="s">
        <v>166</v>
      </c>
      <c r="DF546" s="22">
        <v>118</v>
      </c>
      <c r="DG546" s="14" t="s">
        <v>673</v>
      </c>
      <c r="DH546" s="14" t="s">
        <v>193</v>
      </c>
      <c r="DI546" s="14" t="s">
        <v>194</v>
      </c>
      <c r="DJ546" s="14" t="s">
        <v>674</v>
      </c>
      <c r="DK546" s="14" t="s">
        <v>257</v>
      </c>
      <c r="DL546" s="21" t="s">
        <v>8507</v>
      </c>
      <c r="DM546" s="14" t="s">
        <v>198</v>
      </c>
      <c r="DN546" s="13" t="s">
        <v>10602</v>
      </c>
      <c r="DO546" s="20">
        <v>2020</v>
      </c>
      <c r="DP546" s="14" t="s">
        <v>166</v>
      </c>
      <c r="DQ546" s="14" t="s">
        <v>166</v>
      </c>
      <c r="DR546" s="18" t="s">
        <v>166</v>
      </c>
      <c r="DS546" s="16" t="s">
        <v>166</v>
      </c>
      <c r="DT546" s="19" t="s">
        <v>166</v>
      </c>
      <c r="DU546" s="14" t="s">
        <v>166</v>
      </c>
      <c r="DV546" s="18" t="s">
        <v>166</v>
      </c>
      <c r="DW546" s="18" t="s">
        <v>166</v>
      </c>
      <c r="DX546" s="16" t="s">
        <v>166</v>
      </c>
      <c r="DY546" s="16" t="s">
        <v>166</v>
      </c>
      <c r="DZ546" s="17" t="s">
        <v>166</v>
      </c>
      <c r="EA546" s="16" t="s">
        <v>166</v>
      </c>
      <c r="EB546" s="16" t="s">
        <v>166</v>
      </c>
      <c r="EC546" s="16" t="s">
        <v>166</v>
      </c>
      <c r="ED546" s="17" t="s">
        <v>166</v>
      </c>
      <c r="EE546" s="17" t="s">
        <v>166</v>
      </c>
      <c r="EF546" s="17" t="s">
        <v>166</v>
      </c>
      <c r="EG546" s="17" t="s">
        <v>166</v>
      </c>
      <c r="EH546" s="16" t="s">
        <v>166</v>
      </c>
      <c r="EI546" s="16" t="s">
        <v>166</v>
      </c>
      <c r="EJ546" s="16" t="s">
        <v>166</v>
      </c>
      <c r="EK546" s="16" t="s">
        <v>166</v>
      </c>
      <c r="EL546" s="16" t="s">
        <v>166</v>
      </c>
      <c r="EM546" s="16" t="s">
        <v>166</v>
      </c>
      <c r="EN546" s="16" t="s">
        <v>166</v>
      </c>
      <c r="EO546" s="16" t="s">
        <v>166</v>
      </c>
      <c r="EP546" s="16" t="s">
        <v>166</v>
      </c>
      <c r="EQ546" s="16" t="s">
        <v>166</v>
      </c>
      <c r="ER546" s="16" t="s">
        <v>166</v>
      </c>
      <c r="ES546" s="16" t="s">
        <v>166</v>
      </c>
      <c r="ET546" s="14" t="s">
        <v>166</v>
      </c>
      <c r="EU546" s="16" t="s">
        <v>166</v>
      </c>
      <c r="EV546" s="16" t="s">
        <v>166</v>
      </c>
      <c r="EW546" s="16" t="s">
        <v>166</v>
      </c>
      <c r="EX546" s="14" t="s">
        <v>190</v>
      </c>
      <c r="EY546" s="14" t="s">
        <v>166</v>
      </c>
      <c r="EZ546" s="16" t="s">
        <v>166</v>
      </c>
      <c r="FA546" s="15" t="s">
        <v>166</v>
      </c>
      <c r="FB546" s="15" t="s">
        <v>166</v>
      </c>
      <c r="FC546" s="15" t="s">
        <v>166</v>
      </c>
      <c r="FD546" s="15" t="s">
        <v>166</v>
      </c>
      <c r="FE546" s="15" t="s">
        <v>166</v>
      </c>
      <c r="FF546" s="15" t="s">
        <v>166</v>
      </c>
      <c r="FG546" s="14" t="s">
        <v>166</v>
      </c>
      <c r="FH546" s="3">
        <f>HYPERLINK("https://my.pitchbook.com?c=172240-12T","View Company Online")</f>
      </c>
    </row>
    <row r="547">
      <c r="A547" s="25" t="s">
        <v>10603</v>
      </c>
      <c r="B547" s="25" t="s">
        <v>10604</v>
      </c>
      <c r="C547" s="25" t="s">
        <v>10605</v>
      </c>
      <c r="D547" s="25" t="s">
        <v>166</v>
      </c>
      <c r="E547" s="34" t="s">
        <v>10606</v>
      </c>
      <c r="F547" s="32">
        <v>4</v>
      </c>
      <c r="G547" s="25" t="s">
        <v>10607</v>
      </c>
      <c r="H547" s="25" t="s">
        <v>166</v>
      </c>
      <c r="I547" s="25" t="s">
        <v>10608</v>
      </c>
      <c r="J547" s="25" t="s">
        <v>10609</v>
      </c>
      <c r="K547" s="25" t="s">
        <v>207</v>
      </c>
      <c r="L547" s="25" t="s">
        <v>10610</v>
      </c>
      <c r="M547" s="25" t="s">
        <v>10611</v>
      </c>
      <c r="N547" s="25" t="s">
        <v>10612</v>
      </c>
      <c r="O547" s="25" t="s">
        <v>10613</v>
      </c>
      <c r="P547" s="25" t="s">
        <v>10614</v>
      </c>
      <c r="Q547" s="25" t="s">
        <v>10615</v>
      </c>
      <c r="R547" s="25" t="s">
        <v>177</v>
      </c>
      <c r="S547" s="25" t="s">
        <v>358</v>
      </c>
      <c r="T547" s="25" t="s">
        <v>179</v>
      </c>
      <c r="U547" s="25" t="s">
        <v>10616</v>
      </c>
      <c r="V547" s="25" t="s">
        <v>10617</v>
      </c>
      <c r="W547" s="32" t="s">
        <v>166</v>
      </c>
      <c r="X547" s="25" t="s">
        <v>10618</v>
      </c>
      <c r="Y547" s="25" t="s">
        <v>10619</v>
      </c>
      <c r="Z547" s="25" t="s">
        <v>10620</v>
      </c>
      <c r="AA547" s="25" t="s">
        <v>166</v>
      </c>
      <c r="AB547" s="25" t="s">
        <v>166</v>
      </c>
      <c r="AC547" s="25" t="s">
        <v>166</v>
      </c>
      <c r="AD547" s="25" t="s">
        <v>166</v>
      </c>
      <c r="AE547" s="25" t="s">
        <v>166</v>
      </c>
      <c r="AF547" s="25" t="s">
        <v>166</v>
      </c>
      <c r="AG547" s="25" t="s">
        <v>166</v>
      </c>
      <c r="AH547" s="32">
        <v>3</v>
      </c>
      <c r="AI547" s="4">
        <f>HYPERLINK("https://my.pitchbook.com/?d=250980-22T","250980-22T")</f>
      </c>
      <c r="AJ547" s="30">
        <v>45236</v>
      </c>
      <c r="AK547" s="30">
        <v>45540</v>
      </c>
      <c r="AL547" s="29">
        <v>3.7</v>
      </c>
      <c r="AM547" s="25" t="s">
        <v>185</v>
      </c>
      <c r="AN547" s="29" t="s">
        <v>166</v>
      </c>
      <c r="AO547" s="29" t="s">
        <v>166</v>
      </c>
      <c r="AP547" s="25" t="s">
        <v>166</v>
      </c>
      <c r="AQ547" s="32" t="s">
        <v>166</v>
      </c>
      <c r="AR547" s="32" t="s">
        <v>166</v>
      </c>
      <c r="AS547" s="28" t="s">
        <v>166</v>
      </c>
      <c r="AT547" s="29">
        <v>4.45</v>
      </c>
      <c r="AU547" s="32" t="s">
        <v>186</v>
      </c>
      <c r="AV547" s="32" t="s">
        <v>166</v>
      </c>
      <c r="AW547" s="29" t="s">
        <v>166</v>
      </c>
      <c r="AX547" s="32" t="s">
        <v>166</v>
      </c>
      <c r="AY547" s="25" t="s">
        <v>217</v>
      </c>
      <c r="AZ547" s="25" t="s">
        <v>217</v>
      </c>
      <c r="BA547" s="25" t="s">
        <v>166</v>
      </c>
      <c r="BB547" s="32" t="s">
        <v>166</v>
      </c>
      <c r="BC547" s="25" t="s">
        <v>179</v>
      </c>
      <c r="BD547" s="25" t="s">
        <v>10621</v>
      </c>
      <c r="BE547" s="25" t="s">
        <v>189</v>
      </c>
      <c r="BF547" s="29">
        <v>3.7</v>
      </c>
      <c r="BG547" s="25" t="s">
        <v>190</v>
      </c>
      <c r="BH547" s="25" t="s">
        <v>166</v>
      </c>
      <c r="BI547" s="25" t="s">
        <v>166</v>
      </c>
      <c r="BJ547" s="29" t="s">
        <v>166</v>
      </c>
      <c r="BK547" s="29" t="s">
        <v>166</v>
      </c>
      <c r="BL547" s="25" t="s">
        <v>191</v>
      </c>
      <c r="BM547" s="25" t="s">
        <v>358</v>
      </c>
      <c r="BN547" s="25" t="s">
        <v>177</v>
      </c>
      <c r="BO547" s="33" t="s">
        <v>166</v>
      </c>
      <c r="BP547" s="25" t="s">
        <v>10622</v>
      </c>
      <c r="BQ547" s="32">
        <v>4</v>
      </c>
      <c r="BR547" s="25" t="s">
        <v>166</v>
      </c>
      <c r="BS547" s="32" t="s">
        <v>166</v>
      </c>
      <c r="BT547" s="25" t="s">
        <v>10623</v>
      </c>
      <c r="BU547" s="25" t="s">
        <v>166</v>
      </c>
      <c r="BV547" s="25" t="s">
        <v>10624</v>
      </c>
      <c r="BW547" s="25" t="s">
        <v>166</v>
      </c>
      <c r="BX547" s="25" t="s">
        <v>166</v>
      </c>
      <c r="BY547" s="25" t="s">
        <v>166</v>
      </c>
      <c r="BZ547" s="25" t="s">
        <v>770</v>
      </c>
      <c r="CA547" s="25" t="s">
        <v>770</v>
      </c>
      <c r="CB547" s="25" t="s">
        <v>166</v>
      </c>
      <c r="CC547" s="25" t="s">
        <v>166</v>
      </c>
      <c r="CD547" s="25" t="s">
        <v>166</v>
      </c>
      <c r="CE547" s="29" t="s">
        <v>166</v>
      </c>
      <c r="CF547" s="27" t="s">
        <v>166</v>
      </c>
      <c r="CG547" s="28" t="s">
        <v>166</v>
      </c>
      <c r="CH547" s="27" t="s">
        <v>166</v>
      </c>
      <c r="CI547" s="27" t="s">
        <v>166</v>
      </c>
      <c r="CJ547" s="27" t="s">
        <v>166</v>
      </c>
      <c r="CK547" s="27" t="s">
        <v>166</v>
      </c>
      <c r="CL547" s="27" t="s">
        <v>166</v>
      </c>
      <c r="CM547" s="31" t="s">
        <v>166</v>
      </c>
      <c r="CN547" s="27" t="s">
        <v>166</v>
      </c>
      <c r="CO547" s="27" t="s">
        <v>166</v>
      </c>
      <c r="CP547" s="27" t="s">
        <v>166</v>
      </c>
      <c r="CQ547" s="27" t="s">
        <v>166</v>
      </c>
      <c r="CR547" s="27" t="s">
        <v>166</v>
      </c>
      <c r="CS547" s="27" t="s">
        <v>166</v>
      </c>
      <c r="CT547" s="27" t="s">
        <v>166</v>
      </c>
      <c r="CU547" s="27" t="s">
        <v>166</v>
      </c>
      <c r="CV547" s="27" t="s">
        <v>166</v>
      </c>
      <c r="CW547" s="27" t="s">
        <v>166</v>
      </c>
      <c r="CX547" s="27" t="s">
        <v>166</v>
      </c>
      <c r="CY547" s="27" t="s">
        <v>166</v>
      </c>
      <c r="CZ547" s="27" t="s">
        <v>166</v>
      </c>
      <c r="DA547" s="27" t="s">
        <v>166</v>
      </c>
      <c r="DB547" s="27" t="s">
        <v>166</v>
      </c>
      <c r="DC547" s="27" t="s">
        <v>166</v>
      </c>
      <c r="DD547" s="27" t="s">
        <v>166</v>
      </c>
      <c r="DE547" s="28" t="s">
        <v>166</v>
      </c>
      <c r="DF547" s="33">
        <v>8</v>
      </c>
      <c r="DG547" s="25" t="s">
        <v>9953</v>
      </c>
      <c r="DH547" s="25" t="s">
        <v>193</v>
      </c>
      <c r="DI547" s="25" t="s">
        <v>194</v>
      </c>
      <c r="DJ547" s="25" t="s">
        <v>9954</v>
      </c>
      <c r="DK547" s="25" t="s">
        <v>454</v>
      </c>
      <c r="DL547" s="32" t="s">
        <v>10625</v>
      </c>
      <c r="DM547" s="25" t="s">
        <v>198</v>
      </c>
      <c r="DN547" s="24" t="s">
        <v>10626</v>
      </c>
      <c r="DO547" s="31">
        <v>2023</v>
      </c>
      <c r="DP547" s="25" t="s">
        <v>166</v>
      </c>
      <c r="DQ547" s="25" t="s">
        <v>166</v>
      </c>
      <c r="DR547" s="29" t="s">
        <v>166</v>
      </c>
      <c r="DS547" s="27" t="s">
        <v>166</v>
      </c>
      <c r="DT547" s="30" t="s">
        <v>166</v>
      </c>
      <c r="DU547" s="25" t="s">
        <v>166</v>
      </c>
      <c r="DV547" s="29" t="s">
        <v>166</v>
      </c>
      <c r="DW547" s="29" t="s">
        <v>166</v>
      </c>
      <c r="DX547" s="27" t="s">
        <v>166</v>
      </c>
      <c r="DY547" s="27" t="s">
        <v>166</v>
      </c>
      <c r="DZ547" s="28" t="s">
        <v>166</v>
      </c>
      <c r="EA547" s="27" t="s">
        <v>166</v>
      </c>
      <c r="EB547" s="27" t="s">
        <v>166</v>
      </c>
      <c r="EC547" s="27" t="s">
        <v>166</v>
      </c>
      <c r="ED547" s="28" t="s">
        <v>166</v>
      </c>
      <c r="EE547" s="28" t="s">
        <v>166</v>
      </c>
      <c r="EF547" s="28" t="s">
        <v>166</v>
      </c>
      <c r="EG547" s="28" t="s">
        <v>166</v>
      </c>
      <c r="EH547" s="27" t="s">
        <v>166</v>
      </c>
      <c r="EI547" s="27" t="s">
        <v>166</v>
      </c>
      <c r="EJ547" s="27" t="s">
        <v>166</v>
      </c>
      <c r="EK547" s="27" t="s">
        <v>166</v>
      </c>
      <c r="EL547" s="27" t="s">
        <v>166</v>
      </c>
      <c r="EM547" s="27" t="s">
        <v>166</v>
      </c>
      <c r="EN547" s="27" t="s">
        <v>166</v>
      </c>
      <c r="EO547" s="27" t="s">
        <v>166</v>
      </c>
      <c r="EP547" s="27" t="s">
        <v>166</v>
      </c>
      <c r="EQ547" s="27" t="s">
        <v>166</v>
      </c>
      <c r="ER547" s="27" t="s">
        <v>166</v>
      </c>
      <c r="ES547" s="27" t="s">
        <v>166</v>
      </c>
      <c r="ET547" s="25" t="s">
        <v>166</v>
      </c>
      <c r="EU547" s="27" t="s">
        <v>166</v>
      </c>
      <c r="EV547" s="27" t="s">
        <v>166</v>
      </c>
      <c r="EW547" s="27" t="s">
        <v>166</v>
      </c>
      <c r="EX547" s="25" t="s">
        <v>190</v>
      </c>
      <c r="EY547" s="25" t="s">
        <v>166</v>
      </c>
      <c r="EZ547" s="27" t="s">
        <v>166</v>
      </c>
      <c r="FA547" s="26" t="s">
        <v>166</v>
      </c>
      <c r="FB547" s="26" t="s">
        <v>166</v>
      </c>
      <c r="FC547" s="26" t="s">
        <v>166</v>
      </c>
      <c r="FD547" s="26" t="s">
        <v>166</v>
      </c>
      <c r="FE547" s="26" t="s">
        <v>166</v>
      </c>
      <c r="FF547" s="26" t="s">
        <v>166</v>
      </c>
      <c r="FG547" s="25" t="s">
        <v>166</v>
      </c>
      <c r="FH547" s="4">
        <f>HYPERLINK("https://my.pitchbook.com?c=250980-22T","View Company Online")</f>
      </c>
    </row>
    <row r="548">
      <c r="A548" s="14" t="s">
        <v>10627</v>
      </c>
      <c r="B548" s="14" t="s">
        <v>10628</v>
      </c>
      <c r="C548" s="14" t="s">
        <v>10629</v>
      </c>
      <c r="D548" s="14" t="s">
        <v>166</v>
      </c>
      <c r="E548" s="23" t="s">
        <v>10630</v>
      </c>
      <c r="F548" s="21">
        <v>6</v>
      </c>
      <c r="G548" s="14" t="s">
        <v>10631</v>
      </c>
      <c r="H548" s="14" t="s">
        <v>166</v>
      </c>
      <c r="I548" s="14" t="s">
        <v>10632</v>
      </c>
      <c r="J548" s="14" t="s">
        <v>10633</v>
      </c>
      <c r="K548" s="14" t="s">
        <v>207</v>
      </c>
      <c r="L548" s="14" t="s">
        <v>208</v>
      </c>
      <c r="M548" s="14" t="s">
        <v>209</v>
      </c>
      <c r="N548" s="14" t="s">
        <v>1359</v>
      </c>
      <c r="O548" s="14" t="s">
        <v>10634</v>
      </c>
      <c r="P548" s="14" t="s">
        <v>10635</v>
      </c>
      <c r="Q548" s="14" t="s">
        <v>2555</v>
      </c>
      <c r="R548" s="14" t="s">
        <v>177</v>
      </c>
      <c r="S548" s="14" t="s">
        <v>178</v>
      </c>
      <c r="T548" s="14" t="s">
        <v>179</v>
      </c>
      <c r="U548" s="14" t="s">
        <v>10636</v>
      </c>
      <c r="V548" s="14" t="s">
        <v>10637</v>
      </c>
      <c r="W548" s="21" t="s">
        <v>10638</v>
      </c>
      <c r="X548" s="14" t="s">
        <v>10639</v>
      </c>
      <c r="Y548" s="14" t="s">
        <v>10640</v>
      </c>
      <c r="Z548" s="14" t="s">
        <v>10641</v>
      </c>
      <c r="AA548" s="14" t="s">
        <v>166</v>
      </c>
      <c r="AB548" s="14" t="s">
        <v>166</v>
      </c>
      <c r="AC548" s="14" t="s">
        <v>166</v>
      </c>
      <c r="AD548" s="14" t="s">
        <v>166</v>
      </c>
      <c r="AE548" s="14" t="s">
        <v>166</v>
      </c>
      <c r="AF548" s="14" t="s">
        <v>166</v>
      </c>
      <c r="AG548" s="14" t="s">
        <v>166</v>
      </c>
      <c r="AH548" s="21">
        <v>1</v>
      </c>
      <c r="AI548" s="3">
        <f>HYPERLINK("https://my.pitchbook.com/?d=199467-37T","199467-37T")</f>
      </c>
      <c r="AJ548" s="19" t="s">
        <v>166</v>
      </c>
      <c r="AK548" s="19">
        <v>44754</v>
      </c>
      <c r="AL548" s="18">
        <v>0.5</v>
      </c>
      <c r="AM548" s="14" t="s">
        <v>185</v>
      </c>
      <c r="AN548" s="18">
        <v>5</v>
      </c>
      <c r="AO548" s="18">
        <v>5.5</v>
      </c>
      <c r="AP548" s="14" t="s">
        <v>185</v>
      </c>
      <c r="AQ548" s="21" t="s">
        <v>166</v>
      </c>
      <c r="AR548" s="21" t="s">
        <v>166</v>
      </c>
      <c r="AS548" s="17" t="s">
        <v>166</v>
      </c>
      <c r="AT548" s="18">
        <v>0.5</v>
      </c>
      <c r="AU548" s="21" t="s">
        <v>186</v>
      </c>
      <c r="AV548" s="21" t="s">
        <v>166</v>
      </c>
      <c r="AW548" s="18" t="s">
        <v>166</v>
      </c>
      <c r="AX548" s="21" t="s">
        <v>746</v>
      </c>
      <c r="AY548" s="14" t="s">
        <v>217</v>
      </c>
      <c r="AZ548" s="14" t="s">
        <v>746</v>
      </c>
      <c r="BA548" s="14" t="s">
        <v>166</v>
      </c>
      <c r="BB548" s="21" t="s">
        <v>166</v>
      </c>
      <c r="BC548" s="14" t="s">
        <v>179</v>
      </c>
      <c r="BD548" s="14" t="s">
        <v>10642</v>
      </c>
      <c r="BE548" s="14" t="s">
        <v>189</v>
      </c>
      <c r="BF548" s="18">
        <v>0.5</v>
      </c>
      <c r="BG548" s="14" t="s">
        <v>190</v>
      </c>
      <c r="BH548" s="14" t="s">
        <v>166</v>
      </c>
      <c r="BI548" s="14" t="s">
        <v>166</v>
      </c>
      <c r="BJ548" s="18" t="s">
        <v>166</v>
      </c>
      <c r="BK548" s="18" t="s">
        <v>166</v>
      </c>
      <c r="BL548" s="14" t="s">
        <v>191</v>
      </c>
      <c r="BM548" s="14" t="s">
        <v>178</v>
      </c>
      <c r="BN548" s="14" t="s">
        <v>177</v>
      </c>
      <c r="BO548" s="22" t="s">
        <v>166</v>
      </c>
      <c r="BP548" s="14" t="s">
        <v>10630</v>
      </c>
      <c r="BQ548" s="21">
        <v>6</v>
      </c>
      <c r="BR548" s="14" t="s">
        <v>166</v>
      </c>
      <c r="BS548" s="21" t="s">
        <v>166</v>
      </c>
      <c r="BT548" s="14" t="s">
        <v>166</v>
      </c>
      <c r="BU548" s="14" t="s">
        <v>166</v>
      </c>
      <c r="BV548" s="14" t="s">
        <v>6866</v>
      </c>
      <c r="BW548" s="14" t="s">
        <v>166</v>
      </c>
      <c r="BX548" s="14" t="s">
        <v>166</v>
      </c>
      <c r="BY548" s="14" t="s">
        <v>166</v>
      </c>
      <c r="BZ548" s="14" t="s">
        <v>166</v>
      </c>
      <c r="CA548" s="14" t="s">
        <v>166</v>
      </c>
      <c r="CB548" s="14" t="s">
        <v>166</v>
      </c>
      <c r="CC548" s="14" t="s">
        <v>166</v>
      </c>
      <c r="CD548" s="14" t="s">
        <v>166</v>
      </c>
      <c r="CE548" s="18" t="s">
        <v>166</v>
      </c>
      <c r="CF548" s="16" t="s">
        <v>166</v>
      </c>
      <c r="CG548" s="17" t="s">
        <v>166</v>
      </c>
      <c r="CH548" s="16" t="s">
        <v>166</v>
      </c>
      <c r="CI548" s="16" t="s">
        <v>166</v>
      </c>
      <c r="CJ548" s="16" t="s">
        <v>166</v>
      </c>
      <c r="CK548" s="16" t="s">
        <v>166</v>
      </c>
      <c r="CL548" s="16" t="s">
        <v>166</v>
      </c>
      <c r="CM548" s="20" t="s">
        <v>166</v>
      </c>
      <c r="CN548" s="16" t="s">
        <v>166</v>
      </c>
      <c r="CO548" s="16" t="s">
        <v>166</v>
      </c>
      <c r="CP548" s="16" t="s">
        <v>166</v>
      </c>
      <c r="CQ548" s="16" t="s">
        <v>166</v>
      </c>
      <c r="CR548" s="16" t="s">
        <v>166</v>
      </c>
      <c r="CS548" s="16" t="s">
        <v>166</v>
      </c>
      <c r="CT548" s="16" t="s">
        <v>166</v>
      </c>
      <c r="CU548" s="16" t="s">
        <v>166</v>
      </c>
      <c r="CV548" s="16" t="s">
        <v>166</v>
      </c>
      <c r="CW548" s="16" t="s">
        <v>166</v>
      </c>
      <c r="CX548" s="16" t="s">
        <v>166</v>
      </c>
      <c r="CY548" s="16" t="s">
        <v>166</v>
      </c>
      <c r="CZ548" s="16" t="s">
        <v>166</v>
      </c>
      <c r="DA548" s="16" t="s">
        <v>166</v>
      </c>
      <c r="DB548" s="16" t="s">
        <v>166</v>
      </c>
      <c r="DC548" s="16" t="s">
        <v>166</v>
      </c>
      <c r="DD548" s="16" t="s">
        <v>166</v>
      </c>
      <c r="DE548" s="17" t="s">
        <v>166</v>
      </c>
      <c r="DF548" s="22">
        <v>10</v>
      </c>
      <c r="DG548" s="14" t="s">
        <v>10643</v>
      </c>
      <c r="DH548" s="14" t="s">
        <v>193</v>
      </c>
      <c r="DI548" s="14" t="s">
        <v>194</v>
      </c>
      <c r="DJ548" s="14" t="s">
        <v>10644</v>
      </c>
      <c r="DK548" s="14" t="s">
        <v>196</v>
      </c>
      <c r="DL548" s="21" t="s">
        <v>10645</v>
      </c>
      <c r="DM548" s="14" t="s">
        <v>198</v>
      </c>
      <c r="DN548" s="13" t="s">
        <v>10646</v>
      </c>
      <c r="DO548" s="20">
        <v>2022</v>
      </c>
      <c r="DP548" s="14" t="s">
        <v>166</v>
      </c>
      <c r="DQ548" s="14" t="s">
        <v>166</v>
      </c>
      <c r="DR548" s="18" t="s">
        <v>166</v>
      </c>
      <c r="DS548" s="16" t="s">
        <v>166</v>
      </c>
      <c r="DT548" s="19" t="s">
        <v>166</v>
      </c>
      <c r="DU548" s="14" t="s">
        <v>166</v>
      </c>
      <c r="DV548" s="18" t="s">
        <v>166</v>
      </c>
      <c r="DW548" s="18" t="s">
        <v>166</v>
      </c>
      <c r="DX548" s="16" t="s">
        <v>166</v>
      </c>
      <c r="DY548" s="16" t="s">
        <v>166</v>
      </c>
      <c r="DZ548" s="17" t="s">
        <v>166</v>
      </c>
      <c r="EA548" s="16" t="s">
        <v>166</v>
      </c>
      <c r="EB548" s="16" t="s">
        <v>166</v>
      </c>
      <c r="EC548" s="16" t="s">
        <v>166</v>
      </c>
      <c r="ED548" s="17" t="s">
        <v>166</v>
      </c>
      <c r="EE548" s="17" t="s">
        <v>166</v>
      </c>
      <c r="EF548" s="17" t="s">
        <v>166</v>
      </c>
      <c r="EG548" s="17" t="s">
        <v>166</v>
      </c>
      <c r="EH548" s="16" t="s">
        <v>166</v>
      </c>
      <c r="EI548" s="16" t="s">
        <v>166</v>
      </c>
      <c r="EJ548" s="16" t="s">
        <v>166</v>
      </c>
      <c r="EK548" s="16" t="s">
        <v>166</v>
      </c>
      <c r="EL548" s="16" t="s">
        <v>166</v>
      </c>
      <c r="EM548" s="16" t="s">
        <v>166</v>
      </c>
      <c r="EN548" s="16" t="s">
        <v>166</v>
      </c>
      <c r="EO548" s="16" t="s">
        <v>166</v>
      </c>
      <c r="EP548" s="16" t="s">
        <v>166</v>
      </c>
      <c r="EQ548" s="16" t="s">
        <v>166</v>
      </c>
      <c r="ER548" s="16" t="s">
        <v>166</v>
      </c>
      <c r="ES548" s="16" t="s">
        <v>166</v>
      </c>
      <c r="ET548" s="14" t="s">
        <v>166</v>
      </c>
      <c r="EU548" s="16" t="s">
        <v>166</v>
      </c>
      <c r="EV548" s="16" t="s">
        <v>166</v>
      </c>
      <c r="EW548" s="16" t="s">
        <v>166</v>
      </c>
      <c r="EX548" s="14" t="s">
        <v>190</v>
      </c>
      <c r="EY548" s="14" t="s">
        <v>166</v>
      </c>
      <c r="EZ548" s="16" t="s">
        <v>166</v>
      </c>
      <c r="FA548" s="15" t="s">
        <v>166</v>
      </c>
      <c r="FB548" s="15" t="s">
        <v>166</v>
      </c>
      <c r="FC548" s="15" t="s">
        <v>166</v>
      </c>
      <c r="FD548" s="15" t="s">
        <v>166</v>
      </c>
      <c r="FE548" s="15" t="s">
        <v>166</v>
      </c>
      <c r="FF548" s="15" t="s">
        <v>166</v>
      </c>
      <c r="FG548" s="14" t="s">
        <v>166</v>
      </c>
      <c r="FH548" s="3">
        <f>HYPERLINK("https://my.pitchbook.com?c=199467-37T","View Company Online")</f>
      </c>
    </row>
    <row r="549">
      <c r="A549" s="25" t="s">
        <v>10647</v>
      </c>
      <c r="B549" s="25" t="s">
        <v>10648</v>
      </c>
      <c r="C549" s="25" t="s">
        <v>10649</v>
      </c>
      <c r="D549" s="25" t="s">
        <v>166</v>
      </c>
      <c r="E549" s="34" t="s">
        <v>10650</v>
      </c>
      <c r="F549" s="32">
        <v>8</v>
      </c>
      <c r="G549" s="25" t="s">
        <v>10651</v>
      </c>
      <c r="H549" s="25" t="s">
        <v>166</v>
      </c>
      <c r="I549" s="25" t="s">
        <v>10652</v>
      </c>
      <c r="J549" s="25" t="s">
        <v>10653</v>
      </c>
      <c r="K549" s="25" t="s">
        <v>171</v>
      </c>
      <c r="L549" s="25" t="s">
        <v>172</v>
      </c>
      <c r="M549" s="25" t="s">
        <v>818</v>
      </c>
      <c r="N549" s="25" t="s">
        <v>10654</v>
      </c>
      <c r="O549" s="25" t="s">
        <v>4369</v>
      </c>
      <c r="P549" s="25" t="s">
        <v>10655</v>
      </c>
      <c r="Q549" s="25" t="s">
        <v>166</v>
      </c>
      <c r="R549" s="25" t="s">
        <v>177</v>
      </c>
      <c r="S549" s="25" t="s">
        <v>178</v>
      </c>
      <c r="T549" s="25" t="s">
        <v>179</v>
      </c>
      <c r="U549" s="25" t="s">
        <v>10656</v>
      </c>
      <c r="V549" s="25" t="s">
        <v>10657</v>
      </c>
      <c r="W549" s="32" t="s">
        <v>10658</v>
      </c>
      <c r="X549" s="25" t="s">
        <v>10659</v>
      </c>
      <c r="Y549" s="25" t="s">
        <v>10660</v>
      </c>
      <c r="Z549" s="25" t="s">
        <v>10661</v>
      </c>
      <c r="AA549" s="25" t="s">
        <v>166</v>
      </c>
      <c r="AB549" s="25" t="s">
        <v>166</v>
      </c>
      <c r="AC549" s="25" t="s">
        <v>166</v>
      </c>
      <c r="AD549" s="25" t="s">
        <v>166</v>
      </c>
      <c r="AE549" s="25" t="s">
        <v>166</v>
      </c>
      <c r="AF549" s="25" t="s">
        <v>166</v>
      </c>
      <c r="AG549" s="25" t="s">
        <v>166</v>
      </c>
      <c r="AH549" s="32">
        <v>1</v>
      </c>
      <c r="AI549" s="4">
        <f>HYPERLINK("https://my.pitchbook.com/?d=173230-39T","173230-39T")</f>
      </c>
      <c r="AJ549" s="30">
        <v>44390</v>
      </c>
      <c r="AK549" s="30">
        <v>44397</v>
      </c>
      <c r="AL549" s="29">
        <v>5</v>
      </c>
      <c r="AM549" s="25" t="s">
        <v>185</v>
      </c>
      <c r="AN549" s="29">
        <v>25</v>
      </c>
      <c r="AO549" s="29">
        <v>30</v>
      </c>
      <c r="AP549" s="25" t="s">
        <v>185</v>
      </c>
      <c r="AQ549" s="32" t="s">
        <v>166</v>
      </c>
      <c r="AR549" s="32" t="s">
        <v>166</v>
      </c>
      <c r="AS549" s="28" t="s">
        <v>166</v>
      </c>
      <c r="AT549" s="29">
        <v>5</v>
      </c>
      <c r="AU549" s="32" t="s">
        <v>186</v>
      </c>
      <c r="AV549" s="32" t="s">
        <v>166</v>
      </c>
      <c r="AW549" s="29" t="s">
        <v>166</v>
      </c>
      <c r="AX549" s="32" t="s">
        <v>166</v>
      </c>
      <c r="AY549" s="25" t="s">
        <v>217</v>
      </c>
      <c r="AZ549" s="25" t="s">
        <v>217</v>
      </c>
      <c r="BA549" s="25" t="s">
        <v>166</v>
      </c>
      <c r="BB549" s="32" t="s">
        <v>166</v>
      </c>
      <c r="BC549" s="25" t="s">
        <v>179</v>
      </c>
      <c r="BD549" s="25" t="s">
        <v>10662</v>
      </c>
      <c r="BE549" s="25" t="s">
        <v>189</v>
      </c>
      <c r="BF549" s="29">
        <v>5</v>
      </c>
      <c r="BG549" s="25" t="s">
        <v>190</v>
      </c>
      <c r="BH549" s="25" t="s">
        <v>166</v>
      </c>
      <c r="BI549" s="25" t="s">
        <v>166</v>
      </c>
      <c r="BJ549" s="29" t="s">
        <v>166</v>
      </c>
      <c r="BK549" s="29" t="s">
        <v>166</v>
      </c>
      <c r="BL549" s="25" t="s">
        <v>191</v>
      </c>
      <c r="BM549" s="25" t="s">
        <v>178</v>
      </c>
      <c r="BN549" s="25" t="s">
        <v>177</v>
      </c>
      <c r="BO549" s="33" t="s">
        <v>166</v>
      </c>
      <c r="BP549" s="25" t="s">
        <v>10663</v>
      </c>
      <c r="BQ549" s="32">
        <v>8</v>
      </c>
      <c r="BR549" s="25" t="s">
        <v>166</v>
      </c>
      <c r="BS549" s="32" t="s">
        <v>166</v>
      </c>
      <c r="BT549" s="25" t="s">
        <v>10664</v>
      </c>
      <c r="BU549" s="25" t="s">
        <v>166</v>
      </c>
      <c r="BV549" s="25" t="s">
        <v>166</v>
      </c>
      <c r="BW549" s="25" t="s">
        <v>166</v>
      </c>
      <c r="BX549" s="25" t="s">
        <v>166</v>
      </c>
      <c r="BY549" s="25" t="s">
        <v>166</v>
      </c>
      <c r="BZ549" s="25" t="s">
        <v>166</v>
      </c>
      <c r="CA549" s="25" t="s">
        <v>166</v>
      </c>
      <c r="CB549" s="25" t="s">
        <v>166</v>
      </c>
      <c r="CC549" s="25" t="s">
        <v>166</v>
      </c>
      <c r="CD549" s="25" t="s">
        <v>166</v>
      </c>
      <c r="CE549" s="29" t="s">
        <v>166</v>
      </c>
      <c r="CF549" s="27" t="s">
        <v>166</v>
      </c>
      <c r="CG549" s="28" t="s">
        <v>166</v>
      </c>
      <c r="CH549" s="27" t="s">
        <v>166</v>
      </c>
      <c r="CI549" s="27" t="s">
        <v>166</v>
      </c>
      <c r="CJ549" s="27" t="s">
        <v>166</v>
      </c>
      <c r="CK549" s="27" t="s">
        <v>166</v>
      </c>
      <c r="CL549" s="27" t="s">
        <v>166</v>
      </c>
      <c r="CM549" s="31" t="s">
        <v>166</v>
      </c>
      <c r="CN549" s="27" t="s">
        <v>166</v>
      </c>
      <c r="CO549" s="27" t="s">
        <v>166</v>
      </c>
      <c r="CP549" s="27" t="s">
        <v>166</v>
      </c>
      <c r="CQ549" s="27" t="s">
        <v>166</v>
      </c>
      <c r="CR549" s="27" t="s">
        <v>166</v>
      </c>
      <c r="CS549" s="27" t="s">
        <v>166</v>
      </c>
      <c r="CT549" s="27" t="s">
        <v>166</v>
      </c>
      <c r="CU549" s="27" t="s">
        <v>166</v>
      </c>
      <c r="CV549" s="27" t="s">
        <v>166</v>
      </c>
      <c r="CW549" s="27" t="s">
        <v>166</v>
      </c>
      <c r="CX549" s="27" t="s">
        <v>166</v>
      </c>
      <c r="CY549" s="27" t="s">
        <v>166</v>
      </c>
      <c r="CZ549" s="27" t="s">
        <v>166</v>
      </c>
      <c r="DA549" s="27" t="s">
        <v>166</v>
      </c>
      <c r="DB549" s="27" t="s">
        <v>166</v>
      </c>
      <c r="DC549" s="27" t="s">
        <v>166</v>
      </c>
      <c r="DD549" s="27" t="s">
        <v>166</v>
      </c>
      <c r="DE549" s="28" t="s">
        <v>166</v>
      </c>
      <c r="DF549" s="33">
        <v>26</v>
      </c>
      <c r="DG549" s="25" t="s">
        <v>309</v>
      </c>
      <c r="DH549" s="25" t="s">
        <v>193</v>
      </c>
      <c r="DI549" s="25" t="s">
        <v>194</v>
      </c>
      <c r="DJ549" s="25" t="s">
        <v>310</v>
      </c>
      <c r="DK549" s="25" t="s">
        <v>310</v>
      </c>
      <c r="DL549" s="32" t="s">
        <v>1154</v>
      </c>
      <c r="DM549" s="25" t="s">
        <v>198</v>
      </c>
      <c r="DN549" s="24" t="s">
        <v>10665</v>
      </c>
      <c r="DO549" s="31">
        <v>2015</v>
      </c>
      <c r="DP549" s="25" t="s">
        <v>166</v>
      </c>
      <c r="DQ549" s="25" t="s">
        <v>166</v>
      </c>
      <c r="DR549" s="29" t="s">
        <v>166</v>
      </c>
      <c r="DS549" s="27" t="s">
        <v>166</v>
      </c>
      <c r="DT549" s="30" t="s">
        <v>166</v>
      </c>
      <c r="DU549" s="25" t="s">
        <v>166</v>
      </c>
      <c r="DV549" s="29" t="s">
        <v>166</v>
      </c>
      <c r="DW549" s="29" t="s">
        <v>166</v>
      </c>
      <c r="DX549" s="27" t="s">
        <v>166</v>
      </c>
      <c r="DY549" s="27" t="s">
        <v>166</v>
      </c>
      <c r="DZ549" s="28" t="s">
        <v>166</v>
      </c>
      <c r="EA549" s="27" t="s">
        <v>166</v>
      </c>
      <c r="EB549" s="27" t="s">
        <v>166</v>
      </c>
      <c r="EC549" s="27" t="s">
        <v>166</v>
      </c>
      <c r="ED549" s="28" t="s">
        <v>166</v>
      </c>
      <c r="EE549" s="28" t="s">
        <v>166</v>
      </c>
      <c r="EF549" s="28" t="s">
        <v>166</v>
      </c>
      <c r="EG549" s="28" t="s">
        <v>166</v>
      </c>
      <c r="EH549" s="27" t="s">
        <v>166</v>
      </c>
      <c r="EI549" s="27" t="s">
        <v>166</v>
      </c>
      <c r="EJ549" s="27" t="s">
        <v>166</v>
      </c>
      <c r="EK549" s="27" t="s">
        <v>166</v>
      </c>
      <c r="EL549" s="27" t="s">
        <v>166</v>
      </c>
      <c r="EM549" s="27" t="s">
        <v>166</v>
      </c>
      <c r="EN549" s="27" t="s">
        <v>166</v>
      </c>
      <c r="EO549" s="27" t="s">
        <v>166</v>
      </c>
      <c r="EP549" s="27" t="s">
        <v>166</v>
      </c>
      <c r="EQ549" s="27" t="s">
        <v>166</v>
      </c>
      <c r="ER549" s="27" t="s">
        <v>166</v>
      </c>
      <c r="ES549" s="27" t="s">
        <v>166</v>
      </c>
      <c r="ET549" s="25" t="s">
        <v>166</v>
      </c>
      <c r="EU549" s="27" t="s">
        <v>166</v>
      </c>
      <c r="EV549" s="27" t="s">
        <v>166</v>
      </c>
      <c r="EW549" s="27" t="s">
        <v>166</v>
      </c>
      <c r="EX549" s="25" t="s">
        <v>190</v>
      </c>
      <c r="EY549" s="25" t="s">
        <v>166</v>
      </c>
      <c r="EZ549" s="27" t="s">
        <v>166</v>
      </c>
      <c r="FA549" s="26" t="s">
        <v>166</v>
      </c>
      <c r="FB549" s="26" t="s">
        <v>166</v>
      </c>
      <c r="FC549" s="26" t="s">
        <v>166</v>
      </c>
      <c r="FD549" s="26" t="s">
        <v>166</v>
      </c>
      <c r="FE549" s="26" t="s">
        <v>166</v>
      </c>
      <c r="FF549" s="26" t="s">
        <v>166</v>
      </c>
      <c r="FG549" s="25" t="s">
        <v>166</v>
      </c>
      <c r="FH549" s="4">
        <f>HYPERLINK("https://my.pitchbook.com?c=173230-39T","View Company Online")</f>
      </c>
    </row>
    <row r="550">
      <c r="A550" s="14" t="s">
        <v>10666</v>
      </c>
      <c r="B550" s="14" t="s">
        <v>10667</v>
      </c>
      <c r="C550" s="14" t="s">
        <v>10668</v>
      </c>
      <c r="D550" s="14" t="s">
        <v>166</v>
      </c>
      <c r="E550" s="23" t="s">
        <v>10669</v>
      </c>
      <c r="F550" s="21">
        <v>5</v>
      </c>
      <c r="G550" s="14" t="s">
        <v>10670</v>
      </c>
      <c r="H550" s="14" t="s">
        <v>166</v>
      </c>
      <c r="I550" s="14" t="s">
        <v>10671</v>
      </c>
      <c r="J550" s="14" t="s">
        <v>10672</v>
      </c>
      <c r="K550" s="14" t="s">
        <v>1500</v>
      </c>
      <c r="L550" s="14" t="s">
        <v>2334</v>
      </c>
      <c r="M550" s="14" t="s">
        <v>2335</v>
      </c>
      <c r="N550" s="14" t="s">
        <v>10673</v>
      </c>
      <c r="O550" s="14" t="s">
        <v>10674</v>
      </c>
      <c r="P550" s="14" t="s">
        <v>10675</v>
      </c>
      <c r="Q550" s="14" t="s">
        <v>166</v>
      </c>
      <c r="R550" s="14" t="s">
        <v>177</v>
      </c>
      <c r="S550" s="14" t="s">
        <v>178</v>
      </c>
      <c r="T550" s="14" t="s">
        <v>179</v>
      </c>
      <c r="U550" s="14" t="s">
        <v>10676</v>
      </c>
      <c r="V550" s="14" t="s">
        <v>10677</v>
      </c>
      <c r="W550" s="21" t="s">
        <v>10678</v>
      </c>
      <c r="X550" s="14" t="s">
        <v>10679</v>
      </c>
      <c r="Y550" s="14" t="s">
        <v>10680</v>
      </c>
      <c r="Z550" s="14" t="s">
        <v>10681</v>
      </c>
      <c r="AA550" s="14" t="s">
        <v>166</v>
      </c>
      <c r="AB550" s="14" t="s">
        <v>166</v>
      </c>
      <c r="AC550" s="14" t="s">
        <v>166</v>
      </c>
      <c r="AD550" s="14" t="s">
        <v>166</v>
      </c>
      <c r="AE550" s="14" t="s">
        <v>166</v>
      </c>
      <c r="AF550" s="14" t="s">
        <v>166</v>
      </c>
      <c r="AG550" s="14" t="s">
        <v>166</v>
      </c>
      <c r="AH550" s="21">
        <v>1</v>
      </c>
      <c r="AI550" s="3">
        <f>HYPERLINK("https://my.pitchbook.com/?d=244954-36T","244954-36T")</f>
      </c>
      <c r="AJ550" s="19" t="s">
        <v>166</v>
      </c>
      <c r="AK550" s="19">
        <v>44459</v>
      </c>
      <c r="AL550" s="18">
        <v>3.5</v>
      </c>
      <c r="AM550" s="14" t="s">
        <v>185</v>
      </c>
      <c r="AN550" s="18" t="s">
        <v>166</v>
      </c>
      <c r="AO550" s="18" t="s">
        <v>166</v>
      </c>
      <c r="AP550" s="14" t="s">
        <v>166</v>
      </c>
      <c r="AQ550" s="21" t="s">
        <v>166</v>
      </c>
      <c r="AR550" s="21" t="s">
        <v>166</v>
      </c>
      <c r="AS550" s="17" t="s">
        <v>166</v>
      </c>
      <c r="AT550" s="18">
        <v>3.5</v>
      </c>
      <c r="AU550" s="21" t="s">
        <v>186</v>
      </c>
      <c r="AV550" s="21" t="s">
        <v>166</v>
      </c>
      <c r="AW550" s="18" t="s">
        <v>166</v>
      </c>
      <c r="AX550" s="21" t="s">
        <v>166</v>
      </c>
      <c r="AY550" s="14" t="s">
        <v>187</v>
      </c>
      <c r="AZ550" s="14" t="s">
        <v>166</v>
      </c>
      <c r="BA550" s="14" t="s">
        <v>166</v>
      </c>
      <c r="BB550" s="21" t="s">
        <v>166</v>
      </c>
      <c r="BC550" s="14" t="s">
        <v>179</v>
      </c>
      <c r="BD550" s="14" t="s">
        <v>10682</v>
      </c>
      <c r="BE550" s="14" t="s">
        <v>189</v>
      </c>
      <c r="BF550" s="18">
        <v>3.5</v>
      </c>
      <c r="BG550" s="14" t="s">
        <v>190</v>
      </c>
      <c r="BH550" s="14" t="s">
        <v>166</v>
      </c>
      <c r="BI550" s="14" t="s">
        <v>166</v>
      </c>
      <c r="BJ550" s="18" t="s">
        <v>166</v>
      </c>
      <c r="BK550" s="18" t="s">
        <v>166</v>
      </c>
      <c r="BL550" s="14" t="s">
        <v>191</v>
      </c>
      <c r="BM550" s="14" t="s">
        <v>358</v>
      </c>
      <c r="BN550" s="14" t="s">
        <v>177</v>
      </c>
      <c r="BO550" s="22" t="s">
        <v>166</v>
      </c>
      <c r="BP550" s="14" t="s">
        <v>10683</v>
      </c>
      <c r="BQ550" s="21">
        <v>5</v>
      </c>
      <c r="BR550" s="14" t="s">
        <v>166</v>
      </c>
      <c r="BS550" s="21" t="s">
        <v>166</v>
      </c>
      <c r="BT550" s="14" t="s">
        <v>166</v>
      </c>
      <c r="BU550" s="14" t="s">
        <v>166</v>
      </c>
      <c r="BV550" s="14" t="s">
        <v>166</v>
      </c>
      <c r="BW550" s="14" t="s">
        <v>166</v>
      </c>
      <c r="BX550" s="14" t="s">
        <v>166</v>
      </c>
      <c r="BY550" s="14" t="s">
        <v>166</v>
      </c>
      <c r="BZ550" s="14" t="s">
        <v>166</v>
      </c>
      <c r="CA550" s="14" t="s">
        <v>166</v>
      </c>
      <c r="CB550" s="14" t="s">
        <v>166</v>
      </c>
      <c r="CC550" s="14" t="s">
        <v>166</v>
      </c>
      <c r="CD550" s="14" t="s">
        <v>166</v>
      </c>
      <c r="CE550" s="18" t="s">
        <v>166</v>
      </c>
      <c r="CF550" s="16" t="s">
        <v>166</v>
      </c>
      <c r="CG550" s="17" t="s">
        <v>166</v>
      </c>
      <c r="CH550" s="16" t="s">
        <v>166</v>
      </c>
      <c r="CI550" s="16" t="s">
        <v>166</v>
      </c>
      <c r="CJ550" s="16" t="s">
        <v>166</v>
      </c>
      <c r="CK550" s="16" t="s">
        <v>166</v>
      </c>
      <c r="CL550" s="16" t="s">
        <v>166</v>
      </c>
      <c r="CM550" s="20" t="s">
        <v>166</v>
      </c>
      <c r="CN550" s="16" t="s">
        <v>166</v>
      </c>
      <c r="CO550" s="16" t="s">
        <v>166</v>
      </c>
      <c r="CP550" s="16" t="s">
        <v>166</v>
      </c>
      <c r="CQ550" s="16" t="s">
        <v>166</v>
      </c>
      <c r="CR550" s="16" t="s">
        <v>166</v>
      </c>
      <c r="CS550" s="16" t="s">
        <v>166</v>
      </c>
      <c r="CT550" s="16" t="s">
        <v>166</v>
      </c>
      <c r="CU550" s="16" t="s">
        <v>166</v>
      </c>
      <c r="CV550" s="16" t="s">
        <v>166</v>
      </c>
      <c r="CW550" s="16" t="s">
        <v>166</v>
      </c>
      <c r="CX550" s="16" t="s">
        <v>166</v>
      </c>
      <c r="CY550" s="16" t="s">
        <v>166</v>
      </c>
      <c r="CZ550" s="16" t="s">
        <v>166</v>
      </c>
      <c r="DA550" s="16" t="s">
        <v>166</v>
      </c>
      <c r="DB550" s="16" t="s">
        <v>166</v>
      </c>
      <c r="DC550" s="16" t="s">
        <v>166</v>
      </c>
      <c r="DD550" s="16" t="s">
        <v>166</v>
      </c>
      <c r="DE550" s="17" t="s">
        <v>166</v>
      </c>
      <c r="DF550" s="22">
        <v>250</v>
      </c>
      <c r="DG550" s="14" t="s">
        <v>1540</v>
      </c>
      <c r="DH550" s="14" t="s">
        <v>193</v>
      </c>
      <c r="DI550" s="14" t="s">
        <v>194</v>
      </c>
      <c r="DJ550" s="14" t="s">
        <v>1541</v>
      </c>
      <c r="DK550" s="14" t="s">
        <v>257</v>
      </c>
      <c r="DL550" s="21" t="s">
        <v>10684</v>
      </c>
      <c r="DM550" s="14" t="s">
        <v>198</v>
      </c>
      <c r="DN550" s="13" t="s">
        <v>10685</v>
      </c>
      <c r="DO550" s="20">
        <v>2021</v>
      </c>
      <c r="DP550" s="14" t="s">
        <v>166</v>
      </c>
      <c r="DQ550" s="14" t="s">
        <v>166</v>
      </c>
      <c r="DR550" s="18" t="s">
        <v>166</v>
      </c>
      <c r="DS550" s="16" t="s">
        <v>166</v>
      </c>
      <c r="DT550" s="19" t="s">
        <v>166</v>
      </c>
      <c r="DU550" s="14" t="s">
        <v>166</v>
      </c>
      <c r="DV550" s="18" t="s">
        <v>166</v>
      </c>
      <c r="DW550" s="18" t="s">
        <v>166</v>
      </c>
      <c r="DX550" s="16" t="s">
        <v>166</v>
      </c>
      <c r="DY550" s="16" t="s">
        <v>166</v>
      </c>
      <c r="DZ550" s="17" t="s">
        <v>166</v>
      </c>
      <c r="EA550" s="16" t="s">
        <v>166</v>
      </c>
      <c r="EB550" s="16" t="s">
        <v>166</v>
      </c>
      <c r="EC550" s="16" t="s">
        <v>166</v>
      </c>
      <c r="ED550" s="17" t="s">
        <v>166</v>
      </c>
      <c r="EE550" s="17" t="s">
        <v>166</v>
      </c>
      <c r="EF550" s="17" t="s">
        <v>166</v>
      </c>
      <c r="EG550" s="17" t="s">
        <v>166</v>
      </c>
      <c r="EH550" s="16" t="s">
        <v>166</v>
      </c>
      <c r="EI550" s="16" t="s">
        <v>166</v>
      </c>
      <c r="EJ550" s="16" t="s">
        <v>166</v>
      </c>
      <c r="EK550" s="16" t="s">
        <v>166</v>
      </c>
      <c r="EL550" s="16" t="s">
        <v>166</v>
      </c>
      <c r="EM550" s="16" t="s">
        <v>166</v>
      </c>
      <c r="EN550" s="16" t="s">
        <v>166</v>
      </c>
      <c r="EO550" s="16" t="s">
        <v>166</v>
      </c>
      <c r="EP550" s="16" t="s">
        <v>166</v>
      </c>
      <c r="EQ550" s="16" t="s">
        <v>166</v>
      </c>
      <c r="ER550" s="16" t="s">
        <v>166</v>
      </c>
      <c r="ES550" s="16" t="s">
        <v>166</v>
      </c>
      <c r="ET550" s="14" t="s">
        <v>166</v>
      </c>
      <c r="EU550" s="16" t="s">
        <v>166</v>
      </c>
      <c r="EV550" s="16" t="s">
        <v>166</v>
      </c>
      <c r="EW550" s="16" t="s">
        <v>166</v>
      </c>
      <c r="EX550" s="14" t="s">
        <v>190</v>
      </c>
      <c r="EY550" s="14" t="s">
        <v>166</v>
      </c>
      <c r="EZ550" s="16" t="s">
        <v>166</v>
      </c>
      <c r="FA550" s="15" t="s">
        <v>166</v>
      </c>
      <c r="FB550" s="15" t="s">
        <v>166</v>
      </c>
      <c r="FC550" s="15" t="s">
        <v>166</v>
      </c>
      <c r="FD550" s="15" t="s">
        <v>166</v>
      </c>
      <c r="FE550" s="15" t="s">
        <v>166</v>
      </c>
      <c r="FF550" s="15" t="s">
        <v>166</v>
      </c>
      <c r="FG550" s="14" t="s">
        <v>166</v>
      </c>
      <c r="FH550" s="3">
        <f>HYPERLINK("https://my.pitchbook.com?c=244954-36T","View Company Online")</f>
      </c>
    </row>
    <row r="551">
      <c r="A551" s="25" t="s">
        <v>10686</v>
      </c>
      <c r="B551" s="25" t="s">
        <v>10687</v>
      </c>
      <c r="C551" s="25" t="s">
        <v>10688</v>
      </c>
      <c r="D551" s="25" t="s">
        <v>166</v>
      </c>
      <c r="E551" s="34" t="s">
        <v>10689</v>
      </c>
      <c r="F551" s="32">
        <v>7</v>
      </c>
      <c r="G551" s="25" t="s">
        <v>10690</v>
      </c>
      <c r="H551" s="25" t="s">
        <v>166</v>
      </c>
      <c r="I551" s="25" t="s">
        <v>10691</v>
      </c>
      <c r="J551" s="25" t="s">
        <v>10692</v>
      </c>
      <c r="K551" s="25" t="s">
        <v>171</v>
      </c>
      <c r="L551" s="25" t="s">
        <v>172</v>
      </c>
      <c r="M551" s="25" t="s">
        <v>818</v>
      </c>
      <c r="N551" s="25" t="s">
        <v>10693</v>
      </c>
      <c r="O551" s="25" t="s">
        <v>10694</v>
      </c>
      <c r="P551" s="25" t="s">
        <v>10695</v>
      </c>
      <c r="Q551" s="25" t="s">
        <v>166</v>
      </c>
      <c r="R551" s="25" t="s">
        <v>177</v>
      </c>
      <c r="S551" s="25" t="s">
        <v>178</v>
      </c>
      <c r="T551" s="25" t="s">
        <v>179</v>
      </c>
      <c r="U551" s="25" t="s">
        <v>10696</v>
      </c>
      <c r="V551" s="25" t="s">
        <v>10697</v>
      </c>
      <c r="W551" s="32" t="s">
        <v>10698</v>
      </c>
      <c r="X551" s="25" t="s">
        <v>10699</v>
      </c>
      <c r="Y551" s="25" t="s">
        <v>10700</v>
      </c>
      <c r="Z551" s="25" t="s">
        <v>10701</v>
      </c>
      <c r="AA551" s="25" t="s">
        <v>166</v>
      </c>
      <c r="AB551" s="25" t="s">
        <v>166</v>
      </c>
      <c r="AC551" s="25" t="s">
        <v>166</v>
      </c>
      <c r="AD551" s="25" t="s">
        <v>166</v>
      </c>
      <c r="AE551" s="25" t="s">
        <v>166</v>
      </c>
      <c r="AF551" s="25" t="s">
        <v>166</v>
      </c>
      <c r="AG551" s="25" t="s">
        <v>166</v>
      </c>
      <c r="AH551" s="32">
        <v>3</v>
      </c>
      <c r="AI551" s="4">
        <f>HYPERLINK("https://my.pitchbook.com/?d=170806-60T","170806-60T")</f>
      </c>
      <c r="AJ551" s="30">
        <v>44256</v>
      </c>
      <c r="AK551" s="30">
        <v>44307</v>
      </c>
      <c r="AL551" s="29">
        <v>5.1</v>
      </c>
      <c r="AM551" s="25" t="s">
        <v>185</v>
      </c>
      <c r="AN551" s="29" t="s">
        <v>166</v>
      </c>
      <c r="AO551" s="29" t="s">
        <v>166</v>
      </c>
      <c r="AP551" s="25" t="s">
        <v>166</v>
      </c>
      <c r="AQ551" s="32" t="s">
        <v>166</v>
      </c>
      <c r="AR551" s="32" t="s">
        <v>166</v>
      </c>
      <c r="AS551" s="28" t="s">
        <v>166</v>
      </c>
      <c r="AT551" s="29">
        <v>5.1</v>
      </c>
      <c r="AU551" s="32" t="s">
        <v>186</v>
      </c>
      <c r="AV551" s="32" t="s">
        <v>166</v>
      </c>
      <c r="AW551" s="29" t="s">
        <v>166</v>
      </c>
      <c r="AX551" s="32" t="s">
        <v>746</v>
      </c>
      <c r="AY551" s="25" t="s">
        <v>217</v>
      </c>
      <c r="AZ551" s="25" t="s">
        <v>746</v>
      </c>
      <c r="BA551" s="25" t="s">
        <v>166</v>
      </c>
      <c r="BB551" s="32" t="s">
        <v>166</v>
      </c>
      <c r="BC551" s="25" t="s">
        <v>179</v>
      </c>
      <c r="BD551" s="25" t="s">
        <v>10702</v>
      </c>
      <c r="BE551" s="25" t="s">
        <v>189</v>
      </c>
      <c r="BF551" s="29">
        <v>5.1</v>
      </c>
      <c r="BG551" s="25" t="s">
        <v>190</v>
      </c>
      <c r="BH551" s="25" t="s">
        <v>166</v>
      </c>
      <c r="BI551" s="25" t="s">
        <v>166</v>
      </c>
      <c r="BJ551" s="29" t="s">
        <v>166</v>
      </c>
      <c r="BK551" s="29" t="s">
        <v>166</v>
      </c>
      <c r="BL551" s="25" t="s">
        <v>191</v>
      </c>
      <c r="BM551" s="25" t="s">
        <v>178</v>
      </c>
      <c r="BN551" s="25" t="s">
        <v>177</v>
      </c>
      <c r="BO551" s="33" t="s">
        <v>166</v>
      </c>
      <c r="BP551" s="25" t="s">
        <v>10703</v>
      </c>
      <c r="BQ551" s="32">
        <v>6</v>
      </c>
      <c r="BR551" s="25" t="s">
        <v>2631</v>
      </c>
      <c r="BS551" s="32">
        <v>1</v>
      </c>
      <c r="BT551" s="25" t="s">
        <v>166</v>
      </c>
      <c r="BU551" s="25" t="s">
        <v>166</v>
      </c>
      <c r="BV551" s="25" t="s">
        <v>10704</v>
      </c>
      <c r="BW551" s="25" t="s">
        <v>166</v>
      </c>
      <c r="BX551" s="25" t="s">
        <v>166</v>
      </c>
      <c r="BY551" s="25" t="s">
        <v>166</v>
      </c>
      <c r="BZ551" s="25" t="s">
        <v>166</v>
      </c>
      <c r="CA551" s="25" t="s">
        <v>166</v>
      </c>
      <c r="CB551" s="25" t="s">
        <v>166</v>
      </c>
      <c r="CC551" s="25" t="s">
        <v>166</v>
      </c>
      <c r="CD551" s="25" t="s">
        <v>166</v>
      </c>
      <c r="CE551" s="29" t="s">
        <v>166</v>
      </c>
      <c r="CF551" s="27" t="s">
        <v>166</v>
      </c>
      <c r="CG551" s="28" t="s">
        <v>166</v>
      </c>
      <c r="CH551" s="27" t="s">
        <v>166</v>
      </c>
      <c r="CI551" s="27" t="s">
        <v>166</v>
      </c>
      <c r="CJ551" s="27" t="s">
        <v>166</v>
      </c>
      <c r="CK551" s="27" t="s">
        <v>166</v>
      </c>
      <c r="CL551" s="27" t="s">
        <v>166</v>
      </c>
      <c r="CM551" s="31" t="s">
        <v>166</v>
      </c>
      <c r="CN551" s="27" t="s">
        <v>166</v>
      </c>
      <c r="CO551" s="27" t="s">
        <v>166</v>
      </c>
      <c r="CP551" s="27" t="s">
        <v>166</v>
      </c>
      <c r="CQ551" s="27" t="s">
        <v>166</v>
      </c>
      <c r="CR551" s="27" t="s">
        <v>166</v>
      </c>
      <c r="CS551" s="27" t="s">
        <v>166</v>
      </c>
      <c r="CT551" s="27" t="s">
        <v>166</v>
      </c>
      <c r="CU551" s="27" t="s">
        <v>166</v>
      </c>
      <c r="CV551" s="27" t="s">
        <v>166</v>
      </c>
      <c r="CW551" s="27" t="s">
        <v>166</v>
      </c>
      <c r="CX551" s="27" t="s">
        <v>166</v>
      </c>
      <c r="CY551" s="27" t="s">
        <v>166</v>
      </c>
      <c r="CZ551" s="27" t="s">
        <v>166</v>
      </c>
      <c r="DA551" s="27" t="s">
        <v>166</v>
      </c>
      <c r="DB551" s="27" t="s">
        <v>166</v>
      </c>
      <c r="DC551" s="27" t="s">
        <v>166</v>
      </c>
      <c r="DD551" s="27" t="s">
        <v>166</v>
      </c>
      <c r="DE551" s="28" t="s">
        <v>166</v>
      </c>
      <c r="DF551" s="33">
        <v>13</v>
      </c>
      <c r="DG551" s="25" t="s">
        <v>673</v>
      </c>
      <c r="DH551" s="25" t="s">
        <v>193</v>
      </c>
      <c r="DI551" s="25" t="s">
        <v>194</v>
      </c>
      <c r="DJ551" s="25" t="s">
        <v>674</v>
      </c>
      <c r="DK551" s="25" t="s">
        <v>257</v>
      </c>
      <c r="DL551" s="32" t="s">
        <v>1599</v>
      </c>
      <c r="DM551" s="25" t="s">
        <v>198</v>
      </c>
      <c r="DN551" s="24" t="s">
        <v>10705</v>
      </c>
      <c r="DO551" s="31">
        <v>2019</v>
      </c>
      <c r="DP551" s="25" t="s">
        <v>166</v>
      </c>
      <c r="DQ551" s="25" t="s">
        <v>166</v>
      </c>
      <c r="DR551" s="29" t="s">
        <v>166</v>
      </c>
      <c r="DS551" s="27" t="s">
        <v>166</v>
      </c>
      <c r="DT551" s="30" t="s">
        <v>166</v>
      </c>
      <c r="DU551" s="25" t="s">
        <v>166</v>
      </c>
      <c r="DV551" s="29" t="s">
        <v>166</v>
      </c>
      <c r="DW551" s="29" t="s">
        <v>166</v>
      </c>
      <c r="DX551" s="27" t="s">
        <v>166</v>
      </c>
      <c r="DY551" s="27" t="s">
        <v>166</v>
      </c>
      <c r="DZ551" s="28" t="s">
        <v>166</v>
      </c>
      <c r="EA551" s="27" t="s">
        <v>166</v>
      </c>
      <c r="EB551" s="27" t="s">
        <v>166</v>
      </c>
      <c r="EC551" s="27" t="s">
        <v>166</v>
      </c>
      <c r="ED551" s="28" t="s">
        <v>166</v>
      </c>
      <c r="EE551" s="28" t="s">
        <v>166</v>
      </c>
      <c r="EF551" s="28" t="s">
        <v>166</v>
      </c>
      <c r="EG551" s="28" t="s">
        <v>166</v>
      </c>
      <c r="EH551" s="27" t="s">
        <v>166</v>
      </c>
      <c r="EI551" s="27" t="s">
        <v>166</v>
      </c>
      <c r="EJ551" s="27" t="s">
        <v>166</v>
      </c>
      <c r="EK551" s="27" t="s">
        <v>166</v>
      </c>
      <c r="EL551" s="27" t="s">
        <v>166</v>
      </c>
      <c r="EM551" s="27" t="s">
        <v>166</v>
      </c>
      <c r="EN551" s="27" t="s">
        <v>166</v>
      </c>
      <c r="EO551" s="27" t="s">
        <v>166</v>
      </c>
      <c r="EP551" s="27" t="s">
        <v>166</v>
      </c>
      <c r="EQ551" s="27" t="s">
        <v>166</v>
      </c>
      <c r="ER551" s="27" t="s">
        <v>166</v>
      </c>
      <c r="ES551" s="27" t="s">
        <v>166</v>
      </c>
      <c r="ET551" s="25" t="s">
        <v>166</v>
      </c>
      <c r="EU551" s="27" t="s">
        <v>166</v>
      </c>
      <c r="EV551" s="27" t="s">
        <v>166</v>
      </c>
      <c r="EW551" s="27" t="s">
        <v>166</v>
      </c>
      <c r="EX551" s="25" t="s">
        <v>190</v>
      </c>
      <c r="EY551" s="25" t="s">
        <v>166</v>
      </c>
      <c r="EZ551" s="27" t="s">
        <v>166</v>
      </c>
      <c r="FA551" s="26">
        <v>5</v>
      </c>
      <c r="FB551" s="26">
        <v>2</v>
      </c>
      <c r="FC551" s="26">
        <v>2</v>
      </c>
      <c r="FD551" s="26">
        <v>2</v>
      </c>
      <c r="FE551" s="26" t="s">
        <v>166</v>
      </c>
      <c r="FF551" s="26">
        <v>1</v>
      </c>
      <c r="FG551" s="25" t="s">
        <v>10706</v>
      </c>
      <c r="FH551" s="4">
        <f>HYPERLINK("https://my.pitchbook.com?c=170806-60T","View Company Online")</f>
      </c>
    </row>
    <row r="552">
      <c r="A552" s="14" t="s">
        <v>10707</v>
      </c>
      <c r="B552" s="14" t="s">
        <v>10708</v>
      </c>
      <c r="C552" s="14" t="s">
        <v>10709</v>
      </c>
      <c r="D552" s="14" t="s">
        <v>166</v>
      </c>
      <c r="E552" s="23" t="s">
        <v>10710</v>
      </c>
      <c r="F552" s="21">
        <v>2</v>
      </c>
      <c r="G552" s="14" t="s">
        <v>10711</v>
      </c>
      <c r="H552" s="14" t="s">
        <v>166</v>
      </c>
      <c r="I552" s="14" t="s">
        <v>10712</v>
      </c>
      <c r="J552" s="14" t="s">
        <v>10713</v>
      </c>
      <c r="K552" s="14" t="s">
        <v>207</v>
      </c>
      <c r="L552" s="14" t="s">
        <v>208</v>
      </c>
      <c r="M552" s="14" t="s">
        <v>1940</v>
      </c>
      <c r="N552" s="14" t="s">
        <v>1941</v>
      </c>
      <c r="O552" s="14" t="s">
        <v>1842</v>
      </c>
      <c r="P552" s="14" t="s">
        <v>10714</v>
      </c>
      <c r="Q552" s="14" t="s">
        <v>166</v>
      </c>
      <c r="R552" s="14" t="s">
        <v>177</v>
      </c>
      <c r="S552" s="14" t="s">
        <v>178</v>
      </c>
      <c r="T552" s="14" t="s">
        <v>179</v>
      </c>
      <c r="U552" s="14" t="s">
        <v>10715</v>
      </c>
      <c r="V552" s="14" t="s">
        <v>10716</v>
      </c>
      <c r="W552" s="21" t="s">
        <v>166</v>
      </c>
      <c r="X552" s="14" t="s">
        <v>10717</v>
      </c>
      <c r="Y552" s="14" t="s">
        <v>10718</v>
      </c>
      <c r="Z552" s="14" t="s">
        <v>166</v>
      </c>
      <c r="AA552" s="14" t="s">
        <v>242</v>
      </c>
      <c r="AB552" s="14" t="s">
        <v>243</v>
      </c>
      <c r="AC552" s="14" t="s">
        <v>244</v>
      </c>
      <c r="AD552" s="14" t="s">
        <v>243</v>
      </c>
      <c r="AE552" s="14" t="s">
        <v>243</v>
      </c>
      <c r="AF552" s="14" t="s">
        <v>166</v>
      </c>
      <c r="AG552" s="14" t="s">
        <v>807</v>
      </c>
      <c r="AH552" s="21">
        <v>1</v>
      </c>
      <c r="AI552" s="3">
        <f>HYPERLINK("https://my.pitchbook.com/?d=192169-45T","192169-45T")</f>
      </c>
      <c r="AJ552" s="19" t="s">
        <v>166</v>
      </c>
      <c r="AK552" s="19">
        <v>44652</v>
      </c>
      <c r="AL552" s="18">
        <v>2.5</v>
      </c>
      <c r="AM552" s="14" t="s">
        <v>247</v>
      </c>
      <c r="AN552" s="18">
        <v>6</v>
      </c>
      <c r="AO552" s="18">
        <v>8.5</v>
      </c>
      <c r="AP552" s="14" t="s">
        <v>185</v>
      </c>
      <c r="AQ552" s="21" t="s">
        <v>166</v>
      </c>
      <c r="AR552" s="21" t="s">
        <v>166</v>
      </c>
      <c r="AS552" s="17">
        <v>29.41</v>
      </c>
      <c r="AT552" s="18">
        <v>2.5</v>
      </c>
      <c r="AU552" s="21" t="s">
        <v>186</v>
      </c>
      <c r="AV552" s="21" t="s">
        <v>166</v>
      </c>
      <c r="AW552" s="18">
        <v>0.39</v>
      </c>
      <c r="AX552" s="21" t="s">
        <v>166</v>
      </c>
      <c r="AY552" s="14" t="s">
        <v>217</v>
      </c>
      <c r="AZ552" s="14" t="s">
        <v>217</v>
      </c>
      <c r="BA552" s="14" t="s">
        <v>166</v>
      </c>
      <c r="BB552" s="21" t="s">
        <v>166</v>
      </c>
      <c r="BC552" s="14" t="s">
        <v>179</v>
      </c>
      <c r="BD552" s="14" t="s">
        <v>10713</v>
      </c>
      <c r="BE552" s="14" t="s">
        <v>189</v>
      </c>
      <c r="BF552" s="18">
        <v>2.5</v>
      </c>
      <c r="BG552" s="14" t="s">
        <v>190</v>
      </c>
      <c r="BH552" s="14" t="s">
        <v>166</v>
      </c>
      <c r="BI552" s="14" t="s">
        <v>166</v>
      </c>
      <c r="BJ552" s="18" t="s">
        <v>166</v>
      </c>
      <c r="BK552" s="18" t="s">
        <v>166</v>
      </c>
      <c r="BL552" s="14" t="s">
        <v>191</v>
      </c>
      <c r="BM552" s="14" t="s">
        <v>178</v>
      </c>
      <c r="BN552" s="14" t="s">
        <v>177</v>
      </c>
      <c r="BO552" s="22" t="s">
        <v>166</v>
      </c>
      <c r="BP552" s="14" t="s">
        <v>10710</v>
      </c>
      <c r="BQ552" s="21">
        <v>2</v>
      </c>
      <c r="BR552" s="14" t="s">
        <v>166</v>
      </c>
      <c r="BS552" s="21" t="s">
        <v>166</v>
      </c>
      <c r="BT552" s="14" t="s">
        <v>166</v>
      </c>
      <c r="BU552" s="14" t="s">
        <v>166</v>
      </c>
      <c r="BV552" s="14" t="s">
        <v>166</v>
      </c>
      <c r="BW552" s="14" t="s">
        <v>166</v>
      </c>
      <c r="BX552" s="14" t="s">
        <v>166</v>
      </c>
      <c r="BY552" s="14" t="s">
        <v>166</v>
      </c>
      <c r="BZ552" s="14" t="s">
        <v>10719</v>
      </c>
      <c r="CA552" s="14" t="s">
        <v>10719</v>
      </c>
      <c r="CB552" s="14" t="s">
        <v>166</v>
      </c>
      <c r="CC552" s="14" t="s">
        <v>166</v>
      </c>
      <c r="CD552" s="14" t="s">
        <v>166</v>
      </c>
      <c r="CE552" s="18" t="s">
        <v>166</v>
      </c>
      <c r="CF552" s="16" t="s">
        <v>166</v>
      </c>
      <c r="CG552" s="17" t="s">
        <v>166</v>
      </c>
      <c r="CH552" s="16" t="s">
        <v>166</v>
      </c>
      <c r="CI552" s="16" t="s">
        <v>166</v>
      </c>
      <c r="CJ552" s="16" t="s">
        <v>166</v>
      </c>
      <c r="CK552" s="16" t="s">
        <v>166</v>
      </c>
      <c r="CL552" s="16" t="s">
        <v>166</v>
      </c>
      <c r="CM552" s="20" t="s">
        <v>166</v>
      </c>
      <c r="CN552" s="16" t="s">
        <v>166</v>
      </c>
      <c r="CO552" s="16" t="s">
        <v>166</v>
      </c>
      <c r="CP552" s="16" t="s">
        <v>166</v>
      </c>
      <c r="CQ552" s="16" t="s">
        <v>166</v>
      </c>
      <c r="CR552" s="16" t="s">
        <v>166</v>
      </c>
      <c r="CS552" s="16" t="s">
        <v>166</v>
      </c>
      <c r="CT552" s="16" t="s">
        <v>166</v>
      </c>
      <c r="CU552" s="16" t="s">
        <v>166</v>
      </c>
      <c r="CV552" s="16" t="s">
        <v>166</v>
      </c>
      <c r="CW552" s="16" t="s">
        <v>166</v>
      </c>
      <c r="CX552" s="16" t="s">
        <v>166</v>
      </c>
      <c r="CY552" s="16" t="s">
        <v>166</v>
      </c>
      <c r="CZ552" s="16" t="s">
        <v>166</v>
      </c>
      <c r="DA552" s="16" t="s">
        <v>166</v>
      </c>
      <c r="DB552" s="16" t="s">
        <v>166</v>
      </c>
      <c r="DC552" s="16" t="s">
        <v>166</v>
      </c>
      <c r="DD552" s="16" t="s">
        <v>166</v>
      </c>
      <c r="DE552" s="17" t="s">
        <v>166</v>
      </c>
      <c r="DF552" s="22">
        <v>4</v>
      </c>
      <c r="DG552" s="14" t="s">
        <v>10720</v>
      </c>
      <c r="DH552" s="14" t="s">
        <v>193</v>
      </c>
      <c r="DI552" s="14" t="s">
        <v>194</v>
      </c>
      <c r="DJ552" s="14" t="s">
        <v>10721</v>
      </c>
      <c r="DK552" s="14" t="s">
        <v>257</v>
      </c>
      <c r="DL552" s="21" t="s">
        <v>10722</v>
      </c>
      <c r="DM552" s="14" t="s">
        <v>198</v>
      </c>
      <c r="DN552" s="13" t="s">
        <v>10723</v>
      </c>
      <c r="DO552" s="20">
        <v>2021</v>
      </c>
      <c r="DP552" s="14" t="s">
        <v>166</v>
      </c>
      <c r="DQ552" s="14" t="s">
        <v>166</v>
      </c>
      <c r="DR552" s="18" t="s">
        <v>166</v>
      </c>
      <c r="DS552" s="16" t="s">
        <v>166</v>
      </c>
      <c r="DT552" s="19" t="s">
        <v>166</v>
      </c>
      <c r="DU552" s="14" t="s">
        <v>166</v>
      </c>
      <c r="DV552" s="18" t="s">
        <v>166</v>
      </c>
      <c r="DW552" s="18" t="s">
        <v>166</v>
      </c>
      <c r="DX552" s="16" t="s">
        <v>166</v>
      </c>
      <c r="DY552" s="16" t="s">
        <v>166</v>
      </c>
      <c r="DZ552" s="17" t="s">
        <v>166</v>
      </c>
      <c r="EA552" s="16" t="s">
        <v>166</v>
      </c>
      <c r="EB552" s="16" t="s">
        <v>166</v>
      </c>
      <c r="EC552" s="16" t="s">
        <v>166</v>
      </c>
      <c r="ED552" s="17" t="s">
        <v>166</v>
      </c>
      <c r="EE552" s="17" t="s">
        <v>166</v>
      </c>
      <c r="EF552" s="17" t="s">
        <v>166</v>
      </c>
      <c r="EG552" s="17" t="s">
        <v>166</v>
      </c>
      <c r="EH552" s="16" t="s">
        <v>166</v>
      </c>
      <c r="EI552" s="16" t="s">
        <v>166</v>
      </c>
      <c r="EJ552" s="16" t="s">
        <v>166</v>
      </c>
      <c r="EK552" s="16" t="s">
        <v>166</v>
      </c>
      <c r="EL552" s="16" t="s">
        <v>166</v>
      </c>
      <c r="EM552" s="16" t="s">
        <v>166</v>
      </c>
      <c r="EN552" s="16" t="s">
        <v>166</v>
      </c>
      <c r="EO552" s="16" t="s">
        <v>166</v>
      </c>
      <c r="EP552" s="16" t="s">
        <v>166</v>
      </c>
      <c r="EQ552" s="16" t="s">
        <v>166</v>
      </c>
      <c r="ER552" s="16" t="s">
        <v>166</v>
      </c>
      <c r="ES552" s="16" t="s">
        <v>166</v>
      </c>
      <c r="ET552" s="14" t="s">
        <v>166</v>
      </c>
      <c r="EU552" s="16" t="s">
        <v>166</v>
      </c>
      <c r="EV552" s="16" t="s">
        <v>166</v>
      </c>
      <c r="EW552" s="16" t="s">
        <v>166</v>
      </c>
      <c r="EX552" s="14" t="s">
        <v>190</v>
      </c>
      <c r="EY552" s="14" t="s">
        <v>166</v>
      </c>
      <c r="EZ552" s="16" t="s">
        <v>166</v>
      </c>
      <c r="FA552" s="15" t="s">
        <v>166</v>
      </c>
      <c r="FB552" s="15" t="s">
        <v>166</v>
      </c>
      <c r="FC552" s="15" t="s">
        <v>166</v>
      </c>
      <c r="FD552" s="15" t="s">
        <v>166</v>
      </c>
      <c r="FE552" s="15" t="s">
        <v>166</v>
      </c>
      <c r="FF552" s="15" t="s">
        <v>166</v>
      </c>
      <c r="FG552" s="14" t="s">
        <v>166</v>
      </c>
      <c r="FH552" s="3">
        <f>HYPERLINK("https://my.pitchbook.com?c=192169-45T","View Company Online")</f>
      </c>
    </row>
    <row r="553">
      <c r="A553" s="25" t="s">
        <v>10724</v>
      </c>
      <c r="B553" s="25" t="s">
        <v>10725</v>
      </c>
      <c r="C553" s="25" t="s">
        <v>10726</v>
      </c>
      <c r="D553" s="25" t="s">
        <v>166</v>
      </c>
      <c r="E553" s="34" t="s">
        <v>10727</v>
      </c>
      <c r="F553" s="32">
        <v>8</v>
      </c>
      <c r="G553" s="25" t="s">
        <v>10728</v>
      </c>
      <c r="H553" s="25" t="s">
        <v>166</v>
      </c>
      <c r="I553" s="25" t="s">
        <v>10729</v>
      </c>
      <c r="J553" s="25" t="s">
        <v>10730</v>
      </c>
      <c r="K553" s="25" t="s">
        <v>207</v>
      </c>
      <c r="L553" s="25" t="s">
        <v>208</v>
      </c>
      <c r="M553" s="25" t="s">
        <v>1940</v>
      </c>
      <c r="N553" s="25" t="s">
        <v>10731</v>
      </c>
      <c r="O553" s="25" t="s">
        <v>641</v>
      </c>
      <c r="P553" s="25" t="s">
        <v>10732</v>
      </c>
      <c r="Q553" s="25" t="s">
        <v>166</v>
      </c>
      <c r="R553" s="25" t="s">
        <v>177</v>
      </c>
      <c r="S553" s="25" t="s">
        <v>178</v>
      </c>
      <c r="T553" s="25" t="s">
        <v>179</v>
      </c>
      <c r="U553" s="25" t="s">
        <v>10733</v>
      </c>
      <c r="V553" s="25" t="s">
        <v>10734</v>
      </c>
      <c r="W553" s="32" t="s">
        <v>166</v>
      </c>
      <c r="X553" s="25" t="s">
        <v>166</v>
      </c>
      <c r="Y553" s="25" t="s">
        <v>10735</v>
      </c>
      <c r="Z553" s="25" t="s">
        <v>166</v>
      </c>
      <c r="AA553" s="25" t="s">
        <v>166</v>
      </c>
      <c r="AB553" s="25" t="s">
        <v>166</v>
      </c>
      <c r="AC553" s="25" t="s">
        <v>166</v>
      </c>
      <c r="AD553" s="25" t="s">
        <v>166</v>
      </c>
      <c r="AE553" s="25" t="s">
        <v>166</v>
      </c>
      <c r="AF553" s="25" t="s">
        <v>166</v>
      </c>
      <c r="AG553" s="25" t="s">
        <v>166</v>
      </c>
      <c r="AH553" s="32">
        <v>1</v>
      </c>
      <c r="AI553" s="4">
        <f>HYPERLINK("https://my.pitchbook.com/?d=196852-06T","196852-06T")</f>
      </c>
      <c r="AJ553" s="30" t="s">
        <v>166</v>
      </c>
      <c r="AK553" s="30">
        <v>44600</v>
      </c>
      <c r="AL553" s="29">
        <v>0.3</v>
      </c>
      <c r="AM553" s="25" t="s">
        <v>185</v>
      </c>
      <c r="AN553" s="29" t="s">
        <v>166</v>
      </c>
      <c r="AO553" s="29" t="s">
        <v>166</v>
      </c>
      <c r="AP553" s="25" t="s">
        <v>166</v>
      </c>
      <c r="AQ553" s="32" t="s">
        <v>166</v>
      </c>
      <c r="AR553" s="32" t="s">
        <v>166</v>
      </c>
      <c r="AS553" s="28" t="s">
        <v>166</v>
      </c>
      <c r="AT553" s="29">
        <v>0.3</v>
      </c>
      <c r="AU553" s="32" t="s">
        <v>186</v>
      </c>
      <c r="AV553" s="32" t="s">
        <v>166</v>
      </c>
      <c r="AW553" s="29" t="s">
        <v>166</v>
      </c>
      <c r="AX553" s="32" t="s">
        <v>166</v>
      </c>
      <c r="AY553" s="25" t="s">
        <v>217</v>
      </c>
      <c r="AZ553" s="25" t="s">
        <v>217</v>
      </c>
      <c r="BA553" s="25" t="s">
        <v>166</v>
      </c>
      <c r="BB553" s="32" t="s">
        <v>166</v>
      </c>
      <c r="BC553" s="25" t="s">
        <v>179</v>
      </c>
      <c r="BD553" s="25" t="s">
        <v>10736</v>
      </c>
      <c r="BE553" s="25" t="s">
        <v>189</v>
      </c>
      <c r="BF553" s="29">
        <v>0.3</v>
      </c>
      <c r="BG553" s="25" t="s">
        <v>190</v>
      </c>
      <c r="BH553" s="25" t="s">
        <v>166</v>
      </c>
      <c r="BI553" s="25" t="s">
        <v>166</v>
      </c>
      <c r="BJ553" s="29" t="s">
        <v>166</v>
      </c>
      <c r="BK553" s="29" t="s">
        <v>166</v>
      </c>
      <c r="BL553" s="25" t="s">
        <v>191</v>
      </c>
      <c r="BM553" s="25" t="s">
        <v>178</v>
      </c>
      <c r="BN553" s="25" t="s">
        <v>177</v>
      </c>
      <c r="BO553" s="33" t="s">
        <v>166</v>
      </c>
      <c r="BP553" s="25" t="s">
        <v>10737</v>
      </c>
      <c r="BQ553" s="32">
        <v>8</v>
      </c>
      <c r="BR553" s="25" t="s">
        <v>166</v>
      </c>
      <c r="BS553" s="32" t="s">
        <v>166</v>
      </c>
      <c r="BT553" s="25" t="s">
        <v>166</v>
      </c>
      <c r="BU553" s="25" t="s">
        <v>166</v>
      </c>
      <c r="BV553" s="25" t="s">
        <v>10738</v>
      </c>
      <c r="BW553" s="25" t="s">
        <v>166</v>
      </c>
      <c r="BX553" s="25" t="s">
        <v>166</v>
      </c>
      <c r="BY553" s="25" t="s">
        <v>166</v>
      </c>
      <c r="BZ553" s="25" t="s">
        <v>166</v>
      </c>
      <c r="CA553" s="25" t="s">
        <v>166</v>
      </c>
      <c r="CB553" s="25" t="s">
        <v>166</v>
      </c>
      <c r="CC553" s="25" t="s">
        <v>166</v>
      </c>
      <c r="CD553" s="25" t="s">
        <v>166</v>
      </c>
      <c r="CE553" s="29" t="s">
        <v>166</v>
      </c>
      <c r="CF553" s="27" t="s">
        <v>166</v>
      </c>
      <c r="CG553" s="28" t="s">
        <v>166</v>
      </c>
      <c r="CH553" s="27" t="s">
        <v>166</v>
      </c>
      <c r="CI553" s="27" t="s">
        <v>166</v>
      </c>
      <c r="CJ553" s="27" t="s">
        <v>166</v>
      </c>
      <c r="CK553" s="27" t="s">
        <v>166</v>
      </c>
      <c r="CL553" s="27" t="s">
        <v>166</v>
      </c>
      <c r="CM553" s="31" t="s">
        <v>166</v>
      </c>
      <c r="CN553" s="27" t="s">
        <v>166</v>
      </c>
      <c r="CO553" s="27" t="s">
        <v>166</v>
      </c>
      <c r="CP553" s="27" t="s">
        <v>166</v>
      </c>
      <c r="CQ553" s="27" t="s">
        <v>166</v>
      </c>
      <c r="CR553" s="27" t="s">
        <v>166</v>
      </c>
      <c r="CS553" s="27" t="s">
        <v>166</v>
      </c>
      <c r="CT553" s="27" t="s">
        <v>166</v>
      </c>
      <c r="CU553" s="27" t="s">
        <v>166</v>
      </c>
      <c r="CV553" s="27" t="s">
        <v>166</v>
      </c>
      <c r="CW553" s="27" t="s">
        <v>166</v>
      </c>
      <c r="CX553" s="27" t="s">
        <v>166</v>
      </c>
      <c r="CY553" s="27" t="s">
        <v>166</v>
      </c>
      <c r="CZ553" s="27" t="s">
        <v>166</v>
      </c>
      <c r="DA553" s="27" t="s">
        <v>166</v>
      </c>
      <c r="DB553" s="27" t="s">
        <v>166</v>
      </c>
      <c r="DC553" s="27" t="s">
        <v>166</v>
      </c>
      <c r="DD553" s="27" t="s">
        <v>166</v>
      </c>
      <c r="DE553" s="28" t="s">
        <v>166</v>
      </c>
      <c r="DF553" s="33">
        <v>2</v>
      </c>
      <c r="DG553" s="25" t="s">
        <v>673</v>
      </c>
      <c r="DH553" s="25" t="s">
        <v>193</v>
      </c>
      <c r="DI553" s="25" t="s">
        <v>194</v>
      </c>
      <c r="DJ553" s="25" t="s">
        <v>674</v>
      </c>
      <c r="DK553" s="25" t="s">
        <v>257</v>
      </c>
      <c r="DL553" s="32" t="s">
        <v>166</v>
      </c>
      <c r="DM553" s="25" t="s">
        <v>198</v>
      </c>
      <c r="DN553" s="24" t="s">
        <v>10739</v>
      </c>
      <c r="DO553" s="31">
        <v>2020</v>
      </c>
      <c r="DP553" s="25" t="s">
        <v>166</v>
      </c>
      <c r="DQ553" s="25" t="s">
        <v>166</v>
      </c>
      <c r="DR553" s="29" t="s">
        <v>166</v>
      </c>
      <c r="DS553" s="27" t="s">
        <v>166</v>
      </c>
      <c r="DT553" s="30" t="s">
        <v>166</v>
      </c>
      <c r="DU553" s="25" t="s">
        <v>166</v>
      </c>
      <c r="DV553" s="29" t="s">
        <v>166</v>
      </c>
      <c r="DW553" s="29" t="s">
        <v>166</v>
      </c>
      <c r="DX553" s="27" t="s">
        <v>166</v>
      </c>
      <c r="DY553" s="27" t="s">
        <v>166</v>
      </c>
      <c r="DZ553" s="28" t="s">
        <v>166</v>
      </c>
      <c r="EA553" s="27" t="s">
        <v>166</v>
      </c>
      <c r="EB553" s="27" t="s">
        <v>166</v>
      </c>
      <c r="EC553" s="27" t="s">
        <v>166</v>
      </c>
      <c r="ED553" s="28" t="s">
        <v>166</v>
      </c>
      <c r="EE553" s="28" t="s">
        <v>166</v>
      </c>
      <c r="EF553" s="28" t="s">
        <v>166</v>
      </c>
      <c r="EG553" s="28" t="s">
        <v>166</v>
      </c>
      <c r="EH553" s="27" t="s">
        <v>166</v>
      </c>
      <c r="EI553" s="27" t="s">
        <v>166</v>
      </c>
      <c r="EJ553" s="27" t="s">
        <v>166</v>
      </c>
      <c r="EK553" s="27" t="s">
        <v>166</v>
      </c>
      <c r="EL553" s="27" t="s">
        <v>166</v>
      </c>
      <c r="EM553" s="27" t="s">
        <v>166</v>
      </c>
      <c r="EN553" s="27" t="s">
        <v>166</v>
      </c>
      <c r="EO553" s="27" t="s">
        <v>166</v>
      </c>
      <c r="EP553" s="27" t="s">
        <v>166</v>
      </c>
      <c r="EQ553" s="27" t="s">
        <v>166</v>
      </c>
      <c r="ER553" s="27" t="s">
        <v>166</v>
      </c>
      <c r="ES553" s="27" t="s">
        <v>166</v>
      </c>
      <c r="ET553" s="25" t="s">
        <v>166</v>
      </c>
      <c r="EU553" s="27" t="s">
        <v>166</v>
      </c>
      <c r="EV553" s="27" t="s">
        <v>166</v>
      </c>
      <c r="EW553" s="27" t="s">
        <v>166</v>
      </c>
      <c r="EX553" s="25" t="s">
        <v>190</v>
      </c>
      <c r="EY553" s="25" t="s">
        <v>166</v>
      </c>
      <c r="EZ553" s="27" t="s">
        <v>166</v>
      </c>
      <c r="FA553" s="26" t="s">
        <v>166</v>
      </c>
      <c r="FB553" s="26" t="s">
        <v>166</v>
      </c>
      <c r="FC553" s="26" t="s">
        <v>166</v>
      </c>
      <c r="FD553" s="26" t="s">
        <v>166</v>
      </c>
      <c r="FE553" s="26" t="s">
        <v>166</v>
      </c>
      <c r="FF553" s="26" t="s">
        <v>166</v>
      </c>
      <c r="FG553" s="25" t="s">
        <v>166</v>
      </c>
      <c r="FH553" s="4">
        <f>HYPERLINK("https://my.pitchbook.com?c=196852-06T","View Company Online")</f>
      </c>
    </row>
    <row r="554">
      <c r="A554" s="14" t="s">
        <v>10740</v>
      </c>
      <c r="B554" s="14" t="s">
        <v>10741</v>
      </c>
      <c r="C554" s="14" t="s">
        <v>10742</v>
      </c>
      <c r="D554" s="14" t="s">
        <v>166</v>
      </c>
      <c r="E554" s="23" t="s">
        <v>10743</v>
      </c>
      <c r="F554" s="21">
        <v>2</v>
      </c>
      <c r="G554" s="14" t="s">
        <v>9040</v>
      </c>
      <c r="H554" s="14" t="s">
        <v>166</v>
      </c>
      <c r="I554" s="14" t="s">
        <v>10744</v>
      </c>
      <c r="J554" s="14" t="s">
        <v>10745</v>
      </c>
      <c r="K554" s="14" t="s">
        <v>1500</v>
      </c>
      <c r="L554" s="14" t="s">
        <v>2334</v>
      </c>
      <c r="M554" s="14" t="s">
        <v>7683</v>
      </c>
      <c r="N554" s="14" t="s">
        <v>10746</v>
      </c>
      <c r="O554" s="14" t="s">
        <v>580</v>
      </c>
      <c r="P554" s="14" t="s">
        <v>10747</v>
      </c>
      <c r="Q554" s="14" t="s">
        <v>166</v>
      </c>
      <c r="R554" s="14" t="s">
        <v>177</v>
      </c>
      <c r="S554" s="14" t="s">
        <v>785</v>
      </c>
      <c r="T554" s="14" t="s">
        <v>179</v>
      </c>
      <c r="U554" s="14" t="s">
        <v>10748</v>
      </c>
      <c r="V554" s="14" t="s">
        <v>10749</v>
      </c>
      <c r="W554" s="21" t="s">
        <v>166</v>
      </c>
      <c r="X554" s="14" t="s">
        <v>166</v>
      </c>
      <c r="Y554" s="14" t="s">
        <v>10750</v>
      </c>
      <c r="Z554" s="14" t="s">
        <v>166</v>
      </c>
      <c r="AA554" s="14" t="s">
        <v>166</v>
      </c>
      <c r="AB554" s="14" t="s">
        <v>166</v>
      </c>
      <c r="AC554" s="14" t="s">
        <v>166</v>
      </c>
      <c r="AD554" s="14" t="s">
        <v>166</v>
      </c>
      <c r="AE554" s="14" t="s">
        <v>166</v>
      </c>
      <c r="AF554" s="14" t="s">
        <v>166</v>
      </c>
      <c r="AG554" s="14" t="s">
        <v>166</v>
      </c>
      <c r="AH554" s="21">
        <v>1</v>
      </c>
      <c r="AI554" s="3">
        <f>HYPERLINK("https://my.pitchbook.com/?d=234838-54T","234838-54T")</f>
      </c>
      <c r="AJ554" s="19" t="s">
        <v>166</v>
      </c>
      <c r="AK554" s="19">
        <v>45108</v>
      </c>
      <c r="AL554" s="18">
        <v>1.2</v>
      </c>
      <c r="AM554" s="14" t="s">
        <v>185</v>
      </c>
      <c r="AN554" s="18" t="s">
        <v>166</v>
      </c>
      <c r="AO554" s="18" t="s">
        <v>166</v>
      </c>
      <c r="AP554" s="14" t="s">
        <v>166</v>
      </c>
      <c r="AQ554" s="21" t="s">
        <v>166</v>
      </c>
      <c r="AR554" s="21" t="s">
        <v>166</v>
      </c>
      <c r="AS554" s="17" t="s">
        <v>166</v>
      </c>
      <c r="AT554" s="18">
        <v>1.2</v>
      </c>
      <c r="AU554" s="21" t="s">
        <v>186</v>
      </c>
      <c r="AV554" s="21" t="s">
        <v>166</v>
      </c>
      <c r="AW554" s="18" t="s">
        <v>166</v>
      </c>
      <c r="AX554" s="21" t="s">
        <v>166</v>
      </c>
      <c r="AY554" s="14" t="s">
        <v>217</v>
      </c>
      <c r="AZ554" s="14" t="s">
        <v>217</v>
      </c>
      <c r="BA554" s="14" t="s">
        <v>166</v>
      </c>
      <c r="BB554" s="21" t="s">
        <v>166</v>
      </c>
      <c r="BC554" s="14" t="s">
        <v>179</v>
      </c>
      <c r="BD554" s="14" t="s">
        <v>10745</v>
      </c>
      <c r="BE554" s="14" t="s">
        <v>189</v>
      </c>
      <c r="BF554" s="18">
        <v>1.2</v>
      </c>
      <c r="BG554" s="14" t="s">
        <v>190</v>
      </c>
      <c r="BH554" s="14" t="s">
        <v>166</v>
      </c>
      <c r="BI554" s="14" t="s">
        <v>166</v>
      </c>
      <c r="BJ554" s="18" t="s">
        <v>166</v>
      </c>
      <c r="BK554" s="18" t="s">
        <v>166</v>
      </c>
      <c r="BL554" s="14" t="s">
        <v>191</v>
      </c>
      <c r="BM554" s="14" t="s">
        <v>785</v>
      </c>
      <c r="BN554" s="14" t="s">
        <v>177</v>
      </c>
      <c r="BO554" s="22" t="s">
        <v>166</v>
      </c>
      <c r="BP554" s="14" t="s">
        <v>10751</v>
      </c>
      <c r="BQ554" s="21">
        <v>2</v>
      </c>
      <c r="BR554" s="14" t="s">
        <v>166</v>
      </c>
      <c r="BS554" s="21" t="s">
        <v>166</v>
      </c>
      <c r="BT554" s="14" t="s">
        <v>10752</v>
      </c>
      <c r="BU554" s="14" t="s">
        <v>166</v>
      </c>
      <c r="BV554" s="14" t="s">
        <v>166</v>
      </c>
      <c r="BW554" s="14" t="s">
        <v>166</v>
      </c>
      <c r="BX554" s="14" t="s">
        <v>166</v>
      </c>
      <c r="BY554" s="14" t="s">
        <v>166</v>
      </c>
      <c r="BZ554" s="14" t="s">
        <v>166</v>
      </c>
      <c r="CA554" s="14" t="s">
        <v>166</v>
      </c>
      <c r="CB554" s="14" t="s">
        <v>166</v>
      </c>
      <c r="CC554" s="14" t="s">
        <v>166</v>
      </c>
      <c r="CD554" s="14" t="s">
        <v>166</v>
      </c>
      <c r="CE554" s="18" t="s">
        <v>166</v>
      </c>
      <c r="CF554" s="16" t="s">
        <v>166</v>
      </c>
      <c r="CG554" s="17" t="s">
        <v>166</v>
      </c>
      <c r="CH554" s="16" t="s">
        <v>166</v>
      </c>
      <c r="CI554" s="16" t="s">
        <v>166</v>
      </c>
      <c r="CJ554" s="16" t="s">
        <v>166</v>
      </c>
      <c r="CK554" s="16" t="s">
        <v>166</v>
      </c>
      <c r="CL554" s="16" t="s">
        <v>166</v>
      </c>
      <c r="CM554" s="20" t="s">
        <v>166</v>
      </c>
      <c r="CN554" s="16" t="s">
        <v>166</v>
      </c>
      <c r="CO554" s="16" t="s">
        <v>166</v>
      </c>
      <c r="CP554" s="16" t="s">
        <v>166</v>
      </c>
      <c r="CQ554" s="16" t="s">
        <v>166</v>
      </c>
      <c r="CR554" s="16" t="s">
        <v>166</v>
      </c>
      <c r="CS554" s="16" t="s">
        <v>166</v>
      </c>
      <c r="CT554" s="16" t="s">
        <v>166</v>
      </c>
      <c r="CU554" s="16" t="s">
        <v>166</v>
      </c>
      <c r="CV554" s="16" t="s">
        <v>166</v>
      </c>
      <c r="CW554" s="16" t="s">
        <v>166</v>
      </c>
      <c r="CX554" s="16" t="s">
        <v>166</v>
      </c>
      <c r="CY554" s="16" t="s">
        <v>166</v>
      </c>
      <c r="CZ554" s="16" t="s">
        <v>166</v>
      </c>
      <c r="DA554" s="16" t="s">
        <v>166</v>
      </c>
      <c r="DB554" s="16" t="s">
        <v>166</v>
      </c>
      <c r="DC554" s="16" t="s">
        <v>166</v>
      </c>
      <c r="DD554" s="16" t="s">
        <v>166</v>
      </c>
      <c r="DE554" s="17" t="s">
        <v>166</v>
      </c>
      <c r="DF554" s="22">
        <v>6</v>
      </c>
      <c r="DG554" s="14" t="s">
        <v>3157</v>
      </c>
      <c r="DH554" s="14" t="s">
        <v>193</v>
      </c>
      <c r="DI554" s="14" t="s">
        <v>194</v>
      </c>
      <c r="DJ554" s="14" t="s">
        <v>3158</v>
      </c>
      <c r="DK554" s="14" t="s">
        <v>257</v>
      </c>
      <c r="DL554" s="21" t="s">
        <v>10753</v>
      </c>
      <c r="DM554" s="14" t="s">
        <v>198</v>
      </c>
      <c r="DN554" s="13" t="s">
        <v>10754</v>
      </c>
      <c r="DO554" s="20">
        <v>2022</v>
      </c>
      <c r="DP554" s="14" t="s">
        <v>166</v>
      </c>
      <c r="DQ554" s="14" t="s">
        <v>166</v>
      </c>
      <c r="DR554" s="18" t="s">
        <v>166</v>
      </c>
      <c r="DS554" s="16" t="s">
        <v>166</v>
      </c>
      <c r="DT554" s="19" t="s">
        <v>166</v>
      </c>
      <c r="DU554" s="14" t="s">
        <v>166</v>
      </c>
      <c r="DV554" s="18" t="s">
        <v>166</v>
      </c>
      <c r="DW554" s="18" t="s">
        <v>166</v>
      </c>
      <c r="DX554" s="16" t="s">
        <v>166</v>
      </c>
      <c r="DY554" s="16" t="s">
        <v>166</v>
      </c>
      <c r="DZ554" s="17" t="s">
        <v>166</v>
      </c>
      <c r="EA554" s="16" t="s">
        <v>166</v>
      </c>
      <c r="EB554" s="16" t="s">
        <v>166</v>
      </c>
      <c r="EC554" s="16" t="s">
        <v>166</v>
      </c>
      <c r="ED554" s="17" t="s">
        <v>166</v>
      </c>
      <c r="EE554" s="17" t="s">
        <v>166</v>
      </c>
      <c r="EF554" s="17" t="s">
        <v>166</v>
      </c>
      <c r="EG554" s="17" t="s">
        <v>166</v>
      </c>
      <c r="EH554" s="16" t="s">
        <v>166</v>
      </c>
      <c r="EI554" s="16" t="s">
        <v>166</v>
      </c>
      <c r="EJ554" s="16" t="s">
        <v>166</v>
      </c>
      <c r="EK554" s="16" t="s">
        <v>166</v>
      </c>
      <c r="EL554" s="16" t="s">
        <v>166</v>
      </c>
      <c r="EM554" s="16" t="s">
        <v>166</v>
      </c>
      <c r="EN554" s="16" t="s">
        <v>166</v>
      </c>
      <c r="EO554" s="16" t="s">
        <v>166</v>
      </c>
      <c r="EP554" s="16" t="s">
        <v>166</v>
      </c>
      <c r="EQ554" s="16" t="s">
        <v>166</v>
      </c>
      <c r="ER554" s="16" t="s">
        <v>166</v>
      </c>
      <c r="ES554" s="16" t="s">
        <v>166</v>
      </c>
      <c r="ET554" s="14" t="s">
        <v>166</v>
      </c>
      <c r="EU554" s="16" t="s">
        <v>166</v>
      </c>
      <c r="EV554" s="16" t="s">
        <v>166</v>
      </c>
      <c r="EW554" s="16" t="s">
        <v>166</v>
      </c>
      <c r="EX554" s="14" t="s">
        <v>190</v>
      </c>
      <c r="EY554" s="14" t="s">
        <v>166</v>
      </c>
      <c r="EZ554" s="16" t="s">
        <v>166</v>
      </c>
      <c r="FA554" s="15" t="s">
        <v>166</v>
      </c>
      <c r="FB554" s="15" t="s">
        <v>166</v>
      </c>
      <c r="FC554" s="15" t="s">
        <v>166</v>
      </c>
      <c r="FD554" s="15" t="s">
        <v>166</v>
      </c>
      <c r="FE554" s="15" t="s">
        <v>166</v>
      </c>
      <c r="FF554" s="15" t="s">
        <v>166</v>
      </c>
      <c r="FG554" s="14" t="s">
        <v>166</v>
      </c>
      <c r="FH554" s="3">
        <f>HYPERLINK("https://my.pitchbook.com?c=234838-54T","View Company Online")</f>
      </c>
    </row>
    <row r="555">
      <c r="A555" s="25" t="s">
        <v>10755</v>
      </c>
      <c r="B555" s="25" t="s">
        <v>10756</v>
      </c>
      <c r="C555" s="25" t="s">
        <v>10757</v>
      </c>
      <c r="D555" s="25" t="s">
        <v>166</v>
      </c>
      <c r="E555" s="34" t="s">
        <v>10758</v>
      </c>
      <c r="F555" s="32">
        <v>1</v>
      </c>
      <c r="G555" s="25" t="s">
        <v>10759</v>
      </c>
      <c r="H555" s="25" t="s">
        <v>166</v>
      </c>
      <c r="I555" s="25" t="s">
        <v>10760</v>
      </c>
      <c r="J555" s="25" t="s">
        <v>10761</v>
      </c>
      <c r="K555" s="25" t="s">
        <v>207</v>
      </c>
      <c r="L555" s="25" t="s">
        <v>208</v>
      </c>
      <c r="M555" s="25" t="s">
        <v>639</v>
      </c>
      <c r="N555" s="25" t="s">
        <v>10762</v>
      </c>
      <c r="O555" s="25" t="s">
        <v>397</v>
      </c>
      <c r="P555" s="25" t="s">
        <v>10763</v>
      </c>
      <c r="Q555" s="25" t="s">
        <v>166</v>
      </c>
      <c r="R555" s="25" t="s">
        <v>177</v>
      </c>
      <c r="S555" s="25" t="s">
        <v>178</v>
      </c>
      <c r="T555" s="25" t="s">
        <v>179</v>
      </c>
      <c r="U555" s="25" t="s">
        <v>10764</v>
      </c>
      <c r="V555" s="25" t="s">
        <v>10765</v>
      </c>
      <c r="W555" s="32" t="s">
        <v>166</v>
      </c>
      <c r="X555" s="25" t="s">
        <v>10766</v>
      </c>
      <c r="Y555" s="25" t="s">
        <v>10767</v>
      </c>
      <c r="Z555" s="25" t="s">
        <v>10768</v>
      </c>
      <c r="AA555" s="25" t="s">
        <v>166</v>
      </c>
      <c r="AB555" s="25" t="s">
        <v>166</v>
      </c>
      <c r="AC555" s="25" t="s">
        <v>166</v>
      </c>
      <c r="AD555" s="25" t="s">
        <v>166</v>
      </c>
      <c r="AE555" s="25" t="s">
        <v>166</v>
      </c>
      <c r="AF555" s="25" t="s">
        <v>166</v>
      </c>
      <c r="AG555" s="25" t="s">
        <v>166</v>
      </c>
      <c r="AH555" s="32">
        <v>1</v>
      </c>
      <c r="AI555" s="4">
        <f>HYPERLINK("https://my.pitchbook.com/?d=186372-28T","186372-28T")</f>
      </c>
      <c r="AJ555" s="30" t="s">
        <v>166</v>
      </c>
      <c r="AK555" s="30">
        <v>44504</v>
      </c>
      <c r="AL555" s="29">
        <v>0.05</v>
      </c>
      <c r="AM555" s="25" t="s">
        <v>185</v>
      </c>
      <c r="AN555" s="29" t="s">
        <v>166</v>
      </c>
      <c r="AO555" s="29" t="s">
        <v>166</v>
      </c>
      <c r="AP555" s="25" t="s">
        <v>166</v>
      </c>
      <c r="AQ555" s="32" t="s">
        <v>166</v>
      </c>
      <c r="AR555" s="32" t="s">
        <v>166</v>
      </c>
      <c r="AS555" s="28" t="s">
        <v>166</v>
      </c>
      <c r="AT555" s="29">
        <v>0.05</v>
      </c>
      <c r="AU555" s="32" t="s">
        <v>186</v>
      </c>
      <c r="AV555" s="32" t="s">
        <v>166</v>
      </c>
      <c r="AW555" s="29" t="s">
        <v>166</v>
      </c>
      <c r="AX555" s="32" t="s">
        <v>166</v>
      </c>
      <c r="AY555" s="25" t="s">
        <v>217</v>
      </c>
      <c r="AZ555" s="25" t="s">
        <v>217</v>
      </c>
      <c r="BA555" s="25" t="s">
        <v>166</v>
      </c>
      <c r="BB555" s="32" t="s">
        <v>166</v>
      </c>
      <c r="BC555" s="25" t="s">
        <v>179</v>
      </c>
      <c r="BD555" s="25" t="s">
        <v>10761</v>
      </c>
      <c r="BE555" s="25" t="s">
        <v>189</v>
      </c>
      <c r="BF555" s="29">
        <v>0.05</v>
      </c>
      <c r="BG555" s="25" t="s">
        <v>190</v>
      </c>
      <c r="BH555" s="25" t="s">
        <v>166</v>
      </c>
      <c r="BI555" s="25" t="s">
        <v>166</v>
      </c>
      <c r="BJ555" s="29" t="s">
        <v>166</v>
      </c>
      <c r="BK555" s="29" t="s">
        <v>166</v>
      </c>
      <c r="BL555" s="25" t="s">
        <v>191</v>
      </c>
      <c r="BM555" s="25" t="s">
        <v>178</v>
      </c>
      <c r="BN555" s="25" t="s">
        <v>177</v>
      </c>
      <c r="BO555" s="33" t="s">
        <v>166</v>
      </c>
      <c r="BP555" s="25" t="s">
        <v>10758</v>
      </c>
      <c r="BQ555" s="32">
        <v>1</v>
      </c>
      <c r="BR555" s="25" t="s">
        <v>166</v>
      </c>
      <c r="BS555" s="32" t="s">
        <v>166</v>
      </c>
      <c r="BT555" s="25" t="s">
        <v>166</v>
      </c>
      <c r="BU555" s="25" t="s">
        <v>166</v>
      </c>
      <c r="BV555" s="25" t="s">
        <v>10769</v>
      </c>
      <c r="BW555" s="25" t="s">
        <v>166</v>
      </c>
      <c r="BX555" s="25" t="s">
        <v>166</v>
      </c>
      <c r="BY555" s="25" t="s">
        <v>166</v>
      </c>
      <c r="BZ555" s="25" t="s">
        <v>166</v>
      </c>
      <c r="CA555" s="25" t="s">
        <v>166</v>
      </c>
      <c r="CB555" s="25" t="s">
        <v>166</v>
      </c>
      <c r="CC555" s="25" t="s">
        <v>166</v>
      </c>
      <c r="CD555" s="25" t="s">
        <v>166</v>
      </c>
      <c r="CE555" s="29" t="s">
        <v>166</v>
      </c>
      <c r="CF555" s="27" t="s">
        <v>166</v>
      </c>
      <c r="CG555" s="28" t="s">
        <v>166</v>
      </c>
      <c r="CH555" s="27" t="s">
        <v>166</v>
      </c>
      <c r="CI555" s="27" t="s">
        <v>166</v>
      </c>
      <c r="CJ555" s="27" t="s">
        <v>166</v>
      </c>
      <c r="CK555" s="27" t="s">
        <v>166</v>
      </c>
      <c r="CL555" s="27" t="s">
        <v>166</v>
      </c>
      <c r="CM555" s="31" t="s">
        <v>166</v>
      </c>
      <c r="CN555" s="27" t="s">
        <v>166</v>
      </c>
      <c r="CO555" s="27" t="s">
        <v>166</v>
      </c>
      <c r="CP555" s="27" t="s">
        <v>166</v>
      </c>
      <c r="CQ555" s="27" t="s">
        <v>166</v>
      </c>
      <c r="CR555" s="27" t="s">
        <v>166</v>
      </c>
      <c r="CS555" s="27" t="s">
        <v>166</v>
      </c>
      <c r="CT555" s="27" t="s">
        <v>166</v>
      </c>
      <c r="CU555" s="27" t="s">
        <v>166</v>
      </c>
      <c r="CV555" s="27" t="s">
        <v>166</v>
      </c>
      <c r="CW555" s="27" t="s">
        <v>166</v>
      </c>
      <c r="CX555" s="27" t="s">
        <v>166</v>
      </c>
      <c r="CY555" s="27" t="s">
        <v>166</v>
      </c>
      <c r="CZ555" s="27" t="s">
        <v>166</v>
      </c>
      <c r="DA555" s="27" t="s">
        <v>166</v>
      </c>
      <c r="DB555" s="27" t="s">
        <v>166</v>
      </c>
      <c r="DC555" s="27" t="s">
        <v>166</v>
      </c>
      <c r="DD555" s="27" t="s">
        <v>166</v>
      </c>
      <c r="DE555" s="28" t="s">
        <v>166</v>
      </c>
      <c r="DF555" s="33">
        <v>2</v>
      </c>
      <c r="DG555" s="25" t="s">
        <v>543</v>
      </c>
      <c r="DH555" s="25" t="s">
        <v>193</v>
      </c>
      <c r="DI555" s="25" t="s">
        <v>194</v>
      </c>
      <c r="DJ555" s="25" t="s">
        <v>544</v>
      </c>
      <c r="DK555" s="25" t="s">
        <v>545</v>
      </c>
      <c r="DL555" s="32" t="s">
        <v>10770</v>
      </c>
      <c r="DM555" s="25" t="s">
        <v>198</v>
      </c>
      <c r="DN555" s="24" t="s">
        <v>10771</v>
      </c>
      <c r="DO555" s="31">
        <v>2020</v>
      </c>
      <c r="DP555" s="25" t="s">
        <v>166</v>
      </c>
      <c r="DQ555" s="25" t="s">
        <v>166</v>
      </c>
      <c r="DR555" s="29" t="s">
        <v>166</v>
      </c>
      <c r="DS555" s="27" t="s">
        <v>166</v>
      </c>
      <c r="DT555" s="30" t="s">
        <v>166</v>
      </c>
      <c r="DU555" s="25" t="s">
        <v>166</v>
      </c>
      <c r="DV555" s="29" t="s">
        <v>166</v>
      </c>
      <c r="DW555" s="29" t="s">
        <v>166</v>
      </c>
      <c r="DX555" s="27" t="s">
        <v>166</v>
      </c>
      <c r="DY555" s="27" t="s">
        <v>166</v>
      </c>
      <c r="DZ555" s="28" t="s">
        <v>166</v>
      </c>
      <c r="EA555" s="27" t="s">
        <v>166</v>
      </c>
      <c r="EB555" s="27" t="s">
        <v>166</v>
      </c>
      <c r="EC555" s="27" t="s">
        <v>166</v>
      </c>
      <c r="ED555" s="28" t="s">
        <v>166</v>
      </c>
      <c r="EE555" s="28" t="s">
        <v>166</v>
      </c>
      <c r="EF555" s="28" t="s">
        <v>166</v>
      </c>
      <c r="EG555" s="28" t="s">
        <v>166</v>
      </c>
      <c r="EH555" s="27" t="s">
        <v>166</v>
      </c>
      <c r="EI555" s="27" t="s">
        <v>166</v>
      </c>
      <c r="EJ555" s="27" t="s">
        <v>166</v>
      </c>
      <c r="EK555" s="27" t="s">
        <v>166</v>
      </c>
      <c r="EL555" s="27" t="s">
        <v>166</v>
      </c>
      <c r="EM555" s="27" t="s">
        <v>166</v>
      </c>
      <c r="EN555" s="27" t="s">
        <v>166</v>
      </c>
      <c r="EO555" s="27" t="s">
        <v>166</v>
      </c>
      <c r="EP555" s="27" t="s">
        <v>166</v>
      </c>
      <c r="EQ555" s="27" t="s">
        <v>166</v>
      </c>
      <c r="ER555" s="27" t="s">
        <v>166</v>
      </c>
      <c r="ES555" s="27" t="s">
        <v>166</v>
      </c>
      <c r="ET555" s="25" t="s">
        <v>166</v>
      </c>
      <c r="EU555" s="27" t="s">
        <v>166</v>
      </c>
      <c r="EV555" s="27" t="s">
        <v>166</v>
      </c>
      <c r="EW555" s="27" t="s">
        <v>166</v>
      </c>
      <c r="EX555" s="25" t="s">
        <v>190</v>
      </c>
      <c r="EY555" s="25" t="s">
        <v>166</v>
      </c>
      <c r="EZ555" s="27" t="s">
        <v>166</v>
      </c>
      <c r="FA555" s="26" t="s">
        <v>166</v>
      </c>
      <c r="FB555" s="26" t="s">
        <v>166</v>
      </c>
      <c r="FC555" s="26" t="s">
        <v>166</v>
      </c>
      <c r="FD555" s="26" t="s">
        <v>166</v>
      </c>
      <c r="FE555" s="26" t="s">
        <v>166</v>
      </c>
      <c r="FF555" s="26" t="s">
        <v>166</v>
      </c>
      <c r="FG555" s="25" t="s">
        <v>166</v>
      </c>
      <c r="FH555" s="4">
        <f>HYPERLINK("https://my.pitchbook.com?c=186372-28T","View Company Online")</f>
      </c>
    </row>
    <row r="556">
      <c r="A556" s="14" t="s">
        <v>10772</v>
      </c>
      <c r="B556" s="14" t="s">
        <v>10773</v>
      </c>
      <c r="C556" s="14" t="s">
        <v>10774</v>
      </c>
      <c r="D556" s="14" t="s">
        <v>166</v>
      </c>
      <c r="E556" s="23" t="s">
        <v>10775</v>
      </c>
      <c r="F556" s="21">
        <v>10</v>
      </c>
      <c r="G556" s="14" t="s">
        <v>10776</v>
      </c>
      <c r="H556" s="14" t="s">
        <v>166</v>
      </c>
      <c r="I556" s="14" t="s">
        <v>10777</v>
      </c>
      <c r="J556" s="14" t="s">
        <v>10778</v>
      </c>
      <c r="K556" s="14" t="s">
        <v>207</v>
      </c>
      <c r="L556" s="14" t="s">
        <v>208</v>
      </c>
      <c r="M556" s="14" t="s">
        <v>639</v>
      </c>
      <c r="N556" s="14" t="s">
        <v>10779</v>
      </c>
      <c r="O556" s="14" t="s">
        <v>166</v>
      </c>
      <c r="P556" s="14" t="s">
        <v>10780</v>
      </c>
      <c r="Q556" s="14" t="s">
        <v>166</v>
      </c>
      <c r="R556" s="14" t="s">
        <v>177</v>
      </c>
      <c r="S556" s="14" t="s">
        <v>178</v>
      </c>
      <c r="T556" s="14" t="s">
        <v>179</v>
      </c>
      <c r="U556" s="14" t="s">
        <v>10781</v>
      </c>
      <c r="V556" s="14" t="s">
        <v>10782</v>
      </c>
      <c r="W556" s="21" t="s">
        <v>166</v>
      </c>
      <c r="X556" s="14" t="s">
        <v>166</v>
      </c>
      <c r="Y556" s="14" t="s">
        <v>10783</v>
      </c>
      <c r="Z556" s="14" t="s">
        <v>166</v>
      </c>
      <c r="AA556" s="14" t="s">
        <v>166</v>
      </c>
      <c r="AB556" s="14" t="s">
        <v>166</v>
      </c>
      <c r="AC556" s="14" t="s">
        <v>166</v>
      </c>
      <c r="AD556" s="14" t="s">
        <v>166</v>
      </c>
      <c r="AE556" s="14" t="s">
        <v>166</v>
      </c>
      <c r="AF556" s="14" t="s">
        <v>166</v>
      </c>
      <c r="AG556" s="14" t="s">
        <v>166</v>
      </c>
      <c r="AH556" s="21">
        <v>1</v>
      </c>
      <c r="AI556" s="3">
        <f>HYPERLINK("https://my.pitchbook.com/?d=246882-97T","246882-97T")</f>
      </c>
      <c r="AJ556" s="19" t="s">
        <v>166</v>
      </c>
      <c r="AK556" s="19">
        <v>45290</v>
      </c>
      <c r="AL556" s="18">
        <v>3.5</v>
      </c>
      <c r="AM556" s="14" t="s">
        <v>185</v>
      </c>
      <c r="AN556" s="18" t="s">
        <v>166</v>
      </c>
      <c r="AO556" s="18" t="s">
        <v>166</v>
      </c>
      <c r="AP556" s="14" t="s">
        <v>166</v>
      </c>
      <c r="AQ556" s="21" t="s">
        <v>166</v>
      </c>
      <c r="AR556" s="21" t="s">
        <v>166</v>
      </c>
      <c r="AS556" s="17" t="s">
        <v>166</v>
      </c>
      <c r="AT556" s="18">
        <v>3.5</v>
      </c>
      <c r="AU556" s="21" t="s">
        <v>186</v>
      </c>
      <c r="AV556" s="21" t="s">
        <v>166</v>
      </c>
      <c r="AW556" s="18" t="s">
        <v>166</v>
      </c>
      <c r="AX556" s="21" t="s">
        <v>166</v>
      </c>
      <c r="AY556" s="14" t="s">
        <v>217</v>
      </c>
      <c r="AZ556" s="14" t="s">
        <v>217</v>
      </c>
      <c r="BA556" s="14" t="s">
        <v>166</v>
      </c>
      <c r="BB556" s="21" t="s">
        <v>166</v>
      </c>
      <c r="BC556" s="14" t="s">
        <v>179</v>
      </c>
      <c r="BD556" s="14" t="s">
        <v>10778</v>
      </c>
      <c r="BE556" s="14" t="s">
        <v>189</v>
      </c>
      <c r="BF556" s="18">
        <v>3.5</v>
      </c>
      <c r="BG556" s="14" t="s">
        <v>190</v>
      </c>
      <c r="BH556" s="14" t="s">
        <v>166</v>
      </c>
      <c r="BI556" s="14" t="s">
        <v>166</v>
      </c>
      <c r="BJ556" s="18" t="s">
        <v>166</v>
      </c>
      <c r="BK556" s="18" t="s">
        <v>166</v>
      </c>
      <c r="BL556" s="14" t="s">
        <v>191</v>
      </c>
      <c r="BM556" s="14" t="s">
        <v>178</v>
      </c>
      <c r="BN556" s="14" t="s">
        <v>177</v>
      </c>
      <c r="BO556" s="22" t="s">
        <v>166</v>
      </c>
      <c r="BP556" s="14" t="s">
        <v>10784</v>
      </c>
      <c r="BQ556" s="21">
        <v>10</v>
      </c>
      <c r="BR556" s="14" t="s">
        <v>166</v>
      </c>
      <c r="BS556" s="21" t="s">
        <v>166</v>
      </c>
      <c r="BT556" s="14" t="s">
        <v>10785</v>
      </c>
      <c r="BU556" s="14" t="s">
        <v>166</v>
      </c>
      <c r="BV556" s="14" t="s">
        <v>166</v>
      </c>
      <c r="BW556" s="14" t="s">
        <v>166</v>
      </c>
      <c r="BX556" s="14" t="s">
        <v>166</v>
      </c>
      <c r="BY556" s="14" t="s">
        <v>166</v>
      </c>
      <c r="BZ556" s="14" t="s">
        <v>166</v>
      </c>
      <c r="CA556" s="14" t="s">
        <v>166</v>
      </c>
      <c r="CB556" s="14" t="s">
        <v>166</v>
      </c>
      <c r="CC556" s="14" t="s">
        <v>166</v>
      </c>
      <c r="CD556" s="14" t="s">
        <v>166</v>
      </c>
      <c r="CE556" s="18" t="s">
        <v>166</v>
      </c>
      <c r="CF556" s="16" t="s">
        <v>166</v>
      </c>
      <c r="CG556" s="17" t="s">
        <v>166</v>
      </c>
      <c r="CH556" s="16" t="s">
        <v>166</v>
      </c>
      <c r="CI556" s="16" t="s">
        <v>166</v>
      </c>
      <c r="CJ556" s="16" t="s">
        <v>166</v>
      </c>
      <c r="CK556" s="16" t="s">
        <v>166</v>
      </c>
      <c r="CL556" s="16" t="s">
        <v>166</v>
      </c>
      <c r="CM556" s="20" t="s">
        <v>166</v>
      </c>
      <c r="CN556" s="16" t="s">
        <v>166</v>
      </c>
      <c r="CO556" s="16" t="s">
        <v>166</v>
      </c>
      <c r="CP556" s="16" t="s">
        <v>166</v>
      </c>
      <c r="CQ556" s="16" t="s">
        <v>166</v>
      </c>
      <c r="CR556" s="16" t="s">
        <v>166</v>
      </c>
      <c r="CS556" s="16" t="s">
        <v>166</v>
      </c>
      <c r="CT556" s="16" t="s">
        <v>166</v>
      </c>
      <c r="CU556" s="16" t="s">
        <v>166</v>
      </c>
      <c r="CV556" s="16" t="s">
        <v>166</v>
      </c>
      <c r="CW556" s="16" t="s">
        <v>166</v>
      </c>
      <c r="CX556" s="16" t="s">
        <v>166</v>
      </c>
      <c r="CY556" s="16" t="s">
        <v>166</v>
      </c>
      <c r="CZ556" s="16" t="s">
        <v>166</v>
      </c>
      <c r="DA556" s="16" t="s">
        <v>166</v>
      </c>
      <c r="DB556" s="16" t="s">
        <v>166</v>
      </c>
      <c r="DC556" s="16" t="s">
        <v>166</v>
      </c>
      <c r="DD556" s="16" t="s">
        <v>166</v>
      </c>
      <c r="DE556" s="17" t="s">
        <v>166</v>
      </c>
      <c r="DF556" s="22">
        <v>5</v>
      </c>
      <c r="DG556" s="14" t="s">
        <v>6681</v>
      </c>
      <c r="DH556" s="14" t="s">
        <v>193</v>
      </c>
      <c r="DI556" s="14" t="s">
        <v>194</v>
      </c>
      <c r="DJ556" s="14" t="s">
        <v>6682</v>
      </c>
      <c r="DK556" s="14" t="s">
        <v>257</v>
      </c>
      <c r="DL556" s="21" t="s">
        <v>6683</v>
      </c>
      <c r="DM556" s="14" t="s">
        <v>198</v>
      </c>
      <c r="DN556" s="13" t="s">
        <v>10786</v>
      </c>
      <c r="DO556" s="20">
        <v>2016</v>
      </c>
      <c r="DP556" s="14" t="s">
        <v>166</v>
      </c>
      <c r="DQ556" s="14" t="s">
        <v>166</v>
      </c>
      <c r="DR556" s="18" t="s">
        <v>166</v>
      </c>
      <c r="DS556" s="16" t="s">
        <v>166</v>
      </c>
      <c r="DT556" s="19" t="s">
        <v>166</v>
      </c>
      <c r="DU556" s="14" t="s">
        <v>166</v>
      </c>
      <c r="DV556" s="18" t="s">
        <v>166</v>
      </c>
      <c r="DW556" s="18" t="s">
        <v>166</v>
      </c>
      <c r="DX556" s="16" t="s">
        <v>166</v>
      </c>
      <c r="DY556" s="16" t="s">
        <v>166</v>
      </c>
      <c r="DZ556" s="17" t="s">
        <v>166</v>
      </c>
      <c r="EA556" s="16" t="s">
        <v>166</v>
      </c>
      <c r="EB556" s="16" t="s">
        <v>166</v>
      </c>
      <c r="EC556" s="16" t="s">
        <v>166</v>
      </c>
      <c r="ED556" s="17" t="s">
        <v>166</v>
      </c>
      <c r="EE556" s="17" t="s">
        <v>166</v>
      </c>
      <c r="EF556" s="17" t="s">
        <v>166</v>
      </c>
      <c r="EG556" s="17" t="s">
        <v>166</v>
      </c>
      <c r="EH556" s="16" t="s">
        <v>166</v>
      </c>
      <c r="EI556" s="16" t="s">
        <v>166</v>
      </c>
      <c r="EJ556" s="16" t="s">
        <v>166</v>
      </c>
      <c r="EK556" s="16" t="s">
        <v>166</v>
      </c>
      <c r="EL556" s="16" t="s">
        <v>166</v>
      </c>
      <c r="EM556" s="16" t="s">
        <v>166</v>
      </c>
      <c r="EN556" s="16" t="s">
        <v>166</v>
      </c>
      <c r="EO556" s="16" t="s">
        <v>166</v>
      </c>
      <c r="EP556" s="16" t="s">
        <v>166</v>
      </c>
      <c r="EQ556" s="16" t="s">
        <v>166</v>
      </c>
      <c r="ER556" s="16" t="s">
        <v>166</v>
      </c>
      <c r="ES556" s="16" t="s">
        <v>166</v>
      </c>
      <c r="ET556" s="14" t="s">
        <v>166</v>
      </c>
      <c r="EU556" s="16" t="s">
        <v>166</v>
      </c>
      <c r="EV556" s="16" t="s">
        <v>166</v>
      </c>
      <c r="EW556" s="16" t="s">
        <v>166</v>
      </c>
      <c r="EX556" s="14" t="s">
        <v>190</v>
      </c>
      <c r="EY556" s="14" t="s">
        <v>166</v>
      </c>
      <c r="EZ556" s="16" t="s">
        <v>166</v>
      </c>
      <c r="FA556" s="15" t="s">
        <v>166</v>
      </c>
      <c r="FB556" s="15" t="s">
        <v>166</v>
      </c>
      <c r="FC556" s="15" t="s">
        <v>166</v>
      </c>
      <c r="FD556" s="15" t="s">
        <v>166</v>
      </c>
      <c r="FE556" s="15" t="s">
        <v>166</v>
      </c>
      <c r="FF556" s="15" t="s">
        <v>166</v>
      </c>
      <c r="FG556" s="14" t="s">
        <v>166</v>
      </c>
      <c r="FH556" s="3">
        <f>HYPERLINK("https://my.pitchbook.com?c=246882-97T","View Company Online")</f>
      </c>
    </row>
    <row r="557">
      <c r="A557" s="25" t="s">
        <v>10787</v>
      </c>
      <c r="B557" s="25" t="s">
        <v>10788</v>
      </c>
      <c r="C557" s="25" t="s">
        <v>10789</v>
      </c>
      <c r="D557" s="25" t="s">
        <v>166</v>
      </c>
      <c r="E557" s="34" t="s">
        <v>10790</v>
      </c>
      <c r="F557" s="32">
        <v>4</v>
      </c>
      <c r="G557" s="25" t="s">
        <v>10791</v>
      </c>
      <c r="H557" s="25" t="s">
        <v>166</v>
      </c>
      <c r="I557" s="25" t="s">
        <v>10792</v>
      </c>
      <c r="J557" s="25" t="s">
        <v>10793</v>
      </c>
      <c r="K557" s="25" t="s">
        <v>1455</v>
      </c>
      <c r="L557" s="25" t="s">
        <v>1984</v>
      </c>
      <c r="M557" s="25" t="s">
        <v>1985</v>
      </c>
      <c r="N557" s="25" t="s">
        <v>10794</v>
      </c>
      <c r="O557" s="25" t="s">
        <v>1530</v>
      </c>
      <c r="P557" s="25" t="s">
        <v>10795</v>
      </c>
      <c r="Q557" s="25" t="s">
        <v>166</v>
      </c>
      <c r="R557" s="25" t="s">
        <v>177</v>
      </c>
      <c r="S557" s="25" t="s">
        <v>178</v>
      </c>
      <c r="T557" s="25" t="s">
        <v>179</v>
      </c>
      <c r="U557" s="25" t="s">
        <v>10796</v>
      </c>
      <c r="V557" s="25" t="s">
        <v>10797</v>
      </c>
      <c r="W557" s="32" t="s">
        <v>10798</v>
      </c>
      <c r="X557" s="25" t="s">
        <v>10799</v>
      </c>
      <c r="Y557" s="25" t="s">
        <v>10800</v>
      </c>
      <c r="Z557" s="25" t="s">
        <v>10801</v>
      </c>
      <c r="AA557" s="25" t="s">
        <v>166</v>
      </c>
      <c r="AB557" s="25" t="s">
        <v>166</v>
      </c>
      <c r="AC557" s="25" t="s">
        <v>166</v>
      </c>
      <c r="AD557" s="25" t="s">
        <v>166</v>
      </c>
      <c r="AE557" s="25" t="s">
        <v>166</v>
      </c>
      <c r="AF557" s="25" t="s">
        <v>166</v>
      </c>
      <c r="AG557" s="25" t="s">
        <v>166</v>
      </c>
      <c r="AH557" s="32">
        <v>1</v>
      </c>
      <c r="AI557" s="4">
        <f>HYPERLINK("https://my.pitchbook.com/?d=190410-31T","190410-31T")</f>
      </c>
      <c r="AJ557" s="30">
        <v>44587</v>
      </c>
      <c r="AK557" s="30">
        <v>44629</v>
      </c>
      <c r="AL557" s="29">
        <v>0.8</v>
      </c>
      <c r="AM557" s="25" t="s">
        <v>185</v>
      </c>
      <c r="AN557" s="29" t="s">
        <v>166</v>
      </c>
      <c r="AO557" s="29" t="s">
        <v>166</v>
      </c>
      <c r="AP557" s="25" t="s">
        <v>166</v>
      </c>
      <c r="AQ557" s="32" t="s">
        <v>166</v>
      </c>
      <c r="AR557" s="32" t="s">
        <v>166</v>
      </c>
      <c r="AS557" s="28" t="s">
        <v>166</v>
      </c>
      <c r="AT557" s="29">
        <v>0.8</v>
      </c>
      <c r="AU557" s="32" t="s">
        <v>186</v>
      </c>
      <c r="AV557" s="32" t="s">
        <v>166</v>
      </c>
      <c r="AW557" s="29" t="s">
        <v>166</v>
      </c>
      <c r="AX557" s="32" t="s">
        <v>166</v>
      </c>
      <c r="AY557" s="25" t="s">
        <v>217</v>
      </c>
      <c r="AZ557" s="25" t="s">
        <v>217</v>
      </c>
      <c r="BA557" s="25" t="s">
        <v>166</v>
      </c>
      <c r="BB557" s="32" t="s">
        <v>166</v>
      </c>
      <c r="BC557" s="25" t="s">
        <v>179</v>
      </c>
      <c r="BD557" s="25" t="s">
        <v>10802</v>
      </c>
      <c r="BE557" s="25" t="s">
        <v>189</v>
      </c>
      <c r="BF557" s="29" t="s">
        <v>166</v>
      </c>
      <c r="BG557" s="25" t="s">
        <v>190</v>
      </c>
      <c r="BH557" s="25" t="s">
        <v>166</v>
      </c>
      <c r="BI557" s="25" t="s">
        <v>166</v>
      </c>
      <c r="BJ557" s="29" t="s">
        <v>166</v>
      </c>
      <c r="BK557" s="29" t="s">
        <v>166</v>
      </c>
      <c r="BL557" s="25" t="s">
        <v>191</v>
      </c>
      <c r="BM557" s="25" t="s">
        <v>178</v>
      </c>
      <c r="BN557" s="25" t="s">
        <v>177</v>
      </c>
      <c r="BO557" s="33" t="s">
        <v>166</v>
      </c>
      <c r="BP557" s="25" t="s">
        <v>10803</v>
      </c>
      <c r="BQ557" s="32">
        <v>4</v>
      </c>
      <c r="BR557" s="25" t="s">
        <v>166</v>
      </c>
      <c r="BS557" s="32" t="s">
        <v>166</v>
      </c>
      <c r="BT557" s="25" t="s">
        <v>166</v>
      </c>
      <c r="BU557" s="25" t="s">
        <v>166</v>
      </c>
      <c r="BV557" s="25" t="s">
        <v>166</v>
      </c>
      <c r="BW557" s="25" t="s">
        <v>166</v>
      </c>
      <c r="BX557" s="25" t="s">
        <v>166</v>
      </c>
      <c r="BY557" s="25" t="s">
        <v>166</v>
      </c>
      <c r="BZ557" s="25" t="s">
        <v>166</v>
      </c>
      <c r="CA557" s="25" t="s">
        <v>166</v>
      </c>
      <c r="CB557" s="25" t="s">
        <v>166</v>
      </c>
      <c r="CC557" s="25" t="s">
        <v>166</v>
      </c>
      <c r="CD557" s="25" t="s">
        <v>166</v>
      </c>
      <c r="CE557" s="29" t="s">
        <v>166</v>
      </c>
      <c r="CF557" s="27" t="s">
        <v>166</v>
      </c>
      <c r="CG557" s="28" t="s">
        <v>166</v>
      </c>
      <c r="CH557" s="27" t="s">
        <v>166</v>
      </c>
      <c r="CI557" s="27" t="s">
        <v>166</v>
      </c>
      <c r="CJ557" s="27" t="s">
        <v>166</v>
      </c>
      <c r="CK557" s="27" t="s">
        <v>166</v>
      </c>
      <c r="CL557" s="27" t="s">
        <v>166</v>
      </c>
      <c r="CM557" s="31" t="s">
        <v>166</v>
      </c>
      <c r="CN557" s="27" t="s">
        <v>166</v>
      </c>
      <c r="CO557" s="27" t="s">
        <v>166</v>
      </c>
      <c r="CP557" s="27" t="s">
        <v>166</v>
      </c>
      <c r="CQ557" s="27" t="s">
        <v>166</v>
      </c>
      <c r="CR557" s="27" t="s">
        <v>166</v>
      </c>
      <c r="CS557" s="27" t="s">
        <v>166</v>
      </c>
      <c r="CT557" s="27" t="s">
        <v>166</v>
      </c>
      <c r="CU557" s="27" t="s">
        <v>166</v>
      </c>
      <c r="CV557" s="27" t="s">
        <v>166</v>
      </c>
      <c r="CW557" s="27" t="s">
        <v>166</v>
      </c>
      <c r="CX557" s="27" t="s">
        <v>166</v>
      </c>
      <c r="CY557" s="27" t="s">
        <v>166</v>
      </c>
      <c r="CZ557" s="27" t="s">
        <v>166</v>
      </c>
      <c r="DA557" s="27" t="s">
        <v>166</v>
      </c>
      <c r="DB557" s="27" t="s">
        <v>166</v>
      </c>
      <c r="DC557" s="27" t="s">
        <v>166</v>
      </c>
      <c r="DD557" s="27" t="s">
        <v>166</v>
      </c>
      <c r="DE557" s="28" t="s">
        <v>166</v>
      </c>
      <c r="DF557" s="33">
        <v>7</v>
      </c>
      <c r="DG557" s="25" t="s">
        <v>3232</v>
      </c>
      <c r="DH557" s="25" t="s">
        <v>193</v>
      </c>
      <c r="DI557" s="25" t="s">
        <v>194</v>
      </c>
      <c r="DJ557" s="25" t="s">
        <v>3233</v>
      </c>
      <c r="DK557" s="25" t="s">
        <v>257</v>
      </c>
      <c r="DL557" s="32" t="s">
        <v>10804</v>
      </c>
      <c r="DM557" s="25" t="s">
        <v>198</v>
      </c>
      <c r="DN557" s="24" t="s">
        <v>10805</v>
      </c>
      <c r="DO557" s="31">
        <v>2020</v>
      </c>
      <c r="DP557" s="25" t="s">
        <v>166</v>
      </c>
      <c r="DQ557" s="25" t="s">
        <v>166</v>
      </c>
      <c r="DR557" s="29" t="s">
        <v>166</v>
      </c>
      <c r="DS557" s="27" t="s">
        <v>166</v>
      </c>
      <c r="DT557" s="30" t="s">
        <v>166</v>
      </c>
      <c r="DU557" s="25" t="s">
        <v>166</v>
      </c>
      <c r="DV557" s="29" t="s">
        <v>166</v>
      </c>
      <c r="DW557" s="29" t="s">
        <v>166</v>
      </c>
      <c r="DX557" s="27" t="s">
        <v>166</v>
      </c>
      <c r="DY557" s="27" t="s">
        <v>166</v>
      </c>
      <c r="DZ557" s="28" t="s">
        <v>166</v>
      </c>
      <c r="EA557" s="27" t="s">
        <v>166</v>
      </c>
      <c r="EB557" s="27" t="s">
        <v>166</v>
      </c>
      <c r="EC557" s="27" t="s">
        <v>166</v>
      </c>
      <c r="ED557" s="28" t="s">
        <v>166</v>
      </c>
      <c r="EE557" s="28" t="s">
        <v>166</v>
      </c>
      <c r="EF557" s="28" t="s">
        <v>166</v>
      </c>
      <c r="EG557" s="28" t="s">
        <v>166</v>
      </c>
      <c r="EH557" s="27" t="s">
        <v>166</v>
      </c>
      <c r="EI557" s="27" t="s">
        <v>166</v>
      </c>
      <c r="EJ557" s="27" t="s">
        <v>166</v>
      </c>
      <c r="EK557" s="27" t="s">
        <v>166</v>
      </c>
      <c r="EL557" s="27" t="s">
        <v>166</v>
      </c>
      <c r="EM557" s="27" t="s">
        <v>166</v>
      </c>
      <c r="EN557" s="27" t="s">
        <v>166</v>
      </c>
      <c r="EO557" s="27" t="s">
        <v>166</v>
      </c>
      <c r="EP557" s="27" t="s">
        <v>166</v>
      </c>
      <c r="EQ557" s="27" t="s">
        <v>166</v>
      </c>
      <c r="ER557" s="27" t="s">
        <v>166</v>
      </c>
      <c r="ES557" s="27" t="s">
        <v>166</v>
      </c>
      <c r="ET557" s="25" t="s">
        <v>166</v>
      </c>
      <c r="EU557" s="27" t="s">
        <v>166</v>
      </c>
      <c r="EV557" s="27" t="s">
        <v>166</v>
      </c>
      <c r="EW557" s="27" t="s">
        <v>166</v>
      </c>
      <c r="EX557" s="25" t="s">
        <v>190</v>
      </c>
      <c r="EY557" s="25" t="s">
        <v>166</v>
      </c>
      <c r="EZ557" s="27" t="s">
        <v>166</v>
      </c>
      <c r="FA557" s="26" t="s">
        <v>166</v>
      </c>
      <c r="FB557" s="26" t="s">
        <v>166</v>
      </c>
      <c r="FC557" s="26" t="s">
        <v>166</v>
      </c>
      <c r="FD557" s="26" t="s">
        <v>166</v>
      </c>
      <c r="FE557" s="26" t="s">
        <v>166</v>
      </c>
      <c r="FF557" s="26" t="s">
        <v>166</v>
      </c>
      <c r="FG557" s="25" t="s">
        <v>166</v>
      </c>
      <c r="FH557" s="4">
        <f>HYPERLINK("https://my.pitchbook.com?c=190410-31T","View Company Online")</f>
      </c>
    </row>
    <row r="558">
      <c r="A558" s="14" t="s">
        <v>10806</v>
      </c>
      <c r="B558" s="14" t="s">
        <v>10807</v>
      </c>
      <c r="C558" s="14" t="s">
        <v>10808</v>
      </c>
      <c r="D558" s="14" t="s">
        <v>166</v>
      </c>
      <c r="E558" s="23" t="s">
        <v>10809</v>
      </c>
      <c r="F558" s="21">
        <v>8</v>
      </c>
      <c r="G558" s="14" t="s">
        <v>10810</v>
      </c>
      <c r="H558" s="14" t="s">
        <v>166</v>
      </c>
      <c r="I558" s="14" t="s">
        <v>10811</v>
      </c>
      <c r="J558" s="14" t="s">
        <v>10812</v>
      </c>
      <c r="K558" s="14" t="s">
        <v>207</v>
      </c>
      <c r="L558" s="14" t="s">
        <v>208</v>
      </c>
      <c r="M558" s="14" t="s">
        <v>882</v>
      </c>
      <c r="N558" s="14" t="s">
        <v>10813</v>
      </c>
      <c r="O558" s="14" t="s">
        <v>10814</v>
      </c>
      <c r="P558" s="14" t="s">
        <v>10815</v>
      </c>
      <c r="Q558" s="14" t="s">
        <v>2555</v>
      </c>
      <c r="R558" s="14" t="s">
        <v>177</v>
      </c>
      <c r="S558" s="14" t="s">
        <v>178</v>
      </c>
      <c r="T558" s="14" t="s">
        <v>179</v>
      </c>
      <c r="U558" s="14" t="s">
        <v>10816</v>
      </c>
      <c r="V558" s="14" t="s">
        <v>10817</v>
      </c>
      <c r="W558" s="21" t="s">
        <v>10818</v>
      </c>
      <c r="X558" s="14" t="s">
        <v>10819</v>
      </c>
      <c r="Y558" s="14" t="s">
        <v>10820</v>
      </c>
      <c r="Z558" s="14" t="s">
        <v>166</v>
      </c>
      <c r="AA558" s="14" t="s">
        <v>242</v>
      </c>
      <c r="AB558" s="14" t="s">
        <v>243</v>
      </c>
      <c r="AC558" s="14" t="s">
        <v>244</v>
      </c>
      <c r="AD558" s="14" t="s">
        <v>243</v>
      </c>
      <c r="AE558" s="14" t="s">
        <v>243</v>
      </c>
      <c r="AF558" s="14" t="s">
        <v>166</v>
      </c>
      <c r="AG558" s="14" t="s">
        <v>246</v>
      </c>
      <c r="AH558" s="21">
        <v>1</v>
      </c>
      <c r="AI558" s="3">
        <f>HYPERLINK("https://my.pitchbook.com/?d=184708-18T","184708-18T")</f>
      </c>
      <c r="AJ558" s="19" t="s">
        <v>166</v>
      </c>
      <c r="AK558" s="19">
        <v>44537</v>
      </c>
      <c r="AL558" s="18">
        <v>4</v>
      </c>
      <c r="AM558" s="14" t="s">
        <v>185</v>
      </c>
      <c r="AN558" s="18">
        <v>15</v>
      </c>
      <c r="AO558" s="18">
        <v>19</v>
      </c>
      <c r="AP558" s="14" t="s">
        <v>185</v>
      </c>
      <c r="AQ558" s="21" t="s">
        <v>166</v>
      </c>
      <c r="AR558" s="21" t="s">
        <v>166</v>
      </c>
      <c r="AS558" s="17">
        <v>21.05</v>
      </c>
      <c r="AT558" s="18">
        <v>4</v>
      </c>
      <c r="AU558" s="21" t="s">
        <v>186</v>
      </c>
      <c r="AV558" s="21" t="s">
        <v>166</v>
      </c>
      <c r="AW558" s="18">
        <v>2.79</v>
      </c>
      <c r="AX558" s="21" t="s">
        <v>166</v>
      </c>
      <c r="AY558" s="14" t="s">
        <v>217</v>
      </c>
      <c r="AZ558" s="14" t="s">
        <v>217</v>
      </c>
      <c r="BA558" s="14" t="s">
        <v>166</v>
      </c>
      <c r="BB558" s="21" t="s">
        <v>166</v>
      </c>
      <c r="BC558" s="14" t="s">
        <v>179</v>
      </c>
      <c r="BD558" s="14" t="s">
        <v>10821</v>
      </c>
      <c r="BE558" s="14" t="s">
        <v>189</v>
      </c>
      <c r="BF558" s="18">
        <v>4</v>
      </c>
      <c r="BG558" s="14" t="s">
        <v>190</v>
      </c>
      <c r="BH558" s="14" t="s">
        <v>166</v>
      </c>
      <c r="BI558" s="14" t="s">
        <v>166</v>
      </c>
      <c r="BJ558" s="18" t="s">
        <v>166</v>
      </c>
      <c r="BK558" s="18" t="s">
        <v>166</v>
      </c>
      <c r="BL558" s="14" t="s">
        <v>191</v>
      </c>
      <c r="BM558" s="14" t="s">
        <v>178</v>
      </c>
      <c r="BN558" s="14" t="s">
        <v>177</v>
      </c>
      <c r="BO558" s="22" t="s">
        <v>166</v>
      </c>
      <c r="BP558" s="14" t="s">
        <v>10822</v>
      </c>
      <c r="BQ558" s="21">
        <v>8</v>
      </c>
      <c r="BR558" s="14" t="s">
        <v>166</v>
      </c>
      <c r="BS558" s="21" t="s">
        <v>166</v>
      </c>
      <c r="BT558" s="14" t="s">
        <v>10823</v>
      </c>
      <c r="BU558" s="14" t="s">
        <v>166</v>
      </c>
      <c r="BV558" s="14" t="s">
        <v>10824</v>
      </c>
      <c r="BW558" s="14" t="s">
        <v>166</v>
      </c>
      <c r="BX558" s="14" t="s">
        <v>166</v>
      </c>
      <c r="BY558" s="14" t="s">
        <v>166</v>
      </c>
      <c r="BZ558" s="14" t="s">
        <v>10825</v>
      </c>
      <c r="CA558" s="14" t="s">
        <v>10825</v>
      </c>
      <c r="CB558" s="14" t="s">
        <v>166</v>
      </c>
      <c r="CC558" s="14" t="s">
        <v>166</v>
      </c>
      <c r="CD558" s="14" t="s">
        <v>166</v>
      </c>
      <c r="CE558" s="18" t="s">
        <v>166</v>
      </c>
      <c r="CF558" s="16" t="s">
        <v>166</v>
      </c>
      <c r="CG558" s="17" t="s">
        <v>166</v>
      </c>
      <c r="CH558" s="16" t="s">
        <v>166</v>
      </c>
      <c r="CI558" s="16" t="s">
        <v>166</v>
      </c>
      <c r="CJ558" s="16" t="s">
        <v>166</v>
      </c>
      <c r="CK558" s="16" t="s">
        <v>166</v>
      </c>
      <c r="CL558" s="16" t="s">
        <v>166</v>
      </c>
      <c r="CM558" s="20" t="s">
        <v>166</v>
      </c>
      <c r="CN558" s="16" t="s">
        <v>166</v>
      </c>
      <c r="CO558" s="16" t="s">
        <v>166</v>
      </c>
      <c r="CP558" s="16" t="s">
        <v>166</v>
      </c>
      <c r="CQ558" s="16" t="s">
        <v>166</v>
      </c>
      <c r="CR558" s="16" t="s">
        <v>166</v>
      </c>
      <c r="CS558" s="16" t="s">
        <v>166</v>
      </c>
      <c r="CT558" s="16" t="s">
        <v>166</v>
      </c>
      <c r="CU558" s="16" t="s">
        <v>166</v>
      </c>
      <c r="CV558" s="16" t="s">
        <v>166</v>
      </c>
      <c r="CW558" s="16" t="s">
        <v>166</v>
      </c>
      <c r="CX558" s="16" t="s">
        <v>166</v>
      </c>
      <c r="CY558" s="16" t="s">
        <v>166</v>
      </c>
      <c r="CZ558" s="16" t="s">
        <v>166</v>
      </c>
      <c r="DA558" s="16" t="s">
        <v>166</v>
      </c>
      <c r="DB558" s="16" t="s">
        <v>166</v>
      </c>
      <c r="DC558" s="16" t="s">
        <v>166</v>
      </c>
      <c r="DD558" s="16" t="s">
        <v>166</v>
      </c>
      <c r="DE558" s="17" t="s">
        <v>166</v>
      </c>
      <c r="DF558" s="22">
        <v>8</v>
      </c>
      <c r="DG558" s="14" t="s">
        <v>673</v>
      </c>
      <c r="DH558" s="14" t="s">
        <v>193</v>
      </c>
      <c r="DI558" s="14" t="s">
        <v>194</v>
      </c>
      <c r="DJ558" s="14" t="s">
        <v>674</v>
      </c>
      <c r="DK558" s="14" t="s">
        <v>257</v>
      </c>
      <c r="DL558" s="21" t="s">
        <v>675</v>
      </c>
      <c r="DM558" s="14" t="s">
        <v>198</v>
      </c>
      <c r="DN558" s="13" t="s">
        <v>10826</v>
      </c>
      <c r="DO558" s="20">
        <v>2021</v>
      </c>
      <c r="DP558" s="14" t="s">
        <v>166</v>
      </c>
      <c r="DQ558" s="14" t="s">
        <v>166</v>
      </c>
      <c r="DR558" s="18" t="s">
        <v>166</v>
      </c>
      <c r="DS558" s="16" t="s">
        <v>166</v>
      </c>
      <c r="DT558" s="19" t="s">
        <v>166</v>
      </c>
      <c r="DU558" s="14" t="s">
        <v>166</v>
      </c>
      <c r="DV558" s="18" t="s">
        <v>166</v>
      </c>
      <c r="DW558" s="18" t="s">
        <v>166</v>
      </c>
      <c r="DX558" s="16" t="s">
        <v>166</v>
      </c>
      <c r="DY558" s="16" t="s">
        <v>166</v>
      </c>
      <c r="DZ558" s="17" t="s">
        <v>166</v>
      </c>
      <c r="EA558" s="16" t="s">
        <v>166</v>
      </c>
      <c r="EB558" s="16" t="s">
        <v>166</v>
      </c>
      <c r="EC558" s="16" t="s">
        <v>166</v>
      </c>
      <c r="ED558" s="17" t="s">
        <v>166</v>
      </c>
      <c r="EE558" s="17" t="s">
        <v>166</v>
      </c>
      <c r="EF558" s="17" t="s">
        <v>166</v>
      </c>
      <c r="EG558" s="17" t="s">
        <v>166</v>
      </c>
      <c r="EH558" s="16" t="s">
        <v>166</v>
      </c>
      <c r="EI558" s="16" t="s">
        <v>166</v>
      </c>
      <c r="EJ558" s="16" t="s">
        <v>166</v>
      </c>
      <c r="EK558" s="16" t="s">
        <v>166</v>
      </c>
      <c r="EL558" s="16" t="s">
        <v>166</v>
      </c>
      <c r="EM558" s="16" t="s">
        <v>166</v>
      </c>
      <c r="EN558" s="16" t="s">
        <v>166</v>
      </c>
      <c r="EO558" s="16" t="s">
        <v>166</v>
      </c>
      <c r="EP558" s="16" t="s">
        <v>166</v>
      </c>
      <c r="EQ558" s="16" t="s">
        <v>166</v>
      </c>
      <c r="ER558" s="16" t="s">
        <v>166</v>
      </c>
      <c r="ES558" s="16" t="s">
        <v>166</v>
      </c>
      <c r="ET558" s="14" t="s">
        <v>166</v>
      </c>
      <c r="EU558" s="16" t="s">
        <v>166</v>
      </c>
      <c r="EV558" s="16" t="s">
        <v>166</v>
      </c>
      <c r="EW558" s="16" t="s">
        <v>166</v>
      </c>
      <c r="EX558" s="14" t="s">
        <v>190</v>
      </c>
      <c r="EY558" s="14" t="s">
        <v>166</v>
      </c>
      <c r="EZ558" s="16" t="s">
        <v>166</v>
      </c>
      <c r="FA558" s="15" t="s">
        <v>166</v>
      </c>
      <c r="FB558" s="15" t="s">
        <v>166</v>
      </c>
      <c r="FC558" s="15" t="s">
        <v>166</v>
      </c>
      <c r="FD558" s="15" t="s">
        <v>166</v>
      </c>
      <c r="FE558" s="15" t="s">
        <v>166</v>
      </c>
      <c r="FF558" s="15" t="s">
        <v>166</v>
      </c>
      <c r="FG558" s="14" t="s">
        <v>166</v>
      </c>
      <c r="FH558" s="3">
        <f>HYPERLINK("https://my.pitchbook.com?c=184708-18T","View Company Online")</f>
      </c>
    </row>
    <row r="559">
      <c r="A559" s="25" t="s">
        <v>10827</v>
      </c>
      <c r="B559" s="25" t="s">
        <v>10828</v>
      </c>
      <c r="C559" s="25" t="s">
        <v>10829</v>
      </c>
      <c r="D559" s="25" t="s">
        <v>166</v>
      </c>
      <c r="E559" s="34" t="s">
        <v>10830</v>
      </c>
      <c r="F559" s="32">
        <v>4</v>
      </c>
      <c r="G559" s="25" t="s">
        <v>10831</v>
      </c>
      <c r="H559" s="25" t="s">
        <v>166</v>
      </c>
      <c r="I559" s="25" t="s">
        <v>10832</v>
      </c>
      <c r="J559" s="25" t="s">
        <v>10833</v>
      </c>
      <c r="K559" s="25" t="s">
        <v>207</v>
      </c>
      <c r="L559" s="25" t="s">
        <v>208</v>
      </c>
      <c r="M559" s="25" t="s">
        <v>209</v>
      </c>
      <c r="N559" s="25" t="s">
        <v>1359</v>
      </c>
      <c r="O559" s="25" t="s">
        <v>2702</v>
      </c>
      <c r="P559" s="25" t="s">
        <v>10834</v>
      </c>
      <c r="Q559" s="25" t="s">
        <v>166</v>
      </c>
      <c r="R559" s="25" t="s">
        <v>177</v>
      </c>
      <c r="S559" s="25" t="s">
        <v>178</v>
      </c>
      <c r="T559" s="25" t="s">
        <v>179</v>
      </c>
      <c r="U559" s="25" t="s">
        <v>10835</v>
      </c>
      <c r="V559" s="25" t="s">
        <v>10836</v>
      </c>
      <c r="W559" s="32" t="s">
        <v>166</v>
      </c>
      <c r="X559" s="25" t="s">
        <v>10837</v>
      </c>
      <c r="Y559" s="25" t="s">
        <v>10838</v>
      </c>
      <c r="Z559" s="25" t="s">
        <v>166</v>
      </c>
      <c r="AA559" s="25" t="s">
        <v>242</v>
      </c>
      <c r="AB559" s="25" t="s">
        <v>243</v>
      </c>
      <c r="AC559" s="25" t="s">
        <v>244</v>
      </c>
      <c r="AD559" s="25" t="s">
        <v>243</v>
      </c>
      <c r="AE559" s="25" t="s">
        <v>243</v>
      </c>
      <c r="AF559" s="25" t="s">
        <v>166</v>
      </c>
      <c r="AG559" s="25" t="s">
        <v>246</v>
      </c>
      <c r="AH559" s="32">
        <v>2</v>
      </c>
      <c r="AI559" s="4">
        <f>HYPERLINK("https://my.pitchbook.com/?d=170062-75T","170062-75T")</f>
      </c>
      <c r="AJ559" s="30" t="s">
        <v>166</v>
      </c>
      <c r="AK559" s="30">
        <v>44474</v>
      </c>
      <c r="AL559" s="29">
        <v>3.3</v>
      </c>
      <c r="AM559" s="25" t="s">
        <v>185</v>
      </c>
      <c r="AN559" s="29">
        <v>15</v>
      </c>
      <c r="AO559" s="29">
        <v>18.3</v>
      </c>
      <c r="AP559" s="25" t="s">
        <v>185</v>
      </c>
      <c r="AQ559" s="32" t="s">
        <v>166</v>
      </c>
      <c r="AR559" s="32" t="s">
        <v>166</v>
      </c>
      <c r="AS559" s="28">
        <v>25.76</v>
      </c>
      <c r="AT559" s="29">
        <v>3.43</v>
      </c>
      <c r="AU559" s="32" t="s">
        <v>186</v>
      </c>
      <c r="AV559" s="32" t="s">
        <v>166</v>
      </c>
      <c r="AW559" s="29">
        <v>2.21</v>
      </c>
      <c r="AX559" s="32" t="s">
        <v>248</v>
      </c>
      <c r="AY559" s="25" t="s">
        <v>187</v>
      </c>
      <c r="AZ559" s="25" t="s">
        <v>248</v>
      </c>
      <c r="BA559" s="25" t="s">
        <v>166</v>
      </c>
      <c r="BB559" s="32" t="s">
        <v>166</v>
      </c>
      <c r="BC559" s="25" t="s">
        <v>179</v>
      </c>
      <c r="BD559" s="25" t="s">
        <v>10839</v>
      </c>
      <c r="BE559" s="25" t="s">
        <v>189</v>
      </c>
      <c r="BF559" s="29">
        <v>3.3</v>
      </c>
      <c r="BG559" s="25" t="s">
        <v>190</v>
      </c>
      <c r="BH559" s="25" t="s">
        <v>166</v>
      </c>
      <c r="BI559" s="25" t="s">
        <v>166</v>
      </c>
      <c r="BJ559" s="29" t="s">
        <v>166</v>
      </c>
      <c r="BK559" s="29" t="s">
        <v>166</v>
      </c>
      <c r="BL559" s="25" t="s">
        <v>191</v>
      </c>
      <c r="BM559" s="25" t="s">
        <v>178</v>
      </c>
      <c r="BN559" s="25" t="s">
        <v>177</v>
      </c>
      <c r="BO559" s="33" t="s">
        <v>166</v>
      </c>
      <c r="BP559" s="25" t="s">
        <v>10840</v>
      </c>
      <c r="BQ559" s="32">
        <v>4</v>
      </c>
      <c r="BR559" s="25" t="s">
        <v>166</v>
      </c>
      <c r="BS559" s="32" t="s">
        <v>166</v>
      </c>
      <c r="BT559" s="25" t="s">
        <v>10841</v>
      </c>
      <c r="BU559" s="25" t="s">
        <v>166</v>
      </c>
      <c r="BV559" s="25" t="s">
        <v>10842</v>
      </c>
      <c r="BW559" s="25" t="s">
        <v>166</v>
      </c>
      <c r="BX559" s="25" t="s">
        <v>166</v>
      </c>
      <c r="BY559" s="25" t="s">
        <v>166</v>
      </c>
      <c r="BZ559" s="25" t="s">
        <v>4933</v>
      </c>
      <c r="CA559" s="25" t="s">
        <v>166</v>
      </c>
      <c r="CB559" s="25" t="s">
        <v>166</v>
      </c>
      <c r="CC559" s="25" t="s">
        <v>4933</v>
      </c>
      <c r="CD559" s="25" t="s">
        <v>166</v>
      </c>
      <c r="CE559" s="29" t="s">
        <v>166</v>
      </c>
      <c r="CF559" s="27" t="s">
        <v>166</v>
      </c>
      <c r="CG559" s="28" t="s">
        <v>166</v>
      </c>
      <c r="CH559" s="27" t="s">
        <v>166</v>
      </c>
      <c r="CI559" s="27" t="s">
        <v>166</v>
      </c>
      <c r="CJ559" s="27" t="s">
        <v>166</v>
      </c>
      <c r="CK559" s="27" t="s">
        <v>166</v>
      </c>
      <c r="CL559" s="27" t="s">
        <v>166</v>
      </c>
      <c r="CM559" s="31" t="s">
        <v>166</v>
      </c>
      <c r="CN559" s="27" t="s">
        <v>166</v>
      </c>
      <c r="CO559" s="27" t="s">
        <v>166</v>
      </c>
      <c r="CP559" s="27" t="s">
        <v>166</v>
      </c>
      <c r="CQ559" s="27" t="s">
        <v>166</v>
      </c>
      <c r="CR559" s="27" t="s">
        <v>166</v>
      </c>
      <c r="CS559" s="27" t="s">
        <v>166</v>
      </c>
      <c r="CT559" s="27" t="s">
        <v>166</v>
      </c>
      <c r="CU559" s="27" t="s">
        <v>166</v>
      </c>
      <c r="CV559" s="27" t="s">
        <v>166</v>
      </c>
      <c r="CW559" s="27" t="s">
        <v>166</v>
      </c>
      <c r="CX559" s="27" t="s">
        <v>166</v>
      </c>
      <c r="CY559" s="27" t="s">
        <v>166</v>
      </c>
      <c r="CZ559" s="27" t="s">
        <v>166</v>
      </c>
      <c r="DA559" s="27" t="s">
        <v>166</v>
      </c>
      <c r="DB559" s="27" t="s">
        <v>166</v>
      </c>
      <c r="DC559" s="27" t="s">
        <v>166</v>
      </c>
      <c r="DD559" s="27" t="s">
        <v>166</v>
      </c>
      <c r="DE559" s="28" t="s">
        <v>166</v>
      </c>
      <c r="DF559" s="33">
        <v>33</v>
      </c>
      <c r="DG559" s="25" t="s">
        <v>673</v>
      </c>
      <c r="DH559" s="25" t="s">
        <v>193</v>
      </c>
      <c r="DI559" s="25" t="s">
        <v>194</v>
      </c>
      <c r="DJ559" s="25" t="s">
        <v>674</v>
      </c>
      <c r="DK559" s="25" t="s">
        <v>257</v>
      </c>
      <c r="DL559" s="32" t="s">
        <v>675</v>
      </c>
      <c r="DM559" s="25" t="s">
        <v>198</v>
      </c>
      <c r="DN559" s="24" t="s">
        <v>10843</v>
      </c>
      <c r="DO559" s="31">
        <v>2021</v>
      </c>
      <c r="DP559" s="25" t="s">
        <v>166</v>
      </c>
      <c r="DQ559" s="25" t="s">
        <v>166</v>
      </c>
      <c r="DR559" s="29" t="s">
        <v>166</v>
      </c>
      <c r="DS559" s="27" t="s">
        <v>166</v>
      </c>
      <c r="DT559" s="30" t="s">
        <v>166</v>
      </c>
      <c r="DU559" s="25" t="s">
        <v>166</v>
      </c>
      <c r="DV559" s="29" t="s">
        <v>166</v>
      </c>
      <c r="DW559" s="29" t="s">
        <v>166</v>
      </c>
      <c r="DX559" s="27" t="s">
        <v>166</v>
      </c>
      <c r="DY559" s="27" t="s">
        <v>166</v>
      </c>
      <c r="DZ559" s="28" t="s">
        <v>166</v>
      </c>
      <c r="EA559" s="27" t="s">
        <v>166</v>
      </c>
      <c r="EB559" s="27" t="s">
        <v>166</v>
      </c>
      <c r="EC559" s="27" t="s">
        <v>166</v>
      </c>
      <c r="ED559" s="28" t="s">
        <v>166</v>
      </c>
      <c r="EE559" s="28" t="s">
        <v>166</v>
      </c>
      <c r="EF559" s="28" t="s">
        <v>166</v>
      </c>
      <c r="EG559" s="28" t="s">
        <v>166</v>
      </c>
      <c r="EH559" s="27" t="s">
        <v>166</v>
      </c>
      <c r="EI559" s="27" t="s">
        <v>166</v>
      </c>
      <c r="EJ559" s="27" t="s">
        <v>166</v>
      </c>
      <c r="EK559" s="27" t="s">
        <v>166</v>
      </c>
      <c r="EL559" s="27" t="s">
        <v>166</v>
      </c>
      <c r="EM559" s="27" t="s">
        <v>166</v>
      </c>
      <c r="EN559" s="27" t="s">
        <v>166</v>
      </c>
      <c r="EO559" s="27" t="s">
        <v>166</v>
      </c>
      <c r="EP559" s="27" t="s">
        <v>166</v>
      </c>
      <c r="EQ559" s="27" t="s">
        <v>166</v>
      </c>
      <c r="ER559" s="27" t="s">
        <v>166</v>
      </c>
      <c r="ES559" s="27" t="s">
        <v>166</v>
      </c>
      <c r="ET559" s="25" t="s">
        <v>166</v>
      </c>
      <c r="EU559" s="27" t="s">
        <v>166</v>
      </c>
      <c r="EV559" s="27" t="s">
        <v>166</v>
      </c>
      <c r="EW559" s="27" t="s">
        <v>166</v>
      </c>
      <c r="EX559" s="25" t="s">
        <v>190</v>
      </c>
      <c r="EY559" s="25" t="s">
        <v>166</v>
      </c>
      <c r="EZ559" s="27" t="s">
        <v>166</v>
      </c>
      <c r="FA559" s="26" t="s">
        <v>166</v>
      </c>
      <c r="FB559" s="26" t="s">
        <v>166</v>
      </c>
      <c r="FC559" s="26" t="s">
        <v>166</v>
      </c>
      <c r="FD559" s="26" t="s">
        <v>166</v>
      </c>
      <c r="FE559" s="26" t="s">
        <v>166</v>
      </c>
      <c r="FF559" s="26" t="s">
        <v>166</v>
      </c>
      <c r="FG559" s="25" t="s">
        <v>166</v>
      </c>
      <c r="FH559" s="4">
        <f>HYPERLINK("https://my.pitchbook.com?c=170062-75T","View Company Online")</f>
      </c>
    </row>
    <row r="560">
      <c r="A560" s="14" t="s">
        <v>10844</v>
      </c>
      <c r="B560" s="14" t="s">
        <v>10845</v>
      </c>
      <c r="C560" s="14" t="s">
        <v>10846</v>
      </c>
      <c r="D560" s="14" t="s">
        <v>166</v>
      </c>
      <c r="E560" s="23" t="s">
        <v>10847</v>
      </c>
      <c r="F560" s="21">
        <v>13</v>
      </c>
      <c r="G560" s="14" t="s">
        <v>10848</v>
      </c>
      <c r="H560" s="14" t="s">
        <v>166</v>
      </c>
      <c r="I560" s="14" t="s">
        <v>10849</v>
      </c>
      <c r="J560" s="14" t="s">
        <v>10850</v>
      </c>
      <c r="K560" s="14" t="s">
        <v>1500</v>
      </c>
      <c r="L560" s="14" t="s">
        <v>2200</v>
      </c>
      <c r="M560" s="14" t="s">
        <v>2201</v>
      </c>
      <c r="N560" s="14" t="s">
        <v>10851</v>
      </c>
      <c r="O560" s="14" t="s">
        <v>10852</v>
      </c>
      <c r="P560" s="14" t="s">
        <v>10853</v>
      </c>
      <c r="Q560" s="14" t="s">
        <v>166</v>
      </c>
      <c r="R560" s="14" t="s">
        <v>177</v>
      </c>
      <c r="S560" s="14" t="s">
        <v>178</v>
      </c>
      <c r="T560" s="14" t="s">
        <v>179</v>
      </c>
      <c r="U560" s="14" t="s">
        <v>10854</v>
      </c>
      <c r="V560" s="14" t="s">
        <v>10855</v>
      </c>
      <c r="W560" s="21" t="s">
        <v>10856</v>
      </c>
      <c r="X560" s="14" t="s">
        <v>10857</v>
      </c>
      <c r="Y560" s="14" t="s">
        <v>10858</v>
      </c>
      <c r="Z560" s="14" t="s">
        <v>166</v>
      </c>
      <c r="AA560" s="14" t="s">
        <v>242</v>
      </c>
      <c r="AB560" s="14" t="s">
        <v>243</v>
      </c>
      <c r="AC560" s="14" t="s">
        <v>244</v>
      </c>
      <c r="AD560" s="14" t="s">
        <v>243</v>
      </c>
      <c r="AE560" s="14" t="s">
        <v>243</v>
      </c>
      <c r="AF560" s="14" t="s">
        <v>166</v>
      </c>
      <c r="AG560" s="14" t="s">
        <v>246</v>
      </c>
      <c r="AH560" s="21">
        <v>3</v>
      </c>
      <c r="AI560" s="3">
        <f>HYPERLINK("https://my.pitchbook.com/?d=266868-82T","266868-82T")</f>
      </c>
      <c r="AJ560" s="19" t="s">
        <v>166</v>
      </c>
      <c r="AK560" s="19">
        <v>45482</v>
      </c>
      <c r="AL560" s="18">
        <v>3.49</v>
      </c>
      <c r="AM560" s="14" t="s">
        <v>185</v>
      </c>
      <c r="AN560" s="18">
        <v>6.51</v>
      </c>
      <c r="AO560" s="18">
        <v>10</v>
      </c>
      <c r="AP560" s="14" t="s">
        <v>185</v>
      </c>
      <c r="AQ560" s="21" t="s">
        <v>166</v>
      </c>
      <c r="AR560" s="21" t="s">
        <v>166</v>
      </c>
      <c r="AS560" s="17">
        <v>38.63</v>
      </c>
      <c r="AT560" s="18">
        <v>3.51</v>
      </c>
      <c r="AU560" s="21" t="s">
        <v>186</v>
      </c>
      <c r="AV560" s="21" t="s">
        <v>166</v>
      </c>
      <c r="AW560" s="18">
        <v>1.2</v>
      </c>
      <c r="AX560" s="21" t="s">
        <v>166</v>
      </c>
      <c r="AY560" s="14" t="s">
        <v>217</v>
      </c>
      <c r="AZ560" s="14" t="s">
        <v>217</v>
      </c>
      <c r="BA560" s="14" t="s">
        <v>166</v>
      </c>
      <c r="BB560" s="21" t="s">
        <v>166</v>
      </c>
      <c r="BC560" s="14" t="s">
        <v>179</v>
      </c>
      <c r="BD560" s="14" t="s">
        <v>10859</v>
      </c>
      <c r="BE560" s="14" t="s">
        <v>189</v>
      </c>
      <c r="BF560" s="18">
        <v>3.49</v>
      </c>
      <c r="BG560" s="14" t="s">
        <v>190</v>
      </c>
      <c r="BH560" s="14" t="s">
        <v>166</v>
      </c>
      <c r="BI560" s="14" t="s">
        <v>166</v>
      </c>
      <c r="BJ560" s="18" t="s">
        <v>166</v>
      </c>
      <c r="BK560" s="18" t="s">
        <v>166</v>
      </c>
      <c r="BL560" s="14" t="s">
        <v>191</v>
      </c>
      <c r="BM560" s="14" t="s">
        <v>178</v>
      </c>
      <c r="BN560" s="14" t="s">
        <v>177</v>
      </c>
      <c r="BO560" s="22" t="s">
        <v>166</v>
      </c>
      <c r="BP560" s="14" t="s">
        <v>10860</v>
      </c>
      <c r="BQ560" s="21">
        <v>12</v>
      </c>
      <c r="BR560" s="14" t="s">
        <v>252</v>
      </c>
      <c r="BS560" s="21">
        <v>1</v>
      </c>
      <c r="BT560" s="14" t="s">
        <v>10861</v>
      </c>
      <c r="BU560" s="14" t="s">
        <v>166</v>
      </c>
      <c r="BV560" s="14" t="s">
        <v>10862</v>
      </c>
      <c r="BW560" s="14" t="s">
        <v>166</v>
      </c>
      <c r="BX560" s="14" t="s">
        <v>166</v>
      </c>
      <c r="BY560" s="14" t="s">
        <v>166</v>
      </c>
      <c r="BZ560" s="14" t="s">
        <v>770</v>
      </c>
      <c r="CA560" s="14" t="s">
        <v>770</v>
      </c>
      <c r="CB560" s="14" t="s">
        <v>166</v>
      </c>
      <c r="CC560" s="14" t="s">
        <v>166</v>
      </c>
      <c r="CD560" s="14" t="s">
        <v>166</v>
      </c>
      <c r="CE560" s="18" t="s">
        <v>166</v>
      </c>
      <c r="CF560" s="16" t="s">
        <v>166</v>
      </c>
      <c r="CG560" s="17" t="s">
        <v>166</v>
      </c>
      <c r="CH560" s="16" t="s">
        <v>166</v>
      </c>
      <c r="CI560" s="16" t="s">
        <v>166</v>
      </c>
      <c r="CJ560" s="16" t="s">
        <v>166</v>
      </c>
      <c r="CK560" s="16" t="s">
        <v>166</v>
      </c>
      <c r="CL560" s="16" t="s">
        <v>166</v>
      </c>
      <c r="CM560" s="20" t="s">
        <v>166</v>
      </c>
      <c r="CN560" s="16" t="s">
        <v>166</v>
      </c>
      <c r="CO560" s="16" t="s">
        <v>166</v>
      </c>
      <c r="CP560" s="16" t="s">
        <v>166</v>
      </c>
      <c r="CQ560" s="16" t="s">
        <v>166</v>
      </c>
      <c r="CR560" s="16" t="s">
        <v>166</v>
      </c>
      <c r="CS560" s="16" t="s">
        <v>166</v>
      </c>
      <c r="CT560" s="16" t="s">
        <v>166</v>
      </c>
      <c r="CU560" s="16" t="s">
        <v>166</v>
      </c>
      <c r="CV560" s="16" t="s">
        <v>166</v>
      </c>
      <c r="CW560" s="16" t="s">
        <v>166</v>
      </c>
      <c r="CX560" s="16" t="s">
        <v>166</v>
      </c>
      <c r="CY560" s="16" t="s">
        <v>166</v>
      </c>
      <c r="CZ560" s="16" t="s">
        <v>166</v>
      </c>
      <c r="DA560" s="16" t="s">
        <v>166</v>
      </c>
      <c r="DB560" s="16" t="s">
        <v>166</v>
      </c>
      <c r="DC560" s="16" t="s">
        <v>166</v>
      </c>
      <c r="DD560" s="16" t="s">
        <v>166</v>
      </c>
      <c r="DE560" s="17" t="s">
        <v>166</v>
      </c>
      <c r="DF560" s="22">
        <v>13</v>
      </c>
      <c r="DG560" s="14" t="s">
        <v>10863</v>
      </c>
      <c r="DH560" s="14" t="s">
        <v>193</v>
      </c>
      <c r="DI560" s="14" t="s">
        <v>194</v>
      </c>
      <c r="DJ560" s="14" t="s">
        <v>10864</v>
      </c>
      <c r="DK560" s="14" t="s">
        <v>1888</v>
      </c>
      <c r="DL560" s="21" t="s">
        <v>10865</v>
      </c>
      <c r="DM560" s="14" t="s">
        <v>198</v>
      </c>
      <c r="DN560" s="13" t="s">
        <v>10866</v>
      </c>
      <c r="DO560" s="20">
        <v>2020</v>
      </c>
      <c r="DP560" s="14" t="s">
        <v>166</v>
      </c>
      <c r="DQ560" s="14" t="s">
        <v>166</v>
      </c>
      <c r="DR560" s="18" t="s">
        <v>166</v>
      </c>
      <c r="DS560" s="16" t="s">
        <v>166</v>
      </c>
      <c r="DT560" s="19" t="s">
        <v>166</v>
      </c>
      <c r="DU560" s="14" t="s">
        <v>166</v>
      </c>
      <c r="DV560" s="18" t="s">
        <v>166</v>
      </c>
      <c r="DW560" s="18" t="s">
        <v>166</v>
      </c>
      <c r="DX560" s="16" t="s">
        <v>166</v>
      </c>
      <c r="DY560" s="16" t="s">
        <v>166</v>
      </c>
      <c r="DZ560" s="17" t="s">
        <v>166</v>
      </c>
      <c r="EA560" s="16" t="s">
        <v>166</v>
      </c>
      <c r="EB560" s="16" t="s">
        <v>166</v>
      </c>
      <c r="EC560" s="16" t="s">
        <v>166</v>
      </c>
      <c r="ED560" s="17" t="s">
        <v>166</v>
      </c>
      <c r="EE560" s="17" t="s">
        <v>166</v>
      </c>
      <c r="EF560" s="17" t="s">
        <v>166</v>
      </c>
      <c r="EG560" s="17" t="s">
        <v>166</v>
      </c>
      <c r="EH560" s="16" t="s">
        <v>166</v>
      </c>
      <c r="EI560" s="16" t="s">
        <v>166</v>
      </c>
      <c r="EJ560" s="16" t="s">
        <v>166</v>
      </c>
      <c r="EK560" s="16" t="s">
        <v>166</v>
      </c>
      <c r="EL560" s="16" t="s">
        <v>166</v>
      </c>
      <c r="EM560" s="16" t="s">
        <v>166</v>
      </c>
      <c r="EN560" s="16" t="s">
        <v>166</v>
      </c>
      <c r="EO560" s="16" t="s">
        <v>166</v>
      </c>
      <c r="EP560" s="16" t="s">
        <v>166</v>
      </c>
      <c r="EQ560" s="16" t="s">
        <v>166</v>
      </c>
      <c r="ER560" s="16" t="s">
        <v>166</v>
      </c>
      <c r="ES560" s="16" t="s">
        <v>166</v>
      </c>
      <c r="ET560" s="14" t="s">
        <v>166</v>
      </c>
      <c r="EU560" s="16" t="s">
        <v>166</v>
      </c>
      <c r="EV560" s="16" t="s">
        <v>166</v>
      </c>
      <c r="EW560" s="16" t="s">
        <v>166</v>
      </c>
      <c r="EX560" s="14" t="s">
        <v>190</v>
      </c>
      <c r="EY560" s="14" t="s">
        <v>166</v>
      </c>
      <c r="EZ560" s="16" t="s">
        <v>166</v>
      </c>
      <c r="FA560" s="15">
        <v>1</v>
      </c>
      <c r="FB560" s="15">
        <v>1</v>
      </c>
      <c r="FC560" s="15" t="s">
        <v>166</v>
      </c>
      <c r="FD560" s="15">
        <v>1</v>
      </c>
      <c r="FE560" s="15" t="s">
        <v>166</v>
      </c>
      <c r="FF560" s="15" t="s">
        <v>166</v>
      </c>
      <c r="FG560" s="14" t="s">
        <v>10867</v>
      </c>
      <c r="FH560" s="3">
        <f>HYPERLINK("https://my.pitchbook.com?c=266868-82T","View Company Online")</f>
      </c>
    </row>
    <row r="561">
      <c r="A561" s="25" t="s">
        <v>10868</v>
      </c>
      <c r="B561" s="25" t="s">
        <v>10869</v>
      </c>
      <c r="C561" s="25" t="s">
        <v>10870</v>
      </c>
      <c r="D561" s="25" t="s">
        <v>166</v>
      </c>
      <c r="E561" s="34" t="s">
        <v>10871</v>
      </c>
      <c r="F561" s="32">
        <v>10</v>
      </c>
      <c r="G561" s="25" t="s">
        <v>10872</v>
      </c>
      <c r="H561" s="25" t="s">
        <v>166</v>
      </c>
      <c r="I561" s="25" t="s">
        <v>10873</v>
      </c>
      <c r="J561" s="25" t="s">
        <v>10874</v>
      </c>
      <c r="K561" s="25" t="s">
        <v>207</v>
      </c>
      <c r="L561" s="25" t="s">
        <v>208</v>
      </c>
      <c r="M561" s="25" t="s">
        <v>296</v>
      </c>
      <c r="N561" s="25" t="s">
        <v>1202</v>
      </c>
      <c r="O561" s="25" t="s">
        <v>2931</v>
      </c>
      <c r="P561" s="25" t="s">
        <v>10875</v>
      </c>
      <c r="Q561" s="25" t="s">
        <v>2555</v>
      </c>
      <c r="R561" s="25" t="s">
        <v>177</v>
      </c>
      <c r="S561" s="25" t="s">
        <v>178</v>
      </c>
      <c r="T561" s="25" t="s">
        <v>179</v>
      </c>
      <c r="U561" s="25" t="s">
        <v>10876</v>
      </c>
      <c r="V561" s="25" t="s">
        <v>10877</v>
      </c>
      <c r="W561" s="32" t="s">
        <v>166</v>
      </c>
      <c r="X561" s="25" t="s">
        <v>166</v>
      </c>
      <c r="Y561" s="25" t="s">
        <v>10878</v>
      </c>
      <c r="Z561" s="25" t="s">
        <v>166</v>
      </c>
      <c r="AA561" s="25" t="s">
        <v>242</v>
      </c>
      <c r="AB561" s="25" t="s">
        <v>243</v>
      </c>
      <c r="AC561" s="25" t="s">
        <v>244</v>
      </c>
      <c r="AD561" s="25" t="s">
        <v>243</v>
      </c>
      <c r="AE561" s="25" t="s">
        <v>243</v>
      </c>
      <c r="AF561" s="25" t="s">
        <v>166</v>
      </c>
      <c r="AG561" s="25" t="s">
        <v>246</v>
      </c>
      <c r="AH561" s="32">
        <v>1</v>
      </c>
      <c r="AI561" s="4">
        <f>HYPERLINK("https://my.pitchbook.com/?d=182068-93T","182068-93T")</f>
      </c>
      <c r="AJ561" s="30" t="s">
        <v>166</v>
      </c>
      <c r="AK561" s="30">
        <v>44490</v>
      </c>
      <c r="AL561" s="29">
        <v>20</v>
      </c>
      <c r="AM561" s="25" t="s">
        <v>185</v>
      </c>
      <c r="AN561" s="29">
        <v>80</v>
      </c>
      <c r="AO561" s="29">
        <v>100</v>
      </c>
      <c r="AP561" s="25" t="s">
        <v>185</v>
      </c>
      <c r="AQ561" s="32" t="s">
        <v>166</v>
      </c>
      <c r="AR561" s="32" t="s">
        <v>166</v>
      </c>
      <c r="AS561" s="28">
        <v>20</v>
      </c>
      <c r="AT561" s="29">
        <v>20</v>
      </c>
      <c r="AU561" s="32" t="s">
        <v>186</v>
      </c>
      <c r="AV561" s="32" t="s">
        <v>166</v>
      </c>
      <c r="AW561" s="29">
        <v>4.7</v>
      </c>
      <c r="AX561" s="32" t="s">
        <v>746</v>
      </c>
      <c r="AY561" s="25" t="s">
        <v>217</v>
      </c>
      <c r="AZ561" s="25" t="s">
        <v>746</v>
      </c>
      <c r="BA561" s="25" t="s">
        <v>166</v>
      </c>
      <c r="BB561" s="32" t="s">
        <v>166</v>
      </c>
      <c r="BC561" s="25" t="s">
        <v>179</v>
      </c>
      <c r="BD561" s="25" t="s">
        <v>10879</v>
      </c>
      <c r="BE561" s="25" t="s">
        <v>189</v>
      </c>
      <c r="BF561" s="29">
        <v>20</v>
      </c>
      <c r="BG561" s="25" t="s">
        <v>190</v>
      </c>
      <c r="BH561" s="25" t="s">
        <v>166</v>
      </c>
      <c r="BI561" s="25" t="s">
        <v>166</v>
      </c>
      <c r="BJ561" s="29" t="s">
        <v>166</v>
      </c>
      <c r="BK561" s="29" t="s">
        <v>166</v>
      </c>
      <c r="BL561" s="25" t="s">
        <v>191</v>
      </c>
      <c r="BM561" s="25" t="s">
        <v>178</v>
      </c>
      <c r="BN561" s="25" t="s">
        <v>177</v>
      </c>
      <c r="BO561" s="33" t="s">
        <v>166</v>
      </c>
      <c r="BP561" s="25" t="s">
        <v>10871</v>
      </c>
      <c r="BQ561" s="32">
        <v>10</v>
      </c>
      <c r="BR561" s="25" t="s">
        <v>166</v>
      </c>
      <c r="BS561" s="32" t="s">
        <v>166</v>
      </c>
      <c r="BT561" s="25" t="s">
        <v>10880</v>
      </c>
      <c r="BU561" s="25" t="s">
        <v>166</v>
      </c>
      <c r="BV561" s="25" t="s">
        <v>10881</v>
      </c>
      <c r="BW561" s="25" t="s">
        <v>166</v>
      </c>
      <c r="BX561" s="25" t="s">
        <v>166</v>
      </c>
      <c r="BY561" s="25" t="s">
        <v>166</v>
      </c>
      <c r="BZ561" s="25" t="s">
        <v>10882</v>
      </c>
      <c r="CA561" s="25" t="s">
        <v>10882</v>
      </c>
      <c r="CB561" s="25" t="s">
        <v>166</v>
      </c>
      <c r="CC561" s="25" t="s">
        <v>166</v>
      </c>
      <c r="CD561" s="25" t="s">
        <v>166</v>
      </c>
      <c r="CE561" s="29" t="s">
        <v>166</v>
      </c>
      <c r="CF561" s="27" t="s">
        <v>166</v>
      </c>
      <c r="CG561" s="28" t="s">
        <v>166</v>
      </c>
      <c r="CH561" s="27" t="s">
        <v>166</v>
      </c>
      <c r="CI561" s="27" t="s">
        <v>166</v>
      </c>
      <c r="CJ561" s="27" t="s">
        <v>166</v>
      </c>
      <c r="CK561" s="27" t="s">
        <v>166</v>
      </c>
      <c r="CL561" s="27" t="s">
        <v>166</v>
      </c>
      <c r="CM561" s="31" t="s">
        <v>166</v>
      </c>
      <c r="CN561" s="27" t="s">
        <v>166</v>
      </c>
      <c r="CO561" s="27" t="s">
        <v>166</v>
      </c>
      <c r="CP561" s="27" t="s">
        <v>166</v>
      </c>
      <c r="CQ561" s="27" t="s">
        <v>166</v>
      </c>
      <c r="CR561" s="27" t="s">
        <v>166</v>
      </c>
      <c r="CS561" s="27" t="s">
        <v>166</v>
      </c>
      <c r="CT561" s="27" t="s">
        <v>166</v>
      </c>
      <c r="CU561" s="27" t="s">
        <v>166</v>
      </c>
      <c r="CV561" s="27" t="s">
        <v>166</v>
      </c>
      <c r="CW561" s="27" t="s">
        <v>166</v>
      </c>
      <c r="CX561" s="27" t="s">
        <v>166</v>
      </c>
      <c r="CY561" s="27" t="s">
        <v>166</v>
      </c>
      <c r="CZ561" s="27" t="s">
        <v>166</v>
      </c>
      <c r="DA561" s="27" t="s">
        <v>166</v>
      </c>
      <c r="DB561" s="27" t="s">
        <v>166</v>
      </c>
      <c r="DC561" s="27" t="s">
        <v>166</v>
      </c>
      <c r="DD561" s="27" t="s">
        <v>166</v>
      </c>
      <c r="DE561" s="28" t="s">
        <v>166</v>
      </c>
      <c r="DF561" s="33">
        <v>42</v>
      </c>
      <c r="DG561" s="25" t="s">
        <v>309</v>
      </c>
      <c r="DH561" s="25" t="s">
        <v>193</v>
      </c>
      <c r="DI561" s="25" t="s">
        <v>194</v>
      </c>
      <c r="DJ561" s="25" t="s">
        <v>310</v>
      </c>
      <c r="DK561" s="25" t="s">
        <v>310</v>
      </c>
      <c r="DL561" s="32" t="s">
        <v>10883</v>
      </c>
      <c r="DM561" s="25" t="s">
        <v>198</v>
      </c>
      <c r="DN561" s="24" t="s">
        <v>10884</v>
      </c>
      <c r="DO561" s="31">
        <v>2021</v>
      </c>
      <c r="DP561" s="25" t="s">
        <v>166</v>
      </c>
      <c r="DQ561" s="25" t="s">
        <v>166</v>
      </c>
      <c r="DR561" s="29" t="s">
        <v>166</v>
      </c>
      <c r="DS561" s="27" t="s">
        <v>166</v>
      </c>
      <c r="DT561" s="30" t="s">
        <v>166</v>
      </c>
      <c r="DU561" s="25" t="s">
        <v>166</v>
      </c>
      <c r="DV561" s="29" t="s">
        <v>166</v>
      </c>
      <c r="DW561" s="29" t="s">
        <v>166</v>
      </c>
      <c r="DX561" s="27" t="s">
        <v>166</v>
      </c>
      <c r="DY561" s="27" t="s">
        <v>166</v>
      </c>
      <c r="DZ561" s="28" t="s">
        <v>166</v>
      </c>
      <c r="EA561" s="27" t="s">
        <v>166</v>
      </c>
      <c r="EB561" s="27" t="s">
        <v>166</v>
      </c>
      <c r="EC561" s="27" t="s">
        <v>166</v>
      </c>
      <c r="ED561" s="28" t="s">
        <v>166</v>
      </c>
      <c r="EE561" s="28" t="s">
        <v>166</v>
      </c>
      <c r="EF561" s="28" t="s">
        <v>166</v>
      </c>
      <c r="EG561" s="28" t="s">
        <v>166</v>
      </c>
      <c r="EH561" s="27" t="s">
        <v>166</v>
      </c>
      <c r="EI561" s="27" t="s">
        <v>166</v>
      </c>
      <c r="EJ561" s="27" t="s">
        <v>166</v>
      </c>
      <c r="EK561" s="27" t="s">
        <v>166</v>
      </c>
      <c r="EL561" s="27" t="s">
        <v>166</v>
      </c>
      <c r="EM561" s="27" t="s">
        <v>166</v>
      </c>
      <c r="EN561" s="27" t="s">
        <v>166</v>
      </c>
      <c r="EO561" s="27" t="s">
        <v>166</v>
      </c>
      <c r="EP561" s="27" t="s">
        <v>166</v>
      </c>
      <c r="EQ561" s="27" t="s">
        <v>166</v>
      </c>
      <c r="ER561" s="27" t="s">
        <v>166</v>
      </c>
      <c r="ES561" s="27" t="s">
        <v>166</v>
      </c>
      <c r="ET561" s="25" t="s">
        <v>166</v>
      </c>
      <c r="EU561" s="27" t="s">
        <v>166</v>
      </c>
      <c r="EV561" s="27" t="s">
        <v>166</v>
      </c>
      <c r="EW561" s="27" t="s">
        <v>166</v>
      </c>
      <c r="EX561" s="25" t="s">
        <v>190</v>
      </c>
      <c r="EY561" s="25" t="s">
        <v>166</v>
      </c>
      <c r="EZ561" s="27" t="s">
        <v>166</v>
      </c>
      <c r="FA561" s="26">
        <v>5</v>
      </c>
      <c r="FB561" s="26">
        <v>2</v>
      </c>
      <c r="FC561" s="26">
        <v>4</v>
      </c>
      <c r="FD561" s="26" t="s">
        <v>166</v>
      </c>
      <c r="FE561" s="26" t="s">
        <v>166</v>
      </c>
      <c r="FF561" s="26">
        <v>1</v>
      </c>
      <c r="FG561" s="25" t="s">
        <v>10885</v>
      </c>
      <c r="FH561" s="4">
        <f>HYPERLINK("https://my.pitchbook.com?c=182068-93T","View Company Online")</f>
      </c>
    </row>
    <row r="562">
      <c r="A562" s="14" t="s">
        <v>10886</v>
      </c>
      <c r="B562" s="14" t="s">
        <v>10887</v>
      </c>
      <c r="C562" s="14" t="s">
        <v>10888</v>
      </c>
      <c r="D562" s="14" t="s">
        <v>166</v>
      </c>
      <c r="E562" s="23" t="s">
        <v>10889</v>
      </c>
      <c r="F562" s="21">
        <v>4</v>
      </c>
      <c r="G562" s="14" t="s">
        <v>10890</v>
      </c>
      <c r="H562" s="14" t="s">
        <v>166</v>
      </c>
      <c r="I562" s="14" t="s">
        <v>10891</v>
      </c>
      <c r="J562" s="14" t="s">
        <v>10892</v>
      </c>
      <c r="K562" s="14" t="s">
        <v>207</v>
      </c>
      <c r="L562" s="14" t="s">
        <v>208</v>
      </c>
      <c r="M562" s="14" t="s">
        <v>1220</v>
      </c>
      <c r="N562" s="14" t="s">
        <v>1379</v>
      </c>
      <c r="O562" s="14" t="s">
        <v>8841</v>
      </c>
      <c r="P562" s="14" t="s">
        <v>10893</v>
      </c>
      <c r="Q562" s="14" t="s">
        <v>166</v>
      </c>
      <c r="R562" s="14" t="s">
        <v>177</v>
      </c>
      <c r="S562" s="14" t="s">
        <v>178</v>
      </c>
      <c r="T562" s="14" t="s">
        <v>179</v>
      </c>
      <c r="U562" s="14" t="s">
        <v>10894</v>
      </c>
      <c r="V562" s="14" t="s">
        <v>10895</v>
      </c>
      <c r="W562" s="21" t="s">
        <v>10896</v>
      </c>
      <c r="X562" s="14" t="s">
        <v>10897</v>
      </c>
      <c r="Y562" s="14" t="s">
        <v>10898</v>
      </c>
      <c r="Z562" s="14" t="s">
        <v>10899</v>
      </c>
      <c r="AA562" s="14" t="s">
        <v>242</v>
      </c>
      <c r="AB562" s="14" t="s">
        <v>243</v>
      </c>
      <c r="AC562" s="14" t="s">
        <v>244</v>
      </c>
      <c r="AD562" s="14" t="s">
        <v>243</v>
      </c>
      <c r="AE562" s="14" t="s">
        <v>243</v>
      </c>
      <c r="AF562" s="14" t="s">
        <v>245</v>
      </c>
      <c r="AG562" s="14" t="s">
        <v>246</v>
      </c>
      <c r="AH562" s="21">
        <v>1</v>
      </c>
      <c r="AI562" s="3">
        <f>HYPERLINK("https://my.pitchbook.com/?d=140669-11T","140669-11T")</f>
      </c>
      <c r="AJ562" s="19" t="s">
        <v>166</v>
      </c>
      <c r="AK562" s="19">
        <v>43927</v>
      </c>
      <c r="AL562" s="18">
        <v>16</v>
      </c>
      <c r="AM562" s="14" t="s">
        <v>185</v>
      </c>
      <c r="AN562" s="18">
        <v>30</v>
      </c>
      <c r="AO562" s="18">
        <v>46</v>
      </c>
      <c r="AP562" s="14" t="s">
        <v>185</v>
      </c>
      <c r="AQ562" s="21" t="s">
        <v>166</v>
      </c>
      <c r="AR562" s="21" t="s">
        <v>166</v>
      </c>
      <c r="AS562" s="17">
        <v>43.1</v>
      </c>
      <c r="AT562" s="18">
        <v>16</v>
      </c>
      <c r="AU562" s="21" t="s">
        <v>186</v>
      </c>
      <c r="AV562" s="21" t="s">
        <v>166</v>
      </c>
      <c r="AW562" s="18">
        <v>2.26</v>
      </c>
      <c r="AX562" s="21" t="s">
        <v>248</v>
      </c>
      <c r="AY562" s="14" t="s">
        <v>187</v>
      </c>
      <c r="AZ562" s="14" t="s">
        <v>248</v>
      </c>
      <c r="BA562" s="14" t="s">
        <v>166</v>
      </c>
      <c r="BB562" s="21" t="s">
        <v>166</v>
      </c>
      <c r="BC562" s="14" t="s">
        <v>179</v>
      </c>
      <c r="BD562" s="14" t="s">
        <v>10900</v>
      </c>
      <c r="BE562" s="14" t="s">
        <v>189</v>
      </c>
      <c r="BF562" s="18">
        <v>16</v>
      </c>
      <c r="BG562" s="14" t="s">
        <v>190</v>
      </c>
      <c r="BH562" s="14" t="s">
        <v>166</v>
      </c>
      <c r="BI562" s="14" t="s">
        <v>166</v>
      </c>
      <c r="BJ562" s="18" t="s">
        <v>166</v>
      </c>
      <c r="BK562" s="18" t="s">
        <v>166</v>
      </c>
      <c r="BL562" s="14" t="s">
        <v>191</v>
      </c>
      <c r="BM562" s="14" t="s">
        <v>178</v>
      </c>
      <c r="BN562" s="14" t="s">
        <v>177</v>
      </c>
      <c r="BO562" s="22" t="s">
        <v>166</v>
      </c>
      <c r="BP562" s="14" t="s">
        <v>10901</v>
      </c>
      <c r="BQ562" s="21">
        <v>4</v>
      </c>
      <c r="BR562" s="14" t="s">
        <v>166</v>
      </c>
      <c r="BS562" s="21" t="s">
        <v>166</v>
      </c>
      <c r="BT562" s="14" t="s">
        <v>10902</v>
      </c>
      <c r="BU562" s="14" t="s">
        <v>166</v>
      </c>
      <c r="BV562" s="14" t="s">
        <v>10903</v>
      </c>
      <c r="BW562" s="14" t="s">
        <v>166</v>
      </c>
      <c r="BX562" s="14" t="s">
        <v>166</v>
      </c>
      <c r="BY562" s="14" t="s">
        <v>166</v>
      </c>
      <c r="BZ562" s="14" t="s">
        <v>10904</v>
      </c>
      <c r="CA562" s="14" t="s">
        <v>996</v>
      </c>
      <c r="CB562" s="14" t="s">
        <v>166</v>
      </c>
      <c r="CC562" s="14" t="s">
        <v>10905</v>
      </c>
      <c r="CD562" s="14" t="s">
        <v>166</v>
      </c>
      <c r="CE562" s="18" t="s">
        <v>166</v>
      </c>
      <c r="CF562" s="16" t="s">
        <v>166</v>
      </c>
      <c r="CG562" s="17" t="s">
        <v>166</v>
      </c>
      <c r="CH562" s="16" t="s">
        <v>166</v>
      </c>
      <c r="CI562" s="16" t="s">
        <v>166</v>
      </c>
      <c r="CJ562" s="16" t="s">
        <v>166</v>
      </c>
      <c r="CK562" s="16" t="s">
        <v>166</v>
      </c>
      <c r="CL562" s="16" t="s">
        <v>166</v>
      </c>
      <c r="CM562" s="20" t="s">
        <v>166</v>
      </c>
      <c r="CN562" s="16" t="s">
        <v>166</v>
      </c>
      <c r="CO562" s="16" t="s">
        <v>166</v>
      </c>
      <c r="CP562" s="16" t="s">
        <v>166</v>
      </c>
      <c r="CQ562" s="16" t="s">
        <v>166</v>
      </c>
      <c r="CR562" s="16" t="s">
        <v>166</v>
      </c>
      <c r="CS562" s="16" t="s">
        <v>166</v>
      </c>
      <c r="CT562" s="16" t="s">
        <v>166</v>
      </c>
      <c r="CU562" s="16" t="s">
        <v>166</v>
      </c>
      <c r="CV562" s="16" t="s">
        <v>166</v>
      </c>
      <c r="CW562" s="16" t="s">
        <v>166</v>
      </c>
      <c r="CX562" s="16" t="s">
        <v>166</v>
      </c>
      <c r="CY562" s="16" t="s">
        <v>166</v>
      </c>
      <c r="CZ562" s="16" t="s">
        <v>166</v>
      </c>
      <c r="DA562" s="16" t="s">
        <v>166</v>
      </c>
      <c r="DB562" s="16" t="s">
        <v>166</v>
      </c>
      <c r="DC562" s="16" t="s">
        <v>166</v>
      </c>
      <c r="DD562" s="16" t="s">
        <v>166</v>
      </c>
      <c r="DE562" s="17" t="s">
        <v>166</v>
      </c>
      <c r="DF562" s="22">
        <v>199</v>
      </c>
      <c r="DG562" s="14" t="s">
        <v>673</v>
      </c>
      <c r="DH562" s="14" t="s">
        <v>193</v>
      </c>
      <c r="DI562" s="14" t="s">
        <v>194</v>
      </c>
      <c r="DJ562" s="14" t="s">
        <v>674</v>
      </c>
      <c r="DK562" s="14" t="s">
        <v>257</v>
      </c>
      <c r="DL562" s="21" t="s">
        <v>1329</v>
      </c>
      <c r="DM562" s="14" t="s">
        <v>198</v>
      </c>
      <c r="DN562" s="13" t="s">
        <v>10906</v>
      </c>
      <c r="DO562" s="20">
        <v>2019</v>
      </c>
      <c r="DP562" s="14" t="s">
        <v>166</v>
      </c>
      <c r="DQ562" s="14" t="s">
        <v>166</v>
      </c>
      <c r="DR562" s="18" t="s">
        <v>166</v>
      </c>
      <c r="DS562" s="16" t="s">
        <v>166</v>
      </c>
      <c r="DT562" s="19" t="s">
        <v>166</v>
      </c>
      <c r="DU562" s="14" t="s">
        <v>166</v>
      </c>
      <c r="DV562" s="18" t="s">
        <v>166</v>
      </c>
      <c r="DW562" s="18" t="s">
        <v>166</v>
      </c>
      <c r="DX562" s="16" t="s">
        <v>166</v>
      </c>
      <c r="DY562" s="16" t="s">
        <v>166</v>
      </c>
      <c r="DZ562" s="17" t="s">
        <v>166</v>
      </c>
      <c r="EA562" s="16" t="s">
        <v>166</v>
      </c>
      <c r="EB562" s="16" t="s">
        <v>166</v>
      </c>
      <c r="EC562" s="16" t="s">
        <v>166</v>
      </c>
      <c r="ED562" s="17" t="s">
        <v>166</v>
      </c>
      <c r="EE562" s="17" t="s">
        <v>166</v>
      </c>
      <c r="EF562" s="17" t="s">
        <v>166</v>
      </c>
      <c r="EG562" s="17" t="s">
        <v>166</v>
      </c>
      <c r="EH562" s="16" t="s">
        <v>166</v>
      </c>
      <c r="EI562" s="16" t="s">
        <v>166</v>
      </c>
      <c r="EJ562" s="16" t="s">
        <v>166</v>
      </c>
      <c r="EK562" s="16" t="s">
        <v>166</v>
      </c>
      <c r="EL562" s="16" t="s">
        <v>166</v>
      </c>
      <c r="EM562" s="16" t="s">
        <v>166</v>
      </c>
      <c r="EN562" s="16" t="s">
        <v>166</v>
      </c>
      <c r="EO562" s="16" t="s">
        <v>166</v>
      </c>
      <c r="EP562" s="16" t="s">
        <v>166</v>
      </c>
      <c r="EQ562" s="16" t="s">
        <v>166</v>
      </c>
      <c r="ER562" s="16" t="s">
        <v>166</v>
      </c>
      <c r="ES562" s="16" t="s">
        <v>166</v>
      </c>
      <c r="ET562" s="14" t="s">
        <v>166</v>
      </c>
      <c r="EU562" s="16" t="s">
        <v>166</v>
      </c>
      <c r="EV562" s="16" t="s">
        <v>166</v>
      </c>
      <c r="EW562" s="16" t="s">
        <v>166</v>
      </c>
      <c r="EX562" s="14" t="s">
        <v>190</v>
      </c>
      <c r="EY562" s="14" t="s">
        <v>166</v>
      </c>
      <c r="EZ562" s="16" t="s">
        <v>166</v>
      </c>
      <c r="FA562" s="15" t="s">
        <v>166</v>
      </c>
      <c r="FB562" s="15" t="s">
        <v>166</v>
      </c>
      <c r="FC562" s="15" t="s">
        <v>166</v>
      </c>
      <c r="FD562" s="15" t="s">
        <v>166</v>
      </c>
      <c r="FE562" s="15" t="s">
        <v>166</v>
      </c>
      <c r="FF562" s="15" t="s">
        <v>166</v>
      </c>
      <c r="FG562" s="14" t="s">
        <v>166</v>
      </c>
      <c r="FH562" s="3">
        <f>HYPERLINK("https://my.pitchbook.com?c=140669-11T","View Company Online")</f>
      </c>
    </row>
    <row r="563">
      <c r="A563" s="25" t="s">
        <v>10907</v>
      </c>
      <c r="B563" s="25" t="s">
        <v>10908</v>
      </c>
      <c r="C563" s="25" t="s">
        <v>10909</v>
      </c>
      <c r="D563" s="25" t="s">
        <v>166</v>
      </c>
      <c r="E563" s="34" t="s">
        <v>10910</v>
      </c>
      <c r="F563" s="32">
        <v>30</v>
      </c>
      <c r="G563" s="25" t="s">
        <v>10911</v>
      </c>
      <c r="H563" s="25" t="s">
        <v>166</v>
      </c>
      <c r="I563" s="25" t="s">
        <v>10912</v>
      </c>
      <c r="J563" s="25" t="s">
        <v>10913</v>
      </c>
      <c r="K563" s="25" t="s">
        <v>207</v>
      </c>
      <c r="L563" s="25" t="s">
        <v>208</v>
      </c>
      <c r="M563" s="25" t="s">
        <v>209</v>
      </c>
      <c r="N563" s="25" t="s">
        <v>269</v>
      </c>
      <c r="O563" s="25" t="s">
        <v>665</v>
      </c>
      <c r="P563" s="25" t="s">
        <v>10914</v>
      </c>
      <c r="Q563" s="25" t="s">
        <v>926</v>
      </c>
      <c r="R563" s="25" t="s">
        <v>177</v>
      </c>
      <c r="S563" s="25" t="s">
        <v>178</v>
      </c>
      <c r="T563" s="25" t="s">
        <v>179</v>
      </c>
      <c r="U563" s="25" t="s">
        <v>10915</v>
      </c>
      <c r="V563" s="25" t="s">
        <v>10916</v>
      </c>
      <c r="W563" s="32" t="s">
        <v>10917</v>
      </c>
      <c r="X563" s="25" t="s">
        <v>10918</v>
      </c>
      <c r="Y563" s="25" t="s">
        <v>10919</v>
      </c>
      <c r="Z563" s="25" t="s">
        <v>10920</v>
      </c>
      <c r="AA563" s="25" t="s">
        <v>166</v>
      </c>
      <c r="AB563" s="25" t="s">
        <v>166</v>
      </c>
      <c r="AC563" s="25" t="s">
        <v>166</v>
      </c>
      <c r="AD563" s="25" t="s">
        <v>166</v>
      </c>
      <c r="AE563" s="25" t="s">
        <v>166</v>
      </c>
      <c r="AF563" s="25" t="s">
        <v>166</v>
      </c>
      <c r="AG563" s="25" t="s">
        <v>166</v>
      </c>
      <c r="AH563" s="32">
        <v>2</v>
      </c>
      <c r="AI563" s="4">
        <f>HYPERLINK("https://my.pitchbook.com/?d=206752-06T","206752-06T")</f>
      </c>
      <c r="AJ563" s="30" t="s">
        <v>166</v>
      </c>
      <c r="AK563" s="30">
        <v>44855</v>
      </c>
      <c r="AL563" s="29">
        <v>2.76</v>
      </c>
      <c r="AM563" s="25" t="s">
        <v>185</v>
      </c>
      <c r="AN563" s="29" t="s">
        <v>166</v>
      </c>
      <c r="AO563" s="29" t="s">
        <v>166</v>
      </c>
      <c r="AP563" s="25" t="s">
        <v>166</v>
      </c>
      <c r="AQ563" s="32" t="s">
        <v>166</v>
      </c>
      <c r="AR563" s="32" t="s">
        <v>166</v>
      </c>
      <c r="AS563" s="28" t="s">
        <v>166</v>
      </c>
      <c r="AT563" s="29">
        <v>2.76</v>
      </c>
      <c r="AU563" s="32" t="s">
        <v>186</v>
      </c>
      <c r="AV563" s="32" t="s">
        <v>166</v>
      </c>
      <c r="AW563" s="29" t="s">
        <v>166</v>
      </c>
      <c r="AX563" s="32" t="s">
        <v>166</v>
      </c>
      <c r="AY563" s="25" t="s">
        <v>187</v>
      </c>
      <c r="AZ563" s="25" t="s">
        <v>166</v>
      </c>
      <c r="BA563" s="25" t="s">
        <v>166</v>
      </c>
      <c r="BB563" s="32" t="s">
        <v>166</v>
      </c>
      <c r="BC563" s="25" t="s">
        <v>179</v>
      </c>
      <c r="BD563" s="25" t="s">
        <v>10921</v>
      </c>
      <c r="BE563" s="25" t="s">
        <v>189</v>
      </c>
      <c r="BF563" s="29" t="s">
        <v>166</v>
      </c>
      <c r="BG563" s="25" t="s">
        <v>190</v>
      </c>
      <c r="BH563" s="25" t="s">
        <v>166</v>
      </c>
      <c r="BI563" s="25" t="s">
        <v>166</v>
      </c>
      <c r="BJ563" s="29" t="s">
        <v>166</v>
      </c>
      <c r="BK563" s="29" t="s">
        <v>166</v>
      </c>
      <c r="BL563" s="25" t="s">
        <v>191</v>
      </c>
      <c r="BM563" s="25" t="s">
        <v>178</v>
      </c>
      <c r="BN563" s="25" t="s">
        <v>177</v>
      </c>
      <c r="BO563" s="33" t="s">
        <v>166</v>
      </c>
      <c r="BP563" s="25" t="s">
        <v>10922</v>
      </c>
      <c r="BQ563" s="32">
        <v>30</v>
      </c>
      <c r="BR563" s="25" t="s">
        <v>166</v>
      </c>
      <c r="BS563" s="32" t="s">
        <v>166</v>
      </c>
      <c r="BT563" s="25" t="s">
        <v>166</v>
      </c>
      <c r="BU563" s="25" t="s">
        <v>166</v>
      </c>
      <c r="BV563" s="25" t="s">
        <v>10923</v>
      </c>
      <c r="BW563" s="25" t="s">
        <v>166</v>
      </c>
      <c r="BX563" s="25" t="s">
        <v>166</v>
      </c>
      <c r="BY563" s="25" t="s">
        <v>166</v>
      </c>
      <c r="BZ563" s="25" t="s">
        <v>166</v>
      </c>
      <c r="CA563" s="25" t="s">
        <v>166</v>
      </c>
      <c r="CB563" s="25" t="s">
        <v>166</v>
      </c>
      <c r="CC563" s="25" t="s">
        <v>166</v>
      </c>
      <c r="CD563" s="25" t="s">
        <v>166</v>
      </c>
      <c r="CE563" s="29" t="s">
        <v>166</v>
      </c>
      <c r="CF563" s="27" t="s">
        <v>166</v>
      </c>
      <c r="CG563" s="28" t="s">
        <v>166</v>
      </c>
      <c r="CH563" s="27" t="s">
        <v>166</v>
      </c>
      <c r="CI563" s="27" t="s">
        <v>166</v>
      </c>
      <c r="CJ563" s="27" t="s">
        <v>166</v>
      </c>
      <c r="CK563" s="27" t="s">
        <v>166</v>
      </c>
      <c r="CL563" s="27" t="s">
        <v>166</v>
      </c>
      <c r="CM563" s="31" t="s">
        <v>166</v>
      </c>
      <c r="CN563" s="27" t="s">
        <v>166</v>
      </c>
      <c r="CO563" s="27" t="s">
        <v>166</v>
      </c>
      <c r="CP563" s="27" t="s">
        <v>166</v>
      </c>
      <c r="CQ563" s="27" t="s">
        <v>166</v>
      </c>
      <c r="CR563" s="27" t="s">
        <v>166</v>
      </c>
      <c r="CS563" s="27" t="s">
        <v>166</v>
      </c>
      <c r="CT563" s="27" t="s">
        <v>166</v>
      </c>
      <c r="CU563" s="27" t="s">
        <v>166</v>
      </c>
      <c r="CV563" s="27" t="s">
        <v>166</v>
      </c>
      <c r="CW563" s="27" t="s">
        <v>166</v>
      </c>
      <c r="CX563" s="27" t="s">
        <v>166</v>
      </c>
      <c r="CY563" s="27" t="s">
        <v>166</v>
      </c>
      <c r="CZ563" s="27" t="s">
        <v>166</v>
      </c>
      <c r="DA563" s="27" t="s">
        <v>166</v>
      </c>
      <c r="DB563" s="27" t="s">
        <v>166</v>
      </c>
      <c r="DC563" s="27" t="s">
        <v>166</v>
      </c>
      <c r="DD563" s="27" t="s">
        <v>166</v>
      </c>
      <c r="DE563" s="28" t="s">
        <v>166</v>
      </c>
      <c r="DF563" s="33">
        <v>12</v>
      </c>
      <c r="DG563" s="25" t="s">
        <v>10924</v>
      </c>
      <c r="DH563" s="25" t="s">
        <v>193</v>
      </c>
      <c r="DI563" s="25" t="s">
        <v>194</v>
      </c>
      <c r="DJ563" s="25" t="s">
        <v>10925</v>
      </c>
      <c r="DK563" s="25" t="s">
        <v>257</v>
      </c>
      <c r="DL563" s="32" t="s">
        <v>10926</v>
      </c>
      <c r="DM563" s="25" t="s">
        <v>198</v>
      </c>
      <c r="DN563" s="24" t="s">
        <v>10927</v>
      </c>
      <c r="DO563" s="31">
        <v>2022</v>
      </c>
      <c r="DP563" s="25" t="s">
        <v>166</v>
      </c>
      <c r="DQ563" s="25" t="s">
        <v>166</v>
      </c>
      <c r="DR563" s="29" t="s">
        <v>166</v>
      </c>
      <c r="DS563" s="27" t="s">
        <v>166</v>
      </c>
      <c r="DT563" s="30" t="s">
        <v>166</v>
      </c>
      <c r="DU563" s="25" t="s">
        <v>166</v>
      </c>
      <c r="DV563" s="29" t="s">
        <v>166</v>
      </c>
      <c r="DW563" s="29" t="s">
        <v>166</v>
      </c>
      <c r="DX563" s="27" t="s">
        <v>166</v>
      </c>
      <c r="DY563" s="27" t="s">
        <v>166</v>
      </c>
      <c r="DZ563" s="28" t="s">
        <v>166</v>
      </c>
      <c r="EA563" s="27" t="s">
        <v>166</v>
      </c>
      <c r="EB563" s="27" t="s">
        <v>166</v>
      </c>
      <c r="EC563" s="27" t="s">
        <v>166</v>
      </c>
      <c r="ED563" s="28" t="s">
        <v>166</v>
      </c>
      <c r="EE563" s="28" t="s">
        <v>166</v>
      </c>
      <c r="EF563" s="28" t="s">
        <v>166</v>
      </c>
      <c r="EG563" s="28" t="s">
        <v>166</v>
      </c>
      <c r="EH563" s="27" t="s">
        <v>166</v>
      </c>
      <c r="EI563" s="27" t="s">
        <v>166</v>
      </c>
      <c r="EJ563" s="27" t="s">
        <v>166</v>
      </c>
      <c r="EK563" s="27" t="s">
        <v>166</v>
      </c>
      <c r="EL563" s="27" t="s">
        <v>166</v>
      </c>
      <c r="EM563" s="27" t="s">
        <v>166</v>
      </c>
      <c r="EN563" s="27" t="s">
        <v>166</v>
      </c>
      <c r="EO563" s="27" t="s">
        <v>166</v>
      </c>
      <c r="EP563" s="27" t="s">
        <v>166</v>
      </c>
      <c r="EQ563" s="27" t="s">
        <v>166</v>
      </c>
      <c r="ER563" s="27" t="s">
        <v>166</v>
      </c>
      <c r="ES563" s="27" t="s">
        <v>166</v>
      </c>
      <c r="ET563" s="25" t="s">
        <v>166</v>
      </c>
      <c r="EU563" s="27" t="s">
        <v>166</v>
      </c>
      <c r="EV563" s="27" t="s">
        <v>166</v>
      </c>
      <c r="EW563" s="27" t="s">
        <v>166</v>
      </c>
      <c r="EX563" s="25" t="s">
        <v>190</v>
      </c>
      <c r="EY563" s="25" t="s">
        <v>166</v>
      </c>
      <c r="EZ563" s="27" t="s">
        <v>166</v>
      </c>
      <c r="FA563" s="26" t="s">
        <v>166</v>
      </c>
      <c r="FB563" s="26" t="s">
        <v>166</v>
      </c>
      <c r="FC563" s="26" t="s">
        <v>166</v>
      </c>
      <c r="FD563" s="26" t="s">
        <v>166</v>
      </c>
      <c r="FE563" s="26" t="s">
        <v>166</v>
      </c>
      <c r="FF563" s="26" t="s">
        <v>166</v>
      </c>
      <c r="FG563" s="25" t="s">
        <v>166</v>
      </c>
      <c r="FH563" s="4">
        <f>HYPERLINK("https://my.pitchbook.com?c=206752-06T","View Company Online")</f>
      </c>
    </row>
    <row r="564">
      <c r="A564" s="14" t="s">
        <v>10928</v>
      </c>
      <c r="B564" s="14" t="s">
        <v>10929</v>
      </c>
      <c r="C564" s="14" t="s">
        <v>10930</v>
      </c>
      <c r="D564" s="14" t="s">
        <v>166</v>
      </c>
      <c r="E564" s="23" t="s">
        <v>7210</v>
      </c>
      <c r="F564" s="21">
        <v>1</v>
      </c>
      <c r="G564" s="14" t="s">
        <v>10931</v>
      </c>
      <c r="H564" s="14" t="s">
        <v>166</v>
      </c>
      <c r="I564" s="14" t="s">
        <v>10932</v>
      </c>
      <c r="J564" s="14" t="s">
        <v>10933</v>
      </c>
      <c r="K564" s="14" t="s">
        <v>207</v>
      </c>
      <c r="L564" s="14" t="s">
        <v>208</v>
      </c>
      <c r="M564" s="14" t="s">
        <v>209</v>
      </c>
      <c r="N564" s="14" t="s">
        <v>1359</v>
      </c>
      <c r="O564" s="14" t="s">
        <v>10934</v>
      </c>
      <c r="P564" s="14" t="s">
        <v>10935</v>
      </c>
      <c r="Q564" s="14" t="s">
        <v>926</v>
      </c>
      <c r="R564" s="14" t="s">
        <v>177</v>
      </c>
      <c r="S564" s="14" t="s">
        <v>178</v>
      </c>
      <c r="T564" s="14" t="s">
        <v>179</v>
      </c>
      <c r="U564" s="14" t="s">
        <v>10936</v>
      </c>
      <c r="V564" s="14" t="s">
        <v>10937</v>
      </c>
      <c r="W564" s="21" t="s">
        <v>10938</v>
      </c>
      <c r="X564" s="14" t="s">
        <v>10939</v>
      </c>
      <c r="Y564" s="14" t="s">
        <v>10940</v>
      </c>
      <c r="Z564" s="14" t="s">
        <v>166</v>
      </c>
      <c r="AA564" s="14" t="s">
        <v>166</v>
      </c>
      <c r="AB564" s="14" t="s">
        <v>166</v>
      </c>
      <c r="AC564" s="14" t="s">
        <v>166</v>
      </c>
      <c r="AD564" s="14" t="s">
        <v>166</v>
      </c>
      <c r="AE564" s="14" t="s">
        <v>166</v>
      </c>
      <c r="AF564" s="14" t="s">
        <v>166</v>
      </c>
      <c r="AG564" s="14" t="s">
        <v>166</v>
      </c>
      <c r="AH564" s="21">
        <v>3</v>
      </c>
      <c r="AI564" s="3">
        <f>HYPERLINK("https://my.pitchbook.com/?d=166807-90T","166807-90T")</f>
      </c>
      <c r="AJ564" s="19" t="s">
        <v>166</v>
      </c>
      <c r="AK564" s="19">
        <v>44231</v>
      </c>
      <c r="AL564" s="18">
        <v>0.05</v>
      </c>
      <c r="AM564" s="14" t="s">
        <v>185</v>
      </c>
      <c r="AN564" s="18">
        <v>1.4</v>
      </c>
      <c r="AO564" s="18">
        <v>1.45</v>
      </c>
      <c r="AP564" s="14" t="s">
        <v>185</v>
      </c>
      <c r="AQ564" s="21" t="s">
        <v>166</v>
      </c>
      <c r="AR564" s="21" t="s">
        <v>166</v>
      </c>
      <c r="AS564" s="17">
        <v>3.45</v>
      </c>
      <c r="AT564" s="18">
        <v>0.1</v>
      </c>
      <c r="AU564" s="21" t="s">
        <v>186</v>
      </c>
      <c r="AV564" s="21" t="s">
        <v>166</v>
      </c>
      <c r="AW564" s="18" t="s">
        <v>166</v>
      </c>
      <c r="AX564" s="21" t="s">
        <v>166</v>
      </c>
      <c r="AY564" s="14" t="s">
        <v>217</v>
      </c>
      <c r="AZ564" s="14" t="s">
        <v>217</v>
      </c>
      <c r="BA564" s="14" t="s">
        <v>166</v>
      </c>
      <c r="BB564" s="21" t="s">
        <v>166</v>
      </c>
      <c r="BC564" s="14" t="s">
        <v>179</v>
      </c>
      <c r="BD564" s="14" t="s">
        <v>10941</v>
      </c>
      <c r="BE564" s="14" t="s">
        <v>189</v>
      </c>
      <c r="BF564" s="18">
        <v>0.05</v>
      </c>
      <c r="BG564" s="14" t="s">
        <v>190</v>
      </c>
      <c r="BH564" s="14" t="s">
        <v>166</v>
      </c>
      <c r="BI564" s="14" t="s">
        <v>166</v>
      </c>
      <c r="BJ564" s="18" t="s">
        <v>166</v>
      </c>
      <c r="BK564" s="18" t="s">
        <v>166</v>
      </c>
      <c r="BL564" s="14" t="s">
        <v>191</v>
      </c>
      <c r="BM564" s="14" t="s">
        <v>178</v>
      </c>
      <c r="BN564" s="14" t="s">
        <v>177</v>
      </c>
      <c r="BO564" s="22" t="s">
        <v>166</v>
      </c>
      <c r="BP564" s="14" t="s">
        <v>10942</v>
      </c>
      <c r="BQ564" s="21">
        <v>1</v>
      </c>
      <c r="BR564" s="14" t="s">
        <v>166</v>
      </c>
      <c r="BS564" s="21" t="s">
        <v>166</v>
      </c>
      <c r="BT564" s="14" t="s">
        <v>7210</v>
      </c>
      <c r="BU564" s="14" t="s">
        <v>166</v>
      </c>
      <c r="BV564" s="14" t="s">
        <v>10943</v>
      </c>
      <c r="BW564" s="14" t="s">
        <v>166</v>
      </c>
      <c r="BX564" s="14" t="s">
        <v>166</v>
      </c>
      <c r="BY564" s="14" t="s">
        <v>166</v>
      </c>
      <c r="BZ564" s="14" t="s">
        <v>166</v>
      </c>
      <c r="CA564" s="14" t="s">
        <v>166</v>
      </c>
      <c r="CB564" s="14" t="s">
        <v>166</v>
      </c>
      <c r="CC564" s="14" t="s">
        <v>166</v>
      </c>
      <c r="CD564" s="14" t="s">
        <v>166</v>
      </c>
      <c r="CE564" s="18" t="s">
        <v>166</v>
      </c>
      <c r="CF564" s="16" t="s">
        <v>166</v>
      </c>
      <c r="CG564" s="17" t="s">
        <v>166</v>
      </c>
      <c r="CH564" s="16" t="s">
        <v>166</v>
      </c>
      <c r="CI564" s="16" t="s">
        <v>166</v>
      </c>
      <c r="CJ564" s="16" t="s">
        <v>166</v>
      </c>
      <c r="CK564" s="16" t="s">
        <v>166</v>
      </c>
      <c r="CL564" s="16" t="s">
        <v>166</v>
      </c>
      <c r="CM564" s="20" t="s">
        <v>166</v>
      </c>
      <c r="CN564" s="16" t="s">
        <v>166</v>
      </c>
      <c r="CO564" s="16" t="s">
        <v>166</v>
      </c>
      <c r="CP564" s="16" t="s">
        <v>166</v>
      </c>
      <c r="CQ564" s="16" t="s">
        <v>166</v>
      </c>
      <c r="CR564" s="16" t="s">
        <v>166</v>
      </c>
      <c r="CS564" s="16" t="s">
        <v>166</v>
      </c>
      <c r="CT564" s="16" t="s">
        <v>166</v>
      </c>
      <c r="CU564" s="16" t="s">
        <v>166</v>
      </c>
      <c r="CV564" s="16" t="s">
        <v>166</v>
      </c>
      <c r="CW564" s="16" t="s">
        <v>166</v>
      </c>
      <c r="CX564" s="16" t="s">
        <v>166</v>
      </c>
      <c r="CY564" s="16" t="s">
        <v>166</v>
      </c>
      <c r="CZ564" s="16" t="s">
        <v>166</v>
      </c>
      <c r="DA564" s="16" t="s">
        <v>166</v>
      </c>
      <c r="DB564" s="16" t="s">
        <v>166</v>
      </c>
      <c r="DC564" s="16" t="s">
        <v>166</v>
      </c>
      <c r="DD564" s="16" t="s">
        <v>166</v>
      </c>
      <c r="DE564" s="17" t="s">
        <v>166</v>
      </c>
      <c r="DF564" s="22">
        <v>10</v>
      </c>
      <c r="DG564" s="14" t="s">
        <v>309</v>
      </c>
      <c r="DH564" s="14" t="s">
        <v>193</v>
      </c>
      <c r="DI564" s="14" t="s">
        <v>194</v>
      </c>
      <c r="DJ564" s="14" t="s">
        <v>310</v>
      </c>
      <c r="DK564" s="14" t="s">
        <v>310</v>
      </c>
      <c r="DL564" s="21" t="s">
        <v>2881</v>
      </c>
      <c r="DM564" s="14" t="s">
        <v>198</v>
      </c>
      <c r="DN564" s="13" t="s">
        <v>10944</v>
      </c>
      <c r="DO564" s="20">
        <v>2018</v>
      </c>
      <c r="DP564" s="14" t="s">
        <v>166</v>
      </c>
      <c r="DQ564" s="14" t="s">
        <v>166</v>
      </c>
      <c r="DR564" s="18" t="s">
        <v>166</v>
      </c>
      <c r="DS564" s="16" t="s">
        <v>166</v>
      </c>
      <c r="DT564" s="19" t="s">
        <v>166</v>
      </c>
      <c r="DU564" s="14" t="s">
        <v>166</v>
      </c>
      <c r="DV564" s="18" t="s">
        <v>166</v>
      </c>
      <c r="DW564" s="18" t="s">
        <v>166</v>
      </c>
      <c r="DX564" s="16" t="s">
        <v>166</v>
      </c>
      <c r="DY564" s="16" t="s">
        <v>166</v>
      </c>
      <c r="DZ564" s="17" t="s">
        <v>166</v>
      </c>
      <c r="EA564" s="16" t="s">
        <v>166</v>
      </c>
      <c r="EB564" s="16" t="s">
        <v>166</v>
      </c>
      <c r="EC564" s="16" t="s">
        <v>166</v>
      </c>
      <c r="ED564" s="17" t="s">
        <v>166</v>
      </c>
      <c r="EE564" s="17" t="s">
        <v>166</v>
      </c>
      <c r="EF564" s="17" t="s">
        <v>166</v>
      </c>
      <c r="EG564" s="17" t="s">
        <v>166</v>
      </c>
      <c r="EH564" s="16" t="s">
        <v>166</v>
      </c>
      <c r="EI564" s="16" t="s">
        <v>166</v>
      </c>
      <c r="EJ564" s="16" t="s">
        <v>166</v>
      </c>
      <c r="EK564" s="16" t="s">
        <v>166</v>
      </c>
      <c r="EL564" s="16" t="s">
        <v>166</v>
      </c>
      <c r="EM564" s="16" t="s">
        <v>166</v>
      </c>
      <c r="EN564" s="16" t="s">
        <v>166</v>
      </c>
      <c r="EO564" s="16" t="s">
        <v>166</v>
      </c>
      <c r="EP564" s="16" t="s">
        <v>166</v>
      </c>
      <c r="EQ564" s="16" t="s">
        <v>166</v>
      </c>
      <c r="ER564" s="16" t="s">
        <v>166</v>
      </c>
      <c r="ES564" s="16" t="s">
        <v>166</v>
      </c>
      <c r="ET564" s="14" t="s">
        <v>166</v>
      </c>
      <c r="EU564" s="16" t="s">
        <v>166</v>
      </c>
      <c r="EV564" s="16" t="s">
        <v>166</v>
      </c>
      <c r="EW564" s="16" t="s">
        <v>166</v>
      </c>
      <c r="EX564" s="14" t="s">
        <v>190</v>
      </c>
      <c r="EY564" s="14" t="s">
        <v>166</v>
      </c>
      <c r="EZ564" s="16" t="s">
        <v>166</v>
      </c>
      <c r="FA564" s="15" t="s">
        <v>166</v>
      </c>
      <c r="FB564" s="15" t="s">
        <v>166</v>
      </c>
      <c r="FC564" s="15" t="s">
        <v>166</v>
      </c>
      <c r="FD564" s="15" t="s">
        <v>166</v>
      </c>
      <c r="FE564" s="15" t="s">
        <v>166</v>
      </c>
      <c r="FF564" s="15" t="s">
        <v>166</v>
      </c>
      <c r="FG564" s="14" t="s">
        <v>166</v>
      </c>
      <c r="FH564" s="3">
        <f>HYPERLINK("https://my.pitchbook.com?c=166807-90T","View Company Online")</f>
      </c>
    </row>
    <row r="565">
      <c r="A565" s="25" t="s">
        <v>10945</v>
      </c>
      <c r="B565" s="25" t="s">
        <v>10946</v>
      </c>
      <c r="C565" s="25" t="s">
        <v>10947</v>
      </c>
      <c r="D565" s="25" t="s">
        <v>166</v>
      </c>
      <c r="E565" s="34" t="s">
        <v>10948</v>
      </c>
      <c r="F565" s="32">
        <v>9</v>
      </c>
      <c r="G565" s="25" t="s">
        <v>10949</v>
      </c>
      <c r="H565" s="25" t="s">
        <v>166</v>
      </c>
      <c r="I565" s="25" t="s">
        <v>10950</v>
      </c>
      <c r="J565" s="25" t="s">
        <v>10951</v>
      </c>
      <c r="K565" s="25" t="s">
        <v>171</v>
      </c>
      <c r="L565" s="25" t="s">
        <v>172</v>
      </c>
      <c r="M565" s="25" t="s">
        <v>1689</v>
      </c>
      <c r="N565" s="25" t="s">
        <v>10952</v>
      </c>
      <c r="O565" s="25" t="s">
        <v>580</v>
      </c>
      <c r="P565" s="25" t="s">
        <v>10953</v>
      </c>
      <c r="Q565" s="25" t="s">
        <v>166</v>
      </c>
      <c r="R565" s="25" t="s">
        <v>177</v>
      </c>
      <c r="S565" s="25" t="s">
        <v>178</v>
      </c>
      <c r="T565" s="25" t="s">
        <v>179</v>
      </c>
      <c r="U565" s="25" t="s">
        <v>10954</v>
      </c>
      <c r="V565" s="25" t="s">
        <v>10955</v>
      </c>
      <c r="W565" s="32" t="s">
        <v>10956</v>
      </c>
      <c r="X565" s="25" t="s">
        <v>10957</v>
      </c>
      <c r="Y565" s="25" t="s">
        <v>10958</v>
      </c>
      <c r="Z565" s="25" t="s">
        <v>166</v>
      </c>
      <c r="AA565" s="25" t="s">
        <v>166</v>
      </c>
      <c r="AB565" s="25" t="s">
        <v>166</v>
      </c>
      <c r="AC565" s="25" t="s">
        <v>166</v>
      </c>
      <c r="AD565" s="25" t="s">
        <v>166</v>
      </c>
      <c r="AE565" s="25" t="s">
        <v>166</v>
      </c>
      <c r="AF565" s="25" t="s">
        <v>166</v>
      </c>
      <c r="AG565" s="25" t="s">
        <v>166</v>
      </c>
      <c r="AH565" s="32">
        <v>2</v>
      </c>
      <c r="AI565" s="4">
        <f>HYPERLINK("https://my.pitchbook.com/?d=214628-86T","214628-86T")</f>
      </c>
      <c r="AJ565" s="30" t="s">
        <v>166</v>
      </c>
      <c r="AK565" s="30">
        <v>45210</v>
      </c>
      <c r="AL565" s="29">
        <v>10</v>
      </c>
      <c r="AM565" s="25" t="s">
        <v>185</v>
      </c>
      <c r="AN565" s="29" t="s">
        <v>166</v>
      </c>
      <c r="AO565" s="29" t="s">
        <v>166</v>
      </c>
      <c r="AP565" s="25" t="s">
        <v>166</v>
      </c>
      <c r="AQ565" s="32" t="s">
        <v>166</v>
      </c>
      <c r="AR565" s="32" t="s">
        <v>166</v>
      </c>
      <c r="AS565" s="28" t="s">
        <v>166</v>
      </c>
      <c r="AT565" s="29">
        <v>10</v>
      </c>
      <c r="AU565" s="32" t="s">
        <v>186</v>
      </c>
      <c r="AV565" s="32" t="s">
        <v>166</v>
      </c>
      <c r="AW565" s="29" t="s">
        <v>166</v>
      </c>
      <c r="AX565" s="32" t="s">
        <v>166</v>
      </c>
      <c r="AY565" s="25" t="s">
        <v>217</v>
      </c>
      <c r="AZ565" s="25" t="s">
        <v>217</v>
      </c>
      <c r="BA565" s="25" t="s">
        <v>166</v>
      </c>
      <c r="BB565" s="32" t="s">
        <v>166</v>
      </c>
      <c r="BC565" s="25" t="s">
        <v>179</v>
      </c>
      <c r="BD565" s="25" t="s">
        <v>10951</v>
      </c>
      <c r="BE565" s="25" t="s">
        <v>189</v>
      </c>
      <c r="BF565" s="29">
        <v>10</v>
      </c>
      <c r="BG565" s="25" t="s">
        <v>190</v>
      </c>
      <c r="BH565" s="25" t="s">
        <v>166</v>
      </c>
      <c r="BI565" s="25" t="s">
        <v>166</v>
      </c>
      <c r="BJ565" s="29" t="s">
        <v>166</v>
      </c>
      <c r="BK565" s="29" t="s">
        <v>166</v>
      </c>
      <c r="BL565" s="25" t="s">
        <v>191</v>
      </c>
      <c r="BM565" s="25" t="s">
        <v>178</v>
      </c>
      <c r="BN565" s="25" t="s">
        <v>177</v>
      </c>
      <c r="BO565" s="33" t="s">
        <v>166</v>
      </c>
      <c r="BP565" s="25" t="s">
        <v>10959</v>
      </c>
      <c r="BQ565" s="32">
        <v>9</v>
      </c>
      <c r="BR565" s="25" t="s">
        <v>166</v>
      </c>
      <c r="BS565" s="32" t="s">
        <v>166</v>
      </c>
      <c r="BT565" s="25" t="s">
        <v>10960</v>
      </c>
      <c r="BU565" s="25" t="s">
        <v>166</v>
      </c>
      <c r="BV565" s="25" t="s">
        <v>166</v>
      </c>
      <c r="BW565" s="25" t="s">
        <v>166</v>
      </c>
      <c r="BX565" s="25" t="s">
        <v>166</v>
      </c>
      <c r="BY565" s="25" t="s">
        <v>166</v>
      </c>
      <c r="BZ565" s="25" t="s">
        <v>770</v>
      </c>
      <c r="CA565" s="25" t="s">
        <v>770</v>
      </c>
      <c r="CB565" s="25" t="s">
        <v>166</v>
      </c>
      <c r="CC565" s="25" t="s">
        <v>166</v>
      </c>
      <c r="CD565" s="25" t="s">
        <v>166</v>
      </c>
      <c r="CE565" s="29" t="s">
        <v>166</v>
      </c>
      <c r="CF565" s="27" t="s">
        <v>166</v>
      </c>
      <c r="CG565" s="28" t="s">
        <v>166</v>
      </c>
      <c r="CH565" s="27" t="s">
        <v>166</v>
      </c>
      <c r="CI565" s="27" t="s">
        <v>166</v>
      </c>
      <c r="CJ565" s="27" t="s">
        <v>166</v>
      </c>
      <c r="CK565" s="27" t="s">
        <v>166</v>
      </c>
      <c r="CL565" s="27" t="s">
        <v>166</v>
      </c>
      <c r="CM565" s="31" t="s">
        <v>166</v>
      </c>
      <c r="CN565" s="27" t="s">
        <v>166</v>
      </c>
      <c r="CO565" s="27" t="s">
        <v>166</v>
      </c>
      <c r="CP565" s="27" t="s">
        <v>166</v>
      </c>
      <c r="CQ565" s="27" t="s">
        <v>166</v>
      </c>
      <c r="CR565" s="27" t="s">
        <v>166</v>
      </c>
      <c r="CS565" s="27" t="s">
        <v>166</v>
      </c>
      <c r="CT565" s="27" t="s">
        <v>166</v>
      </c>
      <c r="CU565" s="27" t="s">
        <v>166</v>
      </c>
      <c r="CV565" s="27" t="s">
        <v>166</v>
      </c>
      <c r="CW565" s="27" t="s">
        <v>166</v>
      </c>
      <c r="CX565" s="27" t="s">
        <v>166</v>
      </c>
      <c r="CY565" s="27" t="s">
        <v>166</v>
      </c>
      <c r="CZ565" s="27" t="s">
        <v>166</v>
      </c>
      <c r="DA565" s="27" t="s">
        <v>166</v>
      </c>
      <c r="DB565" s="27" t="s">
        <v>166</v>
      </c>
      <c r="DC565" s="27" t="s">
        <v>166</v>
      </c>
      <c r="DD565" s="27" t="s">
        <v>166</v>
      </c>
      <c r="DE565" s="28" t="s">
        <v>166</v>
      </c>
      <c r="DF565" s="33">
        <v>42</v>
      </c>
      <c r="DG565" s="25" t="s">
        <v>4289</v>
      </c>
      <c r="DH565" s="25" t="s">
        <v>193</v>
      </c>
      <c r="DI565" s="25" t="s">
        <v>194</v>
      </c>
      <c r="DJ565" s="25" t="s">
        <v>4290</v>
      </c>
      <c r="DK565" s="25" t="s">
        <v>257</v>
      </c>
      <c r="DL565" s="32" t="s">
        <v>7639</v>
      </c>
      <c r="DM565" s="25" t="s">
        <v>198</v>
      </c>
      <c r="DN565" s="24" t="s">
        <v>10961</v>
      </c>
      <c r="DO565" s="31">
        <v>2022</v>
      </c>
      <c r="DP565" s="25" t="s">
        <v>166</v>
      </c>
      <c r="DQ565" s="25" t="s">
        <v>166</v>
      </c>
      <c r="DR565" s="29" t="s">
        <v>166</v>
      </c>
      <c r="DS565" s="27" t="s">
        <v>166</v>
      </c>
      <c r="DT565" s="30" t="s">
        <v>166</v>
      </c>
      <c r="DU565" s="25" t="s">
        <v>166</v>
      </c>
      <c r="DV565" s="29" t="s">
        <v>166</v>
      </c>
      <c r="DW565" s="29" t="s">
        <v>166</v>
      </c>
      <c r="DX565" s="27" t="s">
        <v>166</v>
      </c>
      <c r="DY565" s="27" t="s">
        <v>166</v>
      </c>
      <c r="DZ565" s="28" t="s">
        <v>166</v>
      </c>
      <c r="EA565" s="27" t="s">
        <v>166</v>
      </c>
      <c r="EB565" s="27" t="s">
        <v>166</v>
      </c>
      <c r="EC565" s="27" t="s">
        <v>166</v>
      </c>
      <c r="ED565" s="28" t="s">
        <v>166</v>
      </c>
      <c r="EE565" s="28" t="s">
        <v>166</v>
      </c>
      <c r="EF565" s="28" t="s">
        <v>166</v>
      </c>
      <c r="EG565" s="28" t="s">
        <v>166</v>
      </c>
      <c r="EH565" s="27" t="s">
        <v>166</v>
      </c>
      <c r="EI565" s="27" t="s">
        <v>166</v>
      </c>
      <c r="EJ565" s="27" t="s">
        <v>166</v>
      </c>
      <c r="EK565" s="27" t="s">
        <v>166</v>
      </c>
      <c r="EL565" s="27" t="s">
        <v>166</v>
      </c>
      <c r="EM565" s="27" t="s">
        <v>166</v>
      </c>
      <c r="EN565" s="27" t="s">
        <v>166</v>
      </c>
      <c r="EO565" s="27" t="s">
        <v>166</v>
      </c>
      <c r="EP565" s="27" t="s">
        <v>166</v>
      </c>
      <c r="EQ565" s="27" t="s">
        <v>166</v>
      </c>
      <c r="ER565" s="27" t="s">
        <v>166</v>
      </c>
      <c r="ES565" s="27" t="s">
        <v>166</v>
      </c>
      <c r="ET565" s="25" t="s">
        <v>166</v>
      </c>
      <c r="EU565" s="27" t="s">
        <v>166</v>
      </c>
      <c r="EV565" s="27" t="s">
        <v>166</v>
      </c>
      <c r="EW565" s="27" t="s">
        <v>166</v>
      </c>
      <c r="EX565" s="25" t="s">
        <v>190</v>
      </c>
      <c r="EY565" s="25" t="s">
        <v>166</v>
      </c>
      <c r="EZ565" s="27" t="s">
        <v>166</v>
      </c>
      <c r="FA565" s="26" t="s">
        <v>166</v>
      </c>
      <c r="FB565" s="26" t="s">
        <v>166</v>
      </c>
      <c r="FC565" s="26" t="s">
        <v>166</v>
      </c>
      <c r="FD565" s="26" t="s">
        <v>166</v>
      </c>
      <c r="FE565" s="26" t="s">
        <v>166</v>
      </c>
      <c r="FF565" s="26" t="s">
        <v>166</v>
      </c>
      <c r="FG565" s="25" t="s">
        <v>166</v>
      </c>
      <c r="FH565" s="4">
        <f>HYPERLINK("https://my.pitchbook.com?c=214628-86T","View Company Online")</f>
      </c>
    </row>
    <row r="566">
      <c r="A566" s="14" t="s">
        <v>10962</v>
      </c>
      <c r="B566" s="14" t="s">
        <v>10963</v>
      </c>
      <c r="C566" s="14" t="s">
        <v>10964</v>
      </c>
      <c r="D566" s="14" t="s">
        <v>166</v>
      </c>
      <c r="E566" s="23" t="s">
        <v>10965</v>
      </c>
      <c r="F566" s="21">
        <v>3</v>
      </c>
      <c r="G566" s="14" t="s">
        <v>10966</v>
      </c>
      <c r="H566" s="14" t="s">
        <v>166</v>
      </c>
      <c r="I566" s="14" t="s">
        <v>10967</v>
      </c>
      <c r="J566" s="14" t="s">
        <v>10968</v>
      </c>
      <c r="K566" s="14" t="s">
        <v>207</v>
      </c>
      <c r="L566" s="14" t="s">
        <v>208</v>
      </c>
      <c r="M566" s="14" t="s">
        <v>1940</v>
      </c>
      <c r="N566" s="14" t="s">
        <v>1941</v>
      </c>
      <c r="O566" s="14" t="s">
        <v>5519</v>
      </c>
      <c r="P566" s="14" t="s">
        <v>10969</v>
      </c>
      <c r="Q566" s="14" t="s">
        <v>166</v>
      </c>
      <c r="R566" s="14" t="s">
        <v>177</v>
      </c>
      <c r="S566" s="14" t="s">
        <v>178</v>
      </c>
      <c r="T566" s="14" t="s">
        <v>179</v>
      </c>
      <c r="U566" s="14" t="s">
        <v>10970</v>
      </c>
      <c r="V566" s="14" t="s">
        <v>10971</v>
      </c>
      <c r="W566" s="21" t="s">
        <v>166</v>
      </c>
      <c r="X566" s="14" t="s">
        <v>166</v>
      </c>
      <c r="Y566" s="14" t="s">
        <v>10972</v>
      </c>
      <c r="Z566" s="14" t="s">
        <v>10973</v>
      </c>
      <c r="AA566" s="14" t="s">
        <v>166</v>
      </c>
      <c r="AB566" s="14" t="s">
        <v>166</v>
      </c>
      <c r="AC566" s="14" t="s">
        <v>166</v>
      </c>
      <c r="AD566" s="14" t="s">
        <v>166</v>
      </c>
      <c r="AE566" s="14" t="s">
        <v>166</v>
      </c>
      <c r="AF566" s="14" t="s">
        <v>166</v>
      </c>
      <c r="AG566" s="14" t="s">
        <v>166</v>
      </c>
      <c r="AH566" s="21">
        <v>1</v>
      </c>
      <c r="AI566" s="3">
        <f>HYPERLINK("https://my.pitchbook.com/?d=271758-70T","271758-70T")</f>
      </c>
      <c r="AJ566" s="19" t="s">
        <v>166</v>
      </c>
      <c r="AK566" s="19">
        <v>45545</v>
      </c>
      <c r="AL566" s="18">
        <v>5</v>
      </c>
      <c r="AM566" s="14" t="s">
        <v>185</v>
      </c>
      <c r="AN566" s="18" t="s">
        <v>166</v>
      </c>
      <c r="AO566" s="18" t="s">
        <v>166</v>
      </c>
      <c r="AP566" s="14" t="s">
        <v>166</v>
      </c>
      <c r="AQ566" s="21" t="s">
        <v>166</v>
      </c>
      <c r="AR566" s="21" t="s">
        <v>166</v>
      </c>
      <c r="AS566" s="17" t="s">
        <v>166</v>
      </c>
      <c r="AT566" s="18">
        <v>5</v>
      </c>
      <c r="AU566" s="21" t="s">
        <v>186</v>
      </c>
      <c r="AV566" s="21" t="s">
        <v>166</v>
      </c>
      <c r="AW566" s="18" t="s">
        <v>166</v>
      </c>
      <c r="AX566" s="21" t="s">
        <v>166</v>
      </c>
      <c r="AY566" s="14" t="s">
        <v>217</v>
      </c>
      <c r="AZ566" s="14" t="s">
        <v>217</v>
      </c>
      <c r="BA566" s="14" t="s">
        <v>166</v>
      </c>
      <c r="BB566" s="21" t="s">
        <v>166</v>
      </c>
      <c r="BC566" s="14" t="s">
        <v>179</v>
      </c>
      <c r="BD566" s="14" t="s">
        <v>10968</v>
      </c>
      <c r="BE566" s="14" t="s">
        <v>189</v>
      </c>
      <c r="BF566" s="18">
        <v>5</v>
      </c>
      <c r="BG566" s="14" t="s">
        <v>190</v>
      </c>
      <c r="BH566" s="14" t="s">
        <v>166</v>
      </c>
      <c r="BI566" s="14" t="s">
        <v>166</v>
      </c>
      <c r="BJ566" s="18" t="s">
        <v>166</v>
      </c>
      <c r="BK566" s="18" t="s">
        <v>166</v>
      </c>
      <c r="BL566" s="14" t="s">
        <v>191</v>
      </c>
      <c r="BM566" s="14" t="s">
        <v>178</v>
      </c>
      <c r="BN566" s="14" t="s">
        <v>177</v>
      </c>
      <c r="BO566" s="22" t="s">
        <v>166</v>
      </c>
      <c r="BP566" s="14" t="s">
        <v>10965</v>
      </c>
      <c r="BQ566" s="21">
        <v>3</v>
      </c>
      <c r="BR566" s="14" t="s">
        <v>166</v>
      </c>
      <c r="BS566" s="21" t="s">
        <v>166</v>
      </c>
      <c r="BT566" s="14" t="s">
        <v>10965</v>
      </c>
      <c r="BU566" s="14" t="s">
        <v>166</v>
      </c>
      <c r="BV566" s="14" t="s">
        <v>166</v>
      </c>
      <c r="BW566" s="14" t="s">
        <v>166</v>
      </c>
      <c r="BX566" s="14" t="s">
        <v>166</v>
      </c>
      <c r="BY566" s="14" t="s">
        <v>166</v>
      </c>
      <c r="BZ566" s="14" t="s">
        <v>166</v>
      </c>
      <c r="CA566" s="14" t="s">
        <v>166</v>
      </c>
      <c r="CB566" s="14" t="s">
        <v>166</v>
      </c>
      <c r="CC566" s="14" t="s">
        <v>166</v>
      </c>
      <c r="CD566" s="14" t="s">
        <v>166</v>
      </c>
      <c r="CE566" s="18" t="s">
        <v>166</v>
      </c>
      <c r="CF566" s="16" t="s">
        <v>166</v>
      </c>
      <c r="CG566" s="17" t="s">
        <v>166</v>
      </c>
      <c r="CH566" s="16" t="s">
        <v>166</v>
      </c>
      <c r="CI566" s="16" t="s">
        <v>166</v>
      </c>
      <c r="CJ566" s="16" t="s">
        <v>166</v>
      </c>
      <c r="CK566" s="16" t="s">
        <v>166</v>
      </c>
      <c r="CL566" s="16" t="s">
        <v>166</v>
      </c>
      <c r="CM566" s="20" t="s">
        <v>166</v>
      </c>
      <c r="CN566" s="16" t="s">
        <v>166</v>
      </c>
      <c r="CO566" s="16" t="s">
        <v>166</v>
      </c>
      <c r="CP566" s="16" t="s">
        <v>166</v>
      </c>
      <c r="CQ566" s="16" t="s">
        <v>166</v>
      </c>
      <c r="CR566" s="16" t="s">
        <v>166</v>
      </c>
      <c r="CS566" s="16" t="s">
        <v>166</v>
      </c>
      <c r="CT566" s="16" t="s">
        <v>166</v>
      </c>
      <c r="CU566" s="16" t="s">
        <v>166</v>
      </c>
      <c r="CV566" s="16" t="s">
        <v>166</v>
      </c>
      <c r="CW566" s="16" t="s">
        <v>166</v>
      </c>
      <c r="CX566" s="16" t="s">
        <v>166</v>
      </c>
      <c r="CY566" s="16" t="s">
        <v>166</v>
      </c>
      <c r="CZ566" s="16" t="s">
        <v>166</v>
      </c>
      <c r="DA566" s="16" t="s">
        <v>166</v>
      </c>
      <c r="DB566" s="16" t="s">
        <v>166</v>
      </c>
      <c r="DC566" s="16" t="s">
        <v>166</v>
      </c>
      <c r="DD566" s="16" t="s">
        <v>166</v>
      </c>
      <c r="DE566" s="17" t="s">
        <v>166</v>
      </c>
      <c r="DF566" s="22">
        <v>12</v>
      </c>
      <c r="DG566" s="14" t="s">
        <v>309</v>
      </c>
      <c r="DH566" s="14" t="s">
        <v>193</v>
      </c>
      <c r="DI566" s="14" t="s">
        <v>194</v>
      </c>
      <c r="DJ566" s="14" t="s">
        <v>310</v>
      </c>
      <c r="DK566" s="14" t="s">
        <v>310</v>
      </c>
      <c r="DL566" s="21" t="s">
        <v>8612</v>
      </c>
      <c r="DM566" s="14" t="s">
        <v>198</v>
      </c>
      <c r="DN566" s="13" t="s">
        <v>10974</v>
      </c>
      <c r="DO566" s="20">
        <v>2023</v>
      </c>
      <c r="DP566" s="14" t="s">
        <v>166</v>
      </c>
      <c r="DQ566" s="14" t="s">
        <v>166</v>
      </c>
      <c r="DR566" s="18" t="s">
        <v>166</v>
      </c>
      <c r="DS566" s="16" t="s">
        <v>166</v>
      </c>
      <c r="DT566" s="19" t="s">
        <v>166</v>
      </c>
      <c r="DU566" s="14" t="s">
        <v>166</v>
      </c>
      <c r="DV566" s="18" t="s">
        <v>166</v>
      </c>
      <c r="DW566" s="18" t="s">
        <v>166</v>
      </c>
      <c r="DX566" s="16" t="s">
        <v>166</v>
      </c>
      <c r="DY566" s="16" t="s">
        <v>166</v>
      </c>
      <c r="DZ566" s="17" t="s">
        <v>166</v>
      </c>
      <c r="EA566" s="16" t="s">
        <v>166</v>
      </c>
      <c r="EB566" s="16" t="s">
        <v>166</v>
      </c>
      <c r="EC566" s="16" t="s">
        <v>166</v>
      </c>
      <c r="ED566" s="17" t="s">
        <v>166</v>
      </c>
      <c r="EE566" s="17" t="s">
        <v>166</v>
      </c>
      <c r="EF566" s="17" t="s">
        <v>166</v>
      </c>
      <c r="EG566" s="17" t="s">
        <v>166</v>
      </c>
      <c r="EH566" s="16" t="s">
        <v>166</v>
      </c>
      <c r="EI566" s="16" t="s">
        <v>166</v>
      </c>
      <c r="EJ566" s="16" t="s">
        <v>166</v>
      </c>
      <c r="EK566" s="16" t="s">
        <v>166</v>
      </c>
      <c r="EL566" s="16" t="s">
        <v>166</v>
      </c>
      <c r="EM566" s="16" t="s">
        <v>166</v>
      </c>
      <c r="EN566" s="16" t="s">
        <v>166</v>
      </c>
      <c r="EO566" s="16" t="s">
        <v>166</v>
      </c>
      <c r="EP566" s="16" t="s">
        <v>166</v>
      </c>
      <c r="EQ566" s="16" t="s">
        <v>166</v>
      </c>
      <c r="ER566" s="16" t="s">
        <v>166</v>
      </c>
      <c r="ES566" s="16" t="s">
        <v>166</v>
      </c>
      <c r="ET566" s="14" t="s">
        <v>166</v>
      </c>
      <c r="EU566" s="16" t="s">
        <v>166</v>
      </c>
      <c r="EV566" s="16" t="s">
        <v>166</v>
      </c>
      <c r="EW566" s="16" t="s">
        <v>166</v>
      </c>
      <c r="EX566" s="14" t="s">
        <v>190</v>
      </c>
      <c r="EY566" s="14" t="s">
        <v>166</v>
      </c>
      <c r="EZ566" s="16" t="s">
        <v>166</v>
      </c>
      <c r="FA566" s="15" t="s">
        <v>166</v>
      </c>
      <c r="FB566" s="15" t="s">
        <v>166</v>
      </c>
      <c r="FC566" s="15" t="s">
        <v>166</v>
      </c>
      <c r="FD566" s="15" t="s">
        <v>166</v>
      </c>
      <c r="FE566" s="15" t="s">
        <v>166</v>
      </c>
      <c r="FF566" s="15" t="s">
        <v>166</v>
      </c>
      <c r="FG566" s="14" t="s">
        <v>166</v>
      </c>
      <c r="FH566" s="3">
        <f>HYPERLINK("https://my.pitchbook.com?c=271758-70T","View Company Online")</f>
      </c>
    </row>
    <row r="567">
      <c r="A567" s="25" t="s">
        <v>10975</v>
      </c>
      <c r="B567" s="25" t="s">
        <v>10976</v>
      </c>
      <c r="C567" s="25" t="s">
        <v>10977</v>
      </c>
      <c r="D567" s="25" t="s">
        <v>166</v>
      </c>
      <c r="E567" s="34" t="s">
        <v>10978</v>
      </c>
      <c r="F567" s="32">
        <v>2</v>
      </c>
      <c r="G567" s="25" t="s">
        <v>10979</v>
      </c>
      <c r="H567" s="25" t="s">
        <v>166</v>
      </c>
      <c r="I567" s="25" t="s">
        <v>10980</v>
      </c>
      <c r="J567" s="25" t="s">
        <v>10981</v>
      </c>
      <c r="K567" s="25" t="s">
        <v>207</v>
      </c>
      <c r="L567" s="25" t="s">
        <v>208</v>
      </c>
      <c r="M567" s="25" t="s">
        <v>209</v>
      </c>
      <c r="N567" s="25" t="s">
        <v>10982</v>
      </c>
      <c r="O567" s="25" t="s">
        <v>665</v>
      </c>
      <c r="P567" s="25" t="s">
        <v>10983</v>
      </c>
      <c r="Q567" s="25" t="s">
        <v>166</v>
      </c>
      <c r="R567" s="25" t="s">
        <v>177</v>
      </c>
      <c r="S567" s="25" t="s">
        <v>178</v>
      </c>
      <c r="T567" s="25" t="s">
        <v>179</v>
      </c>
      <c r="U567" s="25" t="s">
        <v>10984</v>
      </c>
      <c r="V567" s="25" t="s">
        <v>10985</v>
      </c>
      <c r="W567" s="32" t="s">
        <v>10986</v>
      </c>
      <c r="X567" s="25" t="s">
        <v>10987</v>
      </c>
      <c r="Y567" s="25" t="s">
        <v>10988</v>
      </c>
      <c r="Z567" s="25" t="s">
        <v>10989</v>
      </c>
      <c r="AA567" s="25" t="s">
        <v>242</v>
      </c>
      <c r="AB567" s="25" t="s">
        <v>243</v>
      </c>
      <c r="AC567" s="25" t="s">
        <v>244</v>
      </c>
      <c r="AD567" s="25" t="s">
        <v>243</v>
      </c>
      <c r="AE567" s="25" t="s">
        <v>243</v>
      </c>
      <c r="AF567" s="25" t="s">
        <v>166</v>
      </c>
      <c r="AG567" s="25" t="s">
        <v>246</v>
      </c>
      <c r="AH567" s="32">
        <v>1</v>
      </c>
      <c r="AI567" s="4">
        <f>HYPERLINK("https://my.pitchbook.com/?d=187456-60T","187456-60T")</f>
      </c>
      <c r="AJ567" s="30" t="s">
        <v>166</v>
      </c>
      <c r="AK567" s="30">
        <v>44470</v>
      </c>
      <c r="AL567" s="29">
        <v>1.2</v>
      </c>
      <c r="AM567" s="25" t="s">
        <v>185</v>
      </c>
      <c r="AN567" s="29">
        <v>6.8</v>
      </c>
      <c r="AO567" s="29">
        <v>8</v>
      </c>
      <c r="AP567" s="25" t="s">
        <v>185</v>
      </c>
      <c r="AQ567" s="32" t="s">
        <v>166</v>
      </c>
      <c r="AR567" s="32" t="s">
        <v>166</v>
      </c>
      <c r="AS567" s="28" t="s">
        <v>166</v>
      </c>
      <c r="AT567" s="29">
        <v>1.2</v>
      </c>
      <c r="AU567" s="32" t="s">
        <v>186</v>
      </c>
      <c r="AV567" s="32" t="s">
        <v>166</v>
      </c>
      <c r="AW567" s="29">
        <v>2.62</v>
      </c>
      <c r="AX567" s="32" t="s">
        <v>166</v>
      </c>
      <c r="AY567" s="25" t="s">
        <v>217</v>
      </c>
      <c r="AZ567" s="25" t="s">
        <v>217</v>
      </c>
      <c r="BA567" s="25" t="s">
        <v>166</v>
      </c>
      <c r="BB567" s="32" t="s">
        <v>166</v>
      </c>
      <c r="BC567" s="25" t="s">
        <v>179</v>
      </c>
      <c r="BD567" s="25" t="s">
        <v>10990</v>
      </c>
      <c r="BE567" s="25" t="s">
        <v>189</v>
      </c>
      <c r="BF567" s="29">
        <v>1.2</v>
      </c>
      <c r="BG567" s="25" t="s">
        <v>190</v>
      </c>
      <c r="BH567" s="25" t="s">
        <v>166</v>
      </c>
      <c r="BI567" s="25" t="s">
        <v>166</v>
      </c>
      <c r="BJ567" s="29" t="s">
        <v>166</v>
      </c>
      <c r="BK567" s="29" t="s">
        <v>166</v>
      </c>
      <c r="BL567" s="25" t="s">
        <v>191</v>
      </c>
      <c r="BM567" s="25" t="s">
        <v>178</v>
      </c>
      <c r="BN567" s="25" t="s">
        <v>177</v>
      </c>
      <c r="BO567" s="33" t="s">
        <v>166</v>
      </c>
      <c r="BP567" s="25" t="s">
        <v>10978</v>
      </c>
      <c r="BQ567" s="32">
        <v>2</v>
      </c>
      <c r="BR567" s="25" t="s">
        <v>166</v>
      </c>
      <c r="BS567" s="32" t="s">
        <v>166</v>
      </c>
      <c r="BT567" s="25" t="s">
        <v>166</v>
      </c>
      <c r="BU567" s="25" t="s">
        <v>166</v>
      </c>
      <c r="BV567" s="25" t="s">
        <v>10991</v>
      </c>
      <c r="BW567" s="25" t="s">
        <v>166</v>
      </c>
      <c r="BX567" s="25" t="s">
        <v>166</v>
      </c>
      <c r="BY567" s="25" t="s">
        <v>166</v>
      </c>
      <c r="BZ567" s="25" t="s">
        <v>166</v>
      </c>
      <c r="CA567" s="25" t="s">
        <v>166</v>
      </c>
      <c r="CB567" s="25" t="s">
        <v>166</v>
      </c>
      <c r="CC567" s="25" t="s">
        <v>166</v>
      </c>
      <c r="CD567" s="25" t="s">
        <v>166</v>
      </c>
      <c r="CE567" s="29" t="s">
        <v>166</v>
      </c>
      <c r="CF567" s="27" t="s">
        <v>166</v>
      </c>
      <c r="CG567" s="28" t="s">
        <v>166</v>
      </c>
      <c r="CH567" s="27" t="s">
        <v>166</v>
      </c>
      <c r="CI567" s="27" t="s">
        <v>166</v>
      </c>
      <c r="CJ567" s="27" t="s">
        <v>166</v>
      </c>
      <c r="CK567" s="27" t="s">
        <v>166</v>
      </c>
      <c r="CL567" s="27" t="s">
        <v>166</v>
      </c>
      <c r="CM567" s="31" t="s">
        <v>166</v>
      </c>
      <c r="CN567" s="27" t="s">
        <v>166</v>
      </c>
      <c r="CO567" s="27" t="s">
        <v>166</v>
      </c>
      <c r="CP567" s="27" t="s">
        <v>166</v>
      </c>
      <c r="CQ567" s="27" t="s">
        <v>166</v>
      </c>
      <c r="CR567" s="27" t="s">
        <v>166</v>
      </c>
      <c r="CS567" s="27" t="s">
        <v>166</v>
      </c>
      <c r="CT567" s="27" t="s">
        <v>166</v>
      </c>
      <c r="CU567" s="27" t="s">
        <v>166</v>
      </c>
      <c r="CV567" s="27" t="s">
        <v>166</v>
      </c>
      <c r="CW567" s="27" t="s">
        <v>166</v>
      </c>
      <c r="CX567" s="27" t="s">
        <v>166</v>
      </c>
      <c r="CY567" s="27" t="s">
        <v>166</v>
      </c>
      <c r="CZ567" s="27" t="s">
        <v>166</v>
      </c>
      <c r="DA567" s="27" t="s">
        <v>166</v>
      </c>
      <c r="DB567" s="27" t="s">
        <v>166</v>
      </c>
      <c r="DC567" s="27" t="s">
        <v>166</v>
      </c>
      <c r="DD567" s="27" t="s">
        <v>166</v>
      </c>
      <c r="DE567" s="28" t="s">
        <v>166</v>
      </c>
      <c r="DF567" s="33">
        <v>47</v>
      </c>
      <c r="DG567" s="25" t="s">
        <v>568</v>
      </c>
      <c r="DH567" s="25" t="s">
        <v>193</v>
      </c>
      <c r="DI567" s="25" t="s">
        <v>194</v>
      </c>
      <c r="DJ567" s="25" t="s">
        <v>569</v>
      </c>
      <c r="DK567" s="25" t="s">
        <v>408</v>
      </c>
      <c r="DL567" s="32" t="s">
        <v>10992</v>
      </c>
      <c r="DM567" s="25" t="s">
        <v>198</v>
      </c>
      <c r="DN567" s="24" t="s">
        <v>10993</v>
      </c>
      <c r="DO567" s="31">
        <v>2021</v>
      </c>
      <c r="DP567" s="25" t="s">
        <v>166</v>
      </c>
      <c r="DQ567" s="25" t="s">
        <v>166</v>
      </c>
      <c r="DR567" s="29" t="s">
        <v>166</v>
      </c>
      <c r="DS567" s="27" t="s">
        <v>166</v>
      </c>
      <c r="DT567" s="30" t="s">
        <v>166</v>
      </c>
      <c r="DU567" s="25" t="s">
        <v>166</v>
      </c>
      <c r="DV567" s="29" t="s">
        <v>166</v>
      </c>
      <c r="DW567" s="29" t="s">
        <v>166</v>
      </c>
      <c r="DX567" s="27" t="s">
        <v>166</v>
      </c>
      <c r="DY567" s="27" t="s">
        <v>166</v>
      </c>
      <c r="DZ567" s="28" t="s">
        <v>166</v>
      </c>
      <c r="EA567" s="27" t="s">
        <v>166</v>
      </c>
      <c r="EB567" s="27" t="s">
        <v>166</v>
      </c>
      <c r="EC567" s="27" t="s">
        <v>166</v>
      </c>
      <c r="ED567" s="28" t="s">
        <v>166</v>
      </c>
      <c r="EE567" s="28" t="s">
        <v>166</v>
      </c>
      <c r="EF567" s="28" t="s">
        <v>166</v>
      </c>
      <c r="EG567" s="28" t="s">
        <v>166</v>
      </c>
      <c r="EH567" s="27" t="s">
        <v>166</v>
      </c>
      <c r="EI567" s="27" t="s">
        <v>166</v>
      </c>
      <c r="EJ567" s="27" t="s">
        <v>166</v>
      </c>
      <c r="EK567" s="27" t="s">
        <v>166</v>
      </c>
      <c r="EL567" s="27" t="s">
        <v>166</v>
      </c>
      <c r="EM567" s="27" t="s">
        <v>166</v>
      </c>
      <c r="EN567" s="27" t="s">
        <v>166</v>
      </c>
      <c r="EO567" s="27" t="s">
        <v>166</v>
      </c>
      <c r="EP567" s="27" t="s">
        <v>166</v>
      </c>
      <c r="EQ567" s="27" t="s">
        <v>166</v>
      </c>
      <c r="ER567" s="27" t="s">
        <v>166</v>
      </c>
      <c r="ES567" s="27" t="s">
        <v>166</v>
      </c>
      <c r="ET567" s="25" t="s">
        <v>166</v>
      </c>
      <c r="EU567" s="27" t="s">
        <v>166</v>
      </c>
      <c r="EV567" s="27" t="s">
        <v>166</v>
      </c>
      <c r="EW567" s="27" t="s">
        <v>166</v>
      </c>
      <c r="EX567" s="25" t="s">
        <v>190</v>
      </c>
      <c r="EY567" s="25" t="s">
        <v>166</v>
      </c>
      <c r="EZ567" s="27" t="s">
        <v>166</v>
      </c>
      <c r="FA567" s="26">
        <v>2</v>
      </c>
      <c r="FB567" s="26">
        <v>1</v>
      </c>
      <c r="FC567" s="26" t="s">
        <v>166</v>
      </c>
      <c r="FD567" s="26">
        <v>2</v>
      </c>
      <c r="FE567" s="26" t="s">
        <v>166</v>
      </c>
      <c r="FF567" s="26" t="s">
        <v>166</v>
      </c>
      <c r="FG567" s="25" t="s">
        <v>457</v>
      </c>
      <c r="FH567" s="4">
        <f>HYPERLINK("https://my.pitchbook.com?c=187456-60T","View Company Online")</f>
      </c>
    </row>
    <row r="568">
      <c r="A568" s="14" t="s">
        <v>10994</v>
      </c>
      <c r="B568" s="14" t="s">
        <v>10995</v>
      </c>
      <c r="C568" s="14" t="s">
        <v>10996</v>
      </c>
      <c r="D568" s="14" t="s">
        <v>166</v>
      </c>
      <c r="E568" s="23" t="s">
        <v>10997</v>
      </c>
      <c r="F568" s="21">
        <v>6</v>
      </c>
      <c r="G568" s="14" t="s">
        <v>10998</v>
      </c>
      <c r="H568" s="14" t="s">
        <v>166</v>
      </c>
      <c r="I568" s="14" t="s">
        <v>10999</v>
      </c>
      <c r="J568" s="14" t="s">
        <v>11000</v>
      </c>
      <c r="K568" s="14" t="s">
        <v>171</v>
      </c>
      <c r="L568" s="14" t="s">
        <v>172</v>
      </c>
      <c r="M568" s="14" t="s">
        <v>173</v>
      </c>
      <c r="N568" s="14" t="s">
        <v>11001</v>
      </c>
      <c r="O568" s="14" t="s">
        <v>166</v>
      </c>
      <c r="P568" s="14" t="s">
        <v>11002</v>
      </c>
      <c r="Q568" s="14" t="s">
        <v>2555</v>
      </c>
      <c r="R568" s="14" t="s">
        <v>177</v>
      </c>
      <c r="S568" s="14" t="s">
        <v>178</v>
      </c>
      <c r="T568" s="14" t="s">
        <v>179</v>
      </c>
      <c r="U568" s="14" t="s">
        <v>11003</v>
      </c>
      <c r="V568" s="14" t="s">
        <v>11004</v>
      </c>
      <c r="W568" s="21" t="s">
        <v>11005</v>
      </c>
      <c r="X568" s="14" t="s">
        <v>11006</v>
      </c>
      <c r="Y568" s="14" t="s">
        <v>11007</v>
      </c>
      <c r="Z568" s="14" t="s">
        <v>166</v>
      </c>
      <c r="AA568" s="14" t="s">
        <v>166</v>
      </c>
      <c r="AB568" s="14" t="s">
        <v>166</v>
      </c>
      <c r="AC568" s="14" t="s">
        <v>166</v>
      </c>
      <c r="AD568" s="14" t="s">
        <v>166</v>
      </c>
      <c r="AE568" s="14" t="s">
        <v>166</v>
      </c>
      <c r="AF568" s="14" t="s">
        <v>166</v>
      </c>
      <c r="AG568" s="14" t="s">
        <v>166</v>
      </c>
      <c r="AH568" s="21">
        <v>1</v>
      </c>
      <c r="AI568" s="3">
        <f>HYPERLINK("https://my.pitchbook.com/?d=192520-63T","192520-63T")</f>
      </c>
      <c r="AJ568" s="19" t="s">
        <v>166</v>
      </c>
      <c r="AK568" s="19">
        <v>44670</v>
      </c>
      <c r="AL568" s="18">
        <v>3.3</v>
      </c>
      <c r="AM568" s="14" t="s">
        <v>185</v>
      </c>
      <c r="AN568" s="18" t="s">
        <v>166</v>
      </c>
      <c r="AO568" s="18" t="s">
        <v>166</v>
      </c>
      <c r="AP568" s="14" t="s">
        <v>166</v>
      </c>
      <c r="AQ568" s="21" t="s">
        <v>166</v>
      </c>
      <c r="AR568" s="21" t="s">
        <v>166</v>
      </c>
      <c r="AS568" s="17" t="s">
        <v>166</v>
      </c>
      <c r="AT568" s="18">
        <v>3.3</v>
      </c>
      <c r="AU568" s="21" t="s">
        <v>186</v>
      </c>
      <c r="AV568" s="21" t="s">
        <v>166</v>
      </c>
      <c r="AW568" s="18" t="s">
        <v>166</v>
      </c>
      <c r="AX568" s="21" t="s">
        <v>166</v>
      </c>
      <c r="AY568" s="14" t="s">
        <v>217</v>
      </c>
      <c r="AZ568" s="14" t="s">
        <v>217</v>
      </c>
      <c r="BA568" s="14" t="s">
        <v>166</v>
      </c>
      <c r="BB568" s="21" t="s">
        <v>166</v>
      </c>
      <c r="BC568" s="14" t="s">
        <v>179</v>
      </c>
      <c r="BD568" s="14" t="s">
        <v>11000</v>
      </c>
      <c r="BE568" s="14" t="s">
        <v>189</v>
      </c>
      <c r="BF568" s="18">
        <v>3.3</v>
      </c>
      <c r="BG568" s="14" t="s">
        <v>190</v>
      </c>
      <c r="BH568" s="14" t="s">
        <v>166</v>
      </c>
      <c r="BI568" s="14" t="s">
        <v>166</v>
      </c>
      <c r="BJ568" s="18" t="s">
        <v>166</v>
      </c>
      <c r="BK568" s="18" t="s">
        <v>166</v>
      </c>
      <c r="BL568" s="14" t="s">
        <v>191</v>
      </c>
      <c r="BM568" s="14" t="s">
        <v>178</v>
      </c>
      <c r="BN568" s="14" t="s">
        <v>177</v>
      </c>
      <c r="BO568" s="22" t="s">
        <v>166</v>
      </c>
      <c r="BP568" s="14" t="s">
        <v>11008</v>
      </c>
      <c r="BQ568" s="21">
        <v>6</v>
      </c>
      <c r="BR568" s="14" t="s">
        <v>166</v>
      </c>
      <c r="BS568" s="21" t="s">
        <v>166</v>
      </c>
      <c r="BT568" s="14" t="s">
        <v>166</v>
      </c>
      <c r="BU568" s="14" t="s">
        <v>166</v>
      </c>
      <c r="BV568" s="14" t="s">
        <v>11009</v>
      </c>
      <c r="BW568" s="14" t="s">
        <v>166</v>
      </c>
      <c r="BX568" s="14" t="s">
        <v>166</v>
      </c>
      <c r="BY568" s="14" t="s">
        <v>166</v>
      </c>
      <c r="BZ568" s="14" t="s">
        <v>166</v>
      </c>
      <c r="CA568" s="14" t="s">
        <v>166</v>
      </c>
      <c r="CB568" s="14" t="s">
        <v>166</v>
      </c>
      <c r="CC568" s="14" t="s">
        <v>166</v>
      </c>
      <c r="CD568" s="14" t="s">
        <v>166</v>
      </c>
      <c r="CE568" s="18" t="s">
        <v>166</v>
      </c>
      <c r="CF568" s="16" t="s">
        <v>166</v>
      </c>
      <c r="CG568" s="17" t="s">
        <v>166</v>
      </c>
      <c r="CH568" s="16" t="s">
        <v>166</v>
      </c>
      <c r="CI568" s="16" t="s">
        <v>166</v>
      </c>
      <c r="CJ568" s="16" t="s">
        <v>166</v>
      </c>
      <c r="CK568" s="16" t="s">
        <v>166</v>
      </c>
      <c r="CL568" s="16" t="s">
        <v>166</v>
      </c>
      <c r="CM568" s="20" t="s">
        <v>166</v>
      </c>
      <c r="CN568" s="16" t="s">
        <v>166</v>
      </c>
      <c r="CO568" s="16" t="s">
        <v>166</v>
      </c>
      <c r="CP568" s="16" t="s">
        <v>166</v>
      </c>
      <c r="CQ568" s="16" t="s">
        <v>166</v>
      </c>
      <c r="CR568" s="16" t="s">
        <v>166</v>
      </c>
      <c r="CS568" s="16" t="s">
        <v>166</v>
      </c>
      <c r="CT568" s="16" t="s">
        <v>166</v>
      </c>
      <c r="CU568" s="16" t="s">
        <v>166</v>
      </c>
      <c r="CV568" s="16" t="s">
        <v>166</v>
      </c>
      <c r="CW568" s="16" t="s">
        <v>166</v>
      </c>
      <c r="CX568" s="16" t="s">
        <v>166</v>
      </c>
      <c r="CY568" s="16" t="s">
        <v>166</v>
      </c>
      <c r="CZ568" s="16" t="s">
        <v>166</v>
      </c>
      <c r="DA568" s="16" t="s">
        <v>166</v>
      </c>
      <c r="DB568" s="16" t="s">
        <v>166</v>
      </c>
      <c r="DC568" s="16" t="s">
        <v>166</v>
      </c>
      <c r="DD568" s="16" t="s">
        <v>166</v>
      </c>
      <c r="DE568" s="17" t="s">
        <v>166</v>
      </c>
      <c r="DF568" s="22">
        <v>6</v>
      </c>
      <c r="DG568" s="14" t="s">
        <v>360</v>
      </c>
      <c r="DH568" s="14" t="s">
        <v>193</v>
      </c>
      <c r="DI568" s="14" t="s">
        <v>194</v>
      </c>
      <c r="DJ568" s="14" t="s">
        <v>361</v>
      </c>
      <c r="DK568" s="14" t="s">
        <v>196</v>
      </c>
      <c r="DL568" s="21" t="s">
        <v>1285</v>
      </c>
      <c r="DM568" s="14" t="s">
        <v>198</v>
      </c>
      <c r="DN568" s="13" t="s">
        <v>11010</v>
      </c>
      <c r="DO568" s="20">
        <v>2021</v>
      </c>
      <c r="DP568" s="14" t="s">
        <v>166</v>
      </c>
      <c r="DQ568" s="14" t="s">
        <v>166</v>
      </c>
      <c r="DR568" s="18" t="s">
        <v>166</v>
      </c>
      <c r="DS568" s="16" t="s">
        <v>166</v>
      </c>
      <c r="DT568" s="19" t="s">
        <v>166</v>
      </c>
      <c r="DU568" s="14" t="s">
        <v>166</v>
      </c>
      <c r="DV568" s="18" t="s">
        <v>166</v>
      </c>
      <c r="DW568" s="18" t="s">
        <v>166</v>
      </c>
      <c r="DX568" s="16" t="s">
        <v>166</v>
      </c>
      <c r="DY568" s="16" t="s">
        <v>166</v>
      </c>
      <c r="DZ568" s="17" t="s">
        <v>166</v>
      </c>
      <c r="EA568" s="16" t="s">
        <v>166</v>
      </c>
      <c r="EB568" s="16" t="s">
        <v>166</v>
      </c>
      <c r="EC568" s="16" t="s">
        <v>166</v>
      </c>
      <c r="ED568" s="17" t="s">
        <v>166</v>
      </c>
      <c r="EE568" s="17" t="s">
        <v>166</v>
      </c>
      <c r="EF568" s="17" t="s">
        <v>166</v>
      </c>
      <c r="EG568" s="17" t="s">
        <v>166</v>
      </c>
      <c r="EH568" s="16" t="s">
        <v>166</v>
      </c>
      <c r="EI568" s="16" t="s">
        <v>166</v>
      </c>
      <c r="EJ568" s="16" t="s">
        <v>166</v>
      </c>
      <c r="EK568" s="16" t="s">
        <v>166</v>
      </c>
      <c r="EL568" s="16" t="s">
        <v>166</v>
      </c>
      <c r="EM568" s="16" t="s">
        <v>166</v>
      </c>
      <c r="EN568" s="16" t="s">
        <v>166</v>
      </c>
      <c r="EO568" s="16" t="s">
        <v>166</v>
      </c>
      <c r="EP568" s="16" t="s">
        <v>166</v>
      </c>
      <c r="EQ568" s="16" t="s">
        <v>166</v>
      </c>
      <c r="ER568" s="16" t="s">
        <v>166</v>
      </c>
      <c r="ES568" s="16" t="s">
        <v>166</v>
      </c>
      <c r="ET568" s="14" t="s">
        <v>166</v>
      </c>
      <c r="EU568" s="16" t="s">
        <v>166</v>
      </c>
      <c r="EV568" s="16" t="s">
        <v>166</v>
      </c>
      <c r="EW568" s="16" t="s">
        <v>166</v>
      </c>
      <c r="EX568" s="14" t="s">
        <v>190</v>
      </c>
      <c r="EY568" s="14" t="s">
        <v>166</v>
      </c>
      <c r="EZ568" s="16" t="s">
        <v>166</v>
      </c>
      <c r="FA568" s="15" t="s">
        <v>166</v>
      </c>
      <c r="FB568" s="15" t="s">
        <v>166</v>
      </c>
      <c r="FC568" s="15" t="s">
        <v>166</v>
      </c>
      <c r="FD568" s="15" t="s">
        <v>166</v>
      </c>
      <c r="FE568" s="15" t="s">
        <v>166</v>
      </c>
      <c r="FF568" s="15" t="s">
        <v>166</v>
      </c>
      <c r="FG568" s="14" t="s">
        <v>166</v>
      </c>
      <c r="FH568" s="3">
        <f>HYPERLINK("https://my.pitchbook.com?c=192520-63T","View Company Online")</f>
      </c>
    </row>
    <row r="569">
      <c r="A569" s="25" t="s">
        <v>11011</v>
      </c>
      <c r="B569" s="25" t="s">
        <v>11012</v>
      </c>
      <c r="C569" s="25" t="s">
        <v>11013</v>
      </c>
      <c r="D569" s="25" t="s">
        <v>166</v>
      </c>
      <c r="E569" s="34" t="s">
        <v>11014</v>
      </c>
      <c r="F569" s="32">
        <v>6</v>
      </c>
      <c r="G569" s="25" t="s">
        <v>11015</v>
      </c>
      <c r="H569" s="25" t="s">
        <v>166</v>
      </c>
      <c r="I569" s="25" t="s">
        <v>11016</v>
      </c>
      <c r="J569" s="25" t="s">
        <v>11017</v>
      </c>
      <c r="K569" s="25" t="s">
        <v>207</v>
      </c>
      <c r="L569" s="25" t="s">
        <v>208</v>
      </c>
      <c r="M569" s="25" t="s">
        <v>882</v>
      </c>
      <c r="N569" s="25" t="s">
        <v>6571</v>
      </c>
      <c r="O569" s="25" t="s">
        <v>800</v>
      </c>
      <c r="P569" s="25" t="s">
        <v>11018</v>
      </c>
      <c r="Q569" s="25" t="s">
        <v>166</v>
      </c>
      <c r="R569" s="25" t="s">
        <v>177</v>
      </c>
      <c r="S569" s="25" t="s">
        <v>8605</v>
      </c>
      <c r="T569" s="25" t="s">
        <v>179</v>
      </c>
      <c r="U569" s="25" t="s">
        <v>11019</v>
      </c>
      <c r="V569" s="25" t="s">
        <v>11020</v>
      </c>
      <c r="W569" s="32" t="s">
        <v>166</v>
      </c>
      <c r="X569" s="25" t="s">
        <v>11021</v>
      </c>
      <c r="Y569" s="25" t="s">
        <v>11022</v>
      </c>
      <c r="Z569" s="25" t="s">
        <v>11023</v>
      </c>
      <c r="AA569" s="25" t="s">
        <v>242</v>
      </c>
      <c r="AB569" s="25" t="s">
        <v>243</v>
      </c>
      <c r="AC569" s="25" t="s">
        <v>244</v>
      </c>
      <c r="AD569" s="25" t="s">
        <v>243</v>
      </c>
      <c r="AE569" s="25" t="s">
        <v>243</v>
      </c>
      <c r="AF569" s="25" t="s">
        <v>166</v>
      </c>
      <c r="AG569" s="25" t="s">
        <v>807</v>
      </c>
      <c r="AH569" s="32">
        <v>1</v>
      </c>
      <c r="AI569" s="4">
        <f>HYPERLINK("https://my.pitchbook.com/?d=233273-89T","233273-89T")</f>
      </c>
      <c r="AJ569" s="30" t="s">
        <v>166</v>
      </c>
      <c r="AK569" s="30">
        <v>45147</v>
      </c>
      <c r="AL569" s="29">
        <v>3</v>
      </c>
      <c r="AM569" s="25" t="s">
        <v>185</v>
      </c>
      <c r="AN569" s="29">
        <v>7</v>
      </c>
      <c r="AO569" s="29">
        <v>10</v>
      </c>
      <c r="AP569" s="25" t="s">
        <v>185</v>
      </c>
      <c r="AQ569" s="32" t="s">
        <v>166</v>
      </c>
      <c r="AR569" s="32" t="s">
        <v>166</v>
      </c>
      <c r="AS569" s="28">
        <v>30</v>
      </c>
      <c r="AT569" s="29">
        <v>3</v>
      </c>
      <c r="AU569" s="32" t="s">
        <v>186</v>
      </c>
      <c r="AV569" s="32" t="s">
        <v>166</v>
      </c>
      <c r="AW569" s="29">
        <v>0.97</v>
      </c>
      <c r="AX569" s="32" t="s">
        <v>166</v>
      </c>
      <c r="AY569" s="25" t="s">
        <v>217</v>
      </c>
      <c r="AZ569" s="25" t="s">
        <v>217</v>
      </c>
      <c r="BA569" s="25" t="s">
        <v>166</v>
      </c>
      <c r="BB569" s="32" t="s">
        <v>166</v>
      </c>
      <c r="BC569" s="25" t="s">
        <v>179</v>
      </c>
      <c r="BD569" s="25" t="s">
        <v>11017</v>
      </c>
      <c r="BE569" s="25" t="s">
        <v>189</v>
      </c>
      <c r="BF569" s="29">
        <v>3</v>
      </c>
      <c r="BG569" s="25" t="s">
        <v>190</v>
      </c>
      <c r="BH569" s="25" t="s">
        <v>166</v>
      </c>
      <c r="BI569" s="25" t="s">
        <v>166</v>
      </c>
      <c r="BJ569" s="29" t="s">
        <v>166</v>
      </c>
      <c r="BK569" s="29" t="s">
        <v>166</v>
      </c>
      <c r="BL569" s="25" t="s">
        <v>191</v>
      </c>
      <c r="BM569" s="25" t="s">
        <v>8605</v>
      </c>
      <c r="BN569" s="25" t="s">
        <v>177</v>
      </c>
      <c r="BO569" s="33" t="s">
        <v>166</v>
      </c>
      <c r="BP569" s="25" t="s">
        <v>11024</v>
      </c>
      <c r="BQ569" s="32">
        <v>6</v>
      </c>
      <c r="BR569" s="25" t="s">
        <v>166</v>
      </c>
      <c r="BS569" s="32" t="s">
        <v>166</v>
      </c>
      <c r="BT569" s="25" t="s">
        <v>11025</v>
      </c>
      <c r="BU569" s="25" t="s">
        <v>166</v>
      </c>
      <c r="BV569" s="25" t="s">
        <v>166</v>
      </c>
      <c r="BW569" s="25" t="s">
        <v>166</v>
      </c>
      <c r="BX569" s="25" t="s">
        <v>166</v>
      </c>
      <c r="BY569" s="25" t="s">
        <v>166</v>
      </c>
      <c r="BZ569" s="25" t="s">
        <v>11026</v>
      </c>
      <c r="CA569" s="25" t="s">
        <v>11026</v>
      </c>
      <c r="CB569" s="25" t="s">
        <v>166</v>
      </c>
      <c r="CC569" s="25" t="s">
        <v>166</v>
      </c>
      <c r="CD569" s="25" t="s">
        <v>166</v>
      </c>
      <c r="CE569" s="29" t="s">
        <v>166</v>
      </c>
      <c r="CF569" s="27" t="s">
        <v>166</v>
      </c>
      <c r="CG569" s="28" t="s">
        <v>166</v>
      </c>
      <c r="CH569" s="27" t="s">
        <v>166</v>
      </c>
      <c r="CI569" s="27" t="s">
        <v>166</v>
      </c>
      <c r="CJ569" s="27" t="s">
        <v>166</v>
      </c>
      <c r="CK569" s="27" t="s">
        <v>166</v>
      </c>
      <c r="CL569" s="27" t="s">
        <v>166</v>
      </c>
      <c r="CM569" s="31" t="s">
        <v>166</v>
      </c>
      <c r="CN569" s="27" t="s">
        <v>166</v>
      </c>
      <c r="CO569" s="27" t="s">
        <v>166</v>
      </c>
      <c r="CP569" s="27" t="s">
        <v>166</v>
      </c>
      <c r="CQ569" s="27" t="s">
        <v>166</v>
      </c>
      <c r="CR569" s="27" t="s">
        <v>166</v>
      </c>
      <c r="CS569" s="27" t="s">
        <v>166</v>
      </c>
      <c r="CT569" s="27" t="s">
        <v>166</v>
      </c>
      <c r="CU569" s="27" t="s">
        <v>166</v>
      </c>
      <c r="CV569" s="27" t="s">
        <v>166</v>
      </c>
      <c r="CW569" s="27" t="s">
        <v>166</v>
      </c>
      <c r="CX569" s="27" t="s">
        <v>166</v>
      </c>
      <c r="CY569" s="27" t="s">
        <v>166</v>
      </c>
      <c r="CZ569" s="27" t="s">
        <v>166</v>
      </c>
      <c r="DA569" s="27" t="s">
        <v>166</v>
      </c>
      <c r="DB569" s="27" t="s">
        <v>166</v>
      </c>
      <c r="DC569" s="27" t="s">
        <v>166</v>
      </c>
      <c r="DD569" s="27" t="s">
        <v>166</v>
      </c>
      <c r="DE569" s="28" t="s">
        <v>166</v>
      </c>
      <c r="DF569" s="33">
        <v>10</v>
      </c>
      <c r="DG569" s="25" t="s">
        <v>309</v>
      </c>
      <c r="DH569" s="25" t="s">
        <v>193</v>
      </c>
      <c r="DI569" s="25" t="s">
        <v>194</v>
      </c>
      <c r="DJ569" s="25" t="s">
        <v>310</v>
      </c>
      <c r="DK569" s="25" t="s">
        <v>310</v>
      </c>
      <c r="DL569" s="32" t="s">
        <v>166</v>
      </c>
      <c r="DM569" s="25" t="s">
        <v>198</v>
      </c>
      <c r="DN569" s="24" t="s">
        <v>11027</v>
      </c>
      <c r="DO569" s="31">
        <v>2023</v>
      </c>
      <c r="DP569" s="25" t="s">
        <v>166</v>
      </c>
      <c r="DQ569" s="25" t="s">
        <v>166</v>
      </c>
      <c r="DR569" s="29" t="s">
        <v>166</v>
      </c>
      <c r="DS569" s="27" t="s">
        <v>166</v>
      </c>
      <c r="DT569" s="30" t="s">
        <v>166</v>
      </c>
      <c r="DU569" s="25" t="s">
        <v>166</v>
      </c>
      <c r="DV569" s="29" t="s">
        <v>166</v>
      </c>
      <c r="DW569" s="29" t="s">
        <v>166</v>
      </c>
      <c r="DX569" s="27" t="s">
        <v>166</v>
      </c>
      <c r="DY569" s="27" t="s">
        <v>166</v>
      </c>
      <c r="DZ569" s="28" t="s">
        <v>166</v>
      </c>
      <c r="EA569" s="27" t="s">
        <v>166</v>
      </c>
      <c r="EB569" s="27" t="s">
        <v>166</v>
      </c>
      <c r="EC569" s="27" t="s">
        <v>166</v>
      </c>
      <c r="ED569" s="28" t="s">
        <v>166</v>
      </c>
      <c r="EE569" s="28" t="s">
        <v>166</v>
      </c>
      <c r="EF569" s="28" t="s">
        <v>166</v>
      </c>
      <c r="EG569" s="28" t="s">
        <v>166</v>
      </c>
      <c r="EH569" s="27" t="s">
        <v>166</v>
      </c>
      <c r="EI569" s="27" t="s">
        <v>166</v>
      </c>
      <c r="EJ569" s="27" t="s">
        <v>166</v>
      </c>
      <c r="EK569" s="27" t="s">
        <v>166</v>
      </c>
      <c r="EL569" s="27" t="s">
        <v>166</v>
      </c>
      <c r="EM569" s="27" t="s">
        <v>166</v>
      </c>
      <c r="EN569" s="27" t="s">
        <v>166</v>
      </c>
      <c r="EO569" s="27" t="s">
        <v>166</v>
      </c>
      <c r="EP569" s="27" t="s">
        <v>166</v>
      </c>
      <c r="EQ569" s="27" t="s">
        <v>166</v>
      </c>
      <c r="ER569" s="27" t="s">
        <v>166</v>
      </c>
      <c r="ES569" s="27" t="s">
        <v>166</v>
      </c>
      <c r="ET569" s="25" t="s">
        <v>166</v>
      </c>
      <c r="EU569" s="27" t="s">
        <v>166</v>
      </c>
      <c r="EV569" s="27" t="s">
        <v>166</v>
      </c>
      <c r="EW569" s="27" t="s">
        <v>166</v>
      </c>
      <c r="EX569" s="25" t="s">
        <v>190</v>
      </c>
      <c r="EY569" s="25" t="s">
        <v>166</v>
      </c>
      <c r="EZ569" s="27" t="s">
        <v>166</v>
      </c>
      <c r="FA569" s="26" t="s">
        <v>166</v>
      </c>
      <c r="FB569" s="26" t="s">
        <v>166</v>
      </c>
      <c r="FC569" s="26" t="s">
        <v>166</v>
      </c>
      <c r="FD569" s="26" t="s">
        <v>166</v>
      </c>
      <c r="FE569" s="26" t="s">
        <v>166</v>
      </c>
      <c r="FF569" s="26" t="s">
        <v>166</v>
      </c>
      <c r="FG569" s="25" t="s">
        <v>166</v>
      </c>
      <c r="FH569" s="4">
        <f>HYPERLINK("https://my.pitchbook.com?c=233273-89T","View Company Online")</f>
      </c>
    </row>
    <row r="570">
      <c r="A570" s="14" t="s">
        <v>11028</v>
      </c>
      <c r="B570" s="14" t="s">
        <v>11029</v>
      </c>
      <c r="C570" s="14" t="s">
        <v>11030</v>
      </c>
      <c r="D570" s="14" t="s">
        <v>166</v>
      </c>
      <c r="E570" s="23" t="s">
        <v>11031</v>
      </c>
      <c r="F570" s="21">
        <v>10</v>
      </c>
      <c r="G570" s="14" t="s">
        <v>11032</v>
      </c>
      <c r="H570" s="14" t="s">
        <v>166</v>
      </c>
      <c r="I570" s="14" t="s">
        <v>11033</v>
      </c>
      <c r="J570" s="14" t="s">
        <v>11034</v>
      </c>
      <c r="K570" s="14" t="s">
        <v>1455</v>
      </c>
      <c r="L570" s="14" t="s">
        <v>1456</v>
      </c>
      <c r="M570" s="14" t="s">
        <v>1457</v>
      </c>
      <c r="N570" s="14" t="s">
        <v>11035</v>
      </c>
      <c r="O570" s="14" t="s">
        <v>166</v>
      </c>
      <c r="P570" s="14" t="s">
        <v>11036</v>
      </c>
      <c r="Q570" s="14" t="s">
        <v>166</v>
      </c>
      <c r="R570" s="14" t="s">
        <v>177</v>
      </c>
      <c r="S570" s="14" t="s">
        <v>178</v>
      </c>
      <c r="T570" s="14" t="s">
        <v>179</v>
      </c>
      <c r="U570" s="14" t="s">
        <v>11037</v>
      </c>
      <c r="V570" s="14" t="s">
        <v>11038</v>
      </c>
      <c r="W570" s="21" t="s">
        <v>11039</v>
      </c>
      <c r="X570" s="14" t="s">
        <v>166</v>
      </c>
      <c r="Y570" s="14" t="s">
        <v>11040</v>
      </c>
      <c r="Z570" s="14" t="s">
        <v>166</v>
      </c>
      <c r="AA570" s="14" t="s">
        <v>166</v>
      </c>
      <c r="AB570" s="14" t="s">
        <v>166</v>
      </c>
      <c r="AC570" s="14" t="s">
        <v>166</v>
      </c>
      <c r="AD570" s="14" t="s">
        <v>166</v>
      </c>
      <c r="AE570" s="14" t="s">
        <v>166</v>
      </c>
      <c r="AF570" s="14" t="s">
        <v>166</v>
      </c>
      <c r="AG570" s="14" t="s">
        <v>166</v>
      </c>
      <c r="AH570" s="21">
        <v>1</v>
      </c>
      <c r="AI570" s="3">
        <f>HYPERLINK("https://my.pitchbook.com/?d=174174-85T","174174-85T")</f>
      </c>
      <c r="AJ570" s="19">
        <v>44357</v>
      </c>
      <c r="AK570" s="19">
        <v>44409</v>
      </c>
      <c r="AL570" s="18">
        <v>0.95</v>
      </c>
      <c r="AM570" s="14" t="s">
        <v>247</v>
      </c>
      <c r="AN570" s="18" t="s">
        <v>166</v>
      </c>
      <c r="AO570" s="18" t="s">
        <v>166</v>
      </c>
      <c r="AP570" s="14" t="s">
        <v>166</v>
      </c>
      <c r="AQ570" s="21" t="s">
        <v>166</v>
      </c>
      <c r="AR570" s="21" t="s">
        <v>166</v>
      </c>
      <c r="AS570" s="17" t="s">
        <v>166</v>
      </c>
      <c r="AT570" s="18">
        <v>0.95</v>
      </c>
      <c r="AU570" s="21" t="s">
        <v>186</v>
      </c>
      <c r="AV570" s="21" t="s">
        <v>166</v>
      </c>
      <c r="AW570" s="18" t="s">
        <v>166</v>
      </c>
      <c r="AX570" s="21" t="s">
        <v>166</v>
      </c>
      <c r="AY570" s="14" t="s">
        <v>217</v>
      </c>
      <c r="AZ570" s="14" t="s">
        <v>217</v>
      </c>
      <c r="BA570" s="14" t="s">
        <v>166</v>
      </c>
      <c r="BB570" s="21" t="s">
        <v>166</v>
      </c>
      <c r="BC570" s="14" t="s">
        <v>179</v>
      </c>
      <c r="BD570" s="14" t="s">
        <v>11041</v>
      </c>
      <c r="BE570" s="14" t="s">
        <v>189</v>
      </c>
      <c r="BF570" s="18">
        <v>0.95</v>
      </c>
      <c r="BG570" s="14" t="s">
        <v>190</v>
      </c>
      <c r="BH570" s="14" t="s">
        <v>166</v>
      </c>
      <c r="BI570" s="14" t="s">
        <v>166</v>
      </c>
      <c r="BJ570" s="18" t="s">
        <v>166</v>
      </c>
      <c r="BK570" s="18" t="s">
        <v>166</v>
      </c>
      <c r="BL570" s="14" t="s">
        <v>191</v>
      </c>
      <c r="BM570" s="14" t="s">
        <v>178</v>
      </c>
      <c r="BN570" s="14" t="s">
        <v>177</v>
      </c>
      <c r="BO570" s="22" t="s">
        <v>166</v>
      </c>
      <c r="BP570" s="14" t="s">
        <v>11042</v>
      </c>
      <c r="BQ570" s="21">
        <v>10</v>
      </c>
      <c r="BR570" s="14" t="s">
        <v>166</v>
      </c>
      <c r="BS570" s="21" t="s">
        <v>166</v>
      </c>
      <c r="BT570" s="14" t="s">
        <v>11043</v>
      </c>
      <c r="BU570" s="14" t="s">
        <v>166</v>
      </c>
      <c r="BV570" s="14" t="s">
        <v>166</v>
      </c>
      <c r="BW570" s="14" t="s">
        <v>166</v>
      </c>
      <c r="BX570" s="14" t="s">
        <v>166</v>
      </c>
      <c r="BY570" s="14" t="s">
        <v>166</v>
      </c>
      <c r="BZ570" s="14" t="s">
        <v>166</v>
      </c>
      <c r="CA570" s="14" t="s">
        <v>166</v>
      </c>
      <c r="CB570" s="14" t="s">
        <v>166</v>
      </c>
      <c r="CC570" s="14" t="s">
        <v>166</v>
      </c>
      <c r="CD570" s="14" t="s">
        <v>166</v>
      </c>
      <c r="CE570" s="18" t="s">
        <v>166</v>
      </c>
      <c r="CF570" s="16" t="s">
        <v>166</v>
      </c>
      <c r="CG570" s="17" t="s">
        <v>166</v>
      </c>
      <c r="CH570" s="16" t="s">
        <v>166</v>
      </c>
      <c r="CI570" s="16" t="s">
        <v>166</v>
      </c>
      <c r="CJ570" s="16" t="s">
        <v>166</v>
      </c>
      <c r="CK570" s="16" t="s">
        <v>166</v>
      </c>
      <c r="CL570" s="16" t="s">
        <v>166</v>
      </c>
      <c r="CM570" s="20" t="s">
        <v>166</v>
      </c>
      <c r="CN570" s="16" t="s">
        <v>166</v>
      </c>
      <c r="CO570" s="16" t="s">
        <v>166</v>
      </c>
      <c r="CP570" s="16" t="s">
        <v>166</v>
      </c>
      <c r="CQ570" s="16" t="s">
        <v>166</v>
      </c>
      <c r="CR570" s="16" t="s">
        <v>166</v>
      </c>
      <c r="CS570" s="16" t="s">
        <v>166</v>
      </c>
      <c r="CT570" s="16" t="s">
        <v>166</v>
      </c>
      <c r="CU570" s="16" t="s">
        <v>166</v>
      </c>
      <c r="CV570" s="16" t="s">
        <v>166</v>
      </c>
      <c r="CW570" s="16" t="s">
        <v>166</v>
      </c>
      <c r="CX570" s="16" t="s">
        <v>166</v>
      </c>
      <c r="CY570" s="16" t="s">
        <v>166</v>
      </c>
      <c r="CZ570" s="16" t="s">
        <v>166</v>
      </c>
      <c r="DA570" s="16" t="s">
        <v>166</v>
      </c>
      <c r="DB570" s="16" t="s">
        <v>166</v>
      </c>
      <c r="DC570" s="16" t="s">
        <v>166</v>
      </c>
      <c r="DD570" s="16" t="s">
        <v>166</v>
      </c>
      <c r="DE570" s="17" t="s">
        <v>166</v>
      </c>
      <c r="DF570" s="22">
        <v>5</v>
      </c>
      <c r="DG570" s="14" t="s">
        <v>360</v>
      </c>
      <c r="DH570" s="14" t="s">
        <v>193</v>
      </c>
      <c r="DI570" s="14" t="s">
        <v>194</v>
      </c>
      <c r="DJ570" s="14" t="s">
        <v>361</v>
      </c>
      <c r="DK570" s="14" t="s">
        <v>196</v>
      </c>
      <c r="DL570" s="21" t="s">
        <v>166</v>
      </c>
      <c r="DM570" s="14" t="s">
        <v>198</v>
      </c>
      <c r="DN570" s="13" t="s">
        <v>11044</v>
      </c>
      <c r="DO570" s="20">
        <v>2019</v>
      </c>
      <c r="DP570" s="14" t="s">
        <v>166</v>
      </c>
      <c r="DQ570" s="14" t="s">
        <v>166</v>
      </c>
      <c r="DR570" s="18" t="s">
        <v>166</v>
      </c>
      <c r="DS570" s="16" t="s">
        <v>166</v>
      </c>
      <c r="DT570" s="19" t="s">
        <v>166</v>
      </c>
      <c r="DU570" s="14" t="s">
        <v>166</v>
      </c>
      <c r="DV570" s="18" t="s">
        <v>166</v>
      </c>
      <c r="DW570" s="18" t="s">
        <v>166</v>
      </c>
      <c r="DX570" s="16" t="s">
        <v>166</v>
      </c>
      <c r="DY570" s="16" t="s">
        <v>166</v>
      </c>
      <c r="DZ570" s="17" t="s">
        <v>166</v>
      </c>
      <c r="EA570" s="16" t="s">
        <v>166</v>
      </c>
      <c r="EB570" s="16" t="s">
        <v>166</v>
      </c>
      <c r="EC570" s="16" t="s">
        <v>166</v>
      </c>
      <c r="ED570" s="17" t="s">
        <v>166</v>
      </c>
      <c r="EE570" s="17" t="s">
        <v>166</v>
      </c>
      <c r="EF570" s="17" t="s">
        <v>166</v>
      </c>
      <c r="EG570" s="17" t="s">
        <v>166</v>
      </c>
      <c r="EH570" s="16" t="s">
        <v>166</v>
      </c>
      <c r="EI570" s="16" t="s">
        <v>166</v>
      </c>
      <c r="EJ570" s="16" t="s">
        <v>166</v>
      </c>
      <c r="EK570" s="16" t="s">
        <v>166</v>
      </c>
      <c r="EL570" s="16" t="s">
        <v>166</v>
      </c>
      <c r="EM570" s="16" t="s">
        <v>166</v>
      </c>
      <c r="EN570" s="16" t="s">
        <v>166</v>
      </c>
      <c r="EO570" s="16" t="s">
        <v>166</v>
      </c>
      <c r="EP570" s="16" t="s">
        <v>166</v>
      </c>
      <c r="EQ570" s="16" t="s">
        <v>166</v>
      </c>
      <c r="ER570" s="16" t="s">
        <v>166</v>
      </c>
      <c r="ES570" s="16" t="s">
        <v>166</v>
      </c>
      <c r="ET570" s="14" t="s">
        <v>166</v>
      </c>
      <c r="EU570" s="16" t="s">
        <v>166</v>
      </c>
      <c r="EV570" s="16" t="s">
        <v>166</v>
      </c>
      <c r="EW570" s="16" t="s">
        <v>166</v>
      </c>
      <c r="EX570" s="14" t="s">
        <v>190</v>
      </c>
      <c r="EY570" s="14" t="s">
        <v>166</v>
      </c>
      <c r="EZ570" s="16" t="s">
        <v>166</v>
      </c>
      <c r="FA570" s="15" t="s">
        <v>166</v>
      </c>
      <c r="FB570" s="15" t="s">
        <v>166</v>
      </c>
      <c r="FC570" s="15" t="s">
        <v>166</v>
      </c>
      <c r="FD570" s="15" t="s">
        <v>166</v>
      </c>
      <c r="FE570" s="15" t="s">
        <v>166</v>
      </c>
      <c r="FF570" s="15" t="s">
        <v>166</v>
      </c>
      <c r="FG570" s="14" t="s">
        <v>166</v>
      </c>
      <c r="FH570" s="3">
        <f>HYPERLINK("https://my.pitchbook.com?c=174174-85T","View Company Online")</f>
      </c>
    </row>
    <row r="571">
      <c r="A571" s="25" t="s">
        <v>11045</v>
      </c>
      <c r="B571" s="25" t="s">
        <v>11046</v>
      </c>
      <c r="C571" s="25" t="s">
        <v>11047</v>
      </c>
      <c r="D571" s="25" t="s">
        <v>166</v>
      </c>
      <c r="E571" s="34" t="s">
        <v>11048</v>
      </c>
      <c r="F571" s="32">
        <v>5</v>
      </c>
      <c r="G571" s="25" t="s">
        <v>11049</v>
      </c>
      <c r="H571" s="25" t="s">
        <v>166</v>
      </c>
      <c r="I571" s="25" t="s">
        <v>11050</v>
      </c>
      <c r="J571" s="25" t="s">
        <v>11051</v>
      </c>
      <c r="K571" s="25" t="s">
        <v>171</v>
      </c>
      <c r="L571" s="25" t="s">
        <v>172</v>
      </c>
      <c r="M571" s="25" t="s">
        <v>173</v>
      </c>
      <c r="N571" s="25" t="s">
        <v>11052</v>
      </c>
      <c r="O571" s="25" t="s">
        <v>11053</v>
      </c>
      <c r="P571" s="25" t="s">
        <v>11054</v>
      </c>
      <c r="Q571" s="25" t="s">
        <v>166</v>
      </c>
      <c r="R571" s="25" t="s">
        <v>177</v>
      </c>
      <c r="S571" s="25" t="s">
        <v>178</v>
      </c>
      <c r="T571" s="25" t="s">
        <v>179</v>
      </c>
      <c r="U571" s="25" t="s">
        <v>11055</v>
      </c>
      <c r="V571" s="25" t="s">
        <v>11056</v>
      </c>
      <c r="W571" s="32" t="s">
        <v>166</v>
      </c>
      <c r="X571" s="25" t="s">
        <v>11057</v>
      </c>
      <c r="Y571" s="25" t="s">
        <v>11058</v>
      </c>
      <c r="Z571" s="25" t="s">
        <v>11059</v>
      </c>
      <c r="AA571" s="25" t="s">
        <v>166</v>
      </c>
      <c r="AB571" s="25" t="s">
        <v>166</v>
      </c>
      <c r="AC571" s="25" t="s">
        <v>166</v>
      </c>
      <c r="AD571" s="25" t="s">
        <v>166</v>
      </c>
      <c r="AE571" s="25" t="s">
        <v>166</v>
      </c>
      <c r="AF571" s="25" t="s">
        <v>166</v>
      </c>
      <c r="AG571" s="25" t="s">
        <v>166</v>
      </c>
      <c r="AH571" s="32">
        <v>1</v>
      </c>
      <c r="AI571" s="4">
        <f>HYPERLINK("https://my.pitchbook.com/?d=183115-18T","183115-18T")</f>
      </c>
      <c r="AJ571" s="30" t="s">
        <v>166</v>
      </c>
      <c r="AK571" s="30">
        <v>44482</v>
      </c>
      <c r="AL571" s="29">
        <v>1</v>
      </c>
      <c r="AM571" s="25" t="s">
        <v>185</v>
      </c>
      <c r="AN571" s="29" t="s">
        <v>166</v>
      </c>
      <c r="AO571" s="29" t="s">
        <v>166</v>
      </c>
      <c r="AP571" s="25" t="s">
        <v>166</v>
      </c>
      <c r="AQ571" s="32" t="s">
        <v>166</v>
      </c>
      <c r="AR571" s="32" t="s">
        <v>166</v>
      </c>
      <c r="AS571" s="28" t="s">
        <v>166</v>
      </c>
      <c r="AT571" s="29">
        <v>1</v>
      </c>
      <c r="AU571" s="32" t="s">
        <v>186</v>
      </c>
      <c r="AV571" s="32" t="s">
        <v>166</v>
      </c>
      <c r="AW571" s="29" t="s">
        <v>166</v>
      </c>
      <c r="AX571" s="32" t="s">
        <v>166</v>
      </c>
      <c r="AY571" s="25" t="s">
        <v>217</v>
      </c>
      <c r="AZ571" s="25" t="s">
        <v>217</v>
      </c>
      <c r="BA571" s="25" t="s">
        <v>166</v>
      </c>
      <c r="BB571" s="32" t="s">
        <v>166</v>
      </c>
      <c r="BC571" s="25" t="s">
        <v>179</v>
      </c>
      <c r="BD571" s="25" t="s">
        <v>11051</v>
      </c>
      <c r="BE571" s="25" t="s">
        <v>189</v>
      </c>
      <c r="BF571" s="29">
        <v>1</v>
      </c>
      <c r="BG571" s="25" t="s">
        <v>190</v>
      </c>
      <c r="BH571" s="25" t="s">
        <v>166</v>
      </c>
      <c r="BI571" s="25" t="s">
        <v>166</v>
      </c>
      <c r="BJ571" s="29" t="s">
        <v>166</v>
      </c>
      <c r="BK571" s="29" t="s">
        <v>166</v>
      </c>
      <c r="BL571" s="25" t="s">
        <v>191</v>
      </c>
      <c r="BM571" s="25" t="s">
        <v>178</v>
      </c>
      <c r="BN571" s="25" t="s">
        <v>177</v>
      </c>
      <c r="BO571" s="33" t="s">
        <v>166</v>
      </c>
      <c r="BP571" s="25" t="s">
        <v>11048</v>
      </c>
      <c r="BQ571" s="32">
        <v>5</v>
      </c>
      <c r="BR571" s="25" t="s">
        <v>166</v>
      </c>
      <c r="BS571" s="32" t="s">
        <v>166</v>
      </c>
      <c r="BT571" s="25" t="s">
        <v>166</v>
      </c>
      <c r="BU571" s="25" t="s">
        <v>166</v>
      </c>
      <c r="BV571" s="25" t="s">
        <v>11060</v>
      </c>
      <c r="BW571" s="25" t="s">
        <v>166</v>
      </c>
      <c r="BX571" s="25" t="s">
        <v>166</v>
      </c>
      <c r="BY571" s="25" t="s">
        <v>166</v>
      </c>
      <c r="BZ571" s="25" t="s">
        <v>11061</v>
      </c>
      <c r="CA571" s="25" t="s">
        <v>11061</v>
      </c>
      <c r="CB571" s="25" t="s">
        <v>166</v>
      </c>
      <c r="CC571" s="25" t="s">
        <v>166</v>
      </c>
      <c r="CD571" s="25" t="s">
        <v>166</v>
      </c>
      <c r="CE571" s="29" t="s">
        <v>166</v>
      </c>
      <c r="CF571" s="27" t="s">
        <v>166</v>
      </c>
      <c r="CG571" s="28" t="s">
        <v>166</v>
      </c>
      <c r="CH571" s="27" t="s">
        <v>166</v>
      </c>
      <c r="CI571" s="27" t="s">
        <v>166</v>
      </c>
      <c r="CJ571" s="27" t="s">
        <v>166</v>
      </c>
      <c r="CK571" s="27" t="s">
        <v>166</v>
      </c>
      <c r="CL571" s="27" t="s">
        <v>166</v>
      </c>
      <c r="CM571" s="31" t="s">
        <v>166</v>
      </c>
      <c r="CN571" s="27" t="s">
        <v>166</v>
      </c>
      <c r="CO571" s="27" t="s">
        <v>166</v>
      </c>
      <c r="CP571" s="27" t="s">
        <v>166</v>
      </c>
      <c r="CQ571" s="27" t="s">
        <v>166</v>
      </c>
      <c r="CR571" s="27" t="s">
        <v>166</v>
      </c>
      <c r="CS571" s="27" t="s">
        <v>166</v>
      </c>
      <c r="CT571" s="27" t="s">
        <v>166</v>
      </c>
      <c r="CU571" s="27" t="s">
        <v>166</v>
      </c>
      <c r="CV571" s="27" t="s">
        <v>166</v>
      </c>
      <c r="CW571" s="27" t="s">
        <v>166</v>
      </c>
      <c r="CX571" s="27" t="s">
        <v>166</v>
      </c>
      <c r="CY571" s="27" t="s">
        <v>166</v>
      </c>
      <c r="CZ571" s="27" t="s">
        <v>166</v>
      </c>
      <c r="DA571" s="27" t="s">
        <v>166</v>
      </c>
      <c r="DB571" s="27" t="s">
        <v>166</v>
      </c>
      <c r="DC571" s="27" t="s">
        <v>166</v>
      </c>
      <c r="DD571" s="27" t="s">
        <v>166</v>
      </c>
      <c r="DE571" s="28" t="s">
        <v>166</v>
      </c>
      <c r="DF571" s="33">
        <v>17</v>
      </c>
      <c r="DG571" s="25" t="s">
        <v>2190</v>
      </c>
      <c r="DH571" s="25" t="s">
        <v>193</v>
      </c>
      <c r="DI571" s="25" t="s">
        <v>194</v>
      </c>
      <c r="DJ571" s="25" t="s">
        <v>2191</v>
      </c>
      <c r="DK571" s="25" t="s">
        <v>257</v>
      </c>
      <c r="DL571" s="32" t="s">
        <v>5147</v>
      </c>
      <c r="DM571" s="25" t="s">
        <v>198</v>
      </c>
      <c r="DN571" s="24" t="s">
        <v>11062</v>
      </c>
      <c r="DO571" s="31">
        <v>2020</v>
      </c>
      <c r="DP571" s="25" t="s">
        <v>166</v>
      </c>
      <c r="DQ571" s="25" t="s">
        <v>166</v>
      </c>
      <c r="DR571" s="29" t="s">
        <v>166</v>
      </c>
      <c r="DS571" s="27" t="s">
        <v>166</v>
      </c>
      <c r="DT571" s="30" t="s">
        <v>166</v>
      </c>
      <c r="DU571" s="25" t="s">
        <v>166</v>
      </c>
      <c r="DV571" s="29" t="s">
        <v>166</v>
      </c>
      <c r="DW571" s="29" t="s">
        <v>166</v>
      </c>
      <c r="DX571" s="27" t="s">
        <v>166</v>
      </c>
      <c r="DY571" s="27" t="s">
        <v>166</v>
      </c>
      <c r="DZ571" s="28" t="s">
        <v>166</v>
      </c>
      <c r="EA571" s="27" t="s">
        <v>166</v>
      </c>
      <c r="EB571" s="27" t="s">
        <v>166</v>
      </c>
      <c r="EC571" s="27" t="s">
        <v>166</v>
      </c>
      <c r="ED571" s="28" t="s">
        <v>166</v>
      </c>
      <c r="EE571" s="28" t="s">
        <v>166</v>
      </c>
      <c r="EF571" s="28" t="s">
        <v>166</v>
      </c>
      <c r="EG571" s="28" t="s">
        <v>166</v>
      </c>
      <c r="EH571" s="27" t="s">
        <v>166</v>
      </c>
      <c r="EI571" s="27" t="s">
        <v>166</v>
      </c>
      <c r="EJ571" s="27" t="s">
        <v>166</v>
      </c>
      <c r="EK571" s="27" t="s">
        <v>166</v>
      </c>
      <c r="EL571" s="27" t="s">
        <v>166</v>
      </c>
      <c r="EM571" s="27" t="s">
        <v>166</v>
      </c>
      <c r="EN571" s="27" t="s">
        <v>166</v>
      </c>
      <c r="EO571" s="27" t="s">
        <v>166</v>
      </c>
      <c r="EP571" s="27" t="s">
        <v>166</v>
      </c>
      <c r="EQ571" s="27" t="s">
        <v>166</v>
      </c>
      <c r="ER571" s="27" t="s">
        <v>166</v>
      </c>
      <c r="ES571" s="27" t="s">
        <v>166</v>
      </c>
      <c r="ET571" s="25" t="s">
        <v>166</v>
      </c>
      <c r="EU571" s="27" t="s">
        <v>166</v>
      </c>
      <c r="EV571" s="27" t="s">
        <v>166</v>
      </c>
      <c r="EW571" s="27" t="s">
        <v>166</v>
      </c>
      <c r="EX571" s="25" t="s">
        <v>190</v>
      </c>
      <c r="EY571" s="25" t="s">
        <v>166</v>
      </c>
      <c r="EZ571" s="27" t="s">
        <v>166</v>
      </c>
      <c r="FA571" s="26" t="s">
        <v>166</v>
      </c>
      <c r="FB571" s="26" t="s">
        <v>166</v>
      </c>
      <c r="FC571" s="26" t="s">
        <v>166</v>
      </c>
      <c r="FD571" s="26" t="s">
        <v>166</v>
      </c>
      <c r="FE571" s="26" t="s">
        <v>166</v>
      </c>
      <c r="FF571" s="26" t="s">
        <v>166</v>
      </c>
      <c r="FG571" s="25" t="s">
        <v>166</v>
      </c>
      <c r="FH571" s="4">
        <f>HYPERLINK("https://my.pitchbook.com?c=183115-18T","View Company Online")</f>
      </c>
    </row>
    <row r="572">
      <c r="A572" s="14" t="s">
        <v>11063</v>
      </c>
      <c r="B572" s="14" t="s">
        <v>11064</v>
      </c>
      <c r="C572" s="14" t="s">
        <v>11065</v>
      </c>
      <c r="D572" s="14" t="s">
        <v>166</v>
      </c>
      <c r="E572" s="23" t="s">
        <v>11066</v>
      </c>
      <c r="F572" s="21">
        <v>3</v>
      </c>
      <c r="G572" s="14" t="s">
        <v>6527</v>
      </c>
      <c r="H572" s="14" t="s">
        <v>166</v>
      </c>
      <c r="I572" s="14" t="s">
        <v>11067</v>
      </c>
      <c r="J572" s="14" t="s">
        <v>11068</v>
      </c>
      <c r="K572" s="14" t="s">
        <v>207</v>
      </c>
      <c r="L572" s="14" t="s">
        <v>208</v>
      </c>
      <c r="M572" s="14" t="s">
        <v>209</v>
      </c>
      <c r="N572" s="14" t="s">
        <v>4368</v>
      </c>
      <c r="O572" s="14" t="s">
        <v>7509</v>
      </c>
      <c r="P572" s="14" t="s">
        <v>11069</v>
      </c>
      <c r="Q572" s="14" t="s">
        <v>166</v>
      </c>
      <c r="R572" s="14" t="s">
        <v>177</v>
      </c>
      <c r="S572" s="14" t="s">
        <v>178</v>
      </c>
      <c r="T572" s="14" t="s">
        <v>179</v>
      </c>
      <c r="U572" s="14" t="s">
        <v>11070</v>
      </c>
      <c r="V572" s="14" t="s">
        <v>11071</v>
      </c>
      <c r="W572" s="21" t="s">
        <v>11072</v>
      </c>
      <c r="X572" s="14" t="s">
        <v>11073</v>
      </c>
      <c r="Y572" s="14" t="s">
        <v>11074</v>
      </c>
      <c r="Z572" s="14" t="s">
        <v>166</v>
      </c>
      <c r="AA572" s="14" t="s">
        <v>166</v>
      </c>
      <c r="AB572" s="14" t="s">
        <v>166</v>
      </c>
      <c r="AC572" s="14" t="s">
        <v>166</v>
      </c>
      <c r="AD572" s="14" t="s">
        <v>166</v>
      </c>
      <c r="AE572" s="14" t="s">
        <v>166</v>
      </c>
      <c r="AF572" s="14" t="s">
        <v>166</v>
      </c>
      <c r="AG572" s="14" t="s">
        <v>166</v>
      </c>
      <c r="AH572" s="21">
        <v>2</v>
      </c>
      <c r="AI572" s="3">
        <f>HYPERLINK("https://my.pitchbook.com/?d=164063-08T","164063-08T")</f>
      </c>
      <c r="AJ572" s="19">
        <v>44075</v>
      </c>
      <c r="AK572" s="19">
        <v>44500</v>
      </c>
      <c r="AL572" s="18">
        <v>0.33</v>
      </c>
      <c r="AM572" s="14" t="s">
        <v>185</v>
      </c>
      <c r="AN572" s="18" t="s">
        <v>166</v>
      </c>
      <c r="AO572" s="18" t="s">
        <v>166</v>
      </c>
      <c r="AP572" s="14" t="s">
        <v>166</v>
      </c>
      <c r="AQ572" s="21" t="s">
        <v>166</v>
      </c>
      <c r="AR572" s="21" t="s">
        <v>166</v>
      </c>
      <c r="AS572" s="17" t="s">
        <v>166</v>
      </c>
      <c r="AT572" s="18">
        <v>1.1</v>
      </c>
      <c r="AU572" s="21" t="s">
        <v>186</v>
      </c>
      <c r="AV572" s="21" t="s">
        <v>166</v>
      </c>
      <c r="AW572" s="18" t="s">
        <v>166</v>
      </c>
      <c r="AX572" s="21" t="s">
        <v>166</v>
      </c>
      <c r="AY572" s="14" t="s">
        <v>217</v>
      </c>
      <c r="AZ572" s="14" t="s">
        <v>217</v>
      </c>
      <c r="BA572" s="14" t="s">
        <v>166</v>
      </c>
      <c r="BB572" s="21" t="s">
        <v>166</v>
      </c>
      <c r="BC572" s="14" t="s">
        <v>179</v>
      </c>
      <c r="BD572" s="14" t="s">
        <v>11068</v>
      </c>
      <c r="BE572" s="14" t="s">
        <v>189</v>
      </c>
      <c r="BF572" s="18">
        <v>0.28</v>
      </c>
      <c r="BG572" s="14" t="s">
        <v>190</v>
      </c>
      <c r="BH572" s="14" t="s">
        <v>166</v>
      </c>
      <c r="BI572" s="14" t="s">
        <v>166</v>
      </c>
      <c r="BJ572" s="18">
        <v>0.05</v>
      </c>
      <c r="BK572" s="18" t="s">
        <v>166</v>
      </c>
      <c r="BL572" s="14" t="s">
        <v>191</v>
      </c>
      <c r="BM572" s="14" t="s">
        <v>178</v>
      </c>
      <c r="BN572" s="14" t="s">
        <v>177</v>
      </c>
      <c r="BO572" s="22">
        <v>5</v>
      </c>
      <c r="BP572" s="14" t="s">
        <v>11075</v>
      </c>
      <c r="BQ572" s="21">
        <v>3</v>
      </c>
      <c r="BR572" s="14" t="s">
        <v>166</v>
      </c>
      <c r="BS572" s="21" t="s">
        <v>166</v>
      </c>
      <c r="BT572" s="14" t="s">
        <v>166</v>
      </c>
      <c r="BU572" s="14" t="s">
        <v>166</v>
      </c>
      <c r="BV572" s="14" t="s">
        <v>11076</v>
      </c>
      <c r="BW572" s="14" t="s">
        <v>166</v>
      </c>
      <c r="BX572" s="14" t="s">
        <v>166</v>
      </c>
      <c r="BY572" s="14" t="s">
        <v>166</v>
      </c>
      <c r="BZ572" s="14" t="s">
        <v>166</v>
      </c>
      <c r="CA572" s="14" t="s">
        <v>166</v>
      </c>
      <c r="CB572" s="14" t="s">
        <v>166</v>
      </c>
      <c r="CC572" s="14" t="s">
        <v>166</v>
      </c>
      <c r="CD572" s="14" t="s">
        <v>166</v>
      </c>
      <c r="CE572" s="18" t="s">
        <v>166</v>
      </c>
      <c r="CF572" s="16" t="s">
        <v>166</v>
      </c>
      <c r="CG572" s="17" t="s">
        <v>166</v>
      </c>
      <c r="CH572" s="16" t="s">
        <v>166</v>
      </c>
      <c r="CI572" s="16" t="s">
        <v>166</v>
      </c>
      <c r="CJ572" s="16" t="s">
        <v>166</v>
      </c>
      <c r="CK572" s="16" t="s">
        <v>166</v>
      </c>
      <c r="CL572" s="16" t="s">
        <v>166</v>
      </c>
      <c r="CM572" s="20" t="s">
        <v>166</v>
      </c>
      <c r="CN572" s="16" t="s">
        <v>166</v>
      </c>
      <c r="CO572" s="16" t="s">
        <v>166</v>
      </c>
      <c r="CP572" s="16" t="s">
        <v>166</v>
      </c>
      <c r="CQ572" s="16" t="s">
        <v>166</v>
      </c>
      <c r="CR572" s="16" t="s">
        <v>166</v>
      </c>
      <c r="CS572" s="16" t="s">
        <v>166</v>
      </c>
      <c r="CT572" s="16" t="s">
        <v>166</v>
      </c>
      <c r="CU572" s="16" t="s">
        <v>166</v>
      </c>
      <c r="CV572" s="16" t="s">
        <v>166</v>
      </c>
      <c r="CW572" s="16" t="s">
        <v>166</v>
      </c>
      <c r="CX572" s="16" t="s">
        <v>166</v>
      </c>
      <c r="CY572" s="16">
        <v>0.18</v>
      </c>
      <c r="CZ572" s="16" t="s">
        <v>166</v>
      </c>
      <c r="DA572" s="16" t="s">
        <v>166</v>
      </c>
      <c r="DB572" s="16" t="s">
        <v>166</v>
      </c>
      <c r="DC572" s="16" t="s">
        <v>166</v>
      </c>
      <c r="DD572" s="16" t="s">
        <v>166</v>
      </c>
      <c r="DE572" s="17" t="s">
        <v>166</v>
      </c>
      <c r="DF572" s="22">
        <v>12</v>
      </c>
      <c r="DG572" s="14" t="s">
        <v>11077</v>
      </c>
      <c r="DH572" s="14" t="s">
        <v>193</v>
      </c>
      <c r="DI572" s="14" t="s">
        <v>194</v>
      </c>
      <c r="DJ572" s="14" t="s">
        <v>11078</v>
      </c>
      <c r="DK572" s="14" t="s">
        <v>2731</v>
      </c>
      <c r="DL572" s="21" t="s">
        <v>11079</v>
      </c>
      <c r="DM572" s="14" t="s">
        <v>198</v>
      </c>
      <c r="DN572" s="13" t="s">
        <v>11080</v>
      </c>
      <c r="DO572" s="20">
        <v>2019</v>
      </c>
      <c r="DP572" s="14" t="s">
        <v>166</v>
      </c>
      <c r="DQ572" s="14" t="s">
        <v>166</v>
      </c>
      <c r="DR572" s="18">
        <v>0.05</v>
      </c>
      <c r="DS572" s="16" t="s">
        <v>166</v>
      </c>
      <c r="DT572" s="19" t="s">
        <v>166</v>
      </c>
      <c r="DU572" s="14" t="s">
        <v>166</v>
      </c>
      <c r="DV572" s="18" t="s">
        <v>166</v>
      </c>
      <c r="DW572" s="18" t="s">
        <v>166</v>
      </c>
      <c r="DX572" s="16" t="s">
        <v>166</v>
      </c>
      <c r="DY572" s="16" t="s">
        <v>166</v>
      </c>
      <c r="DZ572" s="17" t="s">
        <v>166</v>
      </c>
      <c r="EA572" s="16" t="s">
        <v>166</v>
      </c>
      <c r="EB572" s="16" t="s">
        <v>166</v>
      </c>
      <c r="EC572" s="16" t="s">
        <v>166</v>
      </c>
      <c r="ED572" s="17" t="s">
        <v>166</v>
      </c>
      <c r="EE572" s="17" t="s">
        <v>166</v>
      </c>
      <c r="EF572" s="17" t="s">
        <v>166</v>
      </c>
      <c r="EG572" s="17" t="s">
        <v>166</v>
      </c>
      <c r="EH572" s="16" t="s">
        <v>166</v>
      </c>
      <c r="EI572" s="16" t="s">
        <v>166</v>
      </c>
      <c r="EJ572" s="16" t="s">
        <v>166</v>
      </c>
      <c r="EK572" s="16" t="s">
        <v>166</v>
      </c>
      <c r="EL572" s="16" t="s">
        <v>166</v>
      </c>
      <c r="EM572" s="16" t="s">
        <v>166</v>
      </c>
      <c r="EN572" s="16" t="s">
        <v>166</v>
      </c>
      <c r="EO572" s="16" t="s">
        <v>166</v>
      </c>
      <c r="EP572" s="16" t="s">
        <v>166</v>
      </c>
      <c r="EQ572" s="16" t="s">
        <v>166</v>
      </c>
      <c r="ER572" s="16" t="s">
        <v>166</v>
      </c>
      <c r="ES572" s="16" t="s">
        <v>166</v>
      </c>
      <c r="ET572" s="14" t="s">
        <v>166</v>
      </c>
      <c r="EU572" s="16" t="s">
        <v>166</v>
      </c>
      <c r="EV572" s="16" t="s">
        <v>166</v>
      </c>
      <c r="EW572" s="16" t="s">
        <v>166</v>
      </c>
      <c r="EX572" s="14" t="s">
        <v>190</v>
      </c>
      <c r="EY572" s="14" t="s">
        <v>166</v>
      </c>
      <c r="EZ572" s="16" t="s">
        <v>166</v>
      </c>
      <c r="FA572" s="15" t="s">
        <v>166</v>
      </c>
      <c r="FB572" s="15" t="s">
        <v>166</v>
      </c>
      <c r="FC572" s="15" t="s">
        <v>166</v>
      </c>
      <c r="FD572" s="15" t="s">
        <v>166</v>
      </c>
      <c r="FE572" s="15" t="s">
        <v>166</v>
      </c>
      <c r="FF572" s="15" t="s">
        <v>166</v>
      </c>
      <c r="FG572" s="14" t="s">
        <v>166</v>
      </c>
      <c r="FH572" s="3">
        <f>HYPERLINK("https://my.pitchbook.com?c=164063-08T","View Company Online")</f>
      </c>
    </row>
    <row r="573">
      <c r="A573" s="25" t="s">
        <v>11081</v>
      </c>
      <c r="B573" s="25" t="s">
        <v>11082</v>
      </c>
      <c r="C573" s="25" t="s">
        <v>11083</v>
      </c>
      <c r="D573" s="25" t="s">
        <v>166</v>
      </c>
      <c r="E573" s="34" t="s">
        <v>11084</v>
      </c>
      <c r="F573" s="32">
        <v>13</v>
      </c>
      <c r="G573" s="25" t="s">
        <v>11085</v>
      </c>
      <c r="H573" s="25" t="s">
        <v>166</v>
      </c>
      <c r="I573" s="25" t="s">
        <v>11086</v>
      </c>
      <c r="J573" s="25" t="s">
        <v>11087</v>
      </c>
      <c r="K573" s="25" t="s">
        <v>207</v>
      </c>
      <c r="L573" s="25" t="s">
        <v>208</v>
      </c>
      <c r="M573" s="25" t="s">
        <v>209</v>
      </c>
      <c r="N573" s="25" t="s">
        <v>269</v>
      </c>
      <c r="O573" s="25" t="s">
        <v>665</v>
      </c>
      <c r="P573" s="25" t="s">
        <v>11088</v>
      </c>
      <c r="Q573" s="25" t="s">
        <v>926</v>
      </c>
      <c r="R573" s="25" t="s">
        <v>177</v>
      </c>
      <c r="S573" s="25" t="s">
        <v>178</v>
      </c>
      <c r="T573" s="25" t="s">
        <v>179</v>
      </c>
      <c r="U573" s="25" t="s">
        <v>11089</v>
      </c>
      <c r="V573" s="25" t="s">
        <v>11090</v>
      </c>
      <c r="W573" s="32" t="s">
        <v>166</v>
      </c>
      <c r="X573" s="25" t="s">
        <v>11091</v>
      </c>
      <c r="Y573" s="25" t="s">
        <v>11092</v>
      </c>
      <c r="Z573" s="25" t="s">
        <v>11093</v>
      </c>
      <c r="AA573" s="25" t="s">
        <v>242</v>
      </c>
      <c r="AB573" s="25" t="s">
        <v>243</v>
      </c>
      <c r="AC573" s="25" t="s">
        <v>244</v>
      </c>
      <c r="AD573" s="25" t="s">
        <v>243</v>
      </c>
      <c r="AE573" s="25" t="s">
        <v>243</v>
      </c>
      <c r="AF573" s="25" t="s">
        <v>245</v>
      </c>
      <c r="AG573" s="25" t="s">
        <v>246</v>
      </c>
      <c r="AH573" s="32">
        <v>3</v>
      </c>
      <c r="AI573" s="4">
        <f>HYPERLINK("https://my.pitchbook.com/?d=114785-11T","114785-11T")</f>
      </c>
      <c r="AJ573" s="30">
        <v>43358</v>
      </c>
      <c r="AK573" s="30">
        <v>44454</v>
      </c>
      <c r="AL573" s="29">
        <v>22.49</v>
      </c>
      <c r="AM573" s="25" t="s">
        <v>185</v>
      </c>
      <c r="AN573" s="29">
        <v>72.51</v>
      </c>
      <c r="AO573" s="29">
        <v>95</v>
      </c>
      <c r="AP573" s="25" t="s">
        <v>185</v>
      </c>
      <c r="AQ573" s="32" t="s">
        <v>166</v>
      </c>
      <c r="AR573" s="32" t="s">
        <v>166</v>
      </c>
      <c r="AS573" s="28">
        <v>36.17</v>
      </c>
      <c r="AT573" s="29">
        <v>22.61</v>
      </c>
      <c r="AU573" s="32" t="s">
        <v>186</v>
      </c>
      <c r="AV573" s="32" t="s">
        <v>166</v>
      </c>
      <c r="AW573" s="29">
        <v>5.74</v>
      </c>
      <c r="AX573" s="32" t="s">
        <v>248</v>
      </c>
      <c r="AY573" s="25" t="s">
        <v>187</v>
      </c>
      <c r="AZ573" s="25" t="s">
        <v>248</v>
      </c>
      <c r="BA573" s="25" t="s">
        <v>166</v>
      </c>
      <c r="BB573" s="32" t="s">
        <v>166</v>
      </c>
      <c r="BC573" s="25" t="s">
        <v>179</v>
      </c>
      <c r="BD573" s="25" t="s">
        <v>11094</v>
      </c>
      <c r="BE573" s="25" t="s">
        <v>189</v>
      </c>
      <c r="BF573" s="29">
        <v>22.49</v>
      </c>
      <c r="BG573" s="25" t="s">
        <v>190</v>
      </c>
      <c r="BH573" s="25" t="s">
        <v>166</v>
      </c>
      <c r="BI573" s="25" t="s">
        <v>166</v>
      </c>
      <c r="BJ573" s="29" t="s">
        <v>166</v>
      </c>
      <c r="BK573" s="29" t="s">
        <v>166</v>
      </c>
      <c r="BL573" s="25" t="s">
        <v>191</v>
      </c>
      <c r="BM573" s="25" t="s">
        <v>178</v>
      </c>
      <c r="BN573" s="25" t="s">
        <v>177</v>
      </c>
      <c r="BO573" s="33" t="s">
        <v>166</v>
      </c>
      <c r="BP573" s="25" t="s">
        <v>11095</v>
      </c>
      <c r="BQ573" s="32">
        <v>13</v>
      </c>
      <c r="BR573" s="25" t="s">
        <v>166</v>
      </c>
      <c r="BS573" s="32" t="s">
        <v>166</v>
      </c>
      <c r="BT573" s="25" t="s">
        <v>11096</v>
      </c>
      <c r="BU573" s="25" t="s">
        <v>166</v>
      </c>
      <c r="BV573" s="25" t="s">
        <v>11097</v>
      </c>
      <c r="BW573" s="25" t="s">
        <v>166</v>
      </c>
      <c r="BX573" s="25" t="s">
        <v>166</v>
      </c>
      <c r="BY573" s="25" t="s">
        <v>166</v>
      </c>
      <c r="BZ573" s="25" t="s">
        <v>11098</v>
      </c>
      <c r="CA573" s="25" t="s">
        <v>872</v>
      </c>
      <c r="CB573" s="25" t="s">
        <v>166</v>
      </c>
      <c r="CC573" s="25" t="s">
        <v>11099</v>
      </c>
      <c r="CD573" s="25" t="s">
        <v>166</v>
      </c>
      <c r="CE573" s="29" t="s">
        <v>166</v>
      </c>
      <c r="CF573" s="27" t="s">
        <v>166</v>
      </c>
      <c r="CG573" s="28" t="s">
        <v>166</v>
      </c>
      <c r="CH573" s="27" t="s">
        <v>166</v>
      </c>
      <c r="CI573" s="27" t="s">
        <v>166</v>
      </c>
      <c r="CJ573" s="27" t="s">
        <v>166</v>
      </c>
      <c r="CK573" s="27" t="s">
        <v>166</v>
      </c>
      <c r="CL573" s="27" t="s">
        <v>166</v>
      </c>
      <c r="CM573" s="31" t="s">
        <v>166</v>
      </c>
      <c r="CN573" s="27" t="s">
        <v>166</v>
      </c>
      <c r="CO573" s="27" t="s">
        <v>166</v>
      </c>
      <c r="CP573" s="27" t="s">
        <v>166</v>
      </c>
      <c r="CQ573" s="27" t="s">
        <v>166</v>
      </c>
      <c r="CR573" s="27" t="s">
        <v>166</v>
      </c>
      <c r="CS573" s="27" t="s">
        <v>166</v>
      </c>
      <c r="CT573" s="27" t="s">
        <v>166</v>
      </c>
      <c r="CU573" s="27" t="s">
        <v>166</v>
      </c>
      <c r="CV573" s="27" t="s">
        <v>166</v>
      </c>
      <c r="CW573" s="27" t="s">
        <v>166</v>
      </c>
      <c r="CX573" s="27" t="s">
        <v>166</v>
      </c>
      <c r="CY573" s="27" t="s">
        <v>166</v>
      </c>
      <c r="CZ573" s="27" t="s">
        <v>166</v>
      </c>
      <c r="DA573" s="27" t="s">
        <v>166</v>
      </c>
      <c r="DB573" s="27" t="s">
        <v>166</v>
      </c>
      <c r="DC573" s="27" t="s">
        <v>166</v>
      </c>
      <c r="DD573" s="27" t="s">
        <v>166</v>
      </c>
      <c r="DE573" s="28" t="s">
        <v>166</v>
      </c>
      <c r="DF573" s="33">
        <v>93</v>
      </c>
      <c r="DG573" s="25" t="s">
        <v>673</v>
      </c>
      <c r="DH573" s="25" t="s">
        <v>193</v>
      </c>
      <c r="DI573" s="25" t="s">
        <v>194</v>
      </c>
      <c r="DJ573" s="25" t="s">
        <v>674</v>
      </c>
      <c r="DK573" s="25" t="s">
        <v>257</v>
      </c>
      <c r="DL573" s="32" t="s">
        <v>851</v>
      </c>
      <c r="DM573" s="25" t="s">
        <v>198</v>
      </c>
      <c r="DN573" s="24" t="s">
        <v>11100</v>
      </c>
      <c r="DO573" s="31">
        <v>2018</v>
      </c>
      <c r="DP573" s="25" t="s">
        <v>166</v>
      </c>
      <c r="DQ573" s="25" t="s">
        <v>166</v>
      </c>
      <c r="DR573" s="29" t="s">
        <v>166</v>
      </c>
      <c r="DS573" s="27" t="s">
        <v>166</v>
      </c>
      <c r="DT573" s="30" t="s">
        <v>166</v>
      </c>
      <c r="DU573" s="25" t="s">
        <v>166</v>
      </c>
      <c r="DV573" s="29" t="s">
        <v>166</v>
      </c>
      <c r="DW573" s="29" t="s">
        <v>166</v>
      </c>
      <c r="DX573" s="27" t="s">
        <v>166</v>
      </c>
      <c r="DY573" s="27" t="s">
        <v>166</v>
      </c>
      <c r="DZ573" s="28" t="s">
        <v>166</v>
      </c>
      <c r="EA573" s="27" t="s">
        <v>166</v>
      </c>
      <c r="EB573" s="27" t="s">
        <v>166</v>
      </c>
      <c r="EC573" s="27" t="s">
        <v>166</v>
      </c>
      <c r="ED573" s="28" t="s">
        <v>166</v>
      </c>
      <c r="EE573" s="28" t="s">
        <v>166</v>
      </c>
      <c r="EF573" s="28" t="s">
        <v>166</v>
      </c>
      <c r="EG573" s="28" t="s">
        <v>166</v>
      </c>
      <c r="EH573" s="27" t="s">
        <v>166</v>
      </c>
      <c r="EI573" s="27" t="s">
        <v>166</v>
      </c>
      <c r="EJ573" s="27" t="s">
        <v>166</v>
      </c>
      <c r="EK573" s="27" t="s">
        <v>166</v>
      </c>
      <c r="EL573" s="27" t="s">
        <v>166</v>
      </c>
      <c r="EM573" s="27" t="s">
        <v>166</v>
      </c>
      <c r="EN573" s="27" t="s">
        <v>166</v>
      </c>
      <c r="EO573" s="27" t="s">
        <v>166</v>
      </c>
      <c r="EP573" s="27" t="s">
        <v>166</v>
      </c>
      <c r="EQ573" s="27" t="s">
        <v>166</v>
      </c>
      <c r="ER573" s="27" t="s">
        <v>166</v>
      </c>
      <c r="ES573" s="27" t="s">
        <v>166</v>
      </c>
      <c r="ET573" s="25" t="s">
        <v>166</v>
      </c>
      <c r="EU573" s="27" t="s">
        <v>166</v>
      </c>
      <c r="EV573" s="27" t="s">
        <v>166</v>
      </c>
      <c r="EW573" s="27" t="s">
        <v>166</v>
      </c>
      <c r="EX573" s="25" t="s">
        <v>190</v>
      </c>
      <c r="EY573" s="25" t="s">
        <v>166</v>
      </c>
      <c r="EZ573" s="27" t="s">
        <v>166</v>
      </c>
      <c r="FA573" s="26" t="s">
        <v>166</v>
      </c>
      <c r="FB573" s="26" t="s">
        <v>166</v>
      </c>
      <c r="FC573" s="26" t="s">
        <v>166</v>
      </c>
      <c r="FD573" s="26" t="s">
        <v>166</v>
      </c>
      <c r="FE573" s="26" t="s">
        <v>166</v>
      </c>
      <c r="FF573" s="26" t="s">
        <v>166</v>
      </c>
      <c r="FG573" s="25" t="s">
        <v>166</v>
      </c>
      <c r="FH573" s="4">
        <f>HYPERLINK("https://my.pitchbook.com?c=114785-11T","View Company Online")</f>
      </c>
    </row>
    <row r="574">
      <c r="A574" s="14" t="s">
        <v>11101</v>
      </c>
      <c r="B574" s="14" t="s">
        <v>11102</v>
      </c>
      <c r="C574" s="14" t="s">
        <v>11103</v>
      </c>
      <c r="D574" s="14" t="s">
        <v>166</v>
      </c>
      <c r="E574" s="23" t="s">
        <v>11104</v>
      </c>
      <c r="F574" s="21">
        <v>2</v>
      </c>
      <c r="G574" s="14" t="s">
        <v>11105</v>
      </c>
      <c r="H574" s="14" t="s">
        <v>166</v>
      </c>
      <c r="I574" s="14" t="s">
        <v>11106</v>
      </c>
      <c r="J574" s="14" t="s">
        <v>11107</v>
      </c>
      <c r="K574" s="14" t="s">
        <v>207</v>
      </c>
      <c r="L574" s="14" t="s">
        <v>208</v>
      </c>
      <c r="M574" s="14" t="s">
        <v>1940</v>
      </c>
      <c r="N574" s="14" t="s">
        <v>11108</v>
      </c>
      <c r="O574" s="14" t="s">
        <v>5519</v>
      </c>
      <c r="P574" s="14" t="s">
        <v>11109</v>
      </c>
      <c r="Q574" s="14" t="s">
        <v>166</v>
      </c>
      <c r="R574" s="14" t="s">
        <v>177</v>
      </c>
      <c r="S574" s="14" t="s">
        <v>178</v>
      </c>
      <c r="T574" s="14" t="s">
        <v>179</v>
      </c>
      <c r="U574" s="14" t="s">
        <v>11110</v>
      </c>
      <c r="V574" s="14" t="s">
        <v>11111</v>
      </c>
      <c r="W574" s="21" t="s">
        <v>166</v>
      </c>
      <c r="X574" s="14" t="s">
        <v>166</v>
      </c>
      <c r="Y574" s="14" t="s">
        <v>11112</v>
      </c>
      <c r="Z574" s="14" t="s">
        <v>166</v>
      </c>
      <c r="AA574" s="14" t="s">
        <v>242</v>
      </c>
      <c r="AB574" s="14" t="s">
        <v>243</v>
      </c>
      <c r="AC574" s="14" t="s">
        <v>244</v>
      </c>
      <c r="AD574" s="14" t="s">
        <v>243</v>
      </c>
      <c r="AE574" s="14" t="s">
        <v>243</v>
      </c>
      <c r="AF574" s="14" t="s">
        <v>166</v>
      </c>
      <c r="AG574" s="14" t="s">
        <v>807</v>
      </c>
      <c r="AH574" s="21">
        <v>1</v>
      </c>
      <c r="AI574" s="3">
        <f>HYPERLINK("https://my.pitchbook.com/?d=205888-24T","205888-24T")</f>
      </c>
      <c r="AJ574" s="19" t="s">
        <v>166</v>
      </c>
      <c r="AK574" s="19">
        <v>44845</v>
      </c>
      <c r="AL574" s="18">
        <v>5</v>
      </c>
      <c r="AM574" s="14" t="s">
        <v>185</v>
      </c>
      <c r="AN574" s="18">
        <v>12.5</v>
      </c>
      <c r="AO574" s="18">
        <v>17.5</v>
      </c>
      <c r="AP574" s="14" t="s">
        <v>185</v>
      </c>
      <c r="AQ574" s="21" t="s">
        <v>166</v>
      </c>
      <c r="AR574" s="21" t="s">
        <v>166</v>
      </c>
      <c r="AS574" s="17">
        <v>28.57</v>
      </c>
      <c r="AT574" s="18">
        <v>5</v>
      </c>
      <c r="AU574" s="21" t="s">
        <v>186</v>
      </c>
      <c r="AV574" s="21" t="s">
        <v>166</v>
      </c>
      <c r="AW574" s="18">
        <v>2.11</v>
      </c>
      <c r="AX574" s="21" t="s">
        <v>166</v>
      </c>
      <c r="AY574" s="14" t="s">
        <v>217</v>
      </c>
      <c r="AZ574" s="14" t="s">
        <v>217</v>
      </c>
      <c r="BA574" s="14" t="s">
        <v>166</v>
      </c>
      <c r="BB574" s="21" t="s">
        <v>166</v>
      </c>
      <c r="BC574" s="14" t="s">
        <v>179</v>
      </c>
      <c r="BD574" s="14" t="s">
        <v>11113</v>
      </c>
      <c r="BE574" s="14" t="s">
        <v>189</v>
      </c>
      <c r="BF574" s="18">
        <v>5</v>
      </c>
      <c r="BG574" s="14" t="s">
        <v>190</v>
      </c>
      <c r="BH574" s="14" t="s">
        <v>166</v>
      </c>
      <c r="BI574" s="14" t="s">
        <v>166</v>
      </c>
      <c r="BJ574" s="18" t="s">
        <v>166</v>
      </c>
      <c r="BK574" s="18" t="s">
        <v>166</v>
      </c>
      <c r="BL574" s="14" t="s">
        <v>191</v>
      </c>
      <c r="BM574" s="14" t="s">
        <v>358</v>
      </c>
      <c r="BN574" s="14" t="s">
        <v>177</v>
      </c>
      <c r="BO574" s="22" t="s">
        <v>166</v>
      </c>
      <c r="BP574" s="14" t="s">
        <v>11114</v>
      </c>
      <c r="BQ574" s="21">
        <v>2</v>
      </c>
      <c r="BR574" s="14" t="s">
        <v>166</v>
      </c>
      <c r="BS574" s="21" t="s">
        <v>166</v>
      </c>
      <c r="BT574" s="14" t="s">
        <v>11115</v>
      </c>
      <c r="BU574" s="14" t="s">
        <v>166</v>
      </c>
      <c r="BV574" s="14" t="s">
        <v>166</v>
      </c>
      <c r="BW574" s="14" t="s">
        <v>166</v>
      </c>
      <c r="BX574" s="14" t="s">
        <v>166</v>
      </c>
      <c r="BY574" s="14" t="s">
        <v>166</v>
      </c>
      <c r="BZ574" s="14" t="s">
        <v>11116</v>
      </c>
      <c r="CA574" s="14" t="s">
        <v>872</v>
      </c>
      <c r="CB574" s="14" t="s">
        <v>166</v>
      </c>
      <c r="CC574" s="14" t="s">
        <v>11117</v>
      </c>
      <c r="CD574" s="14" t="s">
        <v>166</v>
      </c>
      <c r="CE574" s="18" t="s">
        <v>166</v>
      </c>
      <c r="CF574" s="16" t="s">
        <v>166</v>
      </c>
      <c r="CG574" s="17" t="s">
        <v>166</v>
      </c>
      <c r="CH574" s="16" t="s">
        <v>166</v>
      </c>
      <c r="CI574" s="16" t="s">
        <v>166</v>
      </c>
      <c r="CJ574" s="16" t="s">
        <v>166</v>
      </c>
      <c r="CK574" s="16" t="s">
        <v>166</v>
      </c>
      <c r="CL574" s="16" t="s">
        <v>166</v>
      </c>
      <c r="CM574" s="20" t="s">
        <v>166</v>
      </c>
      <c r="CN574" s="16" t="s">
        <v>166</v>
      </c>
      <c r="CO574" s="16" t="s">
        <v>166</v>
      </c>
      <c r="CP574" s="16" t="s">
        <v>166</v>
      </c>
      <c r="CQ574" s="16" t="s">
        <v>166</v>
      </c>
      <c r="CR574" s="16" t="s">
        <v>166</v>
      </c>
      <c r="CS574" s="16" t="s">
        <v>166</v>
      </c>
      <c r="CT574" s="16" t="s">
        <v>166</v>
      </c>
      <c r="CU574" s="16" t="s">
        <v>166</v>
      </c>
      <c r="CV574" s="16" t="s">
        <v>166</v>
      </c>
      <c r="CW574" s="16" t="s">
        <v>166</v>
      </c>
      <c r="CX574" s="16" t="s">
        <v>166</v>
      </c>
      <c r="CY574" s="16" t="s">
        <v>166</v>
      </c>
      <c r="CZ574" s="16" t="s">
        <v>166</v>
      </c>
      <c r="DA574" s="16" t="s">
        <v>166</v>
      </c>
      <c r="DB574" s="16" t="s">
        <v>166</v>
      </c>
      <c r="DC574" s="16" t="s">
        <v>166</v>
      </c>
      <c r="DD574" s="16" t="s">
        <v>166</v>
      </c>
      <c r="DE574" s="17" t="s">
        <v>166</v>
      </c>
      <c r="DF574" s="22">
        <v>29</v>
      </c>
      <c r="DG574" s="14" t="s">
        <v>518</v>
      </c>
      <c r="DH574" s="14" t="s">
        <v>193</v>
      </c>
      <c r="DI574" s="14" t="s">
        <v>194</v>
      </c>
      <c r="DJ574" s="14" t="s">
        <v>519</v>
      </c>
      <c r="DK574" s="14" t="s">
        <v>257</v>
      </c>
      <c r="DL574" s="21" t="s">
        <v>520</v>
      </c>
      <c r="DM574" s="14" t="s">
        <v>198</v>
      </c>
      <c r="DN574" s="13" t="s">
        <v>11118</v>
      </c>
      <c r="DO574" s="20">
        <v>2021</v>
      </c>
      <c r="DP574" s="14" t="s">
        <v>166</v>
      </c>
      <c r="DQ574" s="14" t="s">
        <v>166</v>
      </c>
      <c r="DR574" s="18" t="s">
        <v>166</v>
      </c>
      <c r="DS574" s="16" t="s">
        <v>166</v>
      </c>
      <c r="DT574" s="19" t="s">
        <v>166</v>
      </c>
      <c r="DU574" s="14" t="s">
        <v>166</v>
      </c>
      <c r="DV574" s="18" t="s">
        <v>166</v>
      </c>
      <c r="DW574" s="18" t="s">
        <v>166</v>
      </c>
      <c r="DX574" s="16" t="s">
        <v>166</v>
      </c>
      <c r="DY574" s="16" t="s">
        <v>166</v>
      </c>
      <c r="DZ574" s="17" t="s">
        <v>166</v>
      </c>
      <c r="EA574" s="16" t="s">
        <v>166</v>
      </c>
      <c r="EB574" s="16" t="s">
        <v>166</v>
      </c>
      <c r="EC574" s="16" t="s">
        <v>166</v>
      </c>
      <c r="ED574" s="17" t="s">
        <v>166</v>
      </c>
      <c r="EE574" s="17" t="s">
        <v>166</v>
      </c>
      <c r="EF574" s="17" t="s">
        <v>166</v>
      </c>
      <c r="EG574" s="17" t="s">
        <v>166</v>
      </c>
      <c r="EH574" s="16" t="s">
        <v>166</v>
      </c>
      <c r="EI574" s="16" t="s">
        <v>166</v>
      </c>
      <c r="EJ574" s="16" t="s">
        <v>166</v>
      </c>
      <c r="EK574" s="16" t="s">
        <v>166</v>
      </c>
      <c r="EL574" s="16" t="s">
        <v>166</v>
      </c>
      <c r="EM574" s="16" t="s">
        <v>166</v>
      </c>
      <c r="EN574" s="16" t="s">
        <v>166</v>
      </c>
      <c r="EO574" s="16" t="s">
        <v>166</v>
      </c>
      <c r="EP574" s="16" t="s">
        <v>166</v>
      </c>
      <c r="EQ574" s="16" t="s">
        <v>166</v>
      </c>
      <c r="ER574" s="16" t="s">
        <v>166</v>
      </c>
      <c r="ES574" s="16" t="s">
        <v>166</v>
      </c>
      <c r="ET574" s="14" t="s">
        <v>166</v>
      </c>
      <c r="EU574" s="16" t="s">
        <v>166</v>
      </c>
      <c r="EV574" s="16" t="s">
        <v>166</v>
      </c>
      <c r="EW574" s="16" t="s">
        <v>166</v>
      </c>
      <c r="EX574" s="14" t="s">
        <v>190</v>
      </c>
      <c r="EY574" s="14" t="s">
        <v>166</v>
      </c>
      <c r="EZ574" s="16" t="s">
        <v>166</v>
      </c>
      <c r="FA574" s="15" t="s">
        <v>166</v>
      </c>
      <c r="FB574" s="15" t="s">
        <v>166</v>
      </c>
      <c r="FC574" s="15" t="s">
        <v>166</v>
      </c>
      <c r="FD574" s="15" t="s">
        <v>166</v>
      </c>
      <c r="FE574" s="15" t="s">
        <v>166</v>
      </c>
      <c r="FF574" s="15" t="s">
        <v>166</v>
      </c>
      <c r="FG574" s="14" t="s">
        <v>166</v>
      </c>
      <c r="FH574" s="3">
        <f>HYPERLINK("https://my.pitchbook.com?c=205888-24T","View Company Online")</f>
      </c>
    </row>
    <row r="575">
      <c r="A575" s="25" t="s">
        <v>11119</v>
      </c>
      <c r="B575" s="25" t="s">
        <v>11120</v>
      </c>
      <c r="C575" s="25" t="s">
        <v>11121</v>
      </c>
      <c r="D575" s="25" t="s">
        <v>166</v>
      </c>
      <c r="E575" s="34" t="s">
        <v>11122</v>
      </c>
      <c r="F575" s="32">
        <v>3</v>
      </c>
      <c r="G575" s="25" t="s">
        <v>11123</v>
      </c>
      <c r="H575" s="25" t="s">
        <v>166</v>
      </c>
      <c r="I575" s="25" t="s">
        <v>11124</v>
      </c>
      <c r="J575" s="25" t="s">
        <v>11125</v>
      </c>
      <c r="K575" s="25" t="s">
        <v>207</v>
      </c>
      <c r="L575" s="25" t="s">
        <v>208</v>
      </c>
      <c r="M575" s="25" t="s">
        <v>296</v>
      </c>
      <c r="N575" s="25" t="s">
        <v>1052</v>
      </c>
      <c r="O575" s="25" t="s">
        <v>325</v>
      </c>
      <c r="P575" s="25" t="s">
        <v>11126</v>
      </c>
      <c r="Q575" s="25" t="s">
        <v>166</v>
      </c>
      <c r="R575" s="25" t="s">
        <v>177</v>
      </c>
      <c r="S575" s="25" t="s">
        <v>178</v>
      </c>
      <c r="T575" s="25" t="s">
        <v>179</v>
      </c>
      <c r="U575" s="25" t="s">
        <v>11127</v>
      </c>
      <c r="V575" s="25" t="s">
        <v>11128</v>
      </c>
      <c r="W575" s="32" t="s">
        <v>11129</v>
      </c>
      <c r="X575" s="25" t="s">
        <v>11130</v>
      </c>
      <c r="Y575" s="25" t="s">
        <v>11131</v>
      </c>
      <c r="Z575" s="25" t="s">
        <v>11132</v>
      </c>
      <c r="AA575" s="25" t="s">
        <v>166</v>
      </c>
      <c r="AB575" s="25" t="s">
        <v>166</v>
      </c>
      <c r="AC575" s="25" t="s">
        <v>166</v>
      </c>
      <c r="AD575" s="25" t="s">
        <v>166</v>
      </c>
      <c r="AE575" s="25" t="s">
        <v>166</v>
      </c>
      <c r="AF575" s="25" t="s">
        <v>166</v>
      </c>
      <c r="AG575" s="25" t="s">
        <v>166</v>
      </c>
      <c r="AH575" s="32">
        <v>1</v>
      </c>
      <c r="AI575" s="4">
        <f>HYPERLINK("https://my.pitchbook.com/?d=208203-13T","208203-13T")</f>
      </c>
      <c r="AJ575" s="30">
        <v>44743</v>
      </c>
      <c r="AK575" s="30">
        <v>44873</v>
      </c>
      <c r="AL575" s="29">
        <v>1.25</v>
      </c>
      <c r="AM575" s="25" t="s">
        <v>185</v>
      </c>
      <c r="AN575" s="29" t="s">
        <v>166</v>
      </c>
      <c r="AO575" s="29" t="s">
        <v>166</v>
      </c>
      <c r="AP575" s="25" t="s">
        <v>166</v>
      </c>
      <c r="AQ575" s="32" t="s">
        <v>166</v>
      </c>
      <c r="AR575" s="32" t="s">
        <v>166</v>
      </c>
      <c r="AS575" s="28" t="s">
        <v>166</v>
      </c>
      <c r="AT575" s="29">
        <v>1.25</v>
      </c>
      <c r="AU575" s="32" t="s">
        <v>186</v>
      </c>
      <c r="AV575" s="32" t="s">
        <v>166</v>
      </c>
      <c r="AW575" s="29" t="s">
        <v>166</v>
      </c>
      <c r="AX575" s="32" t="s">
        <v>166</v>
      </c>
      <c r="AY575" s="25" t="s">
        <v>187</v>
      </c>
      <c r="AZ575" s="25" t="s">
        <v>166</v>
      </c>
      <c r="BA575" s="25" t="s">
        <v>166</v>
      </c>
      <c r="BB575" s="32" t="s">
        <v>166</v>
      </c>
      <c r="BC575" s="25" t="s">
        <v>179</v>
      </c>
      <c r="BD575" s="25" t="s">
        <v>11125</v>
      </c>
      <c r="BE575" s="25" t="s">
        <v>189</v>
      </c>
      <c r="BF575" s="29">
        <v>1.25</v>
      </c>
      <c r="BG575" s="25" t="s">
        <v>190</v>
      </c>
      <c r="BH575" s="25" t="s">
        <v>166</v>
      </c>
      <c r="BI575" s="25" t="s">
        <v>166</v>
      </c>
      <c r="BJ575" s="29" t="s">
        <v>166</v>
      </c>
      <c r="BK575" s="29" t="s">
        <v>166</v>
      </c>
      <c r="BL575" s="25" t="s">
        <v>191</v>
      </c>
      <c r="BM575" s="25" t="s">
        <v>178</v>
      </c>
      <c r="BN575" s="25" t="s">
        <v>177</v>
      </c>
      <c r="BO575" s="33" t="s">
        <v>166</v>
      </c>
      <c r="BP575" s="25" t="s">
        <v>11133</v>
      </c>
      <c r="BQ575" s="32">
        <v>3</v>
      </c>
      <c r="BR575" s="25" t="s">
        <v>166</v>
      </c>
      <c r="BS575" s="32" t="s">
        <v>166</v>
      </c>
      <c r="BT575" s="25" t="s">
        <v>166</v>
      </c>
      <c r="BU575" s="25" t="s">
        <v>166</v>
      </c>
      <c r="BV575" s="25" t="s">
        <v>166</v>
      </c>
      <c r="BW575" s="25" t="s">
        <v>166</v>
      </c>
      <c r="BX575" s="25" t="s">
        <v>166</v>
      </c>
      <c r="BY575" s="25" t="s">
        <v>166</v>
      </c>
      <c r="BZ575" s="25" t="s">
        <v>166</v>
      </c>
      <c r="CA575" s="25" t="s">
        <v>166</v>
      </c>
      <c r="CB575" s="25" t="s">
        <v>166</v>
      </c>
      <c r="CC575" s="25" t="s">
        <v>166</v>
      </c>
      <c r="CD575" s="25" t="s">
        <v>166</v>
      </c>
      <c r="CE575" s="29" t="s">
        <v>166</v>
      </c>
      <c r="CF575" s="27" t="s">
        <v>166</v>
      </c>
      <c r="CG575" s="28" t="s">
        <v>166</v>
      </c>
      <c r="CH575" s="27" t="s">
        <v>166</v>
      </c>
      <c r="CI575" s="27" t="s">
        <v>166</v>
      </c>
      <c r="CJ575" s="27" t="s">
        <v>166</v>
      </c>
      <c r="CK575" s="27" t="s">
        <v>166</v>
      </c>
      <c r="CL575" s="27" t="s">
        <v>166</v>
      </c>
      <c r="CM575" s="31" t="s">
        <v>166</v>
      </c>
      <c r="CN575" s="27" t="s">
        <v>166</v>
      </c>
      <c r="CO575" s="27" t="s">
        <v>166</v>
      </c>
      <c r="CP575" s="27" t="s">
        <v>166</v>
      </c>
      <c r="CQ575" s="27" t="s">
        <v>166</v>
      </c>
      <c r="CR575" s="27" t="s">
        <v>166</v>
      </c>
      <c r="CS575" s="27" t="s">
        <v>166</v>
      </c>
      <c r="CT575" s="27" t="s">
        <v>166</v>
      </c>
      <c r="CU575" s="27" t="s">
        <v>166</v>
      </c>
      <c r="CV575" s="27" t="s">
        <v>166</v>
      </c>
      <c r="CW575" s="27" t="s">
        <v>166</v>
      </c>
      <c r="CX575" s="27" t="s">
        <v>166</v>
      </c>
      <c r="CY575" s="27" t="s">
        <v>166</v>
      </c>
      <c r="CZ575" s="27" t="s">
        <v>166</v>
      </c>
      <c r="DA575" s="27" t="s">
        <v>166</v>
      </c>
      <c r="DB575" s="27" t="s">
        <v>166</v>
      </c>
      <c r="DC575" s="27" t="s">
        <v>166</v>
      </c>
      <c r="DD575" s="27" t="s">
        <v>166</v>
      </c>
      <c r="DE575" s="28" t="s">
        <v>166</v>
      </c>
      <c r="DF575" s="33">
        <v>10</v>
      </c>
      <c r="DG575" s="25" t="s">
        <v>673</v>
      </c>
      <c r="DH575" s="25" t="s">
        <v>193</v>
      </c>
      <c r="DI575" s="25" t="s">
        <v>194</v>
      </c>
      <c r="DJ575" s="25" t="s">
        <v>674</v>
      </c>
      <c r="DK575" s="25" t="s">
        <v>257</v>
      </c>
      <c r="DL575" s="32" t="s">
        <v>166</v>
      </c>
      <c r="DM575" s="25" t="s">
        <v>198</v>
      </c>
      <c r="DN575" s="24" t="s">
        <v>11134</v>
      </c>
      <c r="DO575" s="31">
        <v>2022</v>
      </c>
      <c r="DP575" s="25" t="s">
        <v>166</v>
      </c>
      <c r="DQ575" s="25" t="s">
        <v>166</v>
      </c>
      <c r="DR575" s="29" t="s">
        <v>166</v>
      </c>
      <c r="DS575" s="27" t="s">
        <v>166</v>
      </c>
      <c r="DT575" s="30" t="s">
        <v>166</v>
      </c>
      <c r="DU575" s="25" t="s">
        <v>166</v>
      </c>
      <c r="DV575" s="29" t="s">
        <v>166</v>
      </c>
      <c r="DW575" s="29" t="s">
        <v>166</v>
      </c>
      <c r="DX575" s="27" t="s">
        <v>166</v>
      </c>
      <c r="DY575" s="27" t="s">
        <v>166</v>
      </c>
      <c r="DZ575" s="28" t="s">
        <v>166</v>
      </c>
      <c r="EA575" s="27" t="s">
        <v>166</v>
      </c>
      <c r="EB575" s="27" t="s">
        <v>166</v>
      </c>
      <c r="EC575" s="27" t="s">
        <v>166</v>
      </c>
      <c r="ED575" s="28" t="s">
        <v>166</v>
      </c>
      <c r="EE575" s="28" t="s">
        <v>166</v>
      </c>
      <c r="EF575" s="28" t="s">
        <v>166</v>
      </c>
      <c r="EG575" s="28" t="s">
        <v>166</v>
      </c>
      <c r="EH575" s="27" t="s">
        <v>166</v>
      </c>
      <c r="EI575" s="27" t="s">
        <v>166</v>
      </c>
      <c r="EJ575" s="27" t="s">
        <v>166</v>
      </c>
      <c r="EK575" s="27" t="s">
        <v>166</v>
      </c>
      <c r="EL575" s="27" t="s">
        <v>166</v>
      </c>
      <c r="EM575" s="27" t="s">
        <v>166</v>
      </c>
      <c r="EN575" s="27" t="s">
        <v>166</v>
      </c>
      <c r="EO575" s="27" t="s">
        <v>166</v>
      </c>
      <c r="EP575" s="27" t="s">
        <v>166</v>
      </c>
      <c r="EQ575" s="27" t="s">
        <v>166</v>
      </c>
      <c r="ER575" s="27" t="s">
        <v>166</v>
      </c>
      <c r="ES575" s="27" t="s">
        <v>166</v>
      </c>
      <c r="ET575" s="25" t="s">
        <v>166</v>
      </c>
      <c r="EU575" s="27" t="s">
        <v>166</v>
      </c>
      <c r="EV575" s="27" t="s">
        <v>166</v>
      </c>
      <c r="EW575" s="27" t="s">
        <v>166</v>
      </c>
      <c r="EX575" s="25" t="s">
        <v>190</v>
      </c>
      <c r="EY575" s="25" t="s">
        <v>166</v>
      </c>
      <c r="EZ575" s="27" t="s">
        <v>166</v>
      </c>
      <c r="FA575" s="26" t="s">
        <v>166</v>
      </c>
      <c r="FB575" s="26" t="s">
        <v>166</v>
      </c>
      <c r="FC575" s="26" t="s">
        <v>166</v>
      </c>
      <c r="FD575" s="26" t="s">
        <v>166</v>
      </c>
      <c r="FE575" s="26" t="s">
        <v>166</v>
      </c>
      <c r="FF575" s="26" t="s">
        <v>166</v>
      </c>
      <c r="FG575" s="25" t="s">
        <v>166</v>
      </c>
      <c r="FH575" s="4">
        <f>HYPERLINK("https://my.pitchbook.com?c=208203-13T","View Company Online")</f>
      </c>
    </row>
    <row r="576">
      <c r="A576" s="14" t="s">
        <v>11135</v>
      </c>
      <c r="B576" s="14" t="s">
        <v>11136</v>
      </c>
      <c r="C576" s="14" t="s">
        <v>11137</v>
      </c>
      <c r="D576" s="14" t="s">
        <v>166</v>
      </c>
      <c r="E576" s="23" t="s">
        <v>11138</v>
      </c>
      <c r="F576" s="21">
        <v>2</v>
      </c>
      <c r="G576" s="14" t="s">
        <v>11139</v>
      </c>
      <c r="H576" s="14" t="s">
        <v>166</v>
      </c>
      <c r="I576" s="14" t="s">
        <v>11140</v>
      </c>
      <c r="J576" s="14" t="s">
        <v>11141</v>
      </c>
      <c r="K576" s="14" t="s">
        <v>2151</v>
      </c>
      <c r="L576" s="14" t="s">
        <v>11142</v>
      </c>
      <c r="M576" s="14" t="s">
        <v>11143</v>
      </c>
      <c r="N576" s="14" t="s">
        <v>11144</v>
      </c>
      <c r="O576" s="14" t="s">
        <v>11145</v>
      </c>
      <c r="P576" s="14" t="s">
        <v>11146</v>
      </c>
      <c r="Q576" s="14" t="s">
        <v>166</v>
      </c>
      <c r="R576" s="14" t="s">
        <v>177</v>
      </c>
      <c r="S576" s="14" t="s">
        <v>358</v>
      </c>
      <c r="T576" s="14" t="s">
        <v>179</v>
      </c>
      <c r="U576" s="14" t="s">
        <v>11147</v>
      </c>
      <c r="V576" s="14" t="s">
        <v>11148</v>
      </c>
      <c r="W576" s="21" t="s">
        <v>166</v>
      </c>
      <c r="X576" s="14" t="s">
        <v>11149</v>
      </c>
      <c r="Y576" s="14" t="s">
        <v>11150</v>
      </c>
      <c r="Z576" s="14" t="s">
        <v>166</v>
      </c>
      <c r="AA576" s="14" t="s">
        <v>166</v>
      </c>
      <c r="AB576" s="14" t="s">
        <v>166</v>
      </c>
      <c r="AC576" s="14" t="s">
        <v>166</v>
      </c>
      <c r="AD576" s="14" t="s">
        <v>166</v>
      </c>
      <c r="AE576" s="14" t="s">
        <v>166</v>
      </c>
      <c r="AF576" s="14" t="s">
        <v>166</v>
      </c>
      <c r="AG576" s="14" t="s">
        <v>166</v>
      </c>
      <c r="AH576" s="21">
        <v>1</v>
      </c>
      <c r="AI576" s="3">
        <f>HYPERLINK("https://my.pitchbook.com/?d=275986-90T","275986-90T")</f>
      </c>
      <c r="AJ576" s="19" t="s">
        <v>166</v>
      </c>
      <c r="AK576" s="19">
        <v>45463</v>
      </c>
      <c r="AL576" s="18">
        <v>1.5</v>
      </c>
      <c r="AM576" s="14" t="s">
        <v>185</v>
      </c>
      <c r="AN576" s="18" t="s">
        <v>166</v>
      </c>
      <c r="AO576" s="18" t="s">
        <v>166</v>
      </c>
      <c r="AP576" s="14" t="s">
        <v>166</v>
      </c>
      <c r="AQ576" s="21" t="s">
        <v>166</v>
      </c>
      <c r="AR576" s="21" t="s">
        <v>166</v>
      </c>
      <c r="AS576" s="17" t="s">
        <v>166</v>
      </c>
      <c r="AT576" s="18">
        <v>1.5</v>
      </c>
      <c r="AU576" s="21" t="s">
        <v>186</v>
      </c>
      <c r="AV576" s="21" t="s">
        <v>166</v>
      </c>
      <c r="AW576" s="18" t="s">
        <v>166</v>
      </c>
      <c r="AX576" s="21" t="s">
        <v>166</v>
      </c>
      <c r="AY576" s="14" t="s">
        <v>217</v>
      </c>
      <c r="AZ576" s="14" t="s">
        <v>217</v>
      </c>
      <c r="BA576" s="14" t="s">
        <v>166</v>
      </c>
      <c r="BB576" s="21" t="s">
        <v>166</v>
      </c>
      <c r="BC576" s="14" t="s">
        <v>179</v>
      </c>
      <c r="BD576" s="14" t="s">
        <v>11141</v>
      </c>
      <c r="BE576" s="14" t="s">
        <v>189</v>
      </c>
      <c r="BF576" s="18">
        <v>1.5</v>
      </c>
      <c r="BG576" s="14" t="s">
        <v>190</v>
      </c>
      <c r="BH576" s="14" t="s">
        <v>166</v>
      </c>
      <c r="BI576" s="14" t="s">
        <v>166</v>
      </c>
      <c r="BJ576" s="18" t="s">
        <v>166</v>
      </c>
      <c r="BK576" s="18" t="s">
        <v>166</v>
      </c>
      <c r="BL576" s="14" t="s">
        <v>191</v>
      </c>
      <c r="BM576" s="14" t="s">
        <v>358</v>
      </c>
      <c r="BN576" s="14" t="s">
        <v>177</v>
      </c>
      <c r="BO576" s="22" t="s">
        <v>166</v>
      </c>
      <c r="BP576" s="14" t="s">
        <v>11138</v>
      </c>
      <c r="BQ576" s="21">
        <v>2</v>
      </c>
      <c r="BR576" s="14" t="s">
        <v>166</v>
      </c>
      <c r="BS576" s="21" t="s">
        <v>166</v>
      </c>
      <c r="BT576" s="14" t="s">
        <v>11138</v>
      </c>
      <c r="BU576" s="14" t="s">
        <v>166</v>
      </c>
      <c r="BV576" s="14" t="s">
        <v>166</v>
      </c>
      <c r="BW576" s="14" t="s">
        <v>166</v>
      </c>
      <c r="BX576" s="14" t="s">
        <v>166</v>
      </c>
      <c r="BY576" s="14" t="s">
        <v>166</v>
      </c>
      <c r="BZ576" s="14" t="s">
        <v>1615</v>
      </c>
      <c r="CA576" s="14" t="s">
        <v>1615</v>
      </c>
      <c r="CB576" s="14" t="s">
        <v>166</v>
      </c>
      <c r="CC576" s="14" t="s">
        <v>166</v>
      </c>
      <c r="CD576" s="14" t="s">
        <v>166</v>
      </c>
      <c r="CE576" s="18" t="s">
        <v>166</v>
      </c>
      <c r="CF576" s="16" t="s">
        <v>166</v>
      </c>
      <c r="CG576" s="17" t="s">
        <v>166</v>
      </c>
      <c r="CH576" s="16" t="s">
        <v>166</v>
      </c>
      <c r="CI576" s="16" t="s">
        <v>166</v>
      </c>
      <c r="CJ576" s="16" t="s">
        <v>166</v>
      </c>
      <c r="CK576" s="16" t="s">
        <v>166</v>
      </c>
      <c r="CL576" s="16" t="s">
        <v>166</v>
      </c>
      <c r="CM576" s="20" t="s">
        <v>166</v>
      </c>
      <c r="CN576" s="16" t="s">
        <v>166</v>
      </c>
      <c r="CO576" s="16" t="s">
        <v>166</v>
      </c>
      <c r="CP576" s="16" t="s">
        <v>166</v>
      </c>
      <c r="CQ576" s="16" t="s">
        <v>166</v>
      </c>
      <c r="CR576" s="16" t="s">
        <v>166</v>
      </c>
      <c r="CS576" s="16" t="s">
        <v>166</v>
      </c>
      <c r="CT576" s="16" t="s">
        <v>166</v>
      </c>
      <c r="CU576" s="16" t="s">
        <v>166</v>
      </c>
      <c r="CV576" s="16" t="s">
        <v>166</v>
      </c>
      <c r="CW576" s="16" t="s">
        <v>166</v>
      </c>
      <c r="CX576" s="16" t="s">
        <v>166</v>
      </c>
      <c r="CY576" s="16" t="s">
        <v>166</v>
      </c>
      <c r="CZ576" s="16" t="s">
        <v>166</v>
      </c>
      <c r="DA576" s="16" t="s">
        <v>166</v>
      </c>
      <c r="DB576" s="16" t="s">
        <v>166</v>
      </c>
      <c r="DC576" s="16" t="s">
        <v>166</v>
      </c>
      <c r="DD576" s="16" t="s">
        <v>166</v>
      </c>
      <c r="DE576" s="17" t="s">
        <v>166</v>
      </c>
      <c r="DF576" s="22">
        <v>4</v>
      </c>
      <c r="DG576" s="14" t="s">
        <v>4592</v>
      </c>
      <c r="DH576" s="14" t="s">
        <v>193</v>
      </c>
      <c r="DI576" s="14" t="s">
        <v>194</v>
      </c>
      <c r="DJ576" s="14" t="s">
        <v>4593</v>
      </c>
      <c r="DK576" s="14" t="s">
        <v>1023</v>
      </c>
      <c r="DL576" s="21" t="s">
        <v>1193</v>
      </c>
      <c r="DM576" s="14" t="s">
        <v>198</v>
      </c>
      <c r="DN576" s="13" t="s">
        <v>11151</v>
      </c>
      <c r="DO576" s="20">
        <v>2024</v>
      </c>
      <c r="DP576" s="14" t="s">
        <v>166</v>
      </c>
      <c r="DQ576" s="14" t="s">
        <v>166</v>
      </c>
      <c r="DR576" s="18" t="s">
        <v>166</v>
      </c>
      <c r="DS576" s="16" t="s">
        <v>166</v>
      </c>
      <c r="DT576" s="19" t="s">
        <v>166</v>
      </c>
      <c r="DU576" s="14" t="s">
        <v>166</v>
      </c>
      <c r="DV576" s="18" t="s">
        <v>166</v>
      </c>
      <c r="DW576" s="18" t="s">
        <v>166</v>
      </c>
      <c r="DX576" s="16" t="s">
        <v>166</v>
      </c>
      <c r="DY576" s="16" t="s">
        <v>166</v>
      </c>
      <c r="DZ576" s="17" t="s">
        <v>166</v>
      </c>
      <c r="EA576" s="16" t="s">
        <v>166</v>
      </c>
      <c r="EB576" s="16" t="s">
        <v>166</v>
      </c>
      <c r="EC576" s="16" t="s">
        <v>166</v>
      </c>
      <c r="ED576" s="17" t="s">
        <v>166</v>
      </c>
      <c r="EE576" s="17" t="s">
        <v>166</v>
      </c>
      <c r="EF576" s="17" t="s">
        <v>166</v>
      </c>
      <c r="EG576" s="17" t="s">
        <v>166</v>
      </c>
      <c r="EH576" s="16" t="s">
        <v>166</v>
      </c>
      <c r="EI576" s="16" t="s">
        <v>166</v>
      </c>
      <c r="EJ576" s="16" t="s">
        <v>166</v>
      </c>
      <c r="EK576" s="16" t="s">
        <v>166</v>
      </c>
      <c r="EL576" s="16" t="s">
        <v>166</v>
      </c>
      <c r="EM576" s="16" t="s">
        <v>166</v>
      </c>
      <c r="EN576" s="16" t="s">
        <v>166</v>
      </c>
      <c r="EO576" s="16" t="s">
        <v>166</v>
      </c>
      <c r="EP576" s="16" t="s">
        <v>166</v>
      </c>
      <c r="EQ576" s="16" t="s">
        <v>166</v>
      </c>
      <c r="ER576" s="16" t="s">
        <v>166</v>
      </c>
      <c r="ES576" s="16" t="s">
        <v>166</v>
      </c>
      <c r="ET576" s="14" t="s">
        <v>166</v>
      </c>
      <c r="EU576" s="16" t="s">
        <v>166</v>
      </c>
      <c r="EV576" s="16" t="s">
        <v>166</v>
      </c>
      <c r="EW576" s="16" t="s">
        <v>166</v>
      </c>
      <c r="EX576" s="14" t="s">
        <v>190</v>
      </c>
      <c r="EY576" s="14" t="s">
        <v>166</v>
      </c>
      <c r="EZ576" s="16" t="s">
        <v>166</v>
      </c>
      <c r="FA576" s="15" t="s">
        <v>166</v>
      </c>
      <c r="FB576" s="15" t="s">
        <v>166</v>
      </c>
      <c r="FC576" s="15" t="s">
        <v>166</v>
      </c>
      <c r="FD576" s="15" t="s">
        <v>166</v>
      </c>
      <c r="FE576" s="15" t="s">
        <v>166</v>
      </c>
      <c r="FF576" s="15" t="s">
        <v>166</v>
      </c>
      <c r="FG576" s="14" t="s">
        <v>166</v>
      </c>
      <c r="FH576" s="3">
        <f>HYPERLINK("https://my.pitchbook.com?c=275986-90T","View Company Online")</f>
      </c>
    </row>
    <row r="577">
      <c r="A577" s="25" t="s">
        <v>11152</v>
      </c>
      <c r="B577" s="25" t="s">
        <v>11153</v>
      </c>
      <c r="C577" s="25" t="s">
        <v>11154</v>
      </c>
      <c r="D577" s="25" t="s">
        <v>166</v>
      </c>
      <c r="E577" s="34" t="s">
        <v>11155</v>
      </c>
      <c r="F577" s="32">
        <v>1</v>
      </c>
      <c r="G577" s="25" t="s">
        <v>11156</v>
      </c>
      <c r="H577" s="25" t="s">
        <v>166</v>
      </c>
      <c r="I577" s="25" t="s">
        <v>11157</v>
      </c>
      <c r="J577" s="25" t="s">
        <v>11158</v>
      </c>
      <c r="K577" s="25" t="s">
        <v>207</v>
      </c>
      <c r="L577" s="25" t="s">
        <v>418</v>
      </c>
      <c r="M577" s="25" t="s">
        <v>419</v>
      </c>
      <c r="N577" s="25" t="s">
        <v>11159</v>
      </c>
      <c r="O577" s="25" t="s">
        <v>11160</v>
      </c>
      <c r="P577" s="25" t="s">
        <v>11161</v>
      </c>
      <c r="Q577" s="25" t="s">
        <v>166</v>
      </c>
      <c r="R577" s="25" t="s">
        <v>177</v>
      </c>
      <c r="S577" s="25" t="s">
        <v>178</v>
      </c>
      <c r="T577" s="25" t="s">
        <v>179</v>
      </c>
      <c r="U577" s="25" t="s">
        <v>11162</v>
      </c>
      <c r="V577" s="25" t="s">
        <v>11163</v>
      </c>
      <c r="W577" s="32" t="s">
        <v>166</v>
      </c>
      <c r="X577" s="25" t="s">
        <v>166</v>
      </c>
      <c r="Y577" s="25" t="s">
        <v>11164</v>
      </c>
      <c r="Z577" s="25" t="s">
        <v>11165</v>
      </c>
      <c r="AA577" s="25" t="s">
        <v>166</v>
      </c>
      <c r="AB577" s="25" t="s">
        <v>166</v>
      </c>
      <c r="AC577" s="25" t="s">
        <v>166</v>
      </c>
      <c r="AD577" s="25" t="s">
        <v>166</v>
      </c>
      <c r="AE577" s="25" t="s">
        <v>166</v>
      </c>
      <c r="AF577" s="25" t="s">
        <v>166</v>
      </c>
      <c r="AG577" s="25" t="s">
        <v>166</v>
      </c>
      <c r="AH577" s="32">
        <v>5</v>
      </c>
      <c r="AI577" s="4">
        <f>HYPERLINK("https://my.pitchbook.com/?d=183616-21T","183616-21T")</f>
      </c>
      <c r="AJ577" s="30" t="s">
        <v>166</v>
      </c>
      <c r="AK577" s="30">
        <v>44517</v>
      </c>
      <c r="AL577" s="29">
        <v>0.05</v>
      </c>
      <c r="AM577" s="25" t="s">
        <v>185</v>
      </c>
      <c r="AN577" s="29" t="s">
        <v>166</v>
      </c>
      <c r="AO577" s="29" t="s">
        <v>166</v>
      </c>
      <c r="AP577" s="25" t="s">
        <v>166</v>
      </c>
      <c r="AQ577" s="32" t="s">
        <v>166</v>
      </c>
      <c r="AR577" s="32">
        <v>0.47</v>
      </c>
      <c r="AS577" s="28" t="s">
        <v>166</v>
      </c>
      <c r="AT577" s="29">
        <v>0.37</v>
      </c>
      <c r="AU577" s="32" t="s">
        <v>186</v>
      </c>
      <c r="AV577" s="32" t="s">
        <v>166</v>
      </c>
      <c r="AW577" s="29" t="s">
        <v>166</v>
      </c>
      <c r="AX577" s="32" t="s">
        <v>166</v>
      </c>
      <c r="AY577" s="25" t="s">
        <v>187</v>
      </c>
      <c r="AZ577" s="25" t="s">
        <v>166</v>
      </c>
      <c r="BA577" s="25" t="s">
        <v>166</v>
      </c>
      <c r="BB577" s="32" t="s">
        <v>166</v>
      </c>
      <c r="BC577" s="25" t="s">
        <v>179</v>
      </c>
      <c r="BD577" s="25" t="s">
        <v>11158</v>
      </c>
      <c r="BE577" s="25" t="s">
        <v>189</v>
      </c>
      <c r="BF577" s="29">
        <v>0.05</v>
      </c>
      <c r="BG577" s="25" t="s">
        <v>190</v>
      </c>
      <c r="BH577" s="25" t="s">
        <v>166</v>
      </c>
      <c r="BI577" s="25" t="s">
        <v>166</v>
      </c>
      <c r="BJ577" s="29" t="s">
        <v>166</v>
      </c>
      <c r="BK577" s="29" t="s">
        <v>166</v>
      </c>
      <c r="BL577" s="25" t="s">
        <v>191</v>
      </c>
      <c r="BM577" s="25" t="s">
        <v>178</v>
      </c>
      <c r="BN577" s="25" t="s">
        <v>177</v>
      </c>
      <c r="BO577" s="33" t="s">
        <v>166</v>
      </c>
      <c r="BP577" s="25" t="s">
        <v>166</v>
      </c>
      <c r="BQ577" s="32" t="s">
        <v>166</v>
      </c>
      <c r="BR577" s="25" t="s">
        <v>11155</v>
      </c>
      <c r="BS577" s="32">
        <v>1</v>
      </c>
      <c r="BT577" s="25" t="s">
        <v>166</v>
      </c>
      <c r="BU577" s="25" t="s">
        <v>166</v>
      </c>
      <c r="BV577" s="25" t="s">
        <v>11166</v>
      </c>
      <c r="BW577" s="25" t="s">
        <v>166</v>
      </c>
      <c r="BX577" s="25" t="s">
        <v>166</v>
      </c>
      <c r="BY577" s="25" t="s">
        <v>166</v>
      </c>
      <c r="BZ577" s="25" t="s">
        <v>166</v>
      </c>
      <c r="CA577" s="25" t="s">
        <v>166</v>
      </c>
      <c r="CB577" s="25" t="s">
        <v>166</v>
      </c>
      <c r="CC577" s="25" t="s">
        <v>166</v>
      </c>
      <c r="CD577" s="25" t="s">
        <v>166</v>
      </c>
      <c r="CE577" s="29" t="s">
        <v>166</v>
      </c>
      <c r="CF577" s="27" t="s">
        <v>166</v>
      </c>
      <c r="CG577" s="28" t="s">
        <v>166</v>
      </c>
      <c r="CH577" s="27" t="s">
        <v>166</v>
      </c>
      <c r="CI577" s="27" t="s">
        <v>166</v>
      </c>
      <c r="CJ577" s="27" t="s">
        <v>166</v>
      </c>
      <c r="CK577" s="27" t="s">
        <v>166</v>
      </c>
      <c r="CL577" s="27" t="s">
        <v>166</v>
      </c>
      <c r="CM577" s="31" t="s">
        <v>166</v>
      </c>
      <c r="CN577" s="27" t="s">
        <v>166</v>
      </c>
      <c r="CO577" s="27" t="s">
        <v>166</v>
      </c>
      <c r="CP577" s="27" t="s">
        <v>166</v>
      </c>
      <c r="CQ577" s="27" t="s">
        <v>166</v>
      </c>
      <c r="CR577" s="27" t="s">
        <v>166</v>
      </c>
      <c r="CS577" s="27" t="s">
        <v>166</v>
      </c>
      <c r="CT577" s="27" t="s">
        <v>166</v>
      </c>
      <c r="CU577" s="27" t="s">
        <v>166</v>
      </c>
      <c r="CV577" s="27" t="s">
        <v>166</v>
      </c>
      <c r="CW577" s="27" t="s">
        <v>166</v>
      </c>
      <c r="CX577" s="27" t="s">
        <v>166</v>
      </c>
      <c r="CY577" s="27" t="s">
        <v>166</v>
      </c>
      <c r="CZ577" s="27" t="s">
        <v>166</v>
      </c>
      <c r="DA577" s="27" t="s">
        <v>166</v>
      </c>
      <c r="DB577" s="27" t="s">
        <v>166</v>
      </c>
      <c r="DC577" s="27" t="s">
        <v>166</v>
      </c>
      <c r="DD577" s="27" t="s">
        <v>166</v>
      </c>
      <c r="DE577" s="28" t="s">
        <v>166</v>
      </c>
      <c r="DF577" s="33">
        <v>4</v>
      </c>
      <c r="DG577" s="25" t="s">
        <v>11167</v>
      </c>
      <c r="DH577" s="25" t="s">
        <v>193</v>
      </c>
      <c r="DI577" s="25" t="s">
        <v>194</v>
      </c>
      <c r="DJ577" s="25" t="s">
        <v>11168</v>
      </c>
      <c r="DK577" s="25" t="s">
        <v>10504</v>
      </c>
      <c r="DL577" s="32" t="s">
        <v>11169</v>
      </c>
      <c r="DM577" s="25" t="s">
        <v>198</v>
      </c>
      <c r="DN577" s="24" t="s">
        <v>11170</v>
      </c>
      <c r="DO577" s="31">
        <v>2017</v>
      </c>
      <c r="DP577" s="25" t="s">
        <v>166</v>
      </c>
      <c r="DQ577" s="25" t="s">
        <v>166</v>
      </c>
      <c r="DR577" s="29" t="s">
        <v>166</v>
      </c>
      <c r="DS577" s="27" t="s">
        <v>166</v>
      </c>
      <c r="DT577" s="30" t="s">
        <v>166</v>
      </c>
      <c r="DU577" s="25" t="s">
        <v>166</v>
      </c>
      <c r="DV577" s="29" t="s">
        <v>166</v>
      </c>
      <c r="DW577" s="29" t="s">
        <v>166</v>
      </c>
      <c r="DX577" s="27" t="s">
        <v>166</v>
      </c>
      <c r="DY577" s="27" t="s">
        <v>166</v>
      </c>
      <c r="DZ577" s="28" t="s">
        <v>166</v>
      </c>
      <c r="EA577" s="27" t="s">
        <v>166</v>
      </c>
      <c r="EB577" s="27" t="s">
        <v>166</v>
      </c>
      <c r="EC577" s="27" t="s">
        <v>166</v>
      </c>
      <c r="ED577" s="28" t="s">
        <v>166</v>
      </c>
      <c r="EE577" s="28" t="s">
        <v>166</v>
      </c>
      <c r="EF577" s="28" t="s">
        <v>166</v>
      </c>
      <c r="EG577" s="28" t="s">
        <v>166</v>
      </c>
      <c r="EH577" s="27" t="s">
        <v>166</v>
      </c>
      <c r="EI577" s="27" t="s">
        <v>166</v>
      </c>
      <c r="EJ577" s="27" t="s">
        <v>166</v>
      </c>
      <c r="EK577" s="27" t="s">
        <v>166</v>
      </c>
      <c r="EL577" s="27" t="s">
        <v>166</v>
      </c>
      <c r="EM577" s="27" t="s">
        <v>166</v>
      </c>
      <c r="EN577" s="27" t="s">
        <v>166</v>
      </c>
      <c r="EO577" s="27" t="s">
        <v>166</v>
      </c>
      <c r="EP577" s="27" t="s">
        <v>166</v>
      </c>
      <c r="EQ577" s="27" t="s">
        <v>166</v>
      </c>
      <c r="ER577" s="27" t="s">
        <v>166</v>
      </c>
      <c r="ES577" s="27" t="s">
        <v>166</v>
      </c>
      <c r="ET577" s="25" t="s">
        <v>166</v>
      </c>
      <c r="EU577" s="27" t="s">
        <v>166</v>
      </c>
      <c r="EV577" s="27" t="s">
        <v>166</v>
      </c>
      <c r="EW577" s="27" t="s">
        <v>166</v>
      </c>
      <c r="EX577" s="25" t="s">
        <v>190</v>
      </c>
      <c r="EY577" s="25" t="s">
        <v>166</v>
      </c>
      <c r="EZ577" s="27" t="s">
        <v>166</v>
      </c>
      <c r="FA577" s="26">
        <v>1</v>
      </c>
      <c r="FB577" s="26">
        <v>1</v>
      </c>
      <c r="FC577" s="26" t="s">
        <v>166</v>
      </c>
      <c r="FD577" s="26">
        <v>1</v>
      </c>
      <c r="FE577" s="26" t="s">
        <v>166</v>
      </c>
      <c r="FF577" s="26" t="s">
        <v>166</v>
      </c>
      <c r="FG577" s="25" t="s">
        <v>11171</v>
      </c>
      <c r="FH577" s="4">
        <f>HYPERLINK("https://my.pitchbook.com?c=183616-21T","View Company Online")</f>
      </c>
    </row>
    <row r="578">
      <c r="A578" s="14" t="s">
        <v>11172</v>
      </c>
      <c r="B578" s="14" t="s">
        <v>11173</v>
      </c>
      <c r="C578" s="14" t="s">
        <v>11174</v>
      </c>
      <c r="D578" s="14" t="s">
        <v>166</v>
      </c>
      <c r="E578" s="23" t="s">
        <v>11175</v>
      </c>
      <c r="F578" s="21">
        <v>1</v>
      </c>
      <c r="G578" s="14" t="s">
        <v>11176</v>
      </c>
      <c r="H578" s="14" t="s">
        <v>166</v>
      </c>
      <c r="I578" s="14" t="s">
        <v>11177</v>
      </c>
      <c r="J578" s="14" t="s">
        <v>11178</v>
      </c>
      <c r="K578" s="14" t="s">
        <v>207</v>
      </c>
      <c r="L578" s="14" t="s">
        <v>208</v>
      </c>
      <c r="M578" s="14" t="s">
        <v>209</v>
      </c>
      <c r="N578" s="14" t="s">
        <v>269</v>
      </c>
      <c r="O578" s="14" t="s">
        <v>5563</v>
      </c>
      <c r="P578" s="14" t="s">
        <v>11179</v>
      </c>
      <c r="Q578" s="14" t="s">
        <v>166</v>
      </c>
      <c r="R578" s="14" t="s">
        <v>177</v>
      </c>
      <c r="S578" s="14" t="s">
        <v>178</v>
      </c>
      <c r="T578" s="14" t="s">
        <v>179</v>
      </c>
      <c r="U578" s="14" t="s">
        <v>11180</v>
      </c>
      <c r="V578" s="14" t="s">
        <v>11181</v>
      </c>
      <c r="W578" s="21" t="s">
        <v>11182</v>
      </c>
      <c r="X578" s="14" t="s">
        <v>11183</v>
      </c>
      <c r="Y578" s="14" t="s">
        <v>11184</v>
      </c>
      <c r="Z578" s="14" t="s">
        <v>166</v>
      </c>
      <c r="AA578" s="14" t="s">
        <v>166</v>
      </c>
      <c r="AB578" s="14" t="s">
        <v>166</v>
      </c>
      <c r="AC578" s="14" t="s">
        <v>166</v>
      </c>
      <c r="AD578" s="14" t="s">
        <v>166</v>
      </c>
      <c r="AE578" s="14" t="s">
        <v>166</v>
      </c>
      <c r="AF578" s="14" t="s">
        <v>166</v>
      </c>
      <c r="AG578" s="14" t="s">
        <v>166</v>
      </c>
      <c r="AH578" s="21">
        <v>1</v>
      </c>
      <c r="AI578" s="3">
        <f>HYPERLINK("https://my.pitchbook.com/?d=184818-70T","184818-70T")</f>
      </c>
      <c r="AJ578" s="19">
        <v>44523</v>
      </c>
      <c r="AK578" s="19">
        <v>44553</v>
      </c>
      <c r="AL578" s="18">
        <v>13.3</v>
      </c>
      <c r="AM578" s="14" t="s">
        <v>185</v>
      </c>
      <c r="AN578" s="18">
        <v>65</v>
      </c>
      <c r="AO578" s="18">
        <v>78.3</v>
      </c>
      <c r="AP578" s="14" t="s">
        <v>185</v>
      </c>
      <c r="AQ578" s="21" t="s">
        <v>166</v>
      </c>
      <c r="AR578" s="21" t="s">
        <v>166</v>
      </c>
      <c r="AS578" s="17" t="s">
        <v>166</v>
      </c>
      <c r="AT578" s="18">
        <v>13.3</v>
      </c>
      <c r="AU578" s="21" t="s">
        <v>186</v>
      </c>
      <c r="AV578" s="21" t="s">
        <v>166</v>
      </c>
      <c r="AW578" s="18">
        <v>0.74</v>
      </c>
      <c r="AX578" s="21" t="s">
        <v>5705</v>
      </c>
      <c r="AY578" s="14" t="s">
        <v>249</v>
      </c>
      <c r="AZ578" s="14" t="s">
        <v>5705</v>
      </c>
      <c r="BA578" s="14" t="s">
        <v>166</v>
      </c>
      <c r="BB578" s="21" t="s">
        <v>166</v>
      </c>
      <c r="BC578" s="14" t="s">
        <v>179</v>
      </c>
      <c r="BD578" s="14" t="s">
        <v>11178</v>
      </c>
      <c r="BE578" s="14" t="s">
        <v>189</v>
      </c>
      <c r="BF578" s="18" t="s">
        <v>166</v>
      </c>
      <c r="BG578" s="14" t="s">
        <v>190</v>
      </c>
      <c r="BH578" s="14" t="s">
        <v>166</v>
      </c>
      <c r="BI578" s="14" t="s">
        <v>166</v>
      </c>
      <c r="BJ578" s="18" t="s">
        <v>166</v>
      </c>
      <c r="BK578" s="18" t="s">
        <v>166</v>
      </c>
      <c r="BL578" s="14" t="s">
        <v>191</v>
      </c>
      <c r="BM578" s="14" t="s">
        <v>178</v>
      </c>
      <c r="BN578" s="14" t="s">
        <v>177</v>
      </c>
      <c r="BO578" s="22" t="s">
        <v>166</v>
      </c>
      <c r="BP578" s="14" t="s">
        <v>11185</v>
      </c>
      <c r="BQ578" s="21">
        <v>1</v>
      </c>
      <c r="BR578" s="14" t="s">
        <v>166</v>
      </c>
      <c r="BS578" s="21" t="s">
        <v>166</v>
      </c>
      <c r="BT578" s="14" t="s">
        <v>166</v>
      </c>
      <c r="BU578" s="14" t="s">
        <v>166</v>
      </c>
      <c r="BV578" s="14" t="s">
        <v>166</v>
      </c>
      <c r="BW578" s="14" t="s">
        <v>166</v>
      </c>
      <c r="BX578" s="14" t="s">
        <v>166</v>
      </c>
      <c r="BY578" s="14" t="s">
        <v>166</v>
      </c>
      <c r="BZ578" s="14" t="s">
        <v>166</v>
      </c>
      <c r="CA578" s="14" t="s">
        <v>166</v>
      </c>
      <c r="CB578" s="14" t="s">
        <v>166</v>
      </c>
      <c r="CC578" s="14" t="s">
        <v>166</v>
      </c>
      <c r="CD578" s="14" t="s">
        <v>166</v>
      </c>
      <c r="CE578" s="18" t="s">
        <v>166</v>
      </c>
      <c r="CF578" s="16" t="s">
        <v>166</v>
      </c>
      <c r="CG578" s="17" t="s">
        <v>166</v>
      </c>
      <c r="CH578" s="16" t="s">
        <v>166</v>
      </c>
      <c r="CI578" s="16" t="s">
        <v>166</v>
      </c>
      <c r="CJ578" s="16" t="s">
        <v>166</v>
      </c>
      <c r="CK578" s="16" t="s">
        <v>166</v>
      </c>
      <c r="CL578" s="16" t="s">
        <v>166</v>
      </c>
      <c r="CM578" s="20" t="s">
        <v>166</v>
      </c>
      <c r="CN578" s="16" t="s">
        <v>166</v>
      </c>
      <c r="CO578" s="16" t="s">
        <v>166</v>
      </c>
      <c r="CP578" s="16" t="s">
        <v>166</v>
      </c>
      <c r="CQ578" s="16" t="s">
        <v>166</v>
      </c>
      <c r="CR578" s="16" t="s">
        <v>166</v>
      </c>
      <c r="CS578" s="16" t="s">
        <v>166</v>
      </c>
      <c r="CT578" s="16" t="s">
        <v>166</v>
      </c>
      <c r="CU578" s="16" t="s">
        <v>166</v>
      </c>
      <c r="CV578" s="16" t="s">
        <v>166</v>
      </c>
      <c r="CW578" s="16" t="s">
        <v>166</v>
      </c>
      <c r="CX578" s="16" t="s">
        <v>166</v>
      </c>
      <c r="CY578" s="16" t="s">
        <v>166</v>
      </c>
      <c r="CZ578" s="16" t="s">
        <v>166</v>
      </c>
      <c r="DA578" s="16" t="s">
        <v>166</v>
      </c>
      <c r="DB578" s="16" t="s">
        <v>166</v>
      </c>
      <c r="DC578" s="16" t="s">
        <v>166</v>
      </c>
      <c r="DD578" s="16" t="s">
        <v>166</v>
      </c>
      <c r="DE578" s="17" t="s">
        <v>166</v>
      </c>
      <c r="DF578" s="22">
        <v>154</v>
      </c>
      <c r="DG578" s="14" t="s">
        <v>11186</v>
      </c>
      <c r="DH578" s="14" t="s">
        <v>193</v>
      </c>
      <c r="DI578" s="14" t="s">
        <v>194</v>
      </c>
      <c r="DJ578" s="14" t="s">
        <v>11187</v>
      </c>
      <c r="DK578" s="14" t="s">
        <v>1251</v>
      </c>
      <c r="DL578" s="21" t="s">
        <v>11188</v>
      </c>
      <c r="DM578" s="14" t="s">
        <v>198</v>
      </c>
      <c r="DN578" s="13" t="s">
        <v>11189</v>
      </c>
      <c r="DO578" s="20">
        <v>2015</v>
      </c>
      <c r="DP578" s="14" t="s">
        <v>166</v>
      </c>
      <c r="DQ578" s="14" t="s">
        <v>2906</v>
      </c>
      <c r="DR578" s="18" t="s">
        <v>166</v>
      </c>
      <c r="DS578" s="16" t="s">
        <v>166</v>
      </c>
      <c r="DT578" s="19" t="s">
        <v>166</v>
      </c>
      <c r="DU578" s="14" t="s">
        <v>166</v>
      </c>
      <c r="DV578" s="18" t="s">
        <v>166</v>
      </c>
      <c r="DW578" s="18" t="s">
        <v>166</v>
      </c>
      <c r="DX578" s="16" t="s">
        <v>166</v>
      </c>
      <c r="DY578" s="16" t="s">
        <v>166</v>
      </c>
      <c r="DZ578" s="17" t="s">
        <v>166</v>
      </c>
      <c r="EA578" s="16" t="s">
        <v>166</v>
      </c>
      <c r="EB578" s="16" t="s">
        <v>166</v>
      </c>
      <c r="EC578" s="16" t="s">
        <v>166</v>
      </c>
      <c r="ED578" s="17" t="s">
        <v>166</v>
      </c>
      <c r="EE578" s="17" t="s">
        <v>166</v>
      </c>
      <c r="EF578" s="17" t="s">
        <v>166</v>
      </c>
      <c r="EG578" s="17" t="s">
        <v>166</v>
      </c>
      <c r="EH578" s="16" t="s">
        <v>166</v>
      </c>
      <c r="EI578" s="16" t="s">
        <v>166</v>
      </c>
      <c r="EJ578" s="16" t="s">
        <v>166</v>
      </c>
      <c r="EK578" s="16" t="s">
        <v>166</v>
      </c>
      <c r="EL578" s="16" t="s">
        <v>166</v>
      </c>
      <c r="EM578" s="16" t="s">
        <v>166</v>
      </c>
      <c r="EN578" s="16" t="s">
        <v>166</v>
      </c>
      <c r="EO578" s="16" t="s">
        <v>166</v>
      </c>
      <c r="EP578" s="16" t="s">
        <v>166</v>
      </c>
      <c r="EQ578" s="16" t="s">
        <v>166</v>
      </c>
      <c r="ER578" s="16" t="s">
        <v>166</v>
      </c>
      <c r="ES578" s="16" t="s">
        <v>166</v>
      </c>
      <c r="ET578" s="14" t="s">
        <v>166</v>
      </c>
      <c r="EU578" s="16" t="s">
        <v>166</v>
      </c>
      <c r="EV578" s="16" t="s">
        <v>166</v>
      </c>
      <c r="EW578" s="16" t="s">
        <v>166</v>
      </c>
      <c r="EX578" s="14" t="s">
        <v>190</v>
      </c>
      <c r="EY578" s="14" t="s">
        <v>190</v>
      </c>
      <c r="EZ578" s="16" t="s">
        <v>166</v>
      </c>
      <c r="FA578" s="15" t="s">
        <v>166</v>
      </c>
      <c r="FB578" s="15" t="s">
        <v>166</v>
      </c>
      <c r="FC578" s="15" t="s">
        <v>166</v>
      </c>
      <c r="FD578" s="15" t="s">
        <v>166</v>
      </c>
      <c r="FE578" s="15" t="s">
        <v>166</v>
      </c>
      <c r="FF578" s="15" t="s">
        <v>166</v>
      </c>
      <c r="FG578" s="14" t="s">
        <v>166</v>
      </c>
      <c r="FH578" s="3">
        <f>HYPERLINK("https://my.pitchbook.com?c=184818-70T","View Company Online")</f>
      </c>
    </row>
    <row r="579">
      <c r="A579" s="25" t="s">
        <v>11190</v>
      </c>
      <c r="B579" s="25" t="s">
        <v>11191</v>
      </c>
      <c r="C579" s="25" t="s">
        <v>11192</v>
      </c>
      <c r="D579" s="25" t="s">
        <v>166</v>
      </c>
      <c r="E579" s="34" t="s">
        <v>11193</v>
      </c>
      <c r="F579" s="32">
        <v>7</v>
      </c>
      <c r="G579" s="25" t="s">
        <v>11194</v>
      </c>
      <c r="H579" s="25" t="s">
        <v>166</v>
      </c>
      <c r="I579" s="25" t="s">
        <v>11195</v>
      </c>
      <c r="J579" s="25" t="s">
        <v>11196</v>
      </c>
      <c r="K579" s="25" t="s">
        <v>207</v>
      </c>
      <c r="L579" s="25" t="s">
        <v>208</v>
      </c>
      <c r="M579" s="25" t="s">
        <v>209</v>
      </c>
      <c r="N579" s="25" t="s">
        <v>3089</v>
      </c>
      <c r="O579" s="25" t="s">
        <v>1318</v>
      </c>
      <c r="P579" s="25" t="s">
        <v>11197</v>
      </c>
      <c r="Q579" s="25" t="s">
        <v>166</v>
      </c>
      <c r="R579" s="25" t="s">
        <v>177</v>
      </c>
      <c r="S579" s="25" t="s">
        <v>178</v>
      </c>
      <c r="T579" s="25" t="s">
        <v>179</v>
      </c>
      <c r="U579" s="25" t="s">
        <v>11198</v>
      </c>
      <c r="V579" s="25" t="s">
        <v>11199</v>
      </c>
      <c r="W579" s="32" t="s">
        <v>11200</v>
      </c>
      <c r="X579" s="25" t="s">
        <v>11201</v>
      </c>
      <c r="Y579" s="25" t="s">
        <v>11202</v>
      </c>
      <c r="Z579" s="25" t="s">
        <v>11203</v>
      </c>
      <c r="AA579" s="25" t="s">
        <v>242</v>
      </c>
      <c r="AB579" s="25" t="s">
        <v>243</v>
      </c>
      <c r="AC579" s="25" t="s">
        <v>244</v>
      </c>
      <c r="AD579" s="25" t="s">
        <v>243</v>
      </c>
      <c r="AE579" s="25" t="s">
        <v>243</v>
      </c>
      <c r="AF579" s="25" t="s">
        <v>166</v>
      </c>
      <c r="AG579" s="25" t="s">
        <v>246</v>
      </c>
      <c r="AH579" s="32">
        <v>1</v>
      </c>
      <c r="AI579" s="4">
        <f>HYPERLINK("https://my.pitchbook.com/?d=206686-81T","206686-81T")</f>
      </c>
      <c r="AJ579" s="30" t="s">
        <v>166</v>
      </c>
      <c r="AK579" s="30">
        <v>44855</v>
      </c>
      <c r="AL579" s="29">
        <v>15.82</v>
      </c>
      <c r="AM579" s="25" t="s">
        <v>185</v>
      </c>
      <c r="AN579" s="29">
        <v>27</v>
      </c>
      <c r="AO579" s="29">
        <v>42.82</v>
      </c>
      <c r="AP579" s="25" t="s">
        <v>185</v>
      </c>
      <c r="AQ579" s="32" t="s">
        <v>166</v>
      </c>
      <c r="AR579" s="32" t="s">
        <v>166</v>
      </c>
      <c r="AS579" s="28">
        <v>57.19</v>
      </c>
      <c r="AT579" s="29">
        <v>15.82</v>
      </c>
      <c r="AU579" s="32" t="s">
        <v>186</v>
      </c>
      <c r="AV579" s="32" t="s">
        <v>166</v>
      </c>
      <c r="AW579" s="29">
        <v>1.01</v>
      </c>
      <c r="AX579" s="32" t="s">
        <v>248</v>
      </c>
      <c r="AY579" s="25" t="s">
        <v>187</v>
      </c>
      <c r="AZ579" s="25" t="s">
        <v>248</v>
      </c>
      <c r="BA579" s="25" t="s">
        <v>166</v>
      </c>
      <c r="BB579" s="32" t="s">
        <v>166</v>
      </c>
      <c r="BC579" s="25" t="s">
        <v>179</v>
      </c>
      <c r="BD579" s="25" t="s">
        <v>11204</v>
      </c>
      <c r="BE579" s="25" t="s">
        <v>189</v>
      </c>
      <c r="BF579" s="29">
        <v>15.82</v>
      </c>
      <c r="BG579" s="25" t="s">
        <v>190</v>
      </c>
      <c r="BH579" s="25" t="s">
        <v>166</v>
      </c>
      <c r="BI579" s="25" t="s">
        <v>166</v>
      </c>
      <c r="BJ579" s="29" t="s">
        <v>166</v>
      </c>
      <c r="BK579" s="29" t="s">
        <v>166</v>
      </c>
      <c r="BL579" s="25" t="s">
        <v>191</v>
      </c>
      <c r="BM579" s="25" t="s">
        <v>178</v>
      </c>
      <c r="BN579" s="25" t="s">
        <v>177</v>
      </c>
      <c r="BO579" s="33" t="s">
        <v>166</v>
      </c>
      <c r="BP579" s="25" t="s">
        <v>11205</v>
      </c>
      <c r="BQ579" s="32">
        <v>7</v>
      </c>
      <c r="BR579" s="25" t="s">
        <v>166</v>
      </c>
      <c r="BS579" s="32" t="s">
        <v>166</v>
      </c>
      <c r="BT579" s="25" t="s">
        <v>11206</v>
      </c>
      <c r="BU579" s="25" t="s">
        <v>166</v>
      </c>
      <c r="BV579" s="25" t="s">
        <v>166</v>
      </c>
      <c r="BW579" s="25" t="s">
        <v>166</v>
      </c>
      <c r="BX579" s="25" t="s">
        <v>166</v>
      </c>
      <c r="BY579" s="25" t="s">
        <v>166</v>
      </c>
      <c r="BZ579" s="25" t="s">
        <v>1327</v>
      </c>
      <c r="CA579" s="25" t="s">
        <v>1327</v>
      </c>
      <c r="CB579" s="25" t="s">
        <v>166</v>
      </c>
      <c r="CC579" s="25" t="s">
        <v>166</v>
      </c>
      <c r="CD579" s="25" t="s">
        <v>166</v>
      </c>
      <c r="CE579" s="29" t="s">
        <v>166</v>
      </c>
      <c r="CF579" s="27" t="s">
        <v>166</v>
      </c>
      <c r="CG579" s="28" t="s">
        <v>166</v>
      </c>
      <c r="CH579" s="27" t="s">
        <v>166</v>
      </c>
      <c r="CI579" s="27" t="s">
        <v>166</v>
      </c>
      <c r="CJ579" s="27" t="s">
        <v>166</v>
      </c>
      <c r="CK579" s="27" t="s">
        <v>166</v>
      </c>
      <c r="CL579" s="27" t="s">
        <v>166</v>
      </c>
      <c r="CM579" s="31" t="s">
        <v>166</v>
      </c>
      <c r="CN579" s="27" t="s">
        <v>166</v>
      </c>
      <c r="CO579" s="27" t="s">
        <v>166</v>
      </c>
      <c r="CP579" s="27" t="s">
        <v>166</v>
      </c>
      <c r="CQ579" s="27" t="s">
        <v>166</v>
      </c>
      <c r="CR579" s="27" t="s">
        <v>166</v>
      </c>
      <c r="CS579" s="27" t="s">
        <v>166</v>
      </c>
      <c r="CT579" s="27" t="s">
        <v>166</v>
      </c>
      <c r="CU579" s="27" t="s">
        <v>166</v>
      </c>
      <c r="CV579" s="27" t="s">
        <v>166</v>
      </c>
      <c r="CW579" s="27" t="s">
        <v>166</v>
      </c>
      <c r="CX579" s="27" t="s">
        <v>166</v>
      </c>
      <c r="CY579" s="27" t="s">
        <v>166</v>
      </c>
      <c r="CZ579" s="27" t="s">
        <v>166</v>
      </c>
      <c r="DA579" s="27" t="s">
        <v>166</v>
      </c>
      <c r="DB579" s="27" t="s">
        <v>166</v>
      </c>
      <c r="DC579" s="27" t="s">
        <v>166</v>
      </c>
      <c r="DD579" s="27" t="s">
        <v>166</v>
      </c>
      <c r="DE579" s="28" t="s">
        <v>166</v>
      </c>
      <c r="DF579" s="33">
        <v>23</v>
      </c>
      <c r="DG579" s="25" t="s">
        <v>309</v>
      </c>
      <c r="DH579" s="25" t="s">
        <v>193</v>
      </c>
      <c r="DI579" s="25" t="s">
        <v>194</v>
      </c>
      <c r="DJ579" s="25" t="s">
        <v>310</v>
      </c>
      <c r="DK579" s="25" t="s">
        <v>310</v>
      </c>
      <c r="DL579" s="32" t="s">
        <v>11207</v>
      </c>
      <c r="DM579" s="25" t="s">
        <v>198</v>
      </c>
      <c r="DN579" s="24" t="s">
        <v>11208</v>
      </c>
      <c r="DO579" s="31">
        <v>2017</v>
      </c>
      <c r="DP579" s="25" t="s">
        <v>166</v>
      </c>
      <c r="DQ579" s="25" t="s">
        <v>166</v>
      </c>
      <c r="DR579" s="29" t="s">
        <v>166</v>
      </c>
      <c r="DS579" s="27" t="s">
        <v>166</v>
      </c>
      <c r="DT579" s="30" t="s">
        <v>166</v>
      </c>
      <c r="DU579" s="25" t="s">
        <v>166</v>
      </c>
      <c r="DV579" s="29" t="s">
        <v>166</v>
      </c>
      <c r="DW579" s="29" t="s">
        <v>166</v>
      </c>
      <c r="DX579" s="27" t="s">
        <v>166</v>
      </c>
      <c r="DY579" s="27" t="s">
        <v>166</v>
      </c>
      <c r="DZ579" s="28" t="s">
        <v>166</v>
      </c>
      <c r="EA579" s="27" t="s">
        <v>166</v>
      </c>
      <c r="EB579" s="27" t="s">
        <v>166</v>
      </c>
      <c r="EC579" s="27" t="s">
        <v>166</v>
      </c>
      <c r="ED579" s="28" t="s">
        <v>166</v>
      </c>
      <c r="EE579" s="28" t="s">
        <v>166</v>
      </c>
      <c r="EF579" s="28" t="s">
        <v>166</v>
      </c>
      <c r="EG579" s="28" t="s">
        <v>166</v>
      </c>
      <c r="EH579" s="27" t="s">
        <v>166</v>
      </c>
      <c r="EI579" s="27" t="s">
        <v>166</v>
      </c>
      <c r="EJ579" s="27" t="s">
        <v>166</v>
      </c>
      <c r="EK579" s="27" t="s">
        <v>166</v>
      </c>
      <c r="EL579" s="27" t="s">
        <v>166</v>
      </c>
      <c r="EM579" s="27" t="s">
        <v>166</v>
      </c>
      <c r="EN579" s="27" t="s">
        <v>166</v>
      </c>
      <c r="EO579" s="27" t="s">
        <v>166</v>
      </c>
      <c r="EP579" s="27" t="s">
        <v>166</v>
      </c>
      <c r="EQ579" s="27" t="s">
        <v>166</v>
      </c>
      <c r="ER579" s="27" t="s">
        <v>166</v>
      </c>
      <c r="ES579" s="27" t="s">
        <v>166</v>
      </c>
      <c r="ET579" s="25" t="s">
        <v>166</v>
      </c>
      <c r="EU579" s="27" t="s">
        <v>166</v>
      </c>
      <c r="EV579" s="27" t="s">
        <v>166</v>
      </c>
      <c r="EW579" s="27" t="s">
        <v>166</v>
      </c>
      <c r="EX579" s="25" t="s">
        <v>190</v>
      </c>
      <c r="EY579" s="25" t="s">
        <v>166</v>
      </c>
      <c r="EZ579" s="27" t="s">
        <v>166</v>
      </c>
      <c r="FA579" s="26">
        <v>7</v>
      </c>
      <c r="FB579" s="26">
        <v>3</v>
      </c>
      <c r="FC579" s="26">
        <v>6</v>
      </c>
      <c r="FD579" s="26">
        <v>1</v>
      </c>
      <c r="FE579" s="26" t="s">
        <v>166</v>
      </c>
      <c r="FF579" s="26" t="s">
        <v>166</v>
      </c>
      <c r="FG579" s="25" t="s">
        <v>775</v>
      </c>
      <c r="FH579" s="4">
        <f>HYPERLINK("https://my.pitchbook.com?c=206686-81T","View Company Online")</f>
      </c>
    </row>
    <row r="580">
      <c r="A580" s="14" t="s">
        <v>11209</v>
      </c>
      <c r="B580" s="14" t="s">
        <v>11210</v>
      </c>
      <c r="C580" s="14" t="s">
        <v>11211</v>
      </c>
      <c r="D580" s="14" t="s">
        <v>166</v>
      </c>
      <c r="E580" s="23" t="s">
        <v>11212</v>
      </c>
      <c r="F580" s="21">
        <v>4</v>
      </c>
      <c r="G580" s="14" t="s">
        <v>11213</v>
      </c>
      <c r="H580" s="14" t="s">
        <v>166</v>
      </c>
      <c r="I580" s="14" t="s">
        <v>11214</v>
      </c>
      <c r="J580" s="14" t="s">
        <v>11215</v>
      </c>
      <c r="K580" s="14" t="s">
        <v>207</v>
      </c>
      <c r="L580" s="14" t="s">
        <v>208</v>
      </c>
      <c r="M580" s="14" t="s">
        <v>209</v>
      </c>
      <c r="N580" s="14" t="s">
        <v>5087</v>
      </c>
      <c r="O580" s="14" t="s">
        <v>8841</v>
      </c>
      <c r="P580" s="14" t="s">
        <v>11216</v>
      </c>
      <c r="Q580" s="14" t="s">
        <v>166</v>
      </c>
      <c r="R580" s="14" t="s">
        <v>177</v>
      </c>
      <c r="S580" s="14" t="s">
        <v>178</v>
      </c>
      <c r="T580" s="14" t="s">
        <v>179</v>
      </c>
      <c r="U580" s="14" t="s">
        <v>11217</v>
      </c>
      <c r="V580" s="14" t="s">
        <v>11218</v>
      </c>
      <c r="W580" s="21" t="s">
        <v>11219</v>
      </c>
      <c r="X580" s="14" t="s">
        <v>11220</v>
      </c>
      <c r="Y580" s="14" t="s">
        <v>11221</v>
      </c>
      <c r="Z580" s="14" t="s">
        <v>11222</v>
      </c>
      <c r="AA580" s="14" t="s">
        <v>166</v>
      </c>
      <c r="AB580" s="14" t="s">
        <v>166</v>
      </c>
      <c r="AC580" s="14" t="s">
        <v>166</v>
      </c>
      <c r="AD580" s="14" t="s">
        <v>166</v>
      </c>
      <c r="AE580" s="14" t="s">
        <v>166</v>
      </c>
      <c r="AF580" s="14" t="s">
        <v>166</v>
      </c>
      <c r="AG580" s="14" t="s">
        <v>166</v>
      </c>
      <c r="AH580" s="21">
        <v>1</v>
      </c>
      <c r="AI580" s="3">
        <f>HYPERLINK("https://my.pitchbook.com/?d=210254-50T","210254-50T")</f>
      </c>
      <c r="AJ580" s="19" t="s">
        <v>166</v>
      </c>
      <c r="AK580" s="19">
        <v>44896</v>
      </c>
      <c r="AL580" s="18">
        <v>0.55</v>
      </c>
      <c r="AM580" s="14" t="s">
        <v>185</v>
      </c>
      <c r="AN580" s="18">
        <v>4.45</v>
      </c>
      <c r="AO580" s="18">
        <v>5</v>
      </c>
      <c r="AP580" s="14" t="s">
        <v>185</v>
      </c>
      <c r="AQ580" s="21" t="s">
        <v>166</v>
      </c>
      <c r="AR580" s="21" t="s">
        <v>166</v>
      </c>
      <c r="AS580" s="17" t="s">
        <v>166</v>
      </c>
      <c r="AT580" s="18">
        <v>0.55</v>
      </c>
      <c r="AU580" s="21" t="s">
        <v>186</v>
      </c>
      <c r="AV580" s="21" t="s">
        <v>166</v>
      </c>
      <c r="AW580" s="18" t="s">
        <v>166</v>
      </c>
      <c r="AX580" s="21" t="s">
        <v>166</v>
      </c>
      <c r="AY580" s="14" t="s">
        <v>217</v>
      </c>
      <c r="AZ580" s="14" t="s">
        <v>217</v>
      </c>
      <c r="BA580" s="14" t="s">
        <v>166</v>
      </c>
      <c r="BB580" s="21" t="s">
        <v>166</v>
      </c>
      <c r="BC580" s="14" t="s">
        <v>179</v>
      </c>
      <c r="BD580" s="14" t="s">
        <v>11223</v>
      </c>
      <c r="BE580" s="14" t="s">
        <v>189</v>
      </c>
      <c r="BF580" s="18">
        <v>0.55</v>
      </c>
      <c r="BG580" s="14" t="s">
        <v>190</v>
      </c>
      <c r="BH580" s="14" t="s">
        <v>166</v>
      </c>
      <c r="BI580" s="14" t="s">
        <v>166</v>
      </c>
      <c r="BJ580" s="18" t="s">
        <v>166</v>
      </c>
      <c r="BK580" s="18" t="s">
        <v>166</v>
      </c>
      <c r="BL580" s="14" t="s">
        <v>191</v>
      </c>
      <c r="BM580" s="14" t="s">
        <v>178</v>
      </c>
      <c r="BN580" s="14" t="s">
        <v>177</v>
      </c>
      <c r="BO580" s="22" t="s">
        <v>166</v>
      </c>
      <c r="BP580" s="14" t="s">
        <v>11212</v>
      </c>
      <c r="BQ580" s="21">
        <v>4</v>
      </c>
      <c r="BR580" s="14" t="s">
        <v>166</v>
      </c>
      <c r="BS580" s="21" t="s">
        <v>166</v>
      </c>
      <c r="BT580" s="14" t="s">
        <v>166</v>
      </c>
      <c r="BU580" s="14" t="s">
        <v>166</v>
      </c>
      <c r="BV580" s="14" t="s">
        <v>11224</v>
      </c>
      <c r="BW580" s="14" t="s">
        <v>166</v>
      </c>
      <c r="BX580" s="14" t="s">
        <v>166</v>
      </c>
      <c r="BY580" s="14" t="s">
        <v>166</v>
      </c>
      <c r="BZ580" s="14" t="s">
        <v>166</v>
      </c>
      <c r="CA580" s="14" t="s">
        <v>166</v>
      </c>
      <c r="CB580" s="14" t="s">
        <v>166</v>
      </c>
      <c r="CC580" s="14" t="s">
        <v>166</v>
      </c>
      <c r="CD580" s="14" t="s">
        <v>166</v>
      </c>
      <c r="CE580" s="18" t="s">
        <v>166</v>
      </c>
      <c r="CF580" s="16" t="s">
        <v>166</v>
      </c>
      <c r="CG580" s="17" t="s">
        <v>166</v>
      </c>
      <c r="CH580" s="16" t="s">
        <v>166</v>
      </c>
      <c r="CI580" s="16" t="s">
        <v>166</v>
      </c>
      <c r="CJ580" s="16" t="s">
        <v>166</v>
      </c>
      <c r="CK580" s="16" t="s">
        <v>166</v>
      </c>
      <c r="CL580" s="16" t="s">
        <v>166</v>
      </c>
      <c r="CM580" s="20" t="s">
        <v>166</v>
      </c>
      <c r="CN580" s="16" t="s">
        <v>166</v>
      </c>
      <c r="CO580" s="16" t="s">
        <v>166</v>
      </c>
      <c r="CP580" s="16" t="s">
        <v>166</v>
      </c>
      <c r="CQ580" s="16" t="s">
        <v>166</v>
      </c>
      <c r="CR580" s="16" t="s">
        <v>166</v>
      </c>
      <c r="CS580" s="16" t="s">
        <v>166</v>
      </c>
      <c r="CT580" s="16" t="s">
        <v>166</v>
      </c>
      <c r="CU580" s="16" t="s">
        <v>166</v>
      </c>
      <c r="CV580" s="16" t="s">
        <v>166</v>
      </c>
      <c r="CW580" s="16" t="s">
        <v>166</v>
      </c>
      <c r="CX580" s="16" t="s">
        <v>166</v>
      </c>
      <c r="CY580" s="16" t="s">
        <v>166</v>
      </c>
      <c r="CZ580" s="16" t="s">
        <v>166</v>
      </c>
      <c r="DA580" s="16" t="s">
        <v>166</v>
      </c>
      <c r="DB580" s="16" t="s">
        <v>166</v>
      </c>
      <c r="DC580" s="16" t="s">
        <v>166</v>
      </c>
      <c r="DD580" s="16" t="s">
        <v>166</v>
      </c>
      <c r="DE580" s="17" t="s">
        <v>166</v>
      </c>
      <c r="DF580" s="22">
        <v>12</v>
      </c>
      <c r="DG580" s="14" t="s">
        <v>11225</v>
      </c>
      <c r="DH580" s="14" t="s">
        <v>193</v>
      </c>
      <c r="DI580" s="14" t="s">
        <v>194</v>
      </c>
      <c r="DJ580" s="14" t="s">
        <v>11226</v>
      </c>
      <c r="DK580" s="14" t="s">
        <v>7386</v>
      </c>
      <c r="DL580" s="21" t="s">
        <v>11227</v>
      </c>
      <c r="DM580" s="14" t="s">
        <v>198</v>
      </c>
      <c r="DN580" s="13" t="s">
        <v>11228</v>
      </c>
      <c r="DO580" s="20">
        <v>2022</v>
      </c>
      <c r="DP580" s="14" t="s">
        <v>166</v>
      </c>
      <c r="DQ580" s="14" t="s">
        <v>166</v>
      </c>
      <c r="DR580" s="18" t="s">
        <v>166</v>
      </c>
      <c r="DS580" s="16" t="s">
        <v>166</v>
      </c>
      <c r="DT580" s="19" t="s">
        <v>166</v>
      </c>
      <c r="DU580" s="14" t="s">
        <v>166</v>
      </c>
      <c r="DV580" s="18" t="s">
        <v>166</v>
      </c>
      <c r="DW580" s="18" t="s">
        <v>166</v>
      </c>
      <c r="DX580" s="16" t="s">
        <v>166</v>
      </c>
      <c r="DY580" s="16" t="s">
        <v>166</v>
      </c>
      <c r="DZ580" s="17" t="s">
        <v>166</v>
      </c>
      <c r="EA580" s="16" t="s">
        <v>166</v>
      </c>
      <c r="EB580" s="16" t="s">
        <v>166</v>
      </c>
      <c r="EC580" s="16" t="s">
        <v>166</v>
      </c>
      <c r="ED580" s="17" t="s">
        <v>166</v>
      </c>
      <c r="EE580" s="17" t="s">
        <v>166</v>
      </c>
      <c r="EF580" s="17" t="s">
        <v>166</v>
      </c>
      <c r="EG580" s="17" t="s">
        <v>166</v>
      </c>
      <c r="EH580" s="16" t="s">
        <v>166</v>
      </c>
      <c r="EI580" s="16" t="s">
        <v>166</v>
      </c>
      <c r="EJ580" s="16" t="s">
        <v>166</v>
      </c>
      <c r="EK580" s="16" t="s">
        <v>166</v>
      </c>
      <c r="EL580" s="16" t="s">
        <v>166</v>
      </c>
      <c r="EM580" s="16" t="s">
        <v>166</v>
      </c>
      <c r="EN580" s="16" t="s">
        <v>166</v>
      </c>
      <c r="EO580" s="16" t="s">
        <v>166</v>
      </c>
      <c r="EP580" s="16" t="s">
        <v>166</v>
      </c>
      <c r="EQ580" s="16" t="s">
        <v>166</v>
      </c>
      <c r="ER580" s="16" t="s">
        <v>166</v>
      </c>
      <c r="ES580" s="16" t="s">
        <v>166</v>
      </c>
      <c r="ET580" s="14" t="s">
        <v>166</v>
      </c>
      <c r="EU580" s="16" t="s">
        <v>166</v>
      </c>
      <c r="EV580" s="16" t="s">
        <v>166</v>
      </c>
      <c r="EW580" s="16" t="s">
        <v>166</v>
      </c>
      <c r="EX580" s="14" t="s">
        <v>190</v>
      </c>
      <c r="EY580" s="14" t="s">
        <v>166</v>
      </c>
      <c r="EZ580" s="16" t="s">
        <v>166</v>
      </c>
      <c r="FA580" s="15" t="s">
        <v>166</v>
      </c>
      <c r="FB580" s="15" t="s">
        <v>166</v>
      </c>
      <c r="FC580" s="15" t="s">
        <v>166</v>
      </c>
      <c r="FD580" s="15" t="s">
        <v>166</v>
      </c>
      <c r="FE580" s="15" t="s">
        <v>166</v>
      </c>
      <c r="FF580" s="15" t="s">
        <v>166</v>
      </c>
      <c r="FG580" s="14" t="s">
        <v>166</v>
      </c>
      <c r="FH580" s="3">
        <f>HYPERLINK("https://my.pitchbook.com?c=210254-50T","View Company Online")</f>
      </c>
    </row>
    <row r="581">
      <c r="A581" s="25" t="s">
        <v>11229</v>
      </c>
      <c r="B581" s="25" t="s">
        <v>11230</v>
      </c>
      <c r="C581" s="25" t="s">
        <v>11231</v>
      </c>
      <c r="D581" s="25" t="s">
        <v>166</v>
      </c>
      <c r="E581" s="34" t="s">
        <v>5655</v>
      </c>
      <c r="F581" s="32">
        <v>1</v>
      </c>
      <c r="G581" s="25" t="s">
        <v>5656</v>
      </c>
      <c r="H581" s="25" t="s">
        <v>166</v>
      </c>
      <c r="I581" s="25" t="s">
        <v>11232</v>
      </c>
      <c r="J581" s="25" t="s">
        <v>11233</v>
      </c>
      <c r="K581" s="25" t="s">
        <v>171</v>
      </c>
      <c r="L581" s="25" t="s">
        <v>172</v>
      </c>
      <c r="M581" s="25" t="s">
        <v>173</v>
      </c>
      <c r="N581" s="25" t="s">
        <v>2890</v>
      </c>
      <c r="O581" s="25" t="s">
        <v>11234</v>
      </c>
      <c r="P581" s="25" t="s">
        <v>11235</v>
      </c>
      <c r="Q581" s="25" t="s">
        <v>166</v>
      </c>
      <c r="R581" s="25" t="s">
        <v>177</v>
      </c>
      <c r="S581" s="25" t="s">
        <v>178</v>
      </c>
      <c r="T581" s="25" t="s">
        <v>179</v>
      </c>
      <c r="U581" s="25" t="s">
        <v>11236</v>
      </c>
      <c r="V581" s="25" t="s">
        <v>11237</v>
      </c>
      <c r="W581" s="32" t="s">
        <v>11238</v>
      </c>
      <c r="X581" s="25" t="s">
        <v>11239</v>
      </c>
      <c r="Y581" s="25" t="s">
        <v>11240</v>
      </c>
      <c r="Z581" s="25" t="s">
        <v>166</v>
      </c>
      <c r="AA581" s="25" t="s">
        <v>166</v>
      </c>
      <c r="AB581" s="25" t="s">
        <v>166</v>
      </c>
      <c r="AC581" s="25" t="s">
        <v>166</v>
      </c>
      <c r="AD581" s="25" t="s">
        <v>166</v>
      </c>
      <c r="AE581" s="25" t="s">
        <v>166</v>
      </c>
      <c r="AF581" s="25" t="s">
        <v>166</v>
      </c>
      <c r="AG581" s="25" t="s">
        <v>166</v>
      </c>
      <c r="AH581" s="32">
        <v>1</v>
      </c>
      <c r="AI581" s="4">
        <f>HYPERLINK("https://my.pitchbook.com/?d=185793-13T","185793-13T")</f>
      </c>
      <c r="AJ581" s="30" t="s">
        <v>166</v>
      </c>
      <c r="AK581" s="30">
        <v>44489</v>
      </c>
      <c r="AL581" s="29">
        <v>0.05</v>
      </c>
      <c r="AM581" s="25" t="s">
        <v>185</v>
      </c>
      <c r="AN581" s="29" t="s">
        <v>166</v>
      </c>
      <c r="AO581" s="29" t="s">
        <v>166</v>
      </c>
      <c r="AP581" s="25" t="s">
        <v>166</v>
      </c>
      <c r="AQ581" s="32" t="s">
        <v>166</v>
      </c>
      <c r="AR581" s="32" t="s">
        <v>166</v>
      </c>
      <c r="AS581" s="28" t="s">
        <v>166</v>
      </c>
      <c r="AT581" s="29">
        <v>0.05</v>
      </c>
      <c r="AU581" s="32" t="s">
        <v>186</v>
      </c>
      <c r="AV581" s="32" t="s">
        <v>166</v>
      </c>
      <c r="AW581" s="29" t="s">
        <v>166</v>
      </c>
      <c r="AX581" s="32" t="s">
        <v>746</v>
      </c>
      <c r="AY581" s="25" t="s">
        <v>187</v>
      </c>
      <c r="AZ581" s="25" t="s">
        <v>746</v>
      </c>
      <c r="BA581" s="25" t="s">
        <v>166</v>
      </c>
      <c r="BB581" s="32" t="s">
        <v>166</v>
      </c>
      <c r="BC581" s="25" t="s">
        <v>179</v>
      </c>
      <c r="BD581" s="25" t="s">
        <v>11241</v>
      </c>
      <c r="BE581" s="25" t="s">
        <v>189</v>
      </c>
      <c r="BF581" s="29">
        <v>0.05</v>
      </c>
      <c r="BG581" s="25" t="s">
        <v>190</v>
      </c>
      <c r="BH581" s="25" t="s">
        <v>166</v>
      </c>
      <c r="BI581" s="25" t="s">
        <v>166</v>
      </c>
      <c r="BJ581" s="29" t="s">
        <v>166</v>
      </c>
      <c r="BK581" s="29" t="s">
        <v>166</v>
      </c>
      <c r="BL581" s="25" t="s">
        <v>191</v>
      </c>
      <c r="BM581" s="25" t="s">
        <v>358</v>
      </c>
      <c r="BN581" s="25" t="s">
        <v>177</v>
      </c>
      <c r="BO581" s="33" t="s">
        <v>166</v>
      </c>
      <c r="BP581" s="25" t="s">
        <v>5655</v>
      </c>
      <c r="BQ581" s="32">
        <v>1</v>
      </c>
      <c r="BR581" s="25" t="s">
        <v>166</v>
      </c>
      <c r="BS581" s="32" t="s">
        <v>166</v>
      </c>
      <c r="BT581" s="25" t="s">
        <v>166</v>
      </c>
      <c r="BU581" s="25" t="s">
        <v>166</v>
      </c>
      <c r="BV581" s="25" t="s">
        <v>166</v>
      </c>
      <c r="BW581" s="25" t="s">
        <v>166</v>
      </c>
      <c r="BX581" s="25" t="s">
        <v>166</v>
      </c>
      <c r="BY581" s="25" t="s">
        <v>166</v>
      </c>
      <c r="BZ581" s="25" t="s">
        <v>166</v>
      </c>
      <c r="CA581" s="25" t="s">
        <v>166</v>
      </c>
      <c r="CB581" s="25" t="s">
        <v>166</v>
      </c>
      <c r="CC581" s="25" t="s">
        <v>166</v>
      </c>
      <c r="CD581" s="25" t="s">
        <v>166</v>
      </c>
      <c r="CE581" s="29" t="s">
        <v>166</v>
      </c>
      <c r="CF581" s="27" t="s">
        <v>166</v>
      </c>
      <c r="CG581" s="28" t="s">
        <v>166</v>
      </c>
      <c r="CH581" s="27" t="s">
        <v>166</v>
      </c>
      <c r="CI581" s="27" t="s">
        <v>166</v>
      </c>
      <c r="CJ581" s="27" t="s">
        <v>166</v>
      </c>
      <c r="CK581" s="27" t="s">
        <v>166</v>
      </c>
      <c r="CL581" s="27" t="s">
        <v>166</v>
      </c>
      <c r="CM581" s="31" t="s">
        <v>166</v>
      </c>
      <c r="CN581" s="27" t="s">
        <v>166</v>
      </c>
      <c r="CO581" s="27" t="s">
        <v>166</v>
      </c>
      <c r="CP581" s="27" t="s">
        <v>166</v>
      </c>
      <c r="CQ581" s="27" t="s">
        <v>166</v>
      </c>
      <c r="CR581" s="27" t="s">
        <v>166</v>
      </c>
      <c r="CS581" s="27" t="s">
        <v>166</v>
      </c>
      <c r="CT581" s="27" t="s">
        <v>166</v>
      </c>
      <c r="CU581" s="27" t="s">
        <v>166</v>
      </c>
      <c r="CV581" s="27" t="s">
        <v>166</v>
      </c>
      <c r="CW581" s="27" t="s">
        <v>166</v>
      </c>
      <c r="CX581" s="27" t="s">
        <v>166</v>
      </c>
      <c r="CY581" s="27" t="s">
        <v>166</v>
      </c>
      <c r="CZ581" s="27" t="s">
        <v>166</v>
      </c>
      <c r="DA581" s="27" t="s">
        <v>166</v>
      </c>
      <c r="DB581" s="27" t="s">
        <v>166</v>
      </c>
      <c r="DC581" s="27" t="s">
        <v>166</v>
      </c>
      <c r="DD581" s="27" t="s">
        <v>166</v>
      </c>
      <c r="DE581" s="28" t="s">
        <v>166</v>
      </c>
      <c r="DF581" s="33">
        <v>5</v>
      </c>
      <c r="DG581" s="25" t="s">
        <v>11242</v>
      </c>
      <c r="DH581" s="25" t="s">
        <v>193</v>
      </c>
      <c r="DI581" s="25" t="s">
        <v>194</v>
      </c>
      <c r="DJ581" s="25" t="s">
        <v>11243</v>
      </c>
      <c r="DK581" s="25" t="s">
        <v>5667</v>
      </c>
      <c r="DL581" s="32" t="s">
        <v>11244</v>
      </c>
      <c r="DM581" s="25" t="s">
        <v>198</v>
      </c>
      <c r="DN581" s="24" t="s">
        <v>11245</v>
      </c>
      <c r="DO581" s="31">
        <v>2021</v>
      </c>
      <c r="DP581" s="25" t="s">
        <v>166</v>
      </c>
      <c r="DQ581" s="25" t="s">
        <v>166</v>
      </c>
      <c r="DR581" s="29" t="s">
        <v>166</v>
      </c>
      <c r="DS581" s="27" t="s">
        <v>166</v>
      </c>
      <c r="DT581" s="30" t="s">
        <v>166</v>
      </c>
      <c r="DU581" s="25" t="s">
        <v>166</v>
      </c>
      <c r="DV581" s="29" t="s">
        <v>166</v>
      </c>
      <c r="DW581" s="29" t="s">
        <v>166</v>
      </c>
      <c r="DX581" s="27" t="s">
        <v>166</v>
      </c>
      <c r="DY581" s="27" t="s">
        <v>166</v>
      </c>
      <c r="DZ581" s="28" t="s">
        <v>166</v>
      </c>
      <c r="EA581" s="27" t="s">
        <v>166</v>
      </c>
      <c r="EB581" s="27" t="s">
        <v>166</v>
      </c>
      <c r="EC581" s="27" t="s">
        <v>166</v>
      </c>
      <c r="ED581" s="28" t="s">
        <v>166</v>
      </c>
      <c r="EE581" s="28" t="s">
        <v>166</v>
      </c>
      <c r="EF581" s="28" t="s">
        <v>166</v>
      </c>
      <c r="EG581" s="28" t="s">
        <v>166</v>
      </c>
      <c r="EH581" s="27" t="s">
        <v>166</v>
      </c>
      <c r="EI581" s="27" t="s">
        <v>166</v>
      </c>
      <c r="EJ581" s="27" t="s">
        <v>166</v>
      </c>
      <c r="EK581" s="27" t="s">
        <v>166</v>
      </c>
      <c r="EL581" s="27" t="s">
        <v>166</v>
      </c>
      <c r="EM581" s="27" t="s">
        <v>166</v>
      </c>
      <c r="EN581" s="27" t="s">
        <v>166</v>
      </c>
      <c r="EO581" s="27" t="s">
        <v>166</v>
      </c>
      <c r="EP581" s="27" t="s">
        <v>166</v>
      </c>
      <c r="EQ581" s="27" t="s">
        <v>166</v>
      </c>
      <c r="ER581" s="27" t="s">
        <v>166</v>
      </c>
      <c r="ES581" s="27" t="s">
        <v>166</v>
      </c>
      <c r="ET581" s="25" t="s">
        <v>166</v>
      </c>
      <c r="EU581" s="27" t="s">
        <v>166</v>
      </c>
      <c r="EV581" s="27" t="s">
        <v>166</v>
      </c>
      <c r="EW581" s="27" t="s">
        <v>166</v>
      </c>
      <c r="EX581" s="25" t="s">
        <v>190</v>
      </c>
      <c r="EY581" s="25" t="s">
        <v>166</v>
      </c>
      <c r="EZ581" s="27" t="s">
        <v>166</v>
      </c>
      <c r="FA581" s="26" t="s">
        <v>166</v>
      </c>
      <c r="FB581" s="26" t="s">
        <v>166</v>
      </c>
      <c r="FC581" s="26" t="s">
        <v>166</v>
      </c>
      <c r="FD581" s="26" t="s">
        <v>166</v>
      </c>
      <c r="FE581" s="26" t="s">
        <v>166</v>
      </c>
      <c r="FF581" s="26" t="s">
        <v>166</v>
      </c>
      <c r="FG581" s="25" t="s">
        <v>166</v>
      </c>
      <c r="FH581" s="4">
        <f>HYPERLINK("https://my.pitchbook.com?c=185793-13T","View Company Online")</f>
      </c>
    </row>
    <row r="582">
      <c r="A582" s="14" t="s">
        <v>11246</v>
      </c>
      <c r="B582" s="14" t="s">
        <v>11247</v>
      </c>
      <c r="C582" s="14" t="s">
        <v>11248</v>
      </c>
      <c r="D582" s="14" t="s">
        <v>166</v>
      </c>
      <c r="E582" s="23" t="s">
        <v>11249</v>
      </c>
      <c r="F582" s="21">
        <v>9</v>
      </c>
      <c r="G582" s="14" t="s">
        <v>11250</v>
      </c>
      <c r="H582" s="14" t="s">
        <v>166</v>
      </c>
      <c r="I582" s="14" t="s">
        <v>11251</v>
      </c>
      <c r="J582" s="14" t="s">
        <v>11252</v>
      </c>
      <c r="K582" s="14" t="s">
        <v>207</v>
      </c>
      <c r="L582" s="14" t="s">
        <v>208</v>
      </c>
      <c r="M582" s="14" t="s">
        <v>209</v>
      </c>
      <c r="N582" s="14" t="s">
        <v>269</v>
      </c>
      <c r="O582" s="14" t="s">
        <v>11253</v>
      </c>
      <c r="P582" s="14" t="s">
        <v>11254</v>
      </c>
      <c r="Q582" s="14" t="s">
        <v>11255</v>
      </c>
      <c r="R582" s="14" t="s">
        <v>177</v>
      </c>
      <c r="S582" s="14" t="s">
        <v>358</v>
      </c>
      <c r="T582" s="14" t="s">
        <v>179</v>
      </c>
      <c r="U582" s="14" t="s">
        <v>11256</v>
      </c>
      <c r="V582" s="14" t="s">
        <v>11257</v>
      </c>
      <c r="W582" s="21" t="s">
        <v>166</v>
      </c>
      <c r="X582" s="14" t="s">
        <v>166</v>
      </c>
      <c r="Y582" s="14" t="s">
        <v>11258</v>
      </c>
      <c r="Z582" s="14" t="s">
        <v>166</v>
      </c>
      <c r="AA582" s="14" t="s">
        <v>166</v>
      </c>
      <c r="AB582" s="14" t="s">
        <v>166</v>
      </c>
      <c r="AC582" s="14" t="s">
        <v>166</v>
      </c>
      <c r="AD582" s="14" t="s">
        <v>166</v>
      </c>
      <c r="AE582" s="14" t="s">
        <v>166</v>
      </c>
      <c r="AF582" s="14" t="s">
        <v>166</v>
      </c>
      <c r="AG582" s="14" t="s">
        <v>166</v>
      </c>
      <c r="AH582" s="21">
        <v>1</v>
      </c>
      <c r="AI582" s="3">
        <f>HYPERLINK("https://my.pitchbook.com/?d=244037-62T","244037-62T")</f>
      </c>
      <c r="AJ582" s="19" t="s">
        <v>166</v>
      </c>
      <c r="AK582" s="19">
        <v>45222</v>
      </c>
      <c r="AL582" s="18">
        <v>2</v>
      </c>
      <c r="AM582" s="14" t="s">
        <v>185</v>
      </c>
      <c r="AN582" s="18" t="s">
        <v>166</v>
      </c>
      <c r="AO582" s="18" t="s">
        <v>166</v>
      </c>
      <c r="AP582" s="14" t="s">
        <v>166</v>
      </c>
      <c r="AQ582" s="21" t="s">
        <v>166</v>
      </c>
      <c r="AR582" s="21" t="s">
        <v>166</v>
      </c>
      <c r="AS582" s="17" t="s">
        <v>166</v>
      </c>
      <c r="AT582" s="18">
        <v>2</v>
      </c>
      <c r="AU582" s="21" t="s">
        <v>186</v>
      </c>
      <c r="AV582" s="21" t="s">
        <v>166</v>
      </c>
      <c r="AW582" s="18" t="s">
        <v>166</v>
      </c>
      <c r="AX582" s="21" t="s">
        <v>166</v>
      </c>
      <c r="AY582" s="14" t="s">
        <v>217</v>
      </c>
      <c r="AZ582" s="14" t="s">
        <v>217</v>
      </c>
      <c r="BA582" s="14" t="s">
        <v>166</v>
      </c>
      <c r="BB582" s="21" t="s">
        <v>166</v>
      </c>
      <c r="BC582" s="14" t="s">
        <v>179</v>
      </c>
      <c r="BD582" s="14" t="s">
        <v>11259</v>
      </c>
      <c r="BE582" s="14" t="s">
        <v>189</v>
      </c>
      <c r="BF582" s="18">
        <v>2</v>
      </c>
      <c r="BG582" s="14" t="s">
        <v>190</v>
      </c>
      <c r="BH582" s="14" t="s">
        <v>166</v>
      </c>
      <c r="BI582" s="14" t="s">
        <v>166</v>
      </c>
      <c r="BJ582" s="18" t="s">
        <v>166</v>
      </c>
      <c r="BK582" s="18" t="s">
        <v>166</v>
      </c>
      <c r="BL582" s="14" t="s">
        <v>191</v>
      </c>
      <c r="BM582" s="14" t="s">
        <v>358</v>
      </c>
      <c r="BN582" s="14" t="s">
        <v>177</v>
      </c>
      <c r="BO582" s="22" t="s">
        <v>166</v>
      </c>
      <c r="BP582" s="14" t="s">
        <v>11260</v>
      </c>
      <c r="BQ582" s="21">
        <v>9</v>
      </c>
      <c r="BR582" s="14" t="s">
        <v>166</v>
      </c>
      <c r="BS582" s="21" t="s">
        <v>166</v>
      </c>
      <c r="BT582" s="14" t="s">
        <v>11261</v>
      </c>
      <c r="BU582" s="14" t="s">
        <v>166</v>
      </c>
      <c r="BV582" s="14" t="s">
        <v>166</v>
      </c>
      <c r="BW582" s="14" t="s">
        <v>166</v>
      </c>
      <c r="BX582" s="14" t="s">
        <v>166</v>
      </c>
      <c r="BY582" s="14" t="s">
        <v>166</v>
      </c>
      <c r="BZ582" s="14" t="s">
        <v>996</v>
      </c>
      <c r="CA582" s="14" t="s">
        <v>996</v>
      </c>
      <c r="CB582" s="14" t="s">
        <v>166</v>
      </c>
      <c r="CC582" s="14" t="s">
        <v>166</v>
      </c>
      <c r="CD582" s="14" t="s">
        <v>166</v>
      </c>
      <c r="CE582" s="18" t="s">
        <v>166</v>
      </c>
      <c r="CF582" s="16" t="s">
        <v>166</v>
      </c>
      <c r="CG582" s="17" t="s">
        <v>166</v>
      </c>
      <c r="CH582" s="16" t="s">
        <v>166</v>
      </c>
      <c r="CI582" s="16" t="s">
        <v>166</v>
      </c>
      <c r="CJ582" s="16" t="s">
        <v>166</v>
      </c>
      <c r="CK582" s="16" t="s">
        <v>166</v>
      </c>
      <c r="CL582" s="16" t="s">
        <v>166</v>
      </c>
      <c r="CM582" s="20" t="s">
        <v>166</v>
      </c>
      <c r="CN582" s="16" t="s">
        <v>166</v>
      </c>
      <c r="CO582" s="16" t="s">
        <v>166</v>
      </c>
      <c r="CP582" s="16" t="s">
        <v>166</v>
      </c>
      <c r="CQ582" s="16" t="s">
        <v>166</v>
      </c>
      <c r="CR582" s="16" t="s">
        <v>166</v>
      </c>
      <c r="CS582" s="16" t="s">
        <v>166</v>
      </c>
      <c r="CT582" s="16" t="s">
        <v>166</v>
      </c>
      <c r="CU582" s="16" t="s">
        <v>166</v>
      </c>
      <c r="CV582" s="16" t="s">
        <v>166</v>
      </c>
      <c r="CW582" s="16" t="s">
        <v>166</v>
      </c>
      <c r="CX582" s="16" t="s">
        <v>166</v>
      </c>
      <c r="CY582" s="16" t="s">
        <v>166</v>
      </c>
      <c r="CZ582" s="16" t="s">
        <v>166</v>
      </c>
      <c r="DA582" s="16" t="s">
        <v>166</v>
      </c>
      <c r="DB582" s="16" t="s">
        <v>166</v>
      </c>
      <c r="DC582" s="16" t="s">
        <v>166</v>
      </c>
      <c r="DD582" s="16" t="s">
        <v>166</v>
      </c>
      <c r="DE582" s="17" t="s">
        <v>166</v>
      </c>
      <c r="DF582" s="22">
        <v>10</v>
      </c>
      <c r="DG582" s="14" t="s">
        <v>568</v>
      </c>
      <c r="DH582" s="14" t="s">
        <v>193</v>
      </c>
      <c r="DI582" s="14" t="s">
        <v>194</v>
      </c>
      <c r="DJ582" s="14" t="s">
        <v>569</v>
      </c>
      <c r="DK582" s="14" t="s">
        <v>408</v>
      </c>
      <c r="DL582" s="21" t="s">
        <v>166</v>
      </c>
      <c r="DM582" s="14" t="s">
        <v>198</v>
      </c>
      <c r="DN582" s="13" t="s">
        <v>11262</v>
      </c>
      <c r="DO582" s="20">
        <v>2023</v>
      </c>
      <c r="DP582" s="14" t="s">
        <v>166</v>
      </c>
      <c r="DQ582" s="14" t="s">
        <v>166</v>
      </c>
      <c r="DR582" s="18" t="s">
        <v>166</v>
      </c>
      <c r="DS582" s="16" t="s">
        <v>166</v>
      </c>
      <c r="DT582" s="19" t="s">
        <v>166</v>
      </c>
      <c r="DU582" s="14" t="s">
        <v>166</v>
      </c>
      <c r="DV582" s="18" t="s">
        <v>166</v>
      </c>
      <c r="DW582" s="18" t="s">
        <v>166</v>
      </c>
      <c r="DX582" s="16" t="s">
        <v>166</v>
      </c>
      <c r="DY582" s="16" t="s">
        <v>166</v>
      </c>
      <c r="DZ582" s="17" t="s">
        <v>166</v>
      </c>
      <c r="EA582" s="16" t="s">
        <v>166</v>
      </c>
      <c r="EB582" s="16" t="s">
        <v>166</v>
      </c>
      <c r="EC582" s="16" t="s">
        <v>166</v>
      </c>
      <c r="ED582" s="17" t="s">
        <v>166</v>
      </c>
      <c r="EE582" s="17" t="s">
        <v>166</v>
      </c>
      <c r="EF582" s="17" t="s">
        <v>166</v>
      </c>
      <c r="EG582" s="17" t="s">
        <v>166</v>
      </c>
      <c r="EH582" s="16" t="s">
        <v>166</v>
      </c>
      <c r="EI582" s="16" t="s">
        <v>166</v>
      </c>
      <c r="EJ582" s="16" t="s">
        <v>166</v>
      </c>
      <c r="EK582" s="16" t="s">
        <v>166</v>
      </c>
      <c r="EL582" s="16" t="s">
        <v>166</v>
      </c>
      <c r="EM582" s="16" t="s">
        <v>166</v>
      </c>
      <c r="EN582" s="16" t="s">
        <v>166</v>
      </c>
      <c r="EO582" s="16" t="s">
        <v>166</v>
      </c>
      <c r="EP582" s="16" t="s">
        <v>166</v>
      </c>
      <c r="EQ582" s="16" t="s">
        <v>166</v>
      </c>
      <c r="ER582" s="16" t="s">
        <v>166</v>
      </c>
      <c r="ES582" s="16" t="s">
        <v>166</v>
      </c>
      <c r="ET582" s="14" t="s">
        <v>166</v>
      </c>
      <c r="EU582" s="16" t="s">
        <v>166</v>
      </c>
      <c r="EV582" s="16" t="s">
        <v>166</v>
      </c>
      <c r="EW582" s="16" t="s">
        <v>166</v>
      </c>
      <c r="EX582" s="14" t="s">
        <v>190</v>
      </c>
      <c r="EY582" s="14" t="s">
        <v>166</v>
      </c>
      <c r="EZ582" s="16" t="s">
        <v>166</v>
      </c>
      <c r="FA582" s="15" t="s">
        <v>166</v>
      </c>
      <c r="FB582" s="15" t="s">
        <v>166</v>
      </c>
      <c r="FC582" s="15" t="s">
        <v>166</v>
      </c>
      <c r="FD582" s="15" t="s">
        <v>166</v>
      </c>
      <c r="FE582" s="15" t="s">
        <v>166</v>
      </c>
      <c r="FF582" s="15" t="s">
        <v>166</v>
      </c>
      <c r="FG582" s="14" t="s">
        <v>166</v>
      </c>
      <c r="FH582" s="3">
        <f>HYPERLINK("https://my.pitchbook.com?c=244037-62T","View Company Online")</f>
      </c>
    </row>
    <row r="583">
      <c r="A583" s="25" t="s">
        <v>11263</v>
      </c>
      <c r="B583" s="25" t="s">
        <v>11264</v>
      </c>
      <c r="C583" s="25" t="s">
        <v>11265</v>
      </c>
      <c r="D583" s="25" t="s">
        <v>166</v>
      </c>
      <c r="E583" s="34" t="s">
        <v>11266</v>
      </c>
      <c r="F583" s="32">
        <v>1</v>
      </c>
      <c r="G583" s="25" t="s">
        <v>11267</v>
      </c>
      <c r="H583" s="25" t="s">
        <v>166</v>
      </c>
      <c r="I583" s="25" t="s">
        <v>11268</v>
      </c>
      <c r="J583" s="25" t="s">
        <v>11269</v>
      </c>
      <c r="K583" s="25" t="s">
        <v>207</v>
      </c>
      <c r="L583" s="25" t="s">
        <v>208</v>
      </c>
      <c r="M583" s="25" t="s">
        <v>1766</v>
      </c>
      <c r="N583" s="25" t="s">
        <v>11270</v>
      </c>
      <c r="O583" s="25" t="s">
        <v>1035</v>
      </c>
      <c r="P583" s="25" t="s">
        <v>11271</v>
      </c>
      <c r="Q583" s="25" t="s">
        <v>166</v>
      </c>
      <c r="R583" s="25" t="s">
        <v>177</v>
      </c>
      <c r="S583" s="25" t="s">
        <v>178</v>
      </c>
      <c r="T583" s="25" t="s">
        <v>179</v>
      </c>
      <c r="U583" s="25" t="s">
        <v>11272</v>
      </c>
      <c r="V583" s="25" t="s">
        <v>11273</v>
      </c>
      <c r="W583" s="32" t="s">
        <v>11274</v>
      </c>
      <c r="X583" s="25" t="s">
        <v>11275</v>
      </c>
      <c r="Y583" s="25" t="s">
        <v>11276</v>
      </c>
      <c r="Z583" s="25" t="s">
        <v>166</v>
      </c>
      <c r="AA583" s="25" t="s">
        <v>242</v>
      </c>
      <c r="AB583" s="25" t="s">
        <v>243</v>
      </c>
      <c r="AC583" s="25" t="s">
        <v>244</v>
      </c>
      <c r="AD583" s="25" t="s">
        <v>243</v>
      </c>
      <c r="AE583" s="25" t="s">
        <v>243</v>
      </c>
      <c r="AF583" s="25" t="s">
        <v>245</v>
      </c>
      <c r="AG583" s="25" t="s">
        <v>246</v>
      </c>
      <c r="AH583" s="32">
        <v>1</v>
      </c>
      <c r="AI583" s="4">
        <f>HYPERLINK("https://my.pitchbook.com/?d=179057-71T","179057-71T")</f>
      </c>
      <c r="AJ583" s="30">
        <v>44425</v>
      </c>
      <c r="AK583" s="30">
        <v>44538</v>
      </c>
      <c r="AL583" s="29">
        <v>2.24</v>
      </c>
      <c r="AM583" s="25" t="s">
        <v>185</v>
      </c>
      <c r="AN583" s="29">
        <v>5.76</v>
      </c>
      <c r="AO583" s="29">
        <v>8</v>
      </c>
      <c r="AP583" s="25" t="s">
        <v>185</v>
      </c>
      <c r="AQ583" s="32" t="s">
        <v>166</v>
      </c>
      <c r="AR583" s="32" t="s">
        <v>166</v>
      </c>
      <c r="AS583" s="28">
        <v>28</v>
      </c>
      <c r="AT583" s="29">
        <v>2.24</v>
      </c>
      <c r="AU583" s="32" t="s">
        <v>186</v>
      </c>
      <c r="AV583" s="32" t="s">
        <v>166</v>
      </c>
      <c r="AW583" s="29">
        <v>0.42</v>
      </c>
      <c r="AX583" s="32" t="s">
        <v>166</v>
      </c>
      <c r="AY583" s="25" t="s">
        <v>217</v>
      </c>
      <c r="AZ583" s="25" t="s">
        <v>217</v>
      </c>
      <c r="BA583" s="25" t="s">
        <v>166</v>
      </c>
      <c r="BB583" s="32" t="s">
        <v>166</v>
      </c>
      <c r="BC583" s="25" t="s">
        <v>179</v>
      </c>
      <c r="BD583" s="25" t="s">
        <v>11277</v>
      </c>
      <c r="BE583" s="25" t="s">
        <v>189</v>
      </c>
      <c r="BF583" s="29">
        <v>2.24</v>
      </c>
      <c r="BG583" s="25" t="s">
        <v>190</v>
      </c>
      <c r="BH583" s="25" t="s">
        <v>166</v>
      </c>
      <c r="BI583" s="25" t="s">
        <v>166</v>
      </c>
      <c r="BJ583" s="29" t="s">
        <v>166</v>
      </c>
      <c r="BK583" s="29" t="s">
        <v>166</v>
      </c>
      <c r="BL583" s="25" t="s">
        <v>191</v>
      </c>
      <c r="BM583" s="25" t="s">
        <v>178</v>
      </c>
      <c r="BN583" s="25" t="s">
        <v>177</v>
      </c>
      <c r="BO583" s="33" t="s">
        <v>166</v>
      </c>
      <c r="BP583" s="25" t="s">
        <v>11266</v>
      </c>
      <c r="BQ583" s="32">
        <v>1</v>
      </c>
      <c r="BR583" s="25" t="s">
        <v>166</v>
      </c>
      <c r="BS583" s="32" t="s">
        <v>166</v>
      </c>
      <c r="BT583" s="25" t="s">
        <v>166</v>
      </c>
      <c r="BU583" s="25" t="s">
        <v>166</v>
      </c>
      <c r="BV583" s="25" t="s">
        <v>11278</v>
      </c>
      <c r="BW583" s="25" t="s">
        <v>166</v>
      </c>
      <c r="BX583" s="25" t="s">
        <v>166</v>
      </c>
      <c r="BY583" s="25" t="s">
        <v>166</v>
      </c>
      <c r="BZ583" s="25" t="s">
        <v>1327</v>
      </c>
      <c r="CA583" s="25" t="s">
        <v>1327</v>
      </c>
      <c r="CB583" s="25" t="s">
        <v>166</v>
      </c>
      <c r="CC583" s="25" t="s">
        <v>166</v>
      </c>
      <c r="CD583" s="25" t="s">
        <v>166</v>
      </c>
      <c r="CE583" s="29" t="s">
        <v>166</v>
      </c>
      <c r="CF583" s="27" t="s">
        <v>166</v>
      </c>
      <c r="CG583" s="28" t="s">
        <v>166</v>
      </c>
      <c r="CH583" s="27" t="s">
        <v>166</v>
      </c>
      <c r="CI583" s="27" t="s">
        <v>166</v>
      </c>
      <c r="CJ583" s="27" t="s">
        <v>166</v>
      </c>
      <c r="CK583" s="27" t="s">
        <v>166</v>
      </c>
      <c r="CL583" s="27" t="s">
        <v>166</v>
      </c>
      <c r="CM583" s="31" t="s">
        <v>166</v>
      </c>
      <c r="CN583" s="27" t="s">
        <v>166</v>
      </c>
      <c r="CO583" s="27" t="s">
        <v>166</v>
      </c>
      <c r="CP583" s="27" t="s">
        <v>166</v>
      </c>
      <c r="CQ583" s="27" t="s">
        <v>166</v>
      </c>
      <c r="CR583" s="27" t="s">
        <v>166</v>
      </c>
      <c r="CS583" s="27" t="s">
        <v>166</v>
      </c>
      <c r="CT583" s="27" t="s">
        <v>166</v>
      </c>
      <c r="CU583" s="27" t="s">
        <v>166</v>
      </c>
      <c r="CV583" s="27" t="s">
        <v>166</v>
      </c>
      <c r="CW583" s="27" t="s">
        <v>166</v>
      </c>
      <c r="CX583" s="27" t="s">
        <v>166</v>
      </c>
      <c r="CY583" s="27" t="s">
        <v>166</v>
      </c>
      <c r="CZ583" s="27" t="s">
        <v>166</v>
      </c>
      <c r="DA583" s="27" t="s">
        <v>166</v>
      </c>
      <c r="DB583" s="27" t="s">
        <v>166</v>
      </c>
      <c r="DC583" s="27" t="s">
        <v>166</v>
      </c>
      <c r="DD583" s="27" t="s">
        <v>166</v>
      </c>
      <c r="DE583" s="28" t="s">
        <v>166</v>
      </c>
      <c r="DF583" s="33">
        <v>11</v>
      </c>
      <c r="DG583" s="25" t="s">
        <v>1540</v>
      </c>
      <c r="DH583" s="25" t="s">
        <v>193</v>
      </c>
      <c r="DI583" s="25" t="s">
        <v>194</v>
      </c>
      <c r="DJ583" s="25" t="s">
        <v>1541</v>
      </c>
      <c r="DK583" s="25" t="s">
        <v>257</v>
      </c>
      <c r="DL583" s="32" t="s">
        <v>2503</v>
      </c>
      <c r="DM583" s="25" t="s">
        <v>198</v>
      </c>
      <c r="DN583" s="24" t="s">
        <v>11279</v>
      </c>
      <c r="DO583" s="31">
        <v>2018</v>
      </c>
      <c r="DP583" s="25" t="s">
        <v>166</v>
      </c>
      <c r="DQ583" s="25" t="s">
        <v>166</v>
      </c>
      <c r="DR583" s="29" t="s">
        <v>166</v>
      </c>
      <c r="DS583" s="27" t="s">
        <v>166</v>
      </c>
      <c r="DT583" s="30" t="s">
        <v>166</v>
      </c>
      <c r="DU583" s="25" t="s">
        <v>166</v>
      </c>
      <c r="DV583" s="29" t="s">
        <v>166</v>
      </c>
      <c r="DW583" s="29" t="s">
        <v>166</v>
      </c>
      <c r="DX583" s="27" t="s">
        <v>166</v>
      </c>
      <c r="DY583" s="27" t="s">
        <v>166</v>
      </c>
      <c r="DZ583" s="28" t="s">
        <v>166</v>
      </c>
      <c r="EA583" s="27" t="s">
        <v>166</v>
      </c>
      <c r="EB583" s="27" t="s">
        <v>166</v>
      </c>
      <c r="EC583" s="27" t="s">
        <v>166</v>
      </c>
      <c r="ED583" s="28" t="s">
        <v>166</v>
      </c>
      <c r="EE583" s="28" t="s">
        <v>166</v>
      </c>
      <c r="EF583" s="28" t="s">
        <v>166</v>
      </c>
      <c r="EG583" s="28" t="s">
        <v>166</v>
      </c>
      <c r="EH583" s="27" t="s">
        <v>166</v>
      </c>
      <c r="EI583" s="27" t="s">
        <v>166</v>
      </c>
      <c r="EJ583" s="27" t="s">
        <v>166</v>
      </c>
      <c r="EK583" s="27" t="s">
        <v>166</v>
      </c>
      <c r="EL583" s="27" t="s">
        <v>166</v>
      </c>
      <c r="EM583" s="27" t="s">
        <v>166</v>
      </c>
      <c r="EN583" s="27" t="s">
        <v>166</v>
      </c>
      <c r="EO583" s="27" t="s">
        <v>166</v>
      </c>
      <c r="EP583" s="27" t="s">
        <v>166</v>
      </c>
      <c r="EQ583" s="27" t="s">
        <v>166</v>
      </c>
      <c r="ER583" s="27" t="s">
        <v>166</v>
      </c>
      <c r="ES583" s="27" t="s">
        <v>166</v>
      </c>
      <c r="ET583" s="25" t="s">
        <v>166</v>
      </c>
      <c r="EU583" s="27" t="s">
        <v>166</v>
      </c>
      <c r="EV583" s="27" t="s">
        <v>166</v>
      </c>
      <c r="EW583" s="27" t="s">
        <v>166</v>
      </c>
      <c r="EX583" s="25" t="s">
        <v>190</v>
      </c>
      <c r="EY583" s="25" t="s">
        <v>166</v>
      </c>
      <c r="EZ583" s="27" t="s">
        <v>166</v>
      </c>
      <c r="FA583" s="26" t="s">
        <v>166</v>
      </c>
      <c r="FB583" s="26" t="s">
        <v>166</v>
      </c>
      <c r="FC583" s="26" t="s">
        <v>166</v>
      </c>
      <c r="FD583" s="26" t="s">
        <v>166</v>
      </c>
      <c r="FE583" s="26" t="s">
        <v>166</v>
      </c>
      <c r="FF583" s="26" t="s">
        <v>166</v>
      </c>
      <c r="FG583" s="25" t="s">
        <v>166</v>
      </c>
      <c r="FH583" s="4">
        <f>HYPERLINK("https://my.pitchbook.com?c=179057-71T","View Company Online")</f>
      </c>
    </row>
    <row r="584">
      <c r="A584" s="14" t="s">
        <v>11280</v>
      </c>
      <c r="B584" s="14" t="s">
        <v>11281</v>
      </c>
      <c r="C584" s="14" t="s">
        <v>11282</v>
      </c>
      <c r="D584" s="14" t="s">
        <v>166</v>
      </c>
      <c r="E584" s="23" t="s">
        <v>11283</v>
      </c>
      <c r="F584" s="21">
        <v>1</v>
      </c>
      <c r="G584" s="14" t="s">
        <v>11284</v>
      </c>
      <c r="H584" s="14" t="s">
        <v>166</v>
      </c>
      <c r="I584" s="14" t="s">
        <v>11285</v>
      </c>
      <c r="J584" s="14" t="s">
        <v>11286</v>
      </c>
      <c r="K584" s="14" t="s">
        <v>171</v>
      </c>
      <c r="L584" s="14" t="s">
        <v>172</v>
      </c>
      <c r="M584" s="14" t="s">
        <v>600</v>
      </c>
      <c r="N584" s="14" t="s">
        <v>11287</v>
      </c>
      <c r="O584" s="14" t="s">
        <v>580</v>
      </c>
      <c r="P584" s="14" t="s">
        <v>11288</v>
      </c>
      <c r="Q584" s="14" t="s">
        <v>166</v>
      </c>
      <c r="R584" s="14" t="s">
        <v>177</v>
      </c>
      <c r="S584" s="14" t="s">
        <v>178</v>
      </c>
      <c r="T584" s="14" t="s">
        <v>179</v>
      </c>
      <c r="U584" s="14" t="s">
        <v>11289</v>
      </c>
      <c r="V584" s="14" t="s">
        <v>11290</v>
      </c>
      <c r="W584" s="21" t="s">
        <v>166</v>
      </c>
      <c r="X584" s="14" t="s">
        <v>166</v>
      </c>
      <c r="Y584" s="14" t="s">
        <v>11291</v>
      </c>
      <c r="Z584" s="14" t="s">
        <v>166</v>
      </c>
      <c r="AA584" s="14" t="s">
        <v>242</v>
      </c>
      <c r="AB584" s="14" t="s">
        <v>243</v>
      </c>
      <c r="AC584" s="14" t="s">
        <v>244</v>
      </c>
      <c r="AD584" s="14" t="s">
        <v>243</v>
      </c>
      <c r="AE584" s="14" t="s">
        <v>243</v>
      </c>
      <c r="AF584" s="14" t="s">
        <v>166</v>
      </c>
      <c r="AG584" s="14" t="s">
        <v>246</v>
      </c>
      <c r="AH584" s="21">
        <v>1</v>
      </c>
      <c r="AI584" s="3">
        <f>HYPERLINK("https://my.pitchbook.com/?d=272608-57T","272608-57T")</f>
      </c>
      <c r="AJ584" s="19">
        <v>45539</v>
      </c>
      <c r="AK584" s="19">
        <v>45554</v>
      </c>
      <c r="AL584" s="18">
        <v>2.64</v>
      </c>
      <c r="AM584" s="14" t="s">
        <v>185</v>
      </c>
      <c r="AN584" s="18">
        <v>10.36</v>
      </c>
      <c r="AO584" s="18">
        <v>13</v>
      </c>
      <c r="AP584" s="14" t="s">
        <v>185</v>
      </c>
      <c r="AQ584" s="21" t="s">
        <v>166</v>
      </c>
      <c r="AR584" s="21" t="s">
        <v>166</v>
      </c>
      <c r="AS584" s="17">
        <v>20.68</v>
      </c>
      <c r="AT584" s="18">
        <v>2.64</v>
      </c>
      <c r="AU584" s="21" t="s">
        <v>186</v>
      </c>
      <c r="AV584" s="21" t="s">
        <v>166</v>
      </c>
      <c r="AW584" s="18">
        <v>0.86</v>
      </c>
      <c r="AX584" s="21" t="s">
        <v>166</v>
      </c>
      <c r="AY584" s="14" t="s">
        <v>217</v>
      </c>
      <c r="AZ584" s="14" t="s">
        <v>217</v>
      </c>
      <c r="BA584" s="14" t="s">
        <v>166</v>
      </c>
      <c r="BB584" s="21" t="s">
        <v>166</v>
      </c>
      <c r="BC584" s="14" t="s">
        <v>179</v>
      </c>
      <c r="BD584" s="14" t="s">
        <v>11286</v>
      </c>
      <c r="BE584" s="14" t="s">
        <v>189</v>
      </c>
      <c r="BF584" s="18">
        <v>2.64</v>
      </c>
      <c r="BG584" s="14" t="s">
        <v>190</v>
      </c>
      <c r="BH584" s="14" t="s">
        <v>166</v>
      </c>
      <c r="BI584" s="14" t="s">
        <v>166</v>
      </c>
      <c r="BJ584" s="18" t="s">
        <v>166</v>
      </c>
      <c r="BK584" s="18" t="s">
        <v>166</v>
      </c>
      <c r="BL584" s="14" t="s">
        <v>191</v>
      </c>
      <c r="BM584" s="14" t="s">
        <v>178</v>
      </c>
      <c r="BN584" s="14" t="s">
        <v>177</v>
      </c>
      <c r="BO584" s="22" t="s">
        <v>166</v>
      </c>
      <c r="BP584" s="14" t="s">
        <v>11283</v>
      </c>
      <c r="BQ584" s="21">
        <v>1</v>
      </c>
      <c r="BR584" s="14" t="s">
        <v>166</v>
      </c>
      <c r="BS584" s="21" t="s">
        <v>166</v>
      </c>
      <c r="BT584" s="14" t="s">
        <v>166</v>
      </c>
      <c r="BU584" s="14" t="s">
        <v>166</v>
      </c>
      <c r="BV584" s="14" t="s">
        <v>166</v>
      </c>
      <c r="BW584" s="14" t="s">
        <v>166</v>
      </c>
      <c r="BX584" s="14" t="s">
        <v>166</v>
      </c>
      <c r="BY584" s="14" t="s">
        <v>166</v>
      </c>
      <c r="BZ584" s="14" t="s">
        <v>996</v>
      </c>
      <c r="CA584" s="14" t="s">
        <v>996</v>
      </c>
      <c r="CB584" s="14" t="s">
        <v>166</v>
      </c>
      <c r="CC584" s="14" t="s">
        <v>166</v>
      </c>
      <c r="CD584" s="14" t="s">
        <v>166</v>
      </c>
      <c r="CE584" s="18" t="s">
        <v>166</v>
      </c>
      <c r="CF584" s="16" t="s">
        <v>166</v>
      </c>
      <c r="CG584" s="17" t="s">
        <v>166</v>
      </c>
      <c r="CH584" s="16" t="s">
        <v>166</v>
      </c>
      <c r="CI584" s="16" t="s">
        <v>166</v>
      </c>
      <c r="CJ584" s="16" t="s">
        <v>166</v>
      </c>
      <c r="CK584" s="16" t="s">
        <v>166</v>
      </c>
      <c r="CL584" s="16" t="s">
        <v>166</v>
      </c>
      <c r="CM584" s="20" t="s">
        <v>166</v>
      </c>
      <c r="CN584" s="16" t="s">
        <v>166</v>
      </c>
      <c r="CO584" s="16" t="s">
        <v>166</v>
      </c>
      <c r="CP584" s="16" t="s">
        <v>166</v>
      </c>
      <c r="CQ584" s="16" t="s">
        <v>166</v>
      </c>
      <c r="CR584" s="16" t="s">
        <v>166</v>
      </c>
      <c r="CS584" s="16" t="s">
        <v>166</v>
      </c>
      <c r="CT584" s="16" t="s">
        <v>166</v>
      </c>
      <c r="CU584" s="16" t="s">
        <v>166</v>
      </c>
      <c r="CV584" s="16" t="s">
        <v>166</v>
      </c>
      <c r="CW584" s="16" t="s">
        <v>166</v>
      </c>
      <c r="CX584" s="16" t="s">
        <v>166</v>
      </c>
      <c r="CY584" s="16" t="s">
        <v>166</v>
      </c>
      <c r="CZ584" s="16" t="s">
        <v>166</v>
      </c>
      <c r="DA584" s="16" t="s">
        <v>166</v>
      </c>
      <c r="DB584" s="16" t="s">
        <v>166</v>
      </c>
      <c r="DC584" s="16" t="s">
        <v>166</v>
      </c>
      <c r="DD584" s="16" t="s">
        <v>166</v>
      </c>
      <c r="DE584" s="17" t="s">
        <v>166</v>
      </c>
      <c r="DF584" s="22">
        <v>2</v>
      </c>
      <c r="DG584" s="14" t="s">
        <v>309</v>
      </c>
      <c r="DH584" s="14" t="s">
        <v>193</v>
      </c>
      <c r="DI584" s="14" t="s">
        <v>194</v>
      </c>
      <c r="DJ584" s="14" t="s">
        <v>310</v>
      </c>
      <c r="DK584" s="14" t="s">
        <v>310</v>
      </c>
      <c r="DL584" s="21" t="s">
        <v>1848</v>
      </c>
      <c r="DM584" s="14" t="s">
        <v>198</v>
      </c>
      <c r="DN584" s="13" t="s">
        <v>11292</v>
      </c>
      <c r="DO584" s="20">
        <v>2024</v>
      </c>
      <c r="DP584" s="14" t="s">
        <v>166</v>
      </c>
      <c r="DQ584" s="14" t="s">
        <v>166</v>
      </c>
      <c r="DR584" s="18" t="s">
        <v>166</v>
      </c>
      <c r="DS584" s="16" t="s">
        <v>166</v>
      </c>
      <c r="DT584" s="19" t="s">
        <v>166</v>
      </c>
      <c r="DU584" s="14" t="s">
        <v>166</v>
      </c>
      <c r="DV584" s="18" t="s">
        <v>166</v>
      </c>
      <c r="DW584" s="18" t="s">
        <v>166</v>
      </c>
      <c r="DX584" s="16" t="s">
        <v>166</v>
      </c>
      <c r="DY584" s="16" t="s">
        <v>166</v>
      </c>
      <c r="DZ584" s="17" t="s">
        <v>166</v>
      </c>
      <c r="EA584" s="16" t="s">
        <v>166</v>
      </c>
      <c r="EB584" s="16" t="s">
        <v>166</v>
      </c>
      <c r="EC584" s="16" t="s">
        <v>166</v>
      </c>
      <c r="ED584" s="17" t="s">
        <v>166</v>
      </c>
      <c r="EE584" s="17" t="s">
        <v>166</v>
      </c>
      <c r="EF584" s="17" t="s">
        <v>166</v>
      </c>
      <c r="EG584" s="17" t="s">
        <v>166</v>
      </c>
      <c r="EH584" s="16" t="s">
        <v>166</v>
      </c>
      <c r="EI584" s="16" t="s">
        <v>166</v>
      </c>
      <c r="EJ584" s="16" t="s">
        <v>166</v>
      </c>
      <c r="EK584" s="16" t="s">
        <v>166</v>
      </c>
      <c r="EL584" s="16" t="s">
        <v>166</v>
      </c>
      <c r="EM584" s="16" t="s">
        <v>166</v>
      </c>
      <c r="EN584" s="16" t="s">
        <v>166</v>
      </c>
      <c r="EO584" s="16" t="s">
        <v>166</v>
      </c>
      <c r="EP584" s="16" t="s">
        <v>166</v>
      </c>
      <c r="EQ584" s="16" t="s">
        <v>166</v>
      </c>
      <c r="ER584" s="16" t="s">
        <v>166</v>
      </c>
      <c r="ES584" s="16" t="s">
        <v>166</v>
      </c>
      <c r="ET584" s="14" t="s">
        <v>166</v>
      </c>
      <c r="EU584" s="16" t="s">
        <v>166</v>
      </c>
      <c r="EV584" s="16" t="s">
        <v>166</v>
      </c>
      <c r="EW584" s="16" t="s">
        <v>166</v>
      </c>
      <c r="EX584" s="14" t="s">
        <v>190</v>
      </c>
      <c r="EY584" s="14" t="s">
        <v>166</v>
      </c>
      <c r="EZ584" s="16" t="s">
        <v>166</v>
      </c>
      <c r="FA584" s="15" t="s">
        <v>166</v>
      </c>
      <c r="FB584" s="15" t="s">
        <v>166</v>
      </c>
      <c r="FC584" s="15" t="s">
        <v>166</v>
      </c>
      <c r="FD584" s="15" t="s">
        <v>166</v>
      </c>
      <c r="FE584" s="15" t="s">
        <v>166</v>
      </c>
      <c r="FF584" s="15" t="s">
        <v>166</v>
      </c>
      <c r="FG584" s="14" t="s">
        <v>166</v>
      </c>
      <c r="FH584" s="3">
        <f>HYPERLINK("https://my.pitchbook.com?c=272608-57T","View Company Online")</f>
      </c>
    </row>
    <row r="585">
      <c r="A585" s="25" t="s">
        <v>11293</v>
      </c>
      <c r="B585" s="25" t="s">
        <v>11294</v>
      </c>
      <c r="C585" s="25" t="s">
        <v>11295</v>
      </c>
      <c r="D585" s="25" t="s">
        <v>166</v>
      </c>
      <c r="E585" s="34" t="s">
        <v>11296</v>
      </c>
      <c r="F585" s="32">
        <v>1</v>
      </c>
      <c r="G585" s="25" t="s">
        <v>166</v>
      </c>
      <c r="H585" s="25" t="s">
        <v>166</v>
      </c>
      <c r="I585" s="25" t="s">
        <v>11297</v>
      </c>
      <c r="J585" s="25" t="s">
        <v>11298</v>
      </c>
      <c r="K585" s="25" t="s">
        <v>1455</v>
      </c>
      <c r="L585" s="25" t="s">
        <v>1984</v>
      </c>
      <c r="M585" s="25" t="s">
        <v>1985</v>
      </c>
      <c r="N585" s="25" t="s">
        <v>11299</v>
      </c>
      <c r="O585" s="25" t="s">
        <v>11300</v>
      </c>
      <c r="P585" s="25" t="s">
        <v>11301</v>
      </c>
      <c r="Q585" s="25" t="s">
        <v>166</v>
      </c>
      <c r="R585" s="25" t="s">
        <v>177</v>
      </c>
      <c r="S585" s="25" t="s">
        <v>178</v>
      </c>
      <c r="T585" s="25" t="s">
        <v>179</v>
      </c>
      <c r="U585" s="25" t="s">
        <v>11302</v>
      </c>
      <c r="V585" s="25" t="s">
        <v>11303</v>
      </c>
      <c r="W585" s="32" t="s">
        <v>11304</v>
      </c>
      <c r="X585" s="25" t="s">
        <v>11305</v>
      </c>
      <c r="Y585" s="25" t="s">
        <v>11306</v>
      </c>
      <c r="Z585" s="25" t="s">
        <v>166</v>
      </c>
      <c r="AA585" s="25" t="s">
        <v>379</v>
      </c>
      <c r="AB585" s="25" t="s">
        <v>243</v>
      </c>
      <c r="AC585" s="25" t="s">
        <v>244</v>
      </c>
      <c r="AD585" s="25" t="s">
        <v>243</v>
      </c>
      <c r="AE585" s="25" t="s">
        <v>243</v>
      </c>
      <c r="AF585" s="25" t="s">
        <v>245</v>
      </c>
      <c r="AG585" s="25" t="s">
        <v>807</v>
      </c>
      <c r="AH585" s="32">
        <v>1</v>
      </c>
      <c r="AI585" s="4">
        <f>HYPERLINK("https://my.pitchbook.com/?d=159951-16T","159951-16T")</f>
      </c>
      <c r="AJ585" s="30" t="s">
        <v>166</v>
      </c>
      <c r="AK585" s="30">
        <v>44153</v>
      </c>
      <c r="AL585" s="29">
        <v>1.5</v>
      </c>
      <c r="AM585" s="25" t="s">
        <v>185</v>
      </c>
      <c r="AN585" s="29">
        <v>3</v>
      </c>
      <c r="AO585" s="29">
        <v>4.5</v>
      </c>
      <c r="AP585" s="25" t="s">
        <v>185</v>
      </c>
      <c r="AQ585" s="32" t="s">
        <v>166</v>
      </c>
      <c r="AR585" s="32" t="s">
        <v>166</v>
      </c>
      <c r="AS585" s="28">
        <v>33.33</v>
      </c>
      <c r="AT585" s="29">
        <v>1.5</v>
      </c>
      <c r="AU585" s="32" t="s">
        <v>186</v>
      </c>
      <c r="AV585" s="32" t="s">
        <v>166</v>
      </c>
      <c r="AW585" s="29">
        <v>0.32</v>
      </c>
      <c r="AX585" s="32" t="s">
        <v>166</v>
      </c>
      <c r="AY585" s="25" t="s">
        <v>217</v>
      </c>
      <c r="AZ585" s="25" t="s">
        <v>217</v>
      </c>
      <c r="BA585" s="25" t="s">
        <v>166</v>
      </c>
      <c r="BB585" s="32" t="s">
        <v>166</v>
      </c>
      <c r="BC585" s="25" t="s">
        <v>179</v>
      </c>
      <c r="BD585" s="25" t="s">
        <v>11307</v>
      </c>
      <c r="BE585" s="25" t="s">
        <v>189</v>
      </c>
      <c r="BF585" s="29">
        <v>1.5</v>
      </c>
      <c r="BG585" s="25" t="s">
        <v>190</v>
      </c>
      <c r="BH585" s="25" t="s">
        <v>166</v>
      </c>
      <c r="BI585" s="25" t="s">
        <v>166</v>
      </c>
      <c r="BJ585" s="29" t="s">
        <v>166</v>
      </c>
      <c r="BK585" s="29" t="s">
        <v>166</v>
      </c>
      <c r="BL585" s="25" t="s">
        <v>191</v>
      </c>
      <c r="BM585" s="25" t="s">
        <v>178</v>
      </c>
      <c r="BN585" s="25" t="s">
        <v>177</v>
      </c>
      <c r="BO585" s="33" t="s">
        <v>166</v>
      </c>
      <c r="BP585" s="25" t="s">
        <v>11308</v>
      </c>
      <c r="BQ585" s="32">
        <v>1</v>
      </c>
      <c r="BR585" s="25" t="s">
        <v>166</v>
      </c>
      <c r="BS585" s="32" t="s">
        <v>166</v>
      </c>
      <c r="BT585" s="25" t="s">
        <v>166</v>
      </c>
      <c r="BU585" s="25" t="s">
        <v>166</v>
      </c>
      <c r="BV585" s="25" t="s">
        <v>166</v>
      </c>
      <c r="BW585" s="25" t="s">
        <v>166</v>
      </c>
      <c r="BX585" s="25" t="s">
        <v>166</v>
      </c>
      <c r="BY585" s="25" t="s">
        <v>166</v>
      </c>
      <c r="BZ585" s="25" t="s">
        <v>166</v>
      </c>
      <c r="CA585" s="25" t="s">
        <v>166</v>
      </c>
      <c r="CB585" s="25" t="s">
        <v>166</v>
      </c>
      <c r="CC585" s="25" t="s">
        <v>166</v>
      </c>
      <c r="CD585" s="25" t="s">
        <v>166</v>
      </c>
      <c r="CE585" s="29" t="s">
        <v>166</v>
      </c>
      <c r="CF585" s="27" t="s">
        <v>166</v>
      </c>
      <c r="CG585" s="28" t="s">
        <v>166</v>
      </c>
      <c r="CH585" s="27" t="s">
        <v>166</v>
      </c>
      <c r="CI585" s="27" t="s">
        <v>166</v>
      </c>
      <c r="CJ585" s="27" t="s">
        <v>166</v>
      </c>
      <c r="CK585" s="27" t="s">
        <v>166</v>
      </c>
      <c r="CL585" s="27" t="s">
        <v>166</v>
      </c>
      <c r="CM585" s="31" t="s">
        <v>166</v>
      </c>
      <c r="CN585" s="27" t="s">
        <v>166</v>
      </c>
      <c r="CO585" s="27" t="s">
        <v>166</v>
      </c>
      <c r="CP585" s="27" t="s">
        <v>166</v>
      </c>
      <c r="CQ585" s="27" t="s">
        <v>166</v>
      </c>
      <c r="CR585" s="27" t="s">
        <v>166</v>
      </c>
      <c r="CS585" s="27" t="s">
        <v>166</v>
      </c>
      <c r="CT585" s="27" t="s">
        <v>166</v>
      </c>
      <c r="CU585" s="27" t="s">
        <v>166</v>
      </c>
      <c r="CV585" s="27" t="s">
        <v>166</v>
      </c>
      <c r="CW585" s="27" t="s">
        <v>166</v>
      </c>
      <c r="CX585" s="27" t="s">
        <v>166</v>
      </c>
      <c r="CY585" s="27" t="s">
        <v>166</v>
      </c>
      <c r="CZ585" s="27" t="s">
        <v>166</v>
      </c>
      <c r="DA585" s="27" t="s">
        <v>166</v>
      </c>
      <c r="DB585" s="27" t="s">
        <v>166</v>
      </c>
      <c r="DC585" s="27" t="s">
        <v>166</v>
      </c>
      <c r="DD585" s="27" t="s">
        <v>166</v>
      </c>
      <c r="DE585" s="28" t="s">
        <v>166</v>
      </c>
      <c r="DF585" s="33">
        <v>24</v>
      </c>
      <c r="DG585" s="25" t="s">
        <v>3232</v>
      </c>
      <c r="DH585" s="25" t="s">
        <v>193</v>
      </c>
      <c r="DI585" s="25" t="s">
        <v>194</v>
      </c>
      <c r="DJ585" s="25" t="s">
        <v>3233</v>
      </c>
      <c r="DK585" s="25" t="s">
        <v>257</v>
      </c>
      <c r="DL585" s="32" t="s">
        <v>11309</v>
      </c>
      <c r="DM585" s="25" t="s">
        <v>198</v>
      </c>
      <c r="DN585" s="24" t="s">
        <v>11310</v>
      </c>
      <c r="DO585" s="31">
        <v>2015</v>
      </c>
      <c r="DP585" s="25" t="s">
        <v>166</v>
      </c>
      <c r="DQ585" s="25" t="s">
        <v>166</v>
      </c>
      <c r="DR585" s="29" t="s">
        <v>166</v>
      </c>
      <c r="DS585" s="27" t="s">
        <v>166</v>
      </c>
      <c r="DT585" s="30" t="s">
        <v>166</v>
      </c>
      <c r="DU585" s="25" t="s">
        <v>166</v>
      </c>
      <c r="DV585" s="29" t="s">
        <v>166</v>
      </c>
      <c r="DW585" s="29" t="s">
        <v>166</v>
      </c>
      <c r="DX585" s="27" t="s">
        <v>166</v>
      </c>
      <c r="DY585" s="27" t="s">
        <v>166</v>
      </c>
      <c r="DZ585" s="28" t="s">
        <v>166</v>
      </c>
      <c r="EA585" s="27" t="s">
        <v>166</v>
      </c>
      <c r="EB585" s="27" t="s">
        <v>166</v>
      </c>
      <c r="EC585" s="27" t="s">
        <v>166</v>
      </c>
      <c r="ED585" s="28" t="s">
        <v>166</v>
      </c>
      <c r="EE585" s="28" t="s">
        <v>166</v>
      </c>
      <c r="EF585" s="28" t="s">
        <v>166</v>
      </c>
      <c r="EG585" s="28" t="s">
        <v>166</v>
      </c>
      <c r="EH585" s="27" t="s">
        <v>166</v>
      </c>
      <c r="EI585" s="27" t="s">
        <v>166</v>
      </c>
      <c r="EJ585" s="27" t="s">
        <v>166</v>
      </c>
      <c r="EK585" s="27" t="s">
        <v>166</v>
      </c>
      <c r="EL585" s="27" t="s">
        <v>166</v>
      </c>
      <c r="EM585" s="27" t="s">
        <v>166</v>
      </c>
      <c r="EN585" s="27" t="s">
        <v>166</v>
      </c>
      <c r="EO585" s="27" t="s">
        <v>166</v>
      </c>
      <c r="EP585" s="27" t="s">
        <v>166</v>
      </c>
      <c r="EQ585" s="27" t="s">
        <v>166</v>
      </c>
      <c r="ER585" s="27" t="s">
        <v>166</v>
      </c>
      <c r="ES585" s="27" t="s">
        <v>166</v>
      </c>
      <c r="ET585" s="25" t="s">
        <v>166</v>
      </c>
      <c r="EU585" s="27" t="s">
        <v>166</v>
      </c>
      <c r="EV585" s="27" t="s">
        <v>166</v>
      </c>
      <c r="EW585" s="27" t="s">
        <v>166</v>
      </c>
      <c r="EX585" s="25" t="s">
        <v>190</v>
      </c>
      <c r="EY585" s="25" t="s">
        <v>166</v>
      </c>
      <c r="EZ585" s="27" t="s">
        <v>166</v>
      </c>
      <c r="FA585" s="26" t="s">
        <v>166</v>
      </c>
      <c r="FB585" s="26" t="s">
        <v>166</v>
      </c>
      <c r="FC585" s="26" t="s">
        <v>166</v>
      </c>
      <c r="FD585" s="26" t="s">
        <v>166</v>
      </c>
      <c r="FE585" s="26" t="s">
        <v>166</v>
      </c>
      <c r="FF585" s="26" t="s">
        <v>166</v>
      </c>
      <c r="FG585" s="25" t="s">
        <v>166</v>
      </c>
      <c r="FH585" s="4">
        <f>HYPERLINK("https://my.pitchbook.com?c=159951-16T","View Company Online")</f>
      </c>
    </row>
    <row r="586">
      <c r="A586" s="14" t="s">
        <v>11311</v>
      </c>
      <c r="B586" s="14" t="s">
        <v>11312</v>
      </c>
      <c r="C586" s="14" t="s">
        <v>11313</v>
      </c>
      <c r="D586" s="14" t="s">
        <v>166</v>
      </c>
      <c r="E586" s="23" t="s">
        <v>11314</v>
      </c>
      <c r="F586" s="21">
        <v>8</v>
      </c>
      <c r="G586" s="14" t="s">
        <v>11315</v>
      </c>
      <c r="H586" s="14" t="s">
        <v>166</v>
      </c>
      <c r="I586" s="14" t="s">
        <v>11316</v>
      </c>
      <c r="J586" s="14" t="s">
        <v>11317</v>
      </c>
      <c r="K586" s="14" t="s">
        <v>1500</v>
      </c>
      <c r="L586" s="14" t="s">
        <v>2334</v>
      </c>
      <c r="M586" s="14" t="s">
        <v>2335</v>
      </c>
      <c r="N586" s="14" t="s">
        <v>10673</v>
      </c>
      <c r="O586" s="14" t="s">
        <v>11318</v>
      </c>
      <c r="P586" s="14" t="s">
        <v>11319</v>
      </c>
      <c r="Q586" s="14" t="s">
        <v>166</v>
      </c>
      <c r="R586" s="14" t="s">
        <v>177</v>
      </c>
      <c r="S586" s="14" t="s">
        <v>178</v>
      </c>
      <c r="T586" s="14" t="s">
        <v>179</v>
      </c>
      <c r="U586" s="14" t="s">
        <v>11320</v>
      </c>
      <c r="V586" s="14" t="s">
        <v>11321</v>
      </c>
      <c r="W586" s="21" t="s">
        <v>11322</v>
      </c>
      <c r="X586" s="14" t="s">
        <v>11323</v>
      </c>
      <c r="Y586" s="14" t="s">
        <v>11324</v>
      </c>
      <c r="Z586" s="14" t="s">
        <v>11325</v>
      </c>
      <c r="AA586" s="14" t="s">
        <v>242</v>
      </c>
      <c r="AB586" s="14" t="s">
        <v>243</v>
      </c>
      <c r="AC586" s="14" t="s">
        <v>244</v>
      </c>
      <c r="AD586" s="14" t="s">
        <v>243</v>
      </c>
      <c r="AE586" s="14" t="s">
        <v>243</v>
      </c>
      <c r="AF586" s="14" t="s">
        <v>245</v>
      </c>
      <c r="AG586" s="14" t="s">
        <v>246</v>
      </c>
      <c r="AH586" s="21">
        <v>1</v>
      </c>
      <c r="AI586" s="3">
        <f>HYPERLINK("https://my.pitchbook.com/?d=180093-61T","180093-61T")</f>
      </c>
      <c r="AJ586" s="19" t="s">
        <v>166</v>
      </c>
      <c r="AK586" s="19">
        <v>44299</v>
      </c>
      <c r="AL586" s="18">
        <v>2.2</v>
      </c>
      <c r="AM586" s="14" t="s">
        <v>185</v>
      </c>
      <c r="AN586" s="18">
        <v>22.8</v>
      </c>
      <c r="AO586" s="18">
        <v>25</v>
      </c>
      <c r="AP586" s="14" t="s">
        <v>185</v>
      </c>
      <c r="AQ586" s="21" t="s">
        <v>166</v>
      </c>
      <c r="AR586" s="21" t="s">
        <v>166</v>
      </c>
      <c r="AS586" s="17">
        <v>18.54</v>
      </c>
      <c r="AT586" s="18">
        <v>2.2</v>
      </c>
      <c r="AU586" s="21" t="s">
        <v>186</v>
      </c>
      <c r="AV586" s="21" t="s">
        <v>166</v>
      </c>
      <c r="AW586" s="18">
        <v>1.52</v>
      </c>
      <c r="AX586" s="21" t="s">
        <v>166</v>
      </c>
      <c r="AY586" s="14" t="s">
        <v>217</v>
      </c>
      <c r="AZ586" s="14" t="s">
        <v>217</v>
      </c>
      <c r="BA586" s="14" t="s">
        <v>166</v>
      </c>
      <c r="BB586" s="21" t="s">
        <v>166</v>
      </c>
      <c r="BC586" s="14" t="s">
        <v>179</v>
      </c>
      <c r="BD586" s="14" t="s">
        <v>11326</v>
      </c>
      <c r="BE586" s="14" t="s">
        <v>189</v>
      </c>
      <c r="BF586" s="18">
        <v>2.2</v>
      </c>
      <c r="BG586" s="14" t="s">
        <v>190</v>
      </c>
      <c r="BH586" s="14" t="s">
        <v>166</v>
      </c>
      <c r="BI586" s="14" t="s">
        <v>166</v>
      </c>
      <c r="BJ586" s="18" t="s">
        <v>166</v>
      </c>
      <c r="BK586" s="18" t="s">
        <v>166</v>
      </c>
      <c r="BL586" s="14" t="s">
        <v>191</v>
      </c>
      <c r="BM586" s="14" t="s">
        <v>178</v>
      </c>
      <c r="BN586" s="14" t="s">
        <v>177</v>
      </c>
      <c r="BO586" s="22">
        <v>2</v>
      </c>
      <c r="BP586" s="14" t="s">
        <v>11327</v>
      </c>
      <c r="BQ586" s="21">
        <v>8</v>
      </c>
      <c r="BR586" s="14" t="s">
        <v>166</v>
      </c>
      <c r="BS586" s="21" t="s">
        <v>166</v>
      </c>
      <c r="BT586" s="14" t="s">
        <v>2975</v>
      </c>
      <c r="BU586" s="14" t="s">
        <v>166</v>
      </c>
      <c r="BV586" s="14" t="s">
        <v>11328</v>
      </c>
      <c r="BW586" s="14" t="s">
        <v>166</v>
      </c>
      <c r="BX586" s="14" t="s">
        <v>166</v>
      </c>
      <c r="BY586" s="14" t="s">
        <v>166</v>
      </c>
      <c r="BZ586" s="14" t="s">
        <v>166</v>
      </c>
      <c r="CA586" s="14" t="s">
        <v>166</v>
      </c>
      <c r="CB586" s="14" t="s">
        <v>166</v>
      </c>
      <c r="CC586" s="14" t="s">
        <v>166</v>
      </c>
      <c r="CD586" s="14" t="s">
        <v>166</v>
      </c>
      <c r="CE586" s="18" t="s">
        <v>166</v>
      </c>
      <c r="CF586" s="16" t="s">
        <v>166</v>
      </c>
      <c r="CG586" s="17" t="s">
        <v>166</v>
      </c>
      <c r="CH586" s="16" t="s">
        <v>166</v>
      </c>
      <c r="CI586" s="16" t="s">
        <v>166</v>
      </c>
      <c r="CJ586" s="16" t="s">
        <v>166</v>
      </c>
      <c r="CK586" s="16" t="s">
        <v>166</v>
      </c>
      <c r="CL586" s="16" t="s">
        <v>166</v>
      </c>
      <c r="CM586" s="20" t="s">
        <v>166</v>
      </c>
      <c r="CN586" s="16" t="s">
        <v>166</v>
      </c>
      <c r="CO586" s="16" t="s">
        <v>166</v>
      </c>
      <c r="CP586" s="16" t="s">
        <v>166</v>
      </c>
      <c r="CQ586" s="16" t="s">
        <v>166</v>
      </c>
      <c r="CR586" s="16" t="s">
        <v>166</v>
      </c>
      <c r="CS586" s="16" t="s">
        <v>166</v>
      </c>
      <c r="CT586" s="16" t="s">
        <v>166</v>
      </c>
      <c r="CU586" s="16" t="s">
        <v>166</v>
      </c>
      <c r="CV586" s="16" t="s">
        <v>166</v>
      </c>
      <c r="CW586" s="16" t="s">
        <v>166</v>
      </c>
      <c r="CX586" s="16" t="s">
        <v>166</v>
      </c>
      <c r="CY586" s="16" t="s">
        <v>166</v>
      </c>
      <c r="CZ586" s="16" t="s">
        <v>166</v>
      </c>
      <c r="DA586" s="16" t="s">
        <v>166</v>
      </c>
      <c r="DB586" s="16" t="s">
        <v>166</v>
      </c>
      <c r="DC586" s="16" t="s">
        <v>166</v>
      </c>
      <c r="DD586" s="16" t="s">
        <v>166</v>
      </c>
      <c r="DE586" s="17" t="s">
        <v>166</v>
      </c>
      <c r="DF586" s="22">
        <v>29</v>
      </c>
      <c r="DG586" s="14" t="s">
        <v>309</v>
      </c>
      <c r="DH586" s="14" t="s">
        <v>193</v>
      </c>
      <c r="DI586" s="14" t="s">
        <v>194</v>
      </c>
      <c r="DJ586" s="14" t="s">
        <v>310</v>
      </c>
      <c r="DK586" s="14" t="s">
        <v>310</v>
      </c>
      <c r="DL586" s="21" t="s">
        <v>935</v>
      </c>
      <c r="DM586" s="14" t="s">
        <v>198</v>
      </c>
      <c r="DN586" s="13" t="s">
        <v>11329</v>
      </c>
      <c r="DO586" s="20">
        <v>2020</v>
      </c>
      <c r="DP586" s="14" t="s">
        <v>166</v>
      </c>
      <c r="DQ586" s="14" t="s">
        <v>166</v>
      </c>
      <c r="DR586" s="18" t="s">
        <v>166</v>
      </c>
      <c r="DS586" s="16" t="s">
        <v>166</v>
      </c>
      <c r="DT586" s="19" t="s">
        <v>166</v>
      </c>
      <c r="DU586" s="14" t="s">
        <v>166</v>
      </c>
      <c r="DV586" s="18" t="s">
        <v>166</v>
      </c>
      <c r="DW586" s="18" t="s">
        <v>166</v>
      </c>
      <c r="DX586" s="16" t="s">
        <v>166</v>
      </c>
      <c r="DY586" s="16" t="s">
        <v>166</v>
      </c>
      <c r="DZ586" s="17" t="s">
        <v>166</v>
      </c>
      <c r="EA586" s="16" t="s">
        <v>166</v>
      </c>
      <c r="EB586" s="16" t="s">
        <v>166</v>
      </c>
      <c r="EC586" s="16" t="s">
        <v>166</v>
      </c>
      <c r="ED586" s="17" t="s">
        <v>166</v>
      </c>
      <c r="EE586" s="17" t="s">
        <v>166</v>
      </c>
      <c r="EF586" s="17" t="s">
        <v>166</v>
      </c>
      <c r="EG586" s="17" t="s">
        <v>166</v>
      </c>
      <c r="EH586" s="16" t="s">
        <v>166</v>
      </c>
      <c r="EI586" s="16" t="s">
        <v>166</v>
      </c>
      <c r="EJ586" s="16" t="s">
        <v>166</v>
      </c>
      <c r="EK586" s="16" t="s">
        <v>166</v>
      </c>
      <c r="EL586" s="16" t="s">
        <v>166</v>
      </c>
      <c r="EM586" s="16" t="s">
        <v>166</v>
      </c>
      <c r="EN586" s="16" t="s">
        <v>166</v>
      </c>
      <c r="EO586" s="16" t="s">
        <v>166</v>
      </c>
      <c r="EP586" s="16" t="s">
        <v>166</v>
      </c>
      <c r="EQ586" s="16" t="s">
        <v>166</v>
      </c>
      <c r="ER586" s="16" t="s">
        <v>166</v>
      </c>
      <c r="ES586" s="16" t="s">
        <v>166</v>
      </c>
      <c r="ET586" s="14" t="s">
        <v>166</v>
      </c>
      <c r="EU586" s="16" t="s">
        <v>166</v>
      </c>
      <c r="EV586" s="16" t="s">
        <v>166</v>
      </c>
      <c r="EW586" s="16" t="s">
        <v>166</v>
      </c>
      <c r="EX586" s="14" t="s">
        <v>190</v>
      </c>
      <c r="EY586" s="14" t="s">
        <v>166</v>
      </c>
      <c r="EZ586" s="16" t="s">
        <v>166</v>
      </c>
      <c r="FA586" s="15" t="s">
        <v>166</v>
      </c>
      <c r="FB586" s="15" t="s">
        <v>166</v>
      </c>
      <c r="FC586" s="15" t="s">
        <v>166</v>
      </c>
      <c r="FD586" s="15" t="s">
        <v>166</v>
      </c>
      <c r="FE586" s="15" t="s">
        <v>166</v>
      </c>
      <c r="FF586" s="15" t="s">
        <v>166</v>
      </c>
      <c r="FG586" s="14" t="s">
        <v>166</v>
      </c>
      <c r="FH586" s="3">
        <f>HYPERLINK("https://my.pitchbook.com?c=180093-61T","View Company Online")</f>
      </c>
    </row>
    <row r="587">
      <c r="A587" s="25" t="s">
        <v>11330</v>
      </c>
      <c r="B587" s="25" t="s">
        <v>11331</v>
      </c>
      <c r="C587" s="25" t="s">
        <v>11332</v>
      </c>
      <c r="D587" s="25" t="s">
        <v>166</v>
      </c>
      <c r="E587" s="34" t="s">
        <v>11333</v>
      </c>
      <c r="F587" s="32">
        <v>8</v>
      </c>
      <c r="G587" s="25" t="s">
        <v>11334</v>
      </c>
      <c r="H587" s="25" t="s">
        <v>166</v>
      </c>
      <c r="I587" s="25" t="s">
        <v>11335</v>
      </c>
      <c r="J587" s="25" t="s">
        <v>11336</v>
      </c>
      <c r="K587" s="25" t="s">
        <v>207</v>
      </c>
      <c r="L587" s="25" t="s">
        <v>208</v>
      </c>
      <c r="M587" s="25" t="s">
        <v>209</v>
      </c>
      <c r="N587" s="25" t="s">
        <v>269</v>
      </c>
      <c r="O587" s="25" t="s">
        <v>11337</v>
      </c>
      <c r="P587" s="25" t="s">
        <v>11338</v>
      </c>
      <c r="Q587" s="25" t="s">
        <v>166</v>
      </c>
      <c r="R587" s="25" t="s">
        <v>177</v>
      </c>
      <c r="S587" s="25" t="s">
        <v>178</v>
      </c>
      <c r="T587" s="25" t="s">
        <v>179</v>
      </c>
      <c r="U587" s="25" t="s">
        <v>11339</v>
      </c>
      <c r="V587" s="25" t="s">
        <v>11340</v>
      </c>
      <c r="W587" s="32" t="s">
        <v>166</v>
      </c>
      <c r="X587" s="25" t="s">
        <v>11341</v>
      </c>
      <c r="Y587" s="25" t="s">
        <v>11342</v>
      </c>
      <c r="Z587" s="25" t="s">
        <v>11343</v>
      </c>
      <c r="AA587" s="25" t="s">
        <v>166</v>
      </c>
      <c r="AB587" s="25" t="s">
        <v>166</v>
      </c>
      <c r="AC587" s="25" t="s">
        <v>166</v>
      </c>
      <c r="AD587" s="25" t="s">
        <v>166</v>
      </c>
      <c r="AE587" s="25" t="s">
        <v>166</v>
      </c>
      <c r="AF587" s="25" t="s">
        <v>166</v>
      </c>
      <c r="AG587" s="25" t="s">
        <v>166</v>
      </c>
      <c r="AH587" s="32">
        <v>1</v>
      </c>
      <c r="AI587" s="4">
        <f>HYPERLINK("https://my.pitchbook.com/?d=127926-82T","127926-82T")</f>
      </c>
      <c r="AJ587" s="30">
        <v>43862</v>
      </c>
      <c r="AK587" s="30">
        <v>44197</v>
      </c>
      <c r="AL587" s="29">
        <v>0.6</v>
      </c>
      <c r="AM587" s="25" t="s">
        <v>185</v>
      </c>
      <c r="AN587" s="29" t="s">
        <v>166</v>
      </c>
      <c r="AO587" s="29" t="s">
        <v>166</v>
      </c>
      <c r="AP587" s="25" t="s">
        <v>166</v>
      </c>
      <c r="AQ587" s="32" t="s">
        <v>166</v>
      </c>
      <c r="AR587" s="32" t="s">
        <v>166</v>
      </c>
      <c r="AS587" s="28" t="s">
        <v>166</v>
      </c>
      <c r="AT587" s="29">
        <v>0.6</v>
      </c>
      <c r="AU587" s="32" t="s">
        <v>186</v>
      </c>
      <c r="AV587" s="32" t="s">
        <v>166</v>
      </c>
      <c r="AW587" s="29" t="s">
        <v>166</v>
      </c>
      <c r="AX587" s="32" t="s">
        <v>166</v>
      </c>
      <c r="AY587" s="25" t="s">
        <v>187</v>
      </c>
      <c r="AZ587" s="25" t="s">
        <v>166</v>
      </c>
      <c r="BA587" s="25" t="s">
        <v>166</v>
      </c>
      <c r="BB587" s="32" t="s">
        <v>166</v>
      </c>
      <c r="BC587" s="25" t="s">
        <v>179</v>
      </c>
      <c r="BD587" s="25" t="s">
        <v>11344</v>
      </c>
      <c r="BE587" s="25" t="s">
        <v>189</v>
      </c>
      <c r="BF587" s="29" t="s">
        <v>166</v>
      </c>
      <c r="BG587" s="25" t="s">
        <v>190</v>
      </c>
      <c r="BH587" s="25" t="s">
        <v>166</v>
      </c>
      <c r="BI587" s="25" t="s">
        <v>166</v>
      </c>
      <c r="BJ587" s="29">
        <v>0.6</v>
      </c>
      <c r="BK587" s="29" t="s">
        <v>166</v>
      </c>
      <c r="BL587" s="25" t="s">
        <v>191</v>
      </c>
      <c r="BM587" s="25" t="s">
        <v>178</v>
      </c>
      <c r="BN587" s="25" t="s">
        <v>177</v>
      </c>
      <c r="BO587" s="33">
        <v>4</v>
      </c>
      <c r="BP587" s="25" t="s">
        <v>11345</v>
      </c>
      <c r="BQ587" s="32">
        <v>8</v>
      </c>
      <c r="BR587" s="25" t="s">
        <v>166</v>
      </c>
      <c r="BS587" s="32" t="s">
        <v>166</v>
      </c>
      <c r="BT587" s="25" t="s">
        <v>166</v>
      </c>
      <c r="BU587" s="25" t="s">
        <v>166</v>
      </c>
      <c r="BV587" s="25" t="s">
        <v>166</v>
      </c>
      <c r="BW587" s="25" t="s">
        <v>166</v>
      </c>
      <c r="BX587" s="25" t="s">
        <v>166</v>
      </c>
      <c r="BY587" s="25" t="s">
        <v>166</v>
      </c>
      <c r="BZ587" s="25" t="s">
        <v>166</v>
      </c>
      <c r="CA587" s="25" t="s">
        <v>166</v>
      </c>
      <c r="CB587" s="25" t="s">
        <v>166</v>
      </c>
      <c r="CC587" s="25" t="s">
        <v>166</v>
      </c>
      <c r="CD587" s="25" t="s">
        <v>166</v>
      </c>
      <c r="CE587" s="29" t="s">
        <v>166</v>
      </c>
      <c r="CF587" s="27" t="s">
        <v>166</v>
      </c>
      <c r="CG587" s="28" t="s">
        <v>166</v>
      </c>
      <c r="CH587" s="27" t="s">
        <v>166</v>
      </c>
      <c r="CI587" s="27" t="s">
        <v>166</v>
      </c>
      <c r="CJ587" s="27" t="s">
        <v>166</v>
      </c>
      <c r="CK587" s="27" t="s">
        <v>166</v>
      </c>
      <c r="CL587" s="27" t="s">
        <v>166</v>
      </c>
      <c r="CM587" s="31" t="s">
        <v>166</v>
      </c>
      <c r="CN587" s="27" t="s">
        <v>166</v>
      </c>
      <c r="CO587" s="27" t="s">
        <v>166</v>
      </c>
      <c r="CP587" s="27" t="s">
        <v>166</v>
      </c>
      <c r="CQ587" s="27" t="s">
        <v>166</v>
      </c>
      <c r="CR587" s="27" t="s">
        <v>166</v>
      </c>
      <c r="CS587" s="27" t="s">
        <v>166</v>
      </c>
      <c r="CT587" s="27" t="s">
        <v>166</v>
      </c>
      <c r="CU587" s="27" t="s">
        <v>166</v>
      </c>
      <c r="CV587" s="27" t="s">
        <v>166</v>
      </c>
      <c r="CW587" s="27" t="s">
        <v>166</v>
      </c>
      <c r="CX587" s="27" t="s">
        <v>166</v>
      </c>
      <c r="CY587" s="27" t="s">
        <v>166</v>
      </c>
      <c r="CZ587" s="27" t="s">
        <v>166</v>
      </c>
      <c r="DA587" s="27" t="s">
        <v>166</v>
      </c>
      <c r="DB587" s="27" t="s">
        <v>166</v>
      </c>
      <c r="DC587" s="27" t="s">
        <v>166</v>
      </c>
      <c r="DD587" s="27" t="s">
        <v>166</v>
      </c>
      <c r="DE587" s="28" t="s">
        <v>166</v>
      </c>
      <c r="DF587" s="33">
        <v>10</v>
      </c>
      <c r="DG587" s="25" t="s">
        <v>4914</v>
      </c>
      <c r="DH587" s="25" t="s">
        <v>193</v>
      </c>
      <c r="DI587" s="25" t="s">
        <v>194</v>
      </c>
      <c r="DJ587" s="25" t="s">
        <v>4915</v>
      </c>
      <c r="DK587" s="25" t="s">
        <v>257</v>
      </c>
      <c r="DL587" s="32" t="s">
        <v>11346</v>
      </c>
      <c r="DM587" s="25" t="s">
        <v>198</v>
      </c>
      <c r="DN587" s="24" t="s">
        <v>11347</v>
      </c>
      <c r="DO587" s="31">
        <v>2019</v>
      </c>
      <c r="DP587" s="25" t="s">
        <v>166</v>
      </c>
      <c r="DQ587" s="25" t="s">
        <v>5363</v>
      </c>
      <c r="DR587" s="29">
        <v>0.6</v>
      </c>
      <c r="DS587" s="27" t="s">
        <v>166</v>
      </c>
      <c r="DT587" s="30" t="s">
        <v>166</v>
      </c>
      <c r="DU587" s="25" t="s">
        <v>166</v>
      </c>
      <c r="DV587" s="29" t="s">
        <v>166</v>
      </c>
      <c r="DW587" s="29" t="s">
        <v>166</v>
      </c>
      <c r="DX587" s="27" t="s">
        <v>166</v>
      </c>
      <c r="DY587" s="27" t="s">
        <v>166</v>
      </c>
      <c r="DZ587" s="28" t="s">
        <v>166</v>
      </c>
      <c r="EA587" s="27" t="s">
        <v>166</v>
      </c>
      <c r="EB587" s="27" t="s">
        <v>166</v>
      </c>
      <c r="EC587" s="27" t="s">
        <v>166</v>
      </c>
      <c r="ED587" s="28" t="s">
        <v>166</v>
      </c>
      <c r="EE587" s="28" t="s">
        <v>166</v>
      </c>
      <c r="EF587" s="28" t="s">
        <v>166</v>
      </c>
      <c r="EG587" s="28" t="s">
        <v>166</v>
      </c>
      <c r="EH587" s="27" t="s">
        <v>166</v>
      </c>
      <c r="EI587" s="27" t="s">
        <v>166</v>
      </c>
      <c r="EJ587" s="27" t="s">
        <v>166</v>
      </c>
      <c r="EK587" s="27" t="s">
        <v>166</v>
      </c>
      <c r="EL587" s="27" t="s">
        <v>166</v>
      </c>
      <c r="EM587" s="27" t="s">
        <v>166</v>
      </c>
      <c r="EN587" s="27" t="s">
        <v>166</v>
      </c>
      <c r="EO587" s="27" t="s">
        <v>166</v>
      </c>
      <c r="EP587" s="27" t="s">
        <v>166</v>
      </c>
      <c r="EQ587" s="27" t="s">
        <v>166</v>
      </c>
      <c r="ER587" s="27" t="s">
        <v>166</v>
      </c>
      <c r="ES587" s="27" t="s">
        <v>166</v>
      </c>
      <c r="ET587" s="25" t="s">
        <v>166</v>
      </c>
      <c r="EU587" s="27" t="s">
        <v>166</v>
      </c>
      <c r="EV587" s="27" t="s">
        <v>166</v>
      </c>
      <c r="EW587" s="27" t="s">
        <v>166</v>
      </c>
      <c r="EX587" s="25" t="s">
        <v>190</v>
      </c>
      <c r="EY587" s="25" t="s">
        <v>190</v>
      </c>
      <c r="EZ587" s="27" t="s">
        <v>166</v>
      </c>
      <c r="FA587" s="26" t="s">
        <v>166</v>
      </c>
      <c r="FB587" s="26" t="s">
        <v>166</v>
      </c>
      <c r="FC587" s="26" t="s">
        <v>166</v>
      </c>
      <c r="FD587" s="26" t="s">
        <v>166</v>
      </c>
      <c r="FE587" s="26" t="s">
        <v>166</v>
      </c>
      <c r="FF587" s="26" t="s">
        <v>166</v>
      </c>
      <c r="FG587" s="25" t="s">
        <v>166</v>
      </c>
      <c r="FH587" s="4">
        <f>HYPERLINK("https://my.pitchbook.com?c=127926-82T","View Company Online")</f>
      </c>
    </row>
    <row r="588">
      <c r="A588" s="14" t="s">
        <v>11348</v>
      </c>
      <c r="B588" s="14" t="s">
        <v>11349</v>
      </c>
      <c r="C588" s="14" t="s">
        <v>11350</v>
      </c>
      <c r="D588" s="14" t="s">
        <v>166</v>
      </c>
      <c r="E588" s="23" t="s">
        <v>11351</v>
      </c>
      <c r="F588" s="21">
        <v>4</v>
      </c>
      <c r="G588" s="14" t="s">
        <v>11352</v>
      </c>
      <c r="H588" s="14" t="s">
        <v>166</v>
      </c>
      <c r="I588" s="14" t="s">
        <v>11353</v>
      </c>
      <c r="J588" s="14" t="s">
        <v>11354</v>
      </c>
      <c r="K588" s="14" t="s">
        <v>207</v>
      </c>
      <c r="L588" s="14" t="s">
        <v>208</v>
      </c>
      <c r="M588" s="14" t="s">
        <v>209</v>
      </c>
      <c r="N588" s="14" t="s">
        <v>1966</v>
      </c>
      <c r="O588" s="14" t="s">
        <v>665</v>
      </c>
      <c r="P588" s="14" t="s">
        <v>11355</v>
      </c>
      <c r="Q588" s="14" t="s">
        <v>166</v>
      </c>
      <c r="R588" s="14" t="s">
        <v>177</v>
      </c>
      <c r="S588" s="14" t="s">
        <v>785</v>
      </c>
      <c r="T588" s="14" t="s">
        <v>179</v>
      </c>
      <c r="U588" s="14" t="s">
        <v>11356</v>
      </c>
      <c r="V588" s="14" t="s">
        <v>11357</v>
      </c>
      <c r="W588" s="21" t="s">
        <v>166</v>
      </c>
      <c r="X588" s="14" t="s">
        <v>11358</v>
      </c>
      <c r="Y588" s="14" t="s">
        <v>11359</v>
      </c>
      <c r="Z588" s="14" t="s">
        <v>11360</v>
      </c>
      <c r="AA588" s="14" t="s">
        <v>166</v>
      </c>
      <c r="AB588" s="14" t="s">
        <v>166</v>
      </c>
      <c r="AC588" s="14" t="s">
        <v>166</v>
      </c>
      <c r="AD588" s="14" t="s">
        <v>166</v>
      </c>
      <c r="AE588" s="14" t="s">
        <v>166</v>
      </c>
      <c r="AF588" s="14" t="s">
        <v>166</v>
      </c>
      <c r="AG588" s="14" t="s">
        <v>166</v>
      </c>
      <c r="AH588" s="21">
        <v>1</v>
      </c>
      <c r="AI588" s="3">
        <f>HYPERLINK("https://my.pitchbook.com/?d=256681-90T","256681-90T")</f>
      </c>
      <c r="AJ588" s="19" t="s">
        <v>166</v>
      </c>
      <c r="AK588" s="19">
        <v>45468</v>
      </c>
      <c r="AL588" s="18">
        <v>3.7</v>
      </c>
      <c r="AM588" s="14" t="s">
        <v>185</v>
      </c>
      <c r="AN588" s="18" t="s">
        <v>166</v>
      </c>
      <c r="AO588" s="18" t="s">
        <v>166</v>
      </c>
      <c r="AP588" s="14" t="s">
        <v>166</v>
      </c>
      <c r="AQ588" s="21" t="s">
        <v>166</v>
      </c>
      <c r="AR588" s="21" t="s">
        <v>166</v>
      </c>
      <c r="AS588" s="17" t="s">
        <v>166</v>
      </c>
      <c r="AT588" s="18">
        <v>3.7</v>
      </c>
      <c r="AU588" s="21" t="s">
        <v>186</v>
      </c>
      <c r="AV588" s="21" t="s">
        <v>166</v>
      </c>
      <c r="AW588" s="18" t="s">
        <v>166</v>
      </c>
      <c r="AX588" s="21" t="s">
        <v>166</v>
      </c>
      <c r="AY588" s="14" t="s">
        <v>217</v>
      </c>
      <c r="AZ588" s="14" t="s">
        <v>217</v>
      </c>
      <c r="BA588" s="14" t="s">
        <v>166</v>
      </c>
      <c r="BB588" s="21" t="s">
        <v>166</v>
      </c>
      <c r="BC588" s="14" t="s">
        <v>179</v>
      </c>
      <c r="BD588" s="14" t="s">
        <v>11354</v>
      </c>
      <c r="BE588" s="14" t="s">
        <v>189</v>
      </c>
      <c r="BF588" s="18">
        <v>3.7</v>
      </c>
      <c r="BG588" s="14" t="s">
        <v>190</v>
      </c>
      <c r="BH588" s="14" t="s">
        <v>166</v>
      </c>
      <c r="BI588" s="14" t="s">
        <v>166</v>
      </c>
      <c r="BJ588" s="18" t="s">
        <v>166</v>
      </c>
      <c r="BK588" s="18" t="s">
        <v>166</v>
      </c>
      <c r="BL588" s="14" t="s">
        <v>191</v>
      </c>
      <c r="BM588" s="14" t="s">
        <v>785</v>
      </c>
      <c r="BN588" s="14" t="s">
        <v>177</v>
      </c>
      <c r="BO588" s="22" t="s">
        <v>166</v>
      </c>
      <c r="BP588" s="14" t="s">
        <v>11361</v>
      </c>
      <c r="BQ588" s="21">
        <v>4</v>
      </c>
      <c r="BR588" s="14" t="s">
        <v>166</v>
      </c>
      <c r="BS588" s="21" t="s">
        <v>166</v>
      </c>
      <c r="BT588" s="14" t="s">
        <v>166</v>
      </c>
      <c r="BU588" s="14" t="s">
        <v>166</v>
      </c>
      <c r="BV588" s="14" t="s">
        <v>11362</v>
      </c>
      <c r="BW588" s="14" t="s">
        <v>166</v>
      </c>
      <c r="BX588" s="14" t="s">
        <v>166</v>
      </c>
      <c r="BY588" s="14" t="s">
        <v>166</v>
      </c>
      <c r="BZ588" s="14" t="s">
        <v>166</v>
      </c>
      <c r="CA588" s="14" t="s">
        <v>166</v>
      </c>
      <c r="CB588" s="14" t="s">
        <v>166</v>
      </c>
      <c r="CC588" s="14" t="s">
        <v>166</v>
      </c>
      <c r="CD588" s="14" t="s">
        <v>166</v>
      </c>
      <c r="CE588" s="18" t="s">
        <v>166</v>
      </c>
      <c r="CF588" s="16" t="s">
        <v>166</v>
      </c>
      <c r="CG588" s="17" t="s">
        <v>166</v>
      </c>
      <c r="CH588" s="16" t="s">
        <v>166</v>
      </c>
      <c r="CI588" s="16" t="s">
        <v>166</v>
      </c>
      <c r="CJ588" s="16" t="s">
        <v>166</v>
      </c>
      <c r="CK588" s="16" t="s">
        <v>166</v>
      </c>
      <c r="CL588" s="16" t="s">
        <v>166</v>
      </c>
      <c r="CM588" s="20" t="s">
        <v>166</v>
      </c>
      <c r="CN588" s="16" t="s">
        <v>166</v>
      </c>
      <c r="CO588" s="16" t="s">
        <v>166</v>
      </c>
      <c r="CP588" s="16" t="s">
        <v>166</v>
      </c>
      <c r="CQ588" s="16" t="s">
        <v>166</v>
      </c>
      <c r="CR588" s="16" t="s">
        <v>166</v>
      </c>
      <c r="CS588" s="16" t="s">
        <v>166</v>
      </c>
      <c r="CT588" s="16" t="s">
        <v>166</v>
      </c>
      <c r="CU588" s="16" t="s">
        <v>166</v>
      </c>
      <c r="CV588" s="16" t="s">
        <v>166</v>
      </c>
      <c r="CW588" s="16" t="s">
        <v>166</v>
      </c>
      <c r="CX588" s="16" t="s">
        <v>166</v>
      </c>
      <c r="CY588" s="16" t="s">
        <v>166</v>
      </c>
      <c r="CZ588" s="16" t="s">
        <v>166</v>
      </c>
      <c r="DA588" s="16" t="s">
        <v>166</v>
      </c>
      <c r="DB588" s="16" t="s">
        <v>166</v>
      </c>
      <c r="DC588" s="16" t="s">
        <v>166</v>
      </c>
      <c r="DD588" s="16" t="s">
        <v>166</v>
      </c>
      <c r="DE588" s="17" t="s">
        <v>166</v>
      </c>
      <c r="DF588" s="22" t="s">
        <v>166</v>
      </c>
      <c r="DG588" s="14" t="s">
        <v>3174</v>
      </c>
      <c r="DH588" s="14" t="s">
        <v>193</v>
      </c>
      <c r="DI588" s="14" t="s">
        <v>194</v>
      </c>
      <c r="DJ588" s="14" t="s">
        <v>3175</v>
      </c>
      <c r="DK588" s="14" t="s">
        <v>1063</v>
      </c>
      <c r="DL588" s="21" t="s">
        <v>6391</v>
      </c>
      <c r="DM588" s="14" t="s">
        <v>198</v>
      </c>
      <c r="DN588" s="13" t="s">
        <v>11363</v>
      </c>
      <c r="DO588" s="20">
        <v>2022</v>
      </c>
      <c r="DP588" s="14" t="s">
        <v>166</v>
      </c>
      <c r="DQ588" s="14" t="s">
        <v>166</v>
      </c>
      <c r="DR588" s="18" t="s">
        <v>166</v>
      </c>
      <c r="DS588" s="16" t="s">
        <v>166</v>
      </c>
      <c r="DT588" s="19" t="s">
        <v>166</v>
      </c>
      <c r="DU588" s="14" t="s">
        <v>166</v>
      </c>
      <c r="DV588" s="18" t="s">
        <v>166</v>
      </c>
      <c r="DW588" s="18" t="s">
        <v>166</v>
      </c>
      <c r="DX588" s="16" t="s">
        <v>166</v>
      </c>
      <c r="DY588" s="16" t="s">
        <v>166</v>
      </c>
      <c r="DZ588" s="17" t="s">
        <v>166</v>
      </c>
      <c r="EA588" s="16" t="s">
        <v>166</v>
      </c>
      <c r="EB588" s="16" t="s">
        <v>166</v>
      </c>
      <c r="EC588" s="16" t="s">
        <v>166</v>
      </c>
      <c r="ED588" s="17" t="s">
        <v>166</v>
      </c>
      <c r="EE588" s="17" t="s">
        <v>166</v>
      </c>
      <c r="EF588" s="17" t="s">
        <v>166</v>
      </c>
      <c r="EG588" s="17" t="s">
        <v>166</v>
      </c>
      <c r="EH588" s="16" t="s">
        <v>166</v>
      </c>
      <c r="EI588" s="16" t="s">
        <v>166</v>
      </c>
      <c r="EJ588" s="16" t="s">
        <v>166</v>
      </c>
      <c r="EK588" s="16" t="s">
        <v>166</v>
      </c>
      <c r="EL588" s="16" t="s">
        <v>166</v>
      </c>
      <c r="EM588" s="16" t="s">
        <v>166</v>
      </c>
      <c r="EN588" s="16" t="s">
        <v>166</v>
      </c>
      <c r="EO588" s="16" t="s">
        <v>166</v>
      </c>
      <c r="EP588" s="16" t="s">
        <v>166</v>
      </c>
      <c r="EQ588" s="16" t="s">
        <v>166</v>
      </c>
      <c r="ER588" s="16" t="s">
        <v>166</v>
      </c>
      <c r="ES588" s="16" t="s">
        <v>166</v>
      </c>
      <c r="ET588" s="14" t="s">
        <v>166</v>
      </c>
      <c r="EU588" s="16" t="s">
        <v>166</v>
      </c>
      <c r="EV588" s="16" t="s">
        <v>166</v>
      </c>
      <c r="EW588" s="16" t="s">
        <v>166</v>
      </c>
      <c r="EX588" s="14" t="s">
        <v>190</v>
      </c>
      <c r="EY588" s="14" t="s">
        <v>166</v>
      </c>
      <c r="EZ588" s="16" t="s">
        <v>166</v>
      </c>
      <c r="FA588" s="15" t="s">
        <v>166</v>
      </c>
      <c r="FB588" s="15" t="s">
        <v>166</v>
      </c>
      <c r="FC588" s="15" t="s">
        <v>166</v>
      </c>
      <c r="FD588" s="15" t="s">
        <v>166</v>
      </c>
      <c r="FE588" s="15" t="s">
        <v>166</v>
      </c>
      <c r="FF588" s="15" t="s">
        <v>166</v>
      </c>
      <c r="FG588" s="14" t="s">
        <v>166</v>
      </c>
      <c r="FH588" s="3">
        <f>HYPERLINK("https://my.pitchbook.com?c=256681-90T","View Company Online")</f>
      </c>
    </row>
    <row r="589">
      <c r="A589" s="25" t="s">
        <v>11364</v>
      </c>
      <c r="B589" s="25" t="s">
        <v>11365</v>
      </c>
      <c r="C589" s="25" t="s">
        <v>11366</v>
      </c>
      <c r="D589" s="25" t="s">
        <v>166</v>
      </c>
      <c r="E589" s="34" t="s">
        <v>11367</v>
      </c>
      <c r="F589" s="32">
        <v>2</v>
      </c>
      <c r="G589" s="25" t="s">
        <v>11368</v>
      </c>
      <c r="H589" s="25" t="s">
        <v>166</v>
      </c>
      <c r="I589" s="25" t="s">
        <v>11369</v>
      </c>
      <c r="J589" s="25" t="s">
        <v>11370</v>
      </c>
      <c r="K589" s="25" t="s">
        <v>207</v>
      </c>
      <c r="L589" s="25" t="s">
        <v>208</v>
      </c>
      <c r="M589" s="25" t="s">
        <v>209</v>
      </c>
      <c r="N589" s="25" t="s">
        <v>6422</v>
      </c>
      <c r="O589" s="25" t="s">
        <v>800</v>
      </c>
      <c r="P589" s="25" t="s">
        <v>11371</v>
      </c>
      <c r="Q589" s="25" t="s">
        <v>166</v>
      </c>
      <c r="R589" s="25" t="s">
        <v>177</v>
      </c>
      <c r="S589" s="25" t="s">
        <v>178</v>
      </c>
      <c r="T589" s="25" t="s">
        <v>179</v>
      </c>
      <c r="U589" s="25" t="s">
        <v>11372</v>
      </c>
      <c r="V589" s="25" t="s">
        <v>11373</v>
      </c>
      <c r="W589" s="32" t="s">
        <v>11374</v>
      </c>
      <c r="X589" s="25" t="s">
        <v>166</v>
      </c>
      <c r="Y589" s="25" t="s">
        <v>11375</v>
      </c>
      <c r="Z589" s="25" t="s">
        <v>11376</v>
      </c>
      <c r="AA589" s="25" t="s">
        <v>242</v>
      </c>
      <c r="AB589" s="25" t="s">
        <v>243</v>
      </c>
      <c r="AC589" s="25" t="s">
        <v>244</v>
      </c>
      <c r="AD589" s="25" t="s">
        <v>243</v>
      </c>
      <c r="AE589" s="25" t="s">
        <v>243</v>
      </c>
      <c r="AF589" s="25" t="s">
        <v>166</v>
      </c>
      <c r="AG589" s="25" t="s">
        <v>246</v>
      </c>
      <c r="AH589" s="32">
        <v>1</v>
      </c>
      <c r="AI589" s="4">
        <f>HYPERLINK("https://my.pitchbook.com/?d=224886-97T","224886-97T")</f>
      </c>
      <c r="AJ589" s="30" t="s">
        <v>166</v>
      </c>
      <c r="AK589" s="30">
        <v>45047</v>
      </c>
      <c r="AL589" s="29">
        <v>12</v>
      </c>
      <c r="AM589" s="25" t="s">
        <v>185</v>
      </c>
      <c r="AN589" s="29">
        <v>28</v>
      </c>
      <c r="AO589" s="29">
        <v>40</v>
      </c>
      <c r="AP589" s="25" t="s">
        <v>185</v>
      </c>
      <c r="AQ589" s="32" t="s">
        <v>166</v>
      </c>
      <c r="AR589" s="32" t="s">
        <v>166</v>
      </c>
      <c r="AS589" s="28">
        <v>30</v>
      </c>
      <c r="AT589" s="29">
        <v>12</v>
      </c>
      <c r="AU589" s="32" t="s">
        <v>186</v>
      </c>
      <c r="AV589" s="32" t="s">
        <v>166</v>
      </c>
      <c r="AW589" s="29">
        <v>2.46</v>
      </c>
      <c r="AX589" s="32" t="s">
        <v>166</v>
      </c>
      <c r="AY589" s="25" t="s">
        <v>217</v>
      </c>
      <c r="AZ589" s="25" t="s">
        <v>217</v>
      </c>
      <c r="BA589" s="25" t="s">
        <v>166</v>
      </c>
      <c r="BB589" s="32" t="s">
        <v>166</v>
      </c>
      <c r="BC589" s="25" t="s">
        <v>179</v>
      </c>
      <c r="BD589" s="25" t="s">
        <v>11370</v>
      </c>
      <c r="BE589" s="25" t="s">
        <v>189</v>
      </c>
      <c r="BF589" s="29">
        <v>12</v>
      </c>
      <c r="BG589" s="25" t="s">
        <v>190</v>
      </c>
      <c r="BH589" s="25" t="s">
        <v>166</v>
      </c>
      <c r="BI589" s="25" t="s">
        <v>166</v>
      </c>
      <c r="BJ589" s="29" t="s">
        <v>166</v>
      </c>
      <c r="BK589" s="29" t="s">
        <v>166</v>
      </c>
      <c r="BL589" s="25" t="s">
        <v>191</v>
      </c>
      <c r="BM589" s="25" t="s">
        <v>178</v>
      </c>
      <c r="BN589" s="25" t="s">
        <v>177</v>
      </c>
      <c r="BO589" s="33" t="s">
        <v>166</v>
      </c>
      <c r="BP589" s="25" t="s">
        <v>11377</v>
      </c>
      <c r="BQ589" s="32">
        <v>2</v>
      </c>
      <c r="BR589" s="25" t="s">
        <v>166</v>
      </c>
      <c r="BS589" s="32" t="s">
        <v>166</v>
      </c>
      <c r="BT589" s="25" t="s">
        <v>11367</v>
      </c>
      <c r="BU589" s="25" t="s">
        <v>166</v>
      </c>
      <c r="BV589" s="25" t="s">
        <v>11378</v>
      </c>
      <c r="BW589" s="25" t="s">
        <v>166</v>
      </c>
      <c r="BX589" s="25" t="s">
        <v>166</v>
      </c>
      <c r="BY589" s="25" t="s">
        <v>166</v>
      </c>
      <c r="BZ589" s="25" t="s">
        <v>11379</v>
      </c>
      <c r="CA589" s="25" t="s">
        <v>166</v>
      </c>
      <c r="CB589" s="25" t="s">
        <v>166</v>
      </c>
      <c r="CC589" s="25" t="s">
        <v>11379</v>
      </c>
      <c r="CD589" s="25" t="s">
        <v>166</v>
      </c>
      <c r="CE589" s="29" t="s">
        <v>166</v>
      </c>
      <c r="CF589" s="27" t="s">
        <v>166</v>
      </c>
      <c r="CG589" s="28" t="s">
        <v>166</v>
      </c>
      <c r="CH589" s="27" t="s">
        <v>166</v>
      </c>
      <c r="CI589" s="27" t="s">
        <v>166</v>
      </c>
      <c r="CJ589" s="27" t="s">
        <v>166</v>
      </c>
      <c r="CK589" s="27" t="s">
        <v>166</v>
      </c>
      <c r="CL589" s="27" t="s">
        <v>166</v>
      </c>
      <c r="CM589" s="31" t="s">
        <v>166</v>
      </c>
      <c r="CN589" s="27" t="s">
        <v>166</v>
      </c>
      <c r="CO589" s="27" t="s">
        <v>166</v>
      </c>
      <c r="CP589" s="27" t="s">
        <v>166</v>
      </c>
      <c r="CQ589" s="27" t="s">
        <v>166</v>
      </c>
      <c r="CR589" s="27" t="s">
        <v>166</v>
      </c>
      <c r="CS589" s="27" t="s">
        <v>166</v>
      </c>
      <c r="CT589" s="27" t="s">
        <v>166</v>
      </c>
      <c r="CU589" s="27" t="s">
        <v>166</v>
      </c>
      <c r="CV589" s="27" t="s">
        <v>166</v>
      </c>
      <c r="CW589" s="27" t="s">
        <v>166</v>
      </c>
      <c r="CX589" s="27" t="s">
        <v>166</v>
      </c>
      <c r="CY589" s="27" t="s">
        <v>166</v>
      </c>
      <c r="CZ589" s="27" t="s">
        <v>166</v>
      </c>
      <c r="DA589" s="27" t="s">
        <v>166</v>
      </c>
      <c r="DB589" s="27" t="s">
        <v>166</v>
      </c>
      <c r="DC589" s="27" t="s">
        <v>166</v>
      </c>
      <c r="DD589" s="27" t="s">
        <v>166</v>
      </c>
      <c r="DE589" s="28" t="s">
        <v>166</v>
      </c>
      <c r="DF589" s="33">
        <v>23</v>
      </c>
      <c r="DG589" s="25" t="s">
        <v>11380</v>
      </c>
      <c r="DH589" s="25" t="s">
        <v>193</v>
      </c>
      <c r="DI589" s="25" t="s">
        <v>194</v>
      </c>
      <c r="DJ589" s="25" t="s">
        <v>11381</v>
      </c>
      <c r="DK589" s="25" t="s">
        <v>257</v>
      </c>
      <c r="DL589" s="32" t="s">
        <v>11382</v>
      </c>
      <c r="DM589" s="25" t="s">
        <v>198</v>
      </c>
      <c r="DN589" s="24" t="s">
        <v>11383</v>
      </c>
      <c r="DO589" s="31">
        <v>2022</v>
      </c>
      <c r="DP589" s="25" t="s">
        <v>166</v>
      </c>
      <c r="DQ589" s="25" t="s">
        <v>166</v>
      </c>
      <c r="DR589" s="29" t="s">
        <v>166</v>
      </c>
      <c r="DS589" s="27" t="s">
        <v>166</v>
      </c>
      <c r="DT589" s="30" t="s">
        <v>166</v>
      </c>
      <c r="DU589" s="25" t="s">
        <v>166</v>
      </c>
      <c r="DV589" s="29" t="s">
        <v>166</v>
      </c>
      <c r="DW589" s="29" t="s">
        <v>166</v>
      </c>
      <c r="DX589" s="27" t="s">
        <v>166</v>
      </c>
      <c r="DY589" s="27" t="s">
        <v>166</v>
      </c>
      <c r="DZ589" s="28" t="s">
        <v>166</v>
      </c>
      <c r="EA589" s="27" t="s">
        <v>166</v>
      </c>
      <c r="EB589" s="27" t="s">
        <v>166</v>
      </c>
      <c r="EC589" s="27" t="s">
        <v>166</v>
      </c>
      <c r="ED589" s="28" t="s">
        <v>166</v>
      </c>
      <c r="EE589" s="28" t="s">
        <v>166</v>
      </c>
      <c r="EF589" s="28" t="s">
        <v>166</v>
      </c>
      <c r="EG589" s="28" t="s">
        <v>166</v>
      </c>
      <c r="EH589" s="27" t="s">
        <v>166</v>
      </c>
      <c r="EI589" s="27" t="s">
        <v>166</v>
      </c>
      <c r="EJ589" s="27" t="s">
        <v>166</v>
      </c>
      <c r="EK589" s="27" t="s">
        <v>166</v>
      </c>
      <c r="EL589" s="27" t="s">
        <v>166</v>
      </c>
      <c r="EM589" s="27" t="s">
        <v>166</v>
      </c>
      <c r="EN589" s="27" t="s">
        <v>166</v>
      </c>
      <c r="EO589" s="27" t="s">
        <v>166</v>
      </c>
      <c r="EP589" s="27" t="s">
        <v>166</v>
      </c>
      <c r="EQ589" s="27" t="s">
        <v>166</v>
      </c>
      <c r="ER589" s="27" t="s">
        <v>166</v>
      </c>
      <c r="ES589" s="27" t="s">
        <v>166</v>
      </c>
      <c r="ET589" s="25" t="s">
        <v>166</v>
      </c>
      <c r="EU589" s="27" t="s">
        <v>166</v>
      </c>
      <c r="EV589" s="27" t="s">
        <v>166</v>
      </c>
      <c r="EW589" s="27" t="s">
        <v>166</v>
      </c>
      <c r="EX589" s="25" t="s">
        <v>190</v>
      </c>
      <c r="EY589" s="25" t="s">
        <v>166</v>
      </c>
      <c r="EZ589" s="27" t="s">
        <v>166</v>
      </c>
      <c r="FA589" s="26" t="s">
        <v>166</v>
      </c>
      <c r="FB589" s="26" t="s">
        <v>166</v>
      </c>
      <c r="FC589" s="26" t="s">
        <v>166</v>
      </c>
      <c r="FD589" s="26" t="s">
        <v>166</v>
      </c>
      <c r="FE589" s="26" t="s">
        <v>166</v>
      </c>
      <c r="FF589" s="26" t="s">
        <v>166</v>
      </c>
      <c r="FG589" s="25" t="s">
        <v>166</v>
      </c>
      <c r="FH589" s="4">
        <f>HYPERLINK("https://my.pitchbook.com?c=224886-97T","View Company Online")</f>
      </c>
    </row>
    <row r="590">
      <c r="A590" s="14" t="s">
        <v>11384</v>
      </c>
      <c r="B590" s="14" t="s">
        <v>11385</v>
      </c>
      <c r="C590" s="14" t="s">
        <v>11386</v>
      </c>
      <c r="D590" s="14" t="s">
        <v>166</v>
      </c>
      <c r="E590" s="23" t="s">
        <v>476</v>
      </c>
      <c r="F590" s="21">
        <v>1</v>
      </c>
      <c r="G590" s="14" t="s">
        <v>11387</v>
      </c>
      <c r="H590" s="14" t="s">
        <v>166</v>
      </c>
      <c r="I590" s="14" t="s">
        <v>11388</v>
      </c>
      <c r="J590" s="14" t="s">
        <v>11389</v>
      </c>
      <c r="K590" s="14" t="s">
        <v>207</v>
      </c>
      <c r="L590" s="14" t="s">
        <v>208</v>
      </c>
      <c r="M590" s="14" t="s">
        <v>209</v>
      </c>
      <c r="N590" s="14" t="s">
        <v>11390</v>
      </c>
      <c r="O590" s="14" t="s">
        <v>397</v>
      </c>
      <c r="P590" s="14" t="s">
        <v>11391</v>
      </c>
      <c r="Q590" s="14" t="s">
        <v>166</v>
      </c>
      <c r="R590" s="14" t="s">
        <v>177</v>
      </c>
      <c r="S590" s="14" t="s">
        <v>178</v>
      </c>
      <c r="T590" s="14" t="s">
        <v>179</v>
      </c>
      <c r="U590" s="14" t="s">
        <v>11392</v>
      </c>
      <c r="V590" s="14" t="s">
        <v>11393</v>
      </c>
      <c r="W590" s="21" t="s">
        <v>11394</v>
      </c>
      <c r="X590" s="14" t="s">
        <v>11395</v>
      </c>
      <c r="Y590" s="14" t="s">
        <v>11396</v>
      </c>
      <c r="Z590" s="14" t="s">
        <v>11397</v>
      </c>
      <c r="AA590" s="14" t="s">
        <v>242</v>
      </c>
      <c r="AB590" s="14" t="s">
        <v>243</v>
      </c>
      <c r="AC590" s="14" t="s">
        <v>244</v>
      </c>
      <c r="AD590" s="14" t="s">
        <v>243</v>
      </c>
      <c r="AE590" s="14" t="s">
        <v>243</v>
      </c>
      <c r="AF590" s="14" t="s">
        <v>245</v>
      </c>
      <c r="AG590" s="14" t="s">
        <v>166</v>
      </c>
      <c r="AH590" s="21">
        <v>2</v>
      </c>
      <c r="AI590" s="3">
        <f>HYPERLINK("https://my.pitchbook.com/?d=136195-66T","136195-66T")</f>
      </c>
      <c r="AJ590" s="19">
        <v>43825</v>
      </c>
      <c r="AK590" s="19">
        <v>43908</v>
      </c>
      <c r="AL590" s="18">
        <v>0.61</v>
      </c>
      <c r="AM590" s="14" t="s">
        <v>185</v>
      </c>
      <c r="AN590" s="18">
        <v>3</v>
      </c>
      <c r="AO590" s="18">
        <v>3.61</v>
      </c>
      <c r="AP590" s="14" t="s">
        <v>185</v>
      </c>
      <c r="AQ590" s="21" t="s">
        <v>166</v>
      </c>
      <c r="AR590" s="21" t="s">
        <v>166</v>
      </c>
      <c r="AS590" s="17">
        <v>22.54</v>
      </c>
      <c r="AT590" s="18">
        <v>0.76</v>
      </c>
      <c r="AU590" s="21" t="s">
        <v>186</v>
      </c>
      <c r="AV590" s="21" t="s">
        <v>166</v>
      </c>
      <c r="AW590" s="18">
        <v>0.47</v>
      </c>
      <c r="AX590" s="21" t="s">
        <v>166</v>
      </c>
      <c r="AY590" s="14" t="s">
        <v>187</v>
      </c>
      <c r="AZ590" s="14" t="s">
        <v>166</v>
      </c>
      <c r="BA590" s="14" t="s">
        <v>166</v>
      </c>
      <c r="BB590" s="21" t="s">
        <v>166</v>
      </c>
      <c r="BC590" s="14" t="s">
        <v>179</v>
      </c>
      <c r="BD590" s="14" t="s">
        <v>11398</v>
      </c>
      <c r="BE590" s="14" t="s">
        <v>189</v>
      </c>
      <c r="BF590" s="18">
        <v>0.61</v>
      </c>
      <c r="BG590" s="14" t="s">
        <v>190</v>
      </c>
      <c r="BH590" s="14" t="s">
        <v>166</v>
      </c>
      <c r="BI590" s="14" t="s">
        <v>166</v>
      </c>
      <c r="BJ590" s="18" t="s">
        <v>166</v>
      </c>
      <c r="BK590" s="18" t="s">
        <v>166</v>
      </c>
      <c r="BL590" s="14" t="s">
        <v>191</v>
      </c>
      <c r="BM590" s="14" t="s">
        <v>178</v>
      </c>
      <c r="BN590" s="14" t="s">
        <v>177</v>
      </c>
      <c r="BO590" s="22" t="s">
        <v>166</v>
      </c>
      <c r="BP590" s="14" t="s">
        <v>9033</v>
      </c>
      <c r="BQ590" s="21">
        <v>1</v>
      </c>
      <c r="BR590" s="14" t="s">
        <v>166</v>
      </c>
      <c r="BS590" s="21" t="s">
        <v>166</v>
      </c>
      <c r="BT590" s="14" t="s">
        <v>166</v>
      </c>
      <c r="BU590" s="14" t="s">
        <v>166</v>
      </c>
      <c r="BV590" s="14" t="s">
        <v>11399</v>
      </c>
      <c r="BW590" s="14" t="s">
        <v>166</v>
      </c>
      <c r="BX590" s="14" t="s">
        <v>166</v>
      </c>
      <c r="BY590" s="14" t="s">
        <v>166</v>
      </c>
      <c r="BZ590" s="14" t="s">
        <v>166</v>
      </c>
      <c r="CA590" s="14" t="s">
        <v>166</v>
      </c>
      <c r="CB590" s="14" t="s">
        <v>166</v>
      </c>
      <c r="CC590" s="14" t="s">
        <v>166</v>
      </c>
      <c r="CD590" s="14" t="s">
        <v>166</v>
      </c>
      <c r="CE590" s="18" t="s">
        <v>166</v>
      </c>
      <c r="CF590" s="16" t="s">
        <v>166</v>
      </c>
      <c r="CG590" s="17" t="s">
        <v>166</v>
      </c>
      <c r="CH590" s="16" t="s">
        <v>166</v>
      </c>
      <c r="CI590" s="16" t="s">
        <v>166</v>
      </c>
      <c r="CJ590" s="16" t="s">
        <v>166</v>
      </c>
      <c r="CK590" s="16" t="s">
        <v>166</v>
      </c>
      <c r="CL590" s="16" t="s">
        <v>166</v>
      </c>
      <c r="CM590" s="20" t="s">
        <v>166</v>
      </c>
      <c r="CN590" s="16" t="s">
        <v>166</v>
      </c>
      <c r="CO590" s="16" t="s">
        <v>166</v>
      </c>
      <c r="CP590" s="16" t="s">
        <v>166</v>
      </c>
      <c r="CQ590" s="16" t="s">
        <v>166</v>
      </c>
      <c r="CR590" s="16" t="s">
        <v>166</v>
      </c>
      <c r="CS590" s="16" t="s">
        <v>166</v>
      </c>
      <c r="CT590" s="16" t="s">
        <v>166</v>
      </c>
      <c r="CU590" s="16" t="s">
        <v>166</v>
      </c>
      <c r="CV590" s="16" t="s">
        <v>166</v>
      </c>
      <c r="CW590" s="16" t="s">
        <v>166</v>
      </c>
      <c r="CX590" s="16" t="s">
        <v>166</v>
      </c>
      <c r="CY590" s="16" t="s">
        <v>166</v>
      </c>
      <c r="CZ590" s="16" t="s">
        <v>166</v>
      </c>
      <c r="DA590" s="16" t="s">
        <v>166</v>
      </c>
      <c r="DB590" s="16" t="s">
        <v>166</v>
      </c>
      <c r="DC590" s="16" t="s">
        <v>166</v>
      </c>
      <c r="DD590" s="16" t="s">
        <v>166</v>
      </c>
      <c r="DE590" s="17" t="s">
        <v>166</v>
      </c>
      <c r="DF590" s="22">
        <v>22</v>
      </c>
      <c r="DG590" s="14" t="s">
        <v>1929</v>
      </c>
      <c r="DH590" s="14" t="s">
        <v>193</v>
      </c>
      <c r="DI590" s="14" t="s">
        <v>194</v>
      </c>
      <c r="DJ590" s="14" t="s">
        <v>1930</v>
      </c>
      <c r="DK590" s="14" t="s">
        <v>545</v>
      </c>
      <c r="DL590" s="21" t="s">
        <v>11400</v>
      </c>
      <c r="DM590" s="14" t="s">
        <v>198</v>
      </c>
      <c r="DN590" s="13" t="s">
        <v>11401</v>
      </c>
      <c r="DO590" s="20">
        <v>2019</v>
      </c>
      <c r="DP590" s="14" t="s">
        <v>166</v>
      </c>
      <c r="DQ590" s="14" t="s">
        <v>166</v>
      </c>
      <c r="DR590" s="18" t="s">
        <v>166</v>
      </c>
      <c r="DS590" s="16" t="s">
        <v>166</v>
      </c>
      <c r="DT590" s="19" t="s">
        <v>166</v>
      </c>
      <c r="DU590" s="14" t="s">
        <v>166</v>
      </c>
      <c r="DV590" s="18" t="s">
        <v>166</v>
      </c>
      <c r="DW590" s="18" t="s">
        <v>166</v>
      </c>
      <c r="DX590" s="16" t="s">
        <v>166</v>
      </c>
      <c r="DY590" s="16" t="s">
        <v>166</v>
      </c>
      <c r="DZ590" s="17" t="s">
        <v>166</v>
      </c>
      <c r="EA590" s="16" t="s">
        <v>166</v>
      </c>
      <c r="EB590" s="16" t="s">
        <v>166</v>
      </c>
      <c r="EC590" s="16" t="s">
        <v>166</v>
      </c>
      <c r="ED590" s="17" t="s">
        <v>166</v>
      </c>
      <c r="EE590" s="17" t="s">
        <v>166</v>
      </c>
      <c r="EF590" s="17" t="s">
        <v>166</v>
      </c>
      <c r="EG590" s="17" t="s">
        <v>166</v>
      </c>
      <c r="EH590" s="16" t="s">
        <v>166</v>
      </c>
      <c r="EI590" s="16" t="s">
        <v>166</v>
      </c>
      <c r="EJ590" s="16" t="s">
        <v>166</v>
      </c>
      <c r="EK590" s="16" t="s">
        <v>166</v>
      </c>
      <c r="EL590" s="16" t="s">
        <v>166</v>
      </c>
      <c r="EM590" s="16" t="s">
        <v>166</v>
      </c>
      <c r="EN590" s="16" t="s">
        <v>166</v>
      </c>
      <c r="EO590" s="16" t="s">
        <v>166</v>
      </c>
      <c r="EP590" s="16" t="s">
        <v>166</v>
      </c>
      <c r="EQ590" s="16" t="s">
        <v>166</v>
      </c>
      <c r="ER590" s="16" t="s">
        <v>166</v>
      </c>
      <c r="ES590" s="16" t="s">
        <v>166</v>
      </c>
      <c r="ET590" s="14" t="s">
        <v>166</v>
      </c>
      <c r="EU590" s="16" t="s">
        <v>166</v>
      </c>
      <c r="EV590" s="16" t="s">
        <v>166</v>
      </c>
      <c r="EW590" s="16" t="s">
        <v>166</v>
      </c>
      <c r="EX590" s="14" t="s">
        <v>190</v>
      </c>
      <c r="EY590" s="14" t="s">
        <v>166</v>
      </c>
      <c r="EZ590" s="16" t="s">
        <v>166</v>
      </c>
      <c r="FA590" s="15">
        <v>2</v>
      </c>
      <c r="FB590" s="15">
        <v>1</v>
      </c>
      <c r="FC590" s="15">
        <v>2</v>
      </c>
      <c r="FD590" s="15" t="s">
        <v>166</v>
      </c>
      <c r="FE590" s="15" t="s">
        <v>166</v>
      </c>
      <c r="FF590" s="15" t="s">
        <v>166</v>
      </c>
      <c r="FG590" s="14" t="s">
        <v>457</v>
      </c>
      <c r="FH590" s="3">
        <f>HYPERLINK("https://my.pitchbook.com?c=136195-66T","View Company Online")</f>
      </c>
    </row>
    <row r="591">
      <c r="A591" s="25" t="s">
        <v>11402</v>
      </c>
      <c r="B591" s="25" t="s">
        <v>11403</v>
      </c>
      <c r="C591" s="25" t="s">
        <v>11404</v>
      </c>
      <c r="D591" s="25" t="s">
        <v>166</v>
      </c>
      <c r="E591" s="34" t="s">
        <v>11405</v>
      </c>
      <c r="F591" s="32">
        <v>1</v>
      </c>
      <c r="G591" s="25" t="s">
        <v>11406</v>
      </c>
      <c r="H591" s="25" t="s">
        <v>166</v>
      </c>
      <c r="I591" s="25" t="s">
        <v>11407</v>
      </c>
      <c r="J591" s="25" t="s">
        <v>11408</v>
      </c>
      <c r="K591" s="25" t="s">
        <v>207</v>
      </c>
      <c r="L591" s="25" t="s">
        <v>208</v>
      </c>
      <c r="M591" s="25" t="s">
        <v>209</v>
      </c>
      <c r="N591" s="25" t="s">
        <v>269</v>
      </c>
      <c r="O591" s="25" t="s">
        <v>580</v>
      </c>
      <c r="P591" s="25" t="s">
        <v>11409</v>
      </c>
      <c r="Q591" s="25" t="s">
        <v>166</v>
      </c>
      <c r="R591" s="25" t="s">
        <v>177</v>
      </c>
      <c r="S591" s="25" t="s">
        <v>358</v>
      </c>
      <c r="T591" s="25" t="s">
        <v>179</v>
      </c>
      <c r="U591" s="25" t="s">
        <v>11410</v>
      </c>
      <c r="V591" s="25" t="s">
        <v>11411</v>
      </c>
      <c r="W591" s="32" t="s">
        <v>166</v>
      </c>
      <c r="X591" s="25" t="s">
        <v>11412</v>
      </c>
      <c r="Y591" s="25" t="s">
        <v>11413</v>
      </c>
      <c r="Z591" s="25" t="s">
        <v>166</v>
      </c>
      <c r="AA591" s="25" t="s">
        <v>166</v>
      </c>
      <c r="AB591" s="25" t="s">
        <v>166</v>
      </c>
      <c r="AC591" s="25" t="s">
        <v>166</v>
      </c>
      <c r="AD591" s="25" t="s">
        <v>166</v>
      </c>
      <c r="AE591" s="25" t="s">
        <v>166</v>
      </c>
      <c r="AF591" s="25" t="s">
        <v>166</v>
      </c>
      <c r="AG591" s="25" t="s">
        <v>166</v>
      </c>
      <c r="AH591" s="32">
        <v>1</v>
      </c>
      <c r="AI591" s="4">
        <f>HYPERLINK("https://my.pitchbook.com/?d=251594-11T","251594-11T")</f>
      </c>
      <c r="AJ591" s="30" t="s">
        <v>166</v>
      </c>
      <c r="AK591" s="30">
        <v>45330</v>
      </c>
      <c r="AL591" s="29">
        <v>2</v>
      </c>
      <c r="AM591" s="25" t="s">
        <v>185</v>
      </c>
      <c r="AN591" s="29" t="s">
        <v>166</v>
      </c>
      <c r="AO591" s="29" t="s">
        <v>166</v>
      </c>
      <c r="AP591" s="25" t="s">
        <v>166</v>
      </c>
      <c r="AQ591" s="32" t="s">
        <v>166</v>
      </c>
      <c r="AR591" s="32" t="s">
        <v>166</v>
      </c>
      <c r="AS591" s="28" t="s">
        <v>166</v>
      </c>
      <c r="AT591" s="29">
        <v>2</v>
      </c>
      <c r="AU591" s="32" t="s">
        <v>186</v>
      </c>
      <c r="AV591" s="32" t="s">
        <v>166</v>
      </c>
      <c r="AW591" s="29" t="s">
        <v>166</v>
      </c>
      <c r="AX591" s="32" t="s">
        <v>166</v>
      </c>
      <c r="AY591" s="25" t="s">
        <v>217</v>
      </c>
      <c r="AZ591" s="25" t="s">
        <v>217</v>
      </c>
      <c r="BA591" s="25" t="s">
        <v>166</v>
      </c>
      <c r="BB591" s="32" t="s">
        <v>166</v>
      </c>
      <c r="BC591" s="25" t="s">
        <v>179</v>
      </c>
      <c r="BD591" s="25" t="s">
        <v>11408</v>
      </c>
      <c r="BE591" s="25" t="s">
        <v>189</v>
      </c>
      <c r="BF591" s="29">
        <v>2</v>
      </c>
      <c r="BG591" s="25" t="s">
        <v>190</v>
      </c>
      <c r="BH591" s="25" t="s">
        <v>166</v>
      </c>
      <c r="BI591" s="25" t="s">
        <v>166</v>
      </c>
      <c r="BJ591" s="29" t="s">
        <v>166</v>
      </c>
      <c r="BK591" s="29" t="s">
        <v>166</v>
      </c>
      <c r="BL591" s="25" t="s">
        <v>191</v>
      </c>
      <c r="BM591" s="25" t="s">
        <v>358</v>
      </c>
      <c r="BN591" s="25" t="s">
        <v>177</v>
      </c>
      <c r="BO591" s="33" t="s">
        <v>166</v>
      </c>
      <c r="BP591" s="25" t="s">
        <v>11414</v>
      </c>
      <c r="BQ591" s="32">
        <v>1</v>
      </c>
      <c r="BR591" s="25" t="s">
        <v>166</v>
      </c>
      <c r="BS591" s="32" t="s">
        <v>166</v>
      </c>
      <c r="BT591" s="25" t="s">
        <v>11405</v>
      </c>
      <c r="BU591" s="25" t="s">
        <v>166</v>
      </c>
      <c r="BV591" s="25" t="s">
        <v>166</v>
      </c>
      <c r="BW591" s="25" t="s">
        <v>166</v>
      </c>
      <c r="BX591" s="25" t="s">
        <v>166</v>
      </c>
      <c r="BY591" s="25" t="s">
        <v>166</v>
      </c>
      <c r="BZ591" s="25" t="s">
        <v>166</v>
      </c>
      <c r="CA591" s="25" t="s">
        <v>166</v>
      </c>
      <c r="CB591" s="25" t="s">
        <v>166</v>
      </c>
      <c r="CC591" s="25" t="s">
        <v>166</v>
      </c>
      <c r="CD591" s="25" t="s">
        <v>166</v>
      </c>
      <c r="CE591" s="29" t="s">
        <v>166</v>
      </c>
      <c r="CF591" s="27" t="s">
        <v>166</v>
      </c>
      <c r="CG591" s="28" t="s">
        <v>166</v>
      </c>
      <c r="CH591" s="27" t="s">
        <v>166</v>
      </c>
      <c r="CI591" s="27" t="s">
        <v>166</v>
      </c>
      <c r="CJ591" s="27" t="s">
        <v>166</v>
      </c>
      <c r="CK591" s="27" t="s">
        <v>166</v>
      </c>
      <c r="CL591" s="27" t="s">
        <v>166</v>
      </c>
      <c r="CM591" s="31" t="s">
        <v>166</v>
      </c>
      <c r="CN591" s="27" t="s">
        <v>166</v>
      </c>
      <c r="CO591" s="27" t="s">
        <v>166</v>
      </c>
      <c r="CP591" s="27" t="s">
        <v>166</v>
      </c>
      <c r="CQ591" s="27" t="s">
        <v>166</v>
      </c>
      <c r="CR591" s="27" t="s">
        <v>166</v>
      </c>
      <c r="CS591" s="27" t="s">
        <v>166</v>
      </c>
      <c r="CT591" s="27" t="s">
        <v>166</v>
      </c>
      <c r="CU591" s="27" t="s">
        <v>166</v>
      </c>
      <c r="CV591" s="27" t="s">
        <v>166</v>
      </c>
      <c r="CW591" s="27" t="s">
        <v>166</v>
      </c>
      <c r="CX591" s="27" t="s">
        <v>166</v>
      </c>
      <c r="CY591" s="27" t="s">
        <v>166</v>
      </c>
      <c r="CZ591" s="27" t="s">
        <v>166</v>
      </c>
      <c r="DA591" s="27" t="s">
        <v>166</v>
      </c>
      <c r="DB591" s="27" t="s">
        <v>166</v>
      </c>
      <c r="DC591" s="27" t="s">
        <v>166</v>
      </c>
      <c r="DD591" s="27" t="s">
        <v>166</v>
      </c>
      <c r="DE591" s="28" t="s">
        <v>166</v>
      </c>
      <c r="DF591" s="33">
        <v>9</v>
      </c>
      <c r="DG591" s="25" t="s">
        <v>2122</v>
      </c>
      <c r="DH591" s="25" t="s">
        <v>193</v>
      </c>
      <c r="DI591" s="25" t="s">
        <v>194</v>
      </c>
      <c r="DJ591" s="25" t="s">
        <v>2123</v>
      </c>
      <c r="DK591" s="25" t="s">
        <v>2124</v>
      </c>
      <c r="DL591" s="32" t="s">
        <v>11415</v>
      </c>
      <c r="DM591" s="25" t="s">
        <v>198</v>
      </c>
      <c r="DN591" s="24" t="s">
        <v>11416</v>
      </c>
      <c r="DO591" s="31">
        <v>2023</v>
      </c>
      <c r="DP591" s="25" t="s">
        <v>166</v>
      </c>
      <c r="DQ591" s="25" t="s">
        <v>166</v>
      </c>
      <c r="DR591" s="29" t="s">
        <v>166</v>
      </c>
      <c r="DS591" s="27" t="s">
        <v>166</v>
      </c>
      <c r="DT591" s="30" t="s">
        <v>166</v>
      </c>
      <c r="DU591" s="25" t="s">
        <v>166</v>
      </c>
      <c r="DV591" s="29" t="s">
        <v>166</v>
      </c>
      <c r="DW591" s="29" t="s">
        <v>166</v>
      </c>
      <c r="DX591" s="27" t="s">
        <v>166</v>
      </c>
      <c r="DY591" s="27" t="s">
        <v>166</v>
      </c>
      <c r="DZ591" s="28" t="s">
        <v>166</v>
      </c>
      <c r="EA591" s="27" t="s">
        <v>166</v>
      </c>
      <c r="EB591" s="27" t="s">
        <v>166</v>
      </c>
      <c r="EC591" s="27" t="s">
        <v>166</v>
      </c>
      <c r="ED591" s="28" t="s">
        <v>166</v>
      </c>
      <c r="EE591" s="28" t="s">
        <v>166</v>
      </c>
      <c r="EF591" s="28" t="s">
        <v>166</v>
      </c>
      <c r="EG591" s="28" t="s">
        <v>166</v>
      </c>
      <c r="EH591" s="27" t="s">
        <v>166</v>
      </c>
      <c r="EI591" s="27" t="s">
        <v>166</v>
      </c>
      <c r="EJ591" s="27" t="s">
        <v>166</v>
      </c>
      <c r="EK591" s="27" t="s">
        <v>166</v>
      </c>
      <c r="EL591" s="27" t="s">
        <v>166</v>
      </c>
      <c r="EM591" s="27" t="s">
        <v>166</v>
      </c>
      <c r="EN591" s="27" t="s">
        <v>166</v>
      </c>
      <c r="EO591" s="27" t="s">
        <v>166</v>
      </c>
      <c r="EP591" s="27" t="s">
        <v>166</v>
      </c>
      <c r="EQ591" s="27" t="s">
        <v>166</v>
      </c>
      <c r="ER591" s="27" t="s">
        <v>166</v>
      </c>
      <c r="ES591" s="27" t="s">
        <v>166</v>
      </c>
      <c r="ET591" s="25" t="s">
        <v>166</v>
      </c>
      <c r="EU591" s="27" t="s">
        <v>166</v>
      </c>
      <c r="EV591" s="27" t="s">
        <v>166</v>
      </c>
      <c r="EW591" s="27" t="s">
        <v>166</v>
      </c>
      <c r="EX591" s="25" t="s">
        <v>190</v>
      </c>
      <c r="EY591" s="25" t="s">
        <v>166</v>
      </c>
      <c r="EZ591" s="27" t="s">
        <v>166</v>
      </c>
      <c r="FA591" s="26" t="s">
        <v>166</v>
      </c>
      <c r="FB591" s="26" t="s">
        <v>166</v>
      </c>
      <c r="FC591" s="26" t="s">
        <v>166</v>
      </c>
      <c r="FD591" s="26" t="s">
        <v>166</v>
      </c>
      <c r="FE591" s="26" t="s">
        <v>166</v>
      </c>
      <c r="FF591" s="26" t="s">
        <v>166</v>
      </c>
      <c r="FG591" s="25" t="s">
        <v>166</v>
      </c>
      <c r="FH591" s="4">
        <f>HYPERLINK("https://my.pitchbook.com?c=251594-11T","View Company Online")</f>
      </c>
    </row>
    <row r="592">
      <c r="A592" s="14" t="s">
        <v>11417</v>
      </c>
      <c r="B592" s="14" t="s">
        <v>11418</v>
      </c>
      <c r="C592" s="14" t="s">
        <v>11419</v>
      </c>
      <c r="D592" s="14" t="s">
        <v>166</v>
      </c>
      <c r="E592" s="23" t="s">
        <v>11420</v>
      </c>
      <c r="F592" s="21">
        <v>7</v>
      </c>
      <c r="G592" s="14" t="s">
        <v>11421</v>
      </c>
      <c r="H592" s="14" t="s">
        <v>166</v>
      </c>
      <c r="I592" s="14" t="s">
        <v>11422</v>
      </c>
      <c r="J592" s="14" t="s">
        <v>11423</v>
      </c>
      <c r="K592" s="14" t="s">
        <v>171</v>
      </c>
      <c r="L592" s="14" t="s">
        <v>172</v>
      </c>
      <c r="M592" s="14" t="s">
        <v>1689</v>
      </c>
      <c r="N592" s="14" t="s">
        <v>2701</v>
      </c>
      <c r="O592" s="14" t="s">
        <v>11424</v>
      </c>
      <c r="P592" s="14" t="s">
        <v>11425</v>
      </c>
      <c r="Q592" s="14" t="s">
        <v>166</v>
      </c>
      <c r="R592" s="14" t="s">
        <v>177</v>
      </c>
      <c r="S592" s="14" t="s">
        <v>178</v>
      </c>
      <c r="T592" s="14" t="s">
        <v>179</v>
      </c>
      <c r="U592" s="14" t="s">
        <v>11426</v>
      </c>
      <c r="V592" s="14" t="s">
        <v>11427</v>
      </c>
      <c r="W592" s="21" t="s">
        <v>166</v>
      </c>
      <c r="X592" s="14" t="s">
        <v>166</v>
      </c>
      <c r="Y592" s="14" t="s">
        <v>11428</v>
      </c>
      <c r="Z592" s="14" t="s">
        <v>11429</v>
      </c>
      <c r="AA592" s="14" t="s">
        <v>166</v>
      </c>
      <c r="AB592" s="14" t="s">
        <v>166</v>
      </c>
      <c r="AC592" s="14" t="s">
        <v>166</v>
      </c>
      <c r="AD592" s="14" t="s">
        <v>166</v>
      </c>
      <c r="AE592" s="14" t="s">
        <v>166</v>
      </c>
      <c r="AF592" s="14" t="s">
        <v>166</v>
      </c>
      <c r="AG592" s="14" t="s">
        <v>166</v>
      </c>
      <c r="AH592" s="21">
        <v>1</v>
      </c>
      <c r="AI592" s="3">
        <f>HYPERLINK("https://my.pitchbook.com/?d=208023-31T","208023-31T")</f>
      </c>
      <c r="AJ592" s="19" t="s">
        <v>166</v>
      </c>
      <c r="AK592" s="19">
        <v>44875</v>
      </c>
      <c r="AL592" s="18">
        <v>5</v>
      </c>
      <c r="AM592" s="14" t="s">
        <v>185</v>
      </c>
      <c r="AN592" s="18" t="s">
        <v>166</v>
      </c>
      <c r="AO592" s="18" t="s">
        <v>166</v>
      </c>
      <c r="AP592" s="14" t="s">
        <v>166</v>
      </c>
      <c r="AQ592" s="21" t="s">
        <v>166</v>
      </c>
      <c r="AR592" s="21" t="s">
        <v>166</v>
      </c>
      <c r="AS592" s="17" t="s">
        <v>166</v>
      </c>
      <c r="AT592" s="18">
        <v>5</v>
      </c>
      <c r="AU592" s="21" t="s">
        <v>186</v>
      </c>
      <c r="AV592" s="21" t="s">
        <v>166</v>
      </c>
      <c r="AW592" s="18" t="s">
        <v>166</v>
      </c>
      <c r="AX592" s="21" t="s">
        <v>166</v>
      </c>
      <c r="AY592" s="14" t="s">
        <v>217</v>
      </c>
      <c r="AZ592" s="14" t="s">
        <v>217</v>
      </c>
      <c r="BA592" s="14" t="s">
        <v>166</v>
      </c>
      <c r="BB592" s="21" t="s">
        <v>166</v>
      </c>
      <c r="BC592" s="14" t="s">
        <v>179</v>
      </c>
      <c r="BD592" s="14" t="s">
        <v>11423</v>
      </c>
      <c r="BE592" s="14" t="s">
        <v>189</v>
      </c>
      <c r="BF592" s="18">
        <v>5</v>
      </c>
      <c r="BG592" s="14" t="s">
        <v>190</v>
      </c>
      <c r="BH592" s="14" t="s">
        <v>166</v>
      </c>
      <c r="BI592" s="14" t="s">
        <v>166</v>
      </c>
      <c r="BJ592" s="18" t="s">
        <v>166</v>
      </c>
      <c r="BK592" s="18" t="s">
        <v>166</v>
      </c>
      <c r="BL592" s="14" t="s">
        <v>191</v>
      </c>
      <c r="BM592" s="14" t="s">
        <v>178</v>
      </c>
      <c r="BN592" s="14" t="s">
        <v>177</v>
      </c>
      <c r="BO592" s="22" t="s">
        <v>166</v>
      </c>
      <c r="BP592" s="14" t="s">
        <v>11420</v>
      </c>
      <c r="BQ592" s="21">
        <v>7</v>
      </c>
      <c r="BR592" s="14" t="s">
        <v>166</v>
      </c>
      <c r="BS592" s="21" t="s">
        <v>166</v>
      </c>
      <c r="BT592" s="14" t="s">
        <v>166</v>
      </c>
      <c r="BU592" s="14" t="s">
        <v>166</v>
      </c>
      <c r="BV592" s="14" t="s">
        <v>11430</v>
      </c>
      <c r="BW592" s="14" t="s">
        <v>166</v>
      </c>
      <c r="BX592" s="14" t="s">
        <v>166</v>
      </c>
      <c r="BY592" s="14" t="s">
        <v>166</v>
      </c>
      <c r="BZ592" s="14" t="s">
        <v>166</v>
      </c>
      <c r="CA592" s="14" t="s">
        <v>166</v>
      </c>
      <c r="CB592" s="14" t="s">
        <v>166</v>
      </c>
      <c r="CC592" s="14" t="s">
        <v>166</v>
      </c>
      <c r="CD592" s="14" t="s">
        <v>166</v>
      </c>
      <c r="CE592" s="18" t="s">
        <v>166</v>
      </c>
      <c r="CF592" s="16" t="s">
        <v>166</v>
      </c>
      <c r="CG592" s="17" t="s">
        <v>166</v>
      </c>
      <c r="CH592" s="16" t="s">
        <v>166</v>
      </c>
      <c r="CI592" s="16" t="s">
        <v>166</v>
      </c>
      <c r="CJ592" s="16" t="s">
        <v>166</v>
      </c>
      <c r="CK592" s="16" t="s">
        <v>166</v>
      </c>
      <c r="CL592" s="16" t="s">
        <v>166</v>
      </c>
      <c r="CM592" s="20" t="s">
        <v>166</v>
      </c>
      <c r="CN592" s="16" t="s">
        <v>166</v>
      </c>
      <c r="CO592" s="16" t="s">
        <v>166</v>
      </c>
      <c r="CP592" s="16" t="s">
        <v>166</v>
      </c>
      <c r="CQ592" s="16" t="s">
        <v>166</v>
      </c>
      <c r="CR592" s="16" t="s">
        <v>166</v>
      </c>
      <c r="CS592" s="16" t="s">
        <v>166</v>
      </c>
      <c r="CT592" s="16" t="s">
        <v>166</v>
      </c>
      <c r="CU592" s="16" t="s">
        <v>166</v>
      </c>
      <c r="CV592" s="16" t="s">
        <v>166</v>
      </c>
      <c r="CW592" s="16" t="s">
        <v>166</v>
      </c>
      <c r="CX592" s="16" t="s">
        <v>166</v>
      </c>
      <c r="CY592" s="16" t="s">
        <v>166</v>
      </c>
      <c r="CZ592" s="16" t="s">
        <v>166</v>
      </c>
      <c r="DA592" s="16" t="s">
        <v>166</v>
      </c>
      <c r="DB592" s="16" t="s">
        <v>166</v>
      </c>
      <c r="DC592" s="16" t="s">
        <v>166</v>
      </c>
      <c r="DD592" s="16" t="s">
        <v>166</v>
      </c>
      <c r="DE592" s="17" t="s">
        <v>166</v>
      </c>
      <c r="DF592" s="22">
        <v>32</v>
      </c>
      <c r="DG592" s="14" t="s">
        <v>3934</v>
      </c>
      <c r="DH592" s="14" t="s">
        <v>193</v>
      </c>
      <c r="DI592" s="14" t="s">
        <v>194</v>
      </c>
      <c r="DJ592" s="14" t="s">
        <v>3935</v>
      </c>
      <c r="DK592" s="14" t="s">
        <v>1063</v>
      </c>
      <c r="DL592" s="21" t="s">
        <v>3936</v>
      </c>
      <c r="DM592" s="14" t="s">
        <v>198</v>
      </c>
      <c r="DN592" s="13" t="s">
        <v>11431</v>
      </c>
      <c r="DO592" s="20">
        <v>2022</v>
      </c>
      <c r="DP592" s="14" t="s">
        <v>166</v>
      </c>
      <c r="DQ592" s="14" t="s">
        <v>166</v>
      </c>
      <c r="DR592" s="18" t="s">
        <v>166</v>
      </c>
      <c r="DS592" s="16" t="s">
        <v>166</v>
      </c>
      <c r="DT592" s="19" t="s">
        <v>166</v>
      </c>
      <c r="DU592" s="14" t="s">
        <v>166</v>
      </c>
      <c r="DV592" s="18" t="s">
        <v>166</v>
      </c>
      <c r="DW592" s="18" t="s">
        <v>166</v>
      </c>
      <c r="DX592" s="16" t="s">
        <v>166</v>
      </c>
      <c r="DY592" s="16" t="s">
        <v>166</v>
      </c>
      <c r="DZ592" s="17" t="s">
        <v>166</v>
      </c>
      <c r="EA592" s="16" t="s">
        <v>166</v>
      </c>
      <c r="EB592" s="16" t="s">
        <v>166</v>
      </c>
      <c r="EC592" s="16" t="s">
        <v>166</v>
      </c>
      <c r="ED592" s="17" t="s">
        <v>166</v>
      </c>
      <c r="EE592" s="17" t="s">
        <v>166</v>
      </c>
      <c r="EF592" s="17" t="s">
        <v>166</v>
      </c>
      <c r="EG592" s="17" t="s">
        <v>166</v>
      </c>
      <c r="EH592" s="16" t="s">
        <v>166</v>
      </c>
      <c r="EI592" s="16" t="s">
        <v>166</v>
      </c>
      <c r="EJ592" s="16" t="s">
        <v>166</v>
      </c>
      <c r="EK592" s="16" t="s">
        <v>166</v>
      </c>
      <c r="EL592" s="16" t="s">
        <v>166</v>
      </c>
      <c r="EM592" s="16" t="s">
        <v>166</v>
      </c>
      <c r="EN592" s="16" t="s">
        <v>166</v>
      </c>
      <c r="EO592" s="16" t="s">
        <v>166</v>
      </c>
      <c r="EP592" s="16" t="s">
        <v>166</v>
      </c>
      <c r="EQ592" s="16" t="s">
        <v>166</v>
      </c>
      <c r="ER592" s="16" t="s">
        <v>166</v>
      </c>
      <c r="ES592" s="16" t="s">
        <v>166</v>
      </c>
      <c r="ET592" s="14" t="s">
        <v>166</v>
      </c>
      <c r="EU592" s="16" t="s">
        <v>166</v>
      </c>
      <c r="EV592" s="16" t="s">
        <v>166</v>
      </c>
      <c r="EW592" s="16" t="s">
        <v>166</v>
      </c>
      <c r="EX592" s="14" t="s">
        <v>190</v>
      </c>
      <c r="EY592" s="14" t="s">
        <v>166</v>
      </c>
      <c r="EZ592" s="16" t="s">
        <v>166</v>
      </c>
      <c r="FA592" s="15" t="s">
        <v>166</v>
      </c>
      <c r="FB592" s="15" t="s">
        <v>166</v>
      </c>
      <c r="FC592" s="15" t="s">
        <v>166</v>
      </c>
      <c r="FD592" s="15" t="s">
        <v>166</v>
      </c>
      <c r="FE592" s="15" t="s">
        <v>166</v>
      </c>
      <c r="FF592" s="15" t="s">
        <v>166</v>
      </c>
      <c r="FG592" s="14" t="s">
        <v>166</v>
      </c>
      <c r="FH592" s="3">
        <f>HYPERLINK("https://my.pitchbook.com?c=208023-31T","View Company Online")</f>
      </c>
    </row>
    <row r="593">
      <c r="A593" s="25" t="s">
        <v>11432</v>
      </c>
      <c r="B593" s="25" t="s">
        <v>11433</v>
      </c>
      <c r="C593" s="25" t="s">
        <v>11434</v>
      </c>
      <c r="D593" s="25" t="s">
        <v>166</v>
      </c>
      <c r="E593" s="34" t="s">
        <v>11435</v>
      </c>
      <c r="F593" s="32">
        <v>4</v>
      </c>
      <c r="G593" s="25" t="s">
        <v>11436</v>
      </c>
      <c r="H593" s="25" t="s">
        <v>166</v>
      </c>
      <c r="I593" s="25" t="s">
        <v>11437</v>
      </c>
      <c r="J593" s="25" t="s">
        <v>11438</v>
      </c>
      <c r="K593" s="25" t="s">
        <v>207</v>
      </c>
      <c r="L593" s="25" t="s">
        <v>208</v>
      </c>
      <c r="M593" s="25" t="s">
        <v>296</v>
      </c>
      <c r="N593" s="25" t="s">
        <v>11439</v>
      </c>
      <c r="O593" s="25" t="s">
        <v>11440</v>
      </c>
      <c r="P593" s="25" t="s">
        <v>11441</v>
      </c>
      <c r="Q593" s="25" t="s">
        <v>166</v>
      </c>
      <c r="R593" s="25" t="s">
        <v>177</v>
      </c>
      <c r="S593" s="25" t="s">
        <v>178</v>
      </c>
      <c r="T593" s="25" t="s">
        <v>179</v>
      </c>
      <c r="U593" s="25" t="s">
        <v>11442</v>
      </c>
      <c r="V593" s="25" t="s">
        <v>11443</v>
      </c>
      <c r="W593" s="32" t="s">
        <v>166</v>
      </c>
      <c r="X593" s="25" t="s">
        <v>11444</v>
      </c>
      <c r="Y593" s="25" t="s">
        <v>11445</v>
      </c>
      <c r="Z593" s="25" t="s">
        <v>11446</v>
      </c>
      <c r="AA593" s="25" t="s">
        <v>166</v>
      </c>
      <c r="AB593" s="25" t="s">
        <v>166</v>
      </c>
      <c r="AC593" s="25" t="s">
        <v>166</v>
      </c>
      <c r="AD593" s="25" t="s">
        <v>166</v>
      </c>
      <c r="AE593" s="25" t="s">
        <v>166</v>
      </c>
      <c r="AF593" s="25" t="s">
        <v>166</v>
      </c>
      <c r="AG593" s="25" t="s">
        <v>166</v>
      </c>
      <c r="AH593" s="32">
        <v>1</v>
      </c>
      <c r="AI593" s="4">
        <f>HYPERLINK("https://my.pitchbook.com/?d=157258-27T","157258-27T")</f>
      </c>
      <c r="AJ593" s="30" t="s">
        <v>166</v>
      </c>
      <c r="AK593" s="30">
        <v>44075</v>
      </c>
      <c r="AL593" s="29">
        <v>2.5</v>
      </c>
      <c r="AM593" s="25" t="s">
        <v>185</v>
      </c>
      <c r="AN593" s="29" t="s">
        <v>166</v>
      </c>
      <c r="AO593" s="29" t="s">
        <v>166</v>
      </c>
      <c r="AP593" s="25" t="s">
        <v>166</v>
      </c>
      <c r="AQ593" s="32" t="s">
        <v>166</v>
      </c>
      <c r="AR593" s="32" t="s">
        <v>166</v>
      </c>
      <c r="AS593" s="28" t="s">
        <v>166</v>
      </c>
      <c r="AT593" s="29">
        <v>2.5</v>
      </c>
      <c r="AU593" s="32" t="s">
        <v>186</v>
      </c>
      <c r="AV593" s="32" t="s">
        <v>166</v>
      </c>
      <c r="AW593" s="29" t="s">
        <v>166</v>
      </c>
      <c r="AX593" s="32" t="s">
        <v>166</v>
      </c>
      <c r="AY593" s="25" t="s">
        <v>217</v>
      </c>
      <c r="AZ593" s="25" t="s">
        <v>217</v>
      </c>
      <c r="BA593" s="25" t="s">
        <v>166</v>
      </c>
      <c r="BB593" s="32" t="s">
        <v>166</v>
      </c>
      <c r="BC593" s="25" t="s">
        <v>179</v>
      </c>
      <c r="BD593" s="25" t="s">
        <v>11447</v>
      </c>
      <c r="BE593" s="25" t="s">
        <v>189</v>
      </c>
      <c r="BF593" s="29">
        <v>2.5</v>
      </c>
      <c r="BG593" s="25" t="s">
        <v>190</v>
      </c>
      <c r="BH593" s="25" t="s">
        <v>166</v>
      </c>
      <c r="BI593" s="25" t="s">
        <v>166</v>
      </c>
      <c r="BJ593" s="29" t="s">
        <v>166</v>
      </c>
      <c r="BK593" s="29" t="s">
        <v>166</v>
      </c>
      <c r="BL593" s="25" t="s">
        <v>191</v>
      </c>
      <c r="BM593" s="25" t="s">
        <v>178</v>
      </c>
      <c r="BN593" s="25" t="s">
        <v>177</v>
      </c>
      <c r="BO593" s="33" t="s">
        <v>166</v>
      </c>
      <c r="BP593" s="25" t="s">
        <v>11448</v>
      </c>
      <c r="BQ593" s="32">
        <v>4</v>
      </c>
      <c r="BR593" s="25" t="s">
        <v>166</v>
      </c>
      <c r="BS593" s="32" t="s">
        <v>166</v>
      </c>
      <c r="BT593" s="25" t="s">
        <v>11449</v>
      </c>
      <c r="BU593" s="25" t="s">
        <v>166</v>
      </c>
      <c r="BV593" s="25" t="s">
        <v>11450</v>
      </c>
      <c r="BW593" s="25" t="s">
        <v>166</v>
      </c>
      <c r="BX593" s="25" t="s">
        <v>166</v>
      </c>
      <c r="BY593" s="25" t="s">
        <v>166</v>
      </c>
      <c r="BZ593" s="25" t="s">
        <v>166</v>
      </c>
      <c r="CA593" s="25" t="s">
        <v>166</v>
      </c>
      <c r="CB593" s="25" t="s">
        <v>166</v>
      </c>
      <c r="CC593" s="25" t="s">
        <v>166</v>
      </c>
      <c r="CD593" s="25" t="s">
        <v>166</v>
      </c>
      <c r="CE593" s="29" t="s">
        <v>166</v>
      </c>
      <c r="CF593" s="27" t="s">
        <v>166</v>
      </c>
      <c r="CG593" s="28" t="s">
        <v>166</v>
      </c>
      <c r="CH593" s="27" t="s">
        <v>166</v>
      </c>
      <c r="CI593" s="27" t="s">
        <v>166</v>
      </c>
      <c r="CJ593" s="27" t="s">
        <v>166</v>
      </c>
      <c r="CK593" s="27" t="s">
        <v>166</v>
      </c>
      <c r="CL593" s="27" t="s">
        <v>166</v>
      </c>
      <c r="CM593" s="31" t="s">
        <v>166</v>
      </c>
      <c r="CN593" s="27" t="s">
        <v>166</v>
      </c>
      <c r="CO593" s="27" t="s">
        <v>166</v>
      </c>
      <c r="CP593" s="27" t="s">
        <v>166</v>
      </c>
      <c r="CQ593" s="27" t="s">
        <v>166</v>
      </c>
      <c r="CR593" s="27" t="s">
        <v>166</v>
      </c>
      <c r="CS593" s="27" t="s">
        <v>166</v>
      </c>
      <c r="CT593" s="27" t="s">
        <v>166</v>
      </c>
      <c r="CU593" s="27" t="s">
        <v>166</v>
      </c>
      <c r="CV593" s="27" t="s">
        <v>166</v>
      </c>
      <c r="CW593" s="27" t="s">
        <v>166</v>
      </c>
      <c r="CX593" s="27" t="s">
        <v>166</v>
      </c>
      <c r="CY593" s="27" t="s">
        <v>166</v>
      </c>
      <c r="CZ593" s="27" t="s">
        <v>166</v>
      </c>
      <c r="DA593" s="27" t="s">
        <v>166</v>
      </c>
      <c r="DB593" s="27" t="s">
        <v>166</v>
      </c>
      <c r="DC593" s="27" t="s">
        <v>166</v>
      </c>
      <c r="DD593" s="27" t="s">
        <v>166</v>
      </c>
      <c r="DE593" s="28" t="s">
        <v>166</v>
      </c>
      <c r="DF593" s="33">
        <v>8</v>
      </c>
      <c r="DG593" s="25" t="s">
        <v>309</v>
      </c>
      <c r="DH593" s="25" t="s">
        <v>193</v>
      </c>
      <c r="DI593" s="25" t="s">
        <v>194</v>
      </c>
      <c r="DJ593" s="25" t="s">
        <v>310</v>
      </c>
      <c r="DK593" s="25" t="s">
        <v>310</v>
      </c>
      <c r="DL593" s="32" t="s">
        <v>2881</v>
      </c>
      <c r="DM593" s="25" t="s">
        <v>198</v>
      </c>
      <c r="DN593" s="24" t="s">
        <v>11451</v>
      </c>
      <c r="DO593" s="31">
        <v>2020</v>
      </c>
      <c r="DP593" s="25" t="s">
        <v>166</v>
      </c>
      <c r="DQ593" s="25" t="s">
        <v>166</v>
      </c>
      <c r="DR593" s="29" t="s">
        <v>166</v>
      </c>
      <c r="DS593" s="27" t="s">
        <v>166</v>
      </c>
      <c r="DT593" s="30" t="s">
        <v>166</v>
      </c>
      <c r="DU593" s="25" t="s">
        <v>166</v>
      </c>
      <c r="DV593" s="29" t="s">
        <v>166</v>
      </c>
      <c r="DW593" s="29" t="s">
        <v>166</v>
      </c>
      <c r="DX593" s="27" t="s">
        <v>166</v>
      </c>
      <c r="DY593" s="27" t="s">
        <v>166</v>
      </c>
      <c r="DZ593" s="28" t="s">
        <v>166</v>
      </c>
      <c r="EA593" s="27" t="s">
        <v>166</v>
      </c>
      <c r="EB593" s="27" t="s">
        <v>166</v>
      </c>
      <c r="EC593" s="27" t="s">
        <v>166</v>
      </c>
      <c r="ED593" s="28" t="s">
        <v>166</v>
      </c>
      <c r="EE593" s="28" t="s">
        <v>166</v>
      </c>
      <c r="EF593" s="28" t="s">
        <v>166</v>
      </c>
      <c r="EG593" s="28" t="s">
        <v>166</v>
      </c>
      <c r="EH593" s="27" t="s">
        <v>166</v>
      </c>
      <c r="EI593" s="27" t="s">
        <v>166</v>
      </c>
      <c r="EJ593" s="27" t="s">
        <v>166</v>
      </c>
      <c r="EK593" s="27" t="s">
        <v>166</v>
      </c>
      <c r="EL593" s="27" t="s">
        <v>166</v>
      </c>
      <c r="EM593" s="27" t="s">
        <v>166</v>
      </c>
      <c r="EN593" s="27" t="s">
        <v>166</v>
      </c>
      <c r="EO593" s="27" t="s">
        <v>166</v>
      </c>
      <c r="EP593" s="27" t="s">
        <v>166</v>
      </c>
      <c r="EQ593" s="27" t="s">
        <v>166</v>
      </c>
      <c r="ER593" s="27" t="s">
        <v>166</v>
      </c>
      <c r="ES593" s="27" t="s">
        <v>166</v>
      </c>
      <c r="ET593" s="25" t="s">
        <v>166</v>
      </c>
      <c r="EU593" s="27" t="s">
        <v>166</v>
      </c>
      <c r="EV593" s="27" t="s">
        <v>166</v>
      </c>
      <c r="EW593" s="27" t="s">
        <v>166</v>
      </c>
      <c r="EX593" s="25" t="s">
        <v>190</v>
      </c>
      <c r="EY593" s="25" t="s">
        <v>166</v>
      </c>
      <c r="EZ593" s="27" t="s">
        <v>166</v>
      </c>
      <c r="FA593" s="26" t="s">
        <v>166</v>
      </c>
      <c r="FB593" s="26" t="s">
        <v>166</v>
      </c>
      <c r="FC593" s="26" t="s">
        <v>166</v>
      </c>
      <c r="FD593" s="26" t="s">
        <v>166</v>
      </c>
      <c r="FE593" s="26" t="s">
        <v>166</v>
      </c>
      <c r="FF593" s="26" t="s">
        <v>166</v>
      </c>
      <c r="FG593" s="25" t="s">
        <v>166</v>
      </c>
      <c r="FH593" s="4">
        <f>HYPERLINK("https://my.pitchbook.com?c=157258-27T","View Company Online")</f>
      </c>
    </row>
    <row r="594">
      <c r="A594" s="14" t="s">
        <v>11452</v>
      </c>
      <c r="B594" s="14" t="s">
        <v>11453</v>
      </c>
      <c r="C594" s="14" t="s">
        <v>11454</v>
      </c>
      <c r="D594" s="14" t="s">
        <v>166</v>
      </c>
      <c r="E594" s="23" t="s">
        <v>11455</v>
      </c>
      <c r="F594" s="21">
        <v>7</v>
      </c>
      <c r="G594" s="14" t="s">
        <v>11456</v>
      </c>
      <c r="H594" s="14" t="s">
        <v>166</v>
      </c>
      <c r="I594" s="14" t="s">
        <v>11457</v>
      </c>
      <c r="J594" s="14" t="s">
        <v>11458</v>
      </c>
      <c r="K594" s="14" t="s">
        <v>321</v>
      </c>
      <c r="L594" s="14" t="s">
        <v>322</v>
      </c>
      <c r="M594" s="14" t="s">
        <v>322</v>
      </c>
      <c r="N594" s="14" t="s">
        <v>11459</v>
      </c>
      <c r="O594" s="14" t="s">
        <v>2931</v>
      </c>
      <c r="P594" s="14" t="s">
        <v>11460</v>
      </c>
      <c r="Q594" s="14" t="s">
        <v>166</v>
      </c>
      <c r="R594" s="14" t="s">
        <v>177</v>
      </c>
      <c r="S594" s="14" t="s">
        <v>178</v>
      </c>
      <c r="T594" s="14" t="s">
        <v>179</v>
      </c>
      <c r="U594" s="14" t="s">
        <v>11461</v>
      </c>
      <c r="V594" s="14" t="s">
        <v>11462</v>
      </c>
      <c r="W594" s="21" t="s">
        <v>166</v>
      </c>
      <c r="X594" s="14" t="s">
        <v>11463</v>
      </c>
      <c r="Y594" s="14" t="s">
        <v>11464</v>
      </c>
      <c r="Z594" s="14" t="s">
        <v>11465</v>
      </c>
      <c r="AA594" s="14" t="s">
        <v>166</v>
      </c>
      <c r="AB594" s="14" t="s">
        <v>166</v>
      </c>
      <c r="AC594" s="14" t="s">
        <v>166</v>
      </c>
      <c r="AD594" s="14" t="s">
        <v>166</v>
      </c>
      <c r="AE594" s="14" t="s">
        <v>166</v>
      </c>
      <c r="AF594" s="14" t="s">
        <v>166</v>
      </c>
      <c r="AG594" s="14" t="s">
        <v>166</v>
      </c>
      <c r="AH594" s="21">
        <v>1</v>
      </c>
      <c r="AI594" s="3">
        <f>HYPERLINK("https://my.pitchbook.com/?d=244069-75T","244069-75T")</f>
      </c>
      <c r="AJ594" s="19" t="s">
        <v>166</v>
      </c>
      <c r="AK594" s="19">
        <v>45223</v>
      </c>
      <c r="AL594" s="18">
        <v>3.3</v>
      </c>
      <c r="AM594" s="14" t="s">
        <v>185</v>
      </c>
      <c r="AN594" s="18" t="s">
        <v>166</v>
      </c>
      <c r="AO594" s="18" t="s">
        <v>166</v>
      </c>
      <c r="AP594" s="14" t="s">
        <v>166</v>
      </c>
      <c r="AQ594" s="21" t="s">
        <v>166</v>
      </c>
      <c r="AR594" s="21" t="s">
        <v>166</v>
      </c>
      <c r="AS594" s="17" t="s">
        <v>166</v>
      </c>
      <c r="AT594" s="18">
        <v>3.3</v>
      </c>
      <c r="AU594" s="21" t="s">
        <v>186</v>
      </c>
      <c r="AV594" s="21" t="s">
        <v>166</v>
      </c>
      <c r="AW594" s="18" t="s">
        <v>166</v>
      </c>
      <c r="AX594" s="21" t="s">
        <v>166</v>
      </c>
      <c r="AY594" s="14" t="s">
        <v>217</v>
      </c>
      <c r="AZ594" s="14" t="s">
        <v>217</v>
      </c>
      <c r="BA594" s="14" t="s">
        <v>166</v>
      </c>
      <c r="BB594" s="21" t="s">
        <v>166</v>
      </c>
      <c r="BC594" s="14" t="s">
        <v>179</v>
      </c>
      <c r="BD594" s="14" t="s">
        <v>11466</v>
      </c>
      <c r="BE594" s="14" t="s">
        <v>189</v>
      </c>
      <c r="BF594" s="18">
        <v>3.3</v>
      </c>
      <c r="BG594" s="14" t="s">
        <v>190</v>
      </c>
      <c r="BH594" s="14" t="s">
        <v>166</v>
      </c>
      <c r="BI594" s="14" t="s">
        <v>166</v>
      </c>
      <c r="BJ594" s="18" t="s">
        <v>166</v>
      </c>
      <c r="BK594" s="18" t="s">
        <v>166</v>
      </c>
      <c r="BL594" s="14" t="s">
        <v>191</v>
      </c>
      <c r="BM594" s="14" t="s">
        <v>358</v>
      </c>
      <c r="BN594" s="14" t="s">
        <v>177</v>
      </c>
      <c r="BO594" s="22" t="s">
        <v>166</v>
      </c>
      <c r="BP594" s="14" t="s">
        <v>11455</v>
      </c>
      <c r="BQ594" s="21">
        <v>7</v>
      </c>
      <c r="BR594" s="14" t="s">
        <v>166</v>
      </c>
      <c r="BS594" s="21" t="s">
        <v>166</v>
      </c>
      <c r="BT594" s="14" t="s">
        <v>11467</v>
      </c>
      <c r="BU594" s="14" t="s">
        <v>166</v>
      </c>
      <c r="BV594" s="14" t="s">
        <v>11468</v>
      </c>
      <c r="BW594" s="14" t="s">
        <v>166</v>
      </c>
      <c r="BX594" s="14" t="s">
        <v>166</v>
      </c>
      <c r="BY594" s="14" t="s">
        <v>166</v>
      </c>
      <c r="BZ594" s="14" t="s">
        <v>166</v>
      </c>
      <c r="CA594" s="14" t="s">
        <v>166</v>
      </c>
      <c r="CB594" s="14" t="s">
        <v>166</v>
      </c>
      <c r="CC594" s="14" t="s">
        <v>166</v>
      </c>
      <c r="CD594" s="14" t="s">
        <v>166</v>
      </c>
      <c r="CE594" s="18" t="s">
        <v>166</v>
      </c>
      <c r="CF594" s="16" t="s">
        <v>166</v>
      </c>
      <c r="CG594" s="17" t="s">
        <v>166</v>
      </c>
      <c r="CH594" s="16" t="s">
        <v>166</v>
      </c>
      <c r="CI594" s="16" t="s">
        <v>166</v>
      </c>
      <c r="CJ594" s="16" t="s">
        <v>166</v>
      </c>
      <c r="CK594" s="16" t="s">
        <v>166</v>
      </c>
      <c r="CL594" s="16" t="s">
        <v>166</v>
      </c>
      <c r="CM594" s="20" t="s">
        <v>166</v>
      </c>
      <c r="CN594" s="16" t="s">
        <v>166</v>
      </c>
      <c r="CO594" s="16" t="s">
        <v>166</v>
      </c>
      <c r="CP594" s="16" t="s">
        <v>166</v>
      </c>
      <c r="CQ594" s="16" t="s">
        <v>166</v>
      </c>
      <c r="CR594" s="16" t="s">
        <v>166</v>
      </c>
      <c r="CS594" s="16" t="s">
        <v>166</v>
      </c>
      <c r="CT594" s="16" t="s">
        <v>166</v>
      </c>
      <c r="CU594" s="16" t="s">
        <v>166</v>
      </c>
      <c r="CV594" s="16" t="s">
        <v>166</v>
      </c>
      <c r="CW594" s="16" t="s">
        <v>166</v>
      </c>
      <c r="CX594" s="16" t="s">
        <v>166</v>
      </c>
      <c r="CY594" s="16" t="s">
        <v>166</v>
      </c>
      <c r="CZ594" s="16" t="s">
        <v>166</v>
      </c>
      <c r="DA594" s="16" t="s">
        <v>166</v>
      </c>
      <c r="DB594" s="16" t="s">
        <v>166</v>
      </c>
      <c r="DC594" s="16" t="s">
        <v>166</v>
      </c>
      <c r="DD594" s="16" t="s">
        <v>166</v>
      </c>
      <c r="DE594" s="17" t="s">
        <v>166</v>
      </c>
      <c r="DF594" s="22">
        <v>9</v>
      </c>
      <c r="DG594" s="14" t="s">
        <v>9066</v>
      </c>
      <c r="DH594" s="14" t="s">
        <v>193</v>
      </c>
      <c r="DI594" s="14" t="s">
        <v>194</v>
      </c>
      <c r="DJ594" s="14" t="s">
        <v>9067</v>
      </c>
      <c r="DK594" s="14" t="s">
        <v>1063</v>
      </c>
      <c r="DL594" s="21" t="s">
        <v>11469</v>
      </c>
      <c r="DM594" s="14" t="s">
        <v>198</v>
      </c>
      <c r="DN594" s="13" t="s">
        <v>11470</v>
      </c>
      <c r="DO594" s="20">
        <v>2022</v>
      </c>
      <c r="DP594" s="14" t="s">
        <v>166</v>
      </c>
      <c r="DQ594" s="14" t="s">
        <v>166</v>
      </c>
      <c r="DR594" s="18" t="s">
        <v>166</v>
      </c>
      <c r="DS594" s="16" t="s">
        <v>166</v>
      </c>
      <c r="DT594" s="19" t="s">
        <v>166</v>
      </c>
      <c r="DU594" s="14" t="s">
        <v>166</v>
      </c>
      <c r="DV594" s="18" t="s">
        <v>166</v>
      </c>
      <c r="DW594" s="18" t="s">
        <v>166</v>
      </c>
      <c r="DX594" s="16" t="s">
        <v>166</v>
      </c>
      <c r="DY594" s="16" t="s">
        <v>166</v>
      </c>
      <c r="DZ594" s="17" t="s">
        <v>166</v>
      </c>
      <c r="EA594" s="16" t="s">
        <v>166</v>
      </c>
      <c r="EB594" s="16" t="s">
        <v>166</v>
      </c>
      <c r="EC594" s="16" t="s">
        <v>166</v>
      </c>
      <c r="ED594" s="17" t="s">
        <v>166</v>
      </c>
      <c r="EE594" s="17" t="s">
        <v>166</v>
      </c>
      <c r="EF594" s="17" t="s">
        <v>166</v>
      </c>
      <c r="EG594" s="17" t="s">
        <v>166</v>
      </c>
      <c r="EH594" s="16" t="s">
        <v>166</v>
      </c>
      <c r="EI594" s="16" t="s">
        <v>166</v>
      </c>
      <c r="EJ594" s="16" t="s">
        <v>166</v>
      </c>
      <c r="EK594" s="16" t="s">
        <v>166</v>
      </c>
      <c r="EL594" s="16" t="s">
        <v>166</v>
      </c>
      <c r="EM594" s="16" t="s">
        <v>166</v>
      </c>
      <c r="EN594" s="16" t="s">
        <v>166</v>
      </c>
      <c r="EO594" s="16" t="s">
        <v>166</v>
      </c>
      <c r="EP594" s="16" t="s">
        <v>166</v>
      </c>
      <c r="EQ594" s="16" t="s">
        <v>166</v>
      </c>
      <c r="ER594" s="16" t="s">
        <v>166</v>
      </c>
      <c r="ES594" s="16" t="s">
        <v>166</v>
      </c>
      <c r="ET594" s="14" t="s">
        <v>166</v>
      </c>
      <c r="EU594" s="16" t="s">
        <v>166</v>
      </c>
      <c r="EV594" s="16" t="s">
        <v>166</v>
      </c>
      <c r="EW594" s="16" t="s">
        <v>166</v>
      </c>
      <c r="EX594" s="14" t="s">
        <v>190</v>
      </c>
      <c r="EY594" s="14" t="s">
        <v>166</v>
      </c>
      <c r="EZ594" s="16" t="s">
        <v>166</v>
      </c>
      <c r="FA594" s="15" t="s">
        <v>166</v>
      </c>
      <c r="FB594" s="15" t="s">
        <v>166</v>
      </c>
      <c r="FC594" s="15" t="s">
        <v>166</v>
      </c>
      <c r="FD594" s="15" t="s">
        <v>166</v>
      </c>
      <c r="FE594" s="15" t="s">
        <v>166</v>
      </c>
      <c r="FF594" s="15" t="s">
        <v>166</v>
      </c>
      <c r="FG594" s="14" t="s">
        <v>166</v>
      </c>
      <c r="FH594" s="3">
        <f>HYPERLINK("https://my.pitchbook.com?c=244069-75T","View Company Online")</f>
      </c>
    </row>
    <row r="595">
      <c r="A595" s="25" t="s">
        <v>11471</v>
      </c>
      <c r="B595" s="25" t="s">
        <v>11472</v>
      </c>
      <c r="C595" s="25" t="s">
        <v>11473</v>
      </c>
      <c r="D595" s="25" t="s">
        <v>166</v>
      </c>
      <c r="E595" s="34" t="s">
        <v>11474</v>
      </c>
      <c r="F595" s="32">
        <v>2</v>
      </c>
      <c r="G595" s="25" t="s">
        <v>5578</v>
      </c>
      <c r="H595" s="25" t="s">
        <v>166</v>
      </c>
      <c r="I595" s="25" t="s">
        <v>11475</v>
      </c>
      <c r="J595" s="25" t="s">
        <v>11476</v>
      </c>
      <c r="K595" s="25" t="s">
        <v>207</v>
      </c>
      <c r="L595" s="25" t="s">
        <v>208</v>
      </c>
      <c r="M595" s="25" t="s">
        <v>209</v>
      </c>
      <c r="N595" s="25" t="s">
        <v>269</v>
      </c>
      <c r="O595" s="25" t="s">
        <v>4487</v>
      </c>
      <c r="P595" s="25" t="s">
        <v>11477</v>
      </c>
      <c r="Q595" s="25" t="s">
        <v>166</v>
      </c>
      <c r="R595" s="25" t="s">
        <v>177</v>
      </c>
      <c r="S595" s="25" t="s">
        <v>178</v>
      </c>
      <c r="T595" s="25" t="s">
        <v>179</v>
      </c>
      <c r="U595" s="25" t="s">
        <v>11478</v>
      </c>
      <c r="V595" s="25" t="s">
        <v>11479</v>
      </c>
      <c r="W595" s="32" t="s">
        <v>166</v>
      </c>
      <c r="X595" s="25" t="s">
        <v>11480</v>
      </c>
      <c r="Y595" s="25" t="s">
        <v>11481</v>
      </c>
      <c r="Z595" s="25" t="s">
        <v>166</v>
      </c>
      <c r="AA595" s="25" t="s">
        <v>166</v>
      </c>
      <c r="AB595" s="25" t="s">
        <v>166</v>
      </c>
      <c r="AC595" s="25" t="s">
        <v>166</v>
      </c>
      <c r="AD595" s="25" t="s">
        <v>166</v>
      </c>
      <c r="AE595" s="25" t="s">
        <v>166</v>
      </c>
      <c r="AF595" s="25" t="s">
        <v>166</v>
      </c>
      <c r="AG595" s="25" t="s">
        <v>166</v>
      </c>
      <c r="AH595" s="32">
        <v>1</v>
      </c>
      <c r="AI595" s="4">
        <f>HYPERLINK("https://my.pitchbook.com/?d=161242-21T","161242-21T")</f>
      </c>
      <c r="AJ595" s="30" t="s">
        <v>166</v>
      </c>
      <c r="AK595" s="30">
        <v>44182</v>
      </c>
      <c r="AL595" s="29">
        <v>0.03</v>
      </c>
      <c r="AM595" s="25" t="s">
        <v>185</v>
      </c>
      <c r="AN595" s="29">
        <v>2.1</v>
      </c>
      <c r="AO595" s="29">
        <v>2.13</v>
      </c>
      <c r="AP595" s="25" t="s">
        <v>185</v>
      </c>
      <c r="AQ595" s="32" t="s">
        <v>166</v>
      </c>
      <c r="AR595" s="32" t="s">
        <v>166</v>
      </c>
      <c r="AS595" s="28">
        <v>1.18</v>
      </c>
      <c r="AT595" s="29">
        <v>0.03</v>
      </c>
      <c r="AU595" s="32" t="s">
        <v>186</v>
      </c>
      <c r="AV595" s="32" t="s">
        <v>166</v>
      </c>
      <c r="AW595" s="29" t="s">
        <v>166</v>
      </c>
      <c r="AX595" s="32" t="s">
        <v>166</v>
      </c>
      <c r="AY595" s="25" t="s">
        <v>187</v>
      </c>
      <c r="AZ595" s="25" t="s">
        <v>166</v>
      </c>
      <c r="BA595" s="25" t="s">
        <v>166</v>
      </c>
      <c r="BB595" s="32" t="s">
        <v>166</v>
      </c>
      <c r="BC595" s="25" t="s">
        <v>179</v>
      </c>
      <c r="BD595" s="25" t="s">
        <v>11482</v>
      </c>
      <c r="BE595" s="25" t="s">
        <v>189</v>
      </c>
      <c r="BF595" s="29">
        <v>0.03</v>
      </c>
      <c r="BG595" s="25" t="s">
        <v>190</v>
      </c>
      <c r="BH595" s="25" t="s">
        <v>166</v>
      </c>
      <c r="BI595" s="25" t="s">
        <v>166</v>
      </c>
      <c r="BJ595" s="29" t="s">
        <v>166</v>
      </c>
      <c r="BK595" s="29" t="s">
        <v>166</v>
      </c>
      <c r="BL595" s="25" t="s">
        <v>191</v>
      </c>
      <c r="BM595" s="25" t="s">
        <v>178</v>
      </c>
      <c r="BN595" s="25" t="s">
        <v>177</v>
      </c>
      <c r="BO595" s="33">
        <v>3</v>
      </c>
      <c r="BP595" s="25" t="s">
        <v>11483</v>
      </c>
      <c r="BQ595" s="32">
        <v>2</v>
      </c>
      <c r="BR595" s="25" t="s">
        <v>166</v>
      </c>
      <c r="BS595" s="32" t="s">
        <v>166</v>
      </c>
      <c r="BT595" s="25" t="s">
        <v>166</v>
      </c>
      <c r="BU595" s="25" t="s">
        <v>166</v>
      </c>
      <c r="BV595" s="25" t="s">
        <v>11484</v>
      </c>
      <c r="BW595" s="25" t="s">
        <v>166</v>
      </c>
      <c r="BX595" s="25" t="s">
        <v>166</v>
      </c>
      <c r="BY595" s="25" t="s">
        <v>166</v>
      </c>
      <c r="BZ595" s="25" t="s">
        <v>11485</v>
      </c>
      <c r="CA595" s="25" t="s">
        <v>11485</v>
      </c>
      <c r="CB595" s="25" t="s">
        <v>166</v>
      </c>
      <c r="CC595" s="25" t="s">
        <v>166</v>
      </c>
      <c r="CD595" s="25" t="s">
        <v>166</v>
      </c>
      <c r="CE595" s="29" t="s">
        <v>166</v>
      </c>
      <c r="CF595" s="27" t="s">
        <v>166</v>
      </c>
      <c r="CG595" s="28" t="s">
        <v>166</v>
      </c>
      <c r="CH595" s="27" t="s">
        <v>166</v>
      </c>
      <c r="CI595" s="27" t="s">
        <v>166</v>
      </c>
      <c r="CJ595" s="27" t="s">
        <v>166</v>
      </c>
      <c r="CK595" s="27" t="s">
        <v>166</v>
      </c>
      <c r="CL595" s="27" t="s">
        <v>166</v>
      </c>
      <c r="CM595" s="31" t="s">
        <v>166</v>
      </c>
      <c r="CN595" s="27" t="s">
        <v>166</v>
      </c>
      <c r="CO595" s="27" t="s">
        <v>166</v>
      </c>
      <c r="CP595" s="27" t="s">
        <v>166</v>
      </c>
      <c r="CQ595" s="27" t="s">
        <v>166</v>
      </c>
      <c r="CR595" s="27" t="s">
        <v>166</v>
      </c>
      <c r="CS595" s="27" t="s">
        <v>166</v>
      </c>
      <c r="CT595" s="27" t="s">
        <v>166</v>
      </c>
      <c r="CU595" s="27" t="s">
        <v>166</v>
      </c>
      <c r="CV595" s="27" t="s">
        <v>166</v>
      </c>
      <c r="CW595" s="27" t="s">
        <v>166</v>
      </c>
      <c r="CX595" s="27" t="s">
        <v>166</v>
      </c>
      <c r="CY595" s="27" t="s">
        <v>166</v>
      </c>
      <c r="CZ595" s="27" t="s">
        <v>166</v>
      </c>
      <c r="DA595" s="27" t="s">
        <v>166</v>
      </c>
      <c r="DB595" s="27" t="s">
        <v>166</v>
      </c>
      <c r="DC595" s="27" t="s">
        <v>166</v>
      </c>
      <c r="DD595" s="27" t="s">
        <v>166</v>
      </c>
      <c r="DE595" s="28" t="s">
        <v>166</v>
      </c>
      <c r="DF595" s="33">
        <v>2</v>
      </c>
      <c r="DG595" s="25" t="s">
        <v>2859</v>
      </c>
      <c r="DH595" s="25" t="s">
        <v>193</v>
      </c>
      <c r="DI595" s="25" t="s">
        <v>194</v>
      </c>
      <c r="DJ595" s="25" t="s">
        <v>2860</v>
      </c>
      <c r="DK595" s="25" t="s">
        <v>2861</v>
      </c>
      <c r="DL595" s="32" t="s">
        <v>11486</v>
      </c>
      <c r="DM595" s="25" t="s">
        <v>198</v>
      </c>
      <c r="DN595" s="24" t="s">
        <v>11487</v>
      </c>
      <c r="DO595" s="31">
        <v>2017</v>
      </c>
      <c r="DP595" s="25" t="s">
        <v>166</v>
      </c>
      <c r="DQ595" s="25" t="s">
        <v>166</v>
      </c>
      <c r="DR595" s="29" t="s">
        <v>166</v>
      </c>
      <c r="DS595" s="27" t="s">
        <v>166</v>
      </c>
      <c r="DT595" s="30" t="s">
        <v>166</v>
      </c>
      <c r="DU595" s="25" t="s">
        <v>166</v>
      </c>
      <c r="DV595" s="29" t="s">
        <v>166</v>
      </c>
      <c r="DW595" s="29" t="s">
        <v>166</v>
      </c>
      <c r="DX595" s="27" t="s">
        <v>166</v>
      </c>
      <c r="DY595" s="27" t="s">
        <v>166</v>
      </c>
      <c r="DZ595" s="28" t="s">
        <v>166</v>
      </c>
      <c r="EA595" s="27" t="s">
        <v>166</v>
      </c>
      <c r="EB595" s="27" t="s">
        <v>166</v>
      </c>
      <c r="EC595" s="27" t="s">
        <v>166</v>
      </c>
      <c r="ED595" s="28" t="s">
        <v>166</v>
      </c>
      <c r="EE595" s="28" t="s">
        <v>166</v>
      </c>
      <c r="EF595" s="28" t="s">
        <v>166</v>
      </c>
      <c r="EG595" s="28" t="s">
        <v>166</v>
      </c>
      <c r="EH595" s="27" t="s">
        <v>166</v>
      </c>
      <c r="EI595" s="27" t="s">
        <v>166</v>
      </c>
      <c r="EJ595" s="27" t="s">
        <v>166</v>
      </c>
      <c r="EK595" s="27" t="s">
        <v>166</v>
      </c>
      <c r="EL595" s="27" t="s">
        <v>166</v>
      </c>
      <c r="EM595" s="27" t="s">
        <v>166</v>
      </c>
      <c r="EN595" s="27" t="s">
        <v>166</v>
      </c>
      <c r="EO595" s="27" t="s">
        <v>166</v>
      </c>
      <c r="EP595" s="27" t="s">
        <v>166</v>
      </c>
      <c r="EQ595" s="27" t="s">
        <v>166</v>
      </c>
      <c r="ER595" s="27" t="s">
        <v>166</v>
      </c>
      <c r="ES595" s="27" t="s">
        <v>166</v>
      </c>
      <c r="ET595" s="25" t="s">
        <v>166</v>
      </c>
      <c r="EU595" s="27" t="s">
        <v>166</v>
      </c>
      <c r="EV595" s="27" t="s">
        <v>166</v>
      </c>
      <c r="EW595" s="27" t="s">
        <v>166</v>
      </c>
      <c r="EX595" s="25" t="s">
        <v>190</v>
      </c>
      <c r="EY595" s="25" t="s">
        <v>166</v>
      </c>
      <c r="EZ595" s="27" t="s">
        <v>166</v>
      </c>
      <c r="FA595" s="26" t="s">
        <v>166</v>
      </c>
      <c r="FB595" s="26" t="s">
        <v>166</v>
      </c>
      <c r="FC595" s="26" t="s">
        <v>166</v>
      </c>
      <c r="FD595" s="26" t="s">
        <v>166</v>
      </c>
      <c r="FE595" s="26" t="s">
        <v>166</v>
      </c>
      <c r="FF595" s="26" t="s">
        <v>166</v>
      </c>
      <c r="FG595" s="25" t="s">
        <v>166</v>
      </c>
      <c r="FH595" s="4">
        <f>HYPERLINK("https://my.pitchbook.com?c=161242-21T","View Company Online")</f>
      </c>
    </row>
    <row r="596">
      <c r="A596" s="14" t="s">
        <v>11488</v>
      </c>
      <c r="B596" s="14" t="s">
        <v>11489</v>
      </c>
      <c r="C596" s="14" t="s">
        <v>11490</v>
      </c>
      <c r="D596" s="14" t="s">
        <v>166</v>
      </c>
      <c r="E596" s="23" t="s">
        <v>11491</v>
      </c>
      <c r="F596" s="21">
        <v>6</v>
      </c>
      <c r="G596" s="14" t="s">
        <v>11492</v>
      </c>
      <c r="H596" s="14" t="s">
        <v>166</v>
      </c>
      <c r="I596" s="14" t="s">
        <v>11493</v>
      </c>
      <c r="J596" s="14" t="s">
        <v>11494</v>
      </c>
      <c r="K596" s="14" t="s">
        <v>171</v>
      </c>
      <c r="L596" s="14" t="s">
        <v>10228</v>
      </c>
      <c r="M596" s="14" t="s">
        <v>10229</v>
      </c>
      <c r="N596" s="14" t="s">
        <v>11495</v>
      </c>
      <c r="O596" s="14" t="s">
        <v>6095</v>
      </c>
      <c r="P596" s="14" t="s">
        <v>11496</v>
      </c>
      <c r="Q596" s="14" t="s">
        <v>166</v>
      </c>
      <c r="R596" s="14" t="s">
        <v>177</v>
      </c>
      <c r="S596" s="14" t="s">
        <v>178</v>
      </c>
      <c r="T596" s="14" t="s">
        <v>179</v>
      </c>
      <c r="U596" s="14" t="s">
        <v>11497</v>
      </c>
      <c r="V596" s="14" t="s">
        <v>11498</v>
      </c>
      <c r="W596" s="21" t="s">
        <v>166</v>
      </c>
      <c r="X596" s="14" t="s">
        <v>166</v>
      </c>
      <c r="Y596" s="14" t="s">
        <v>11499</v>
      </c>
      <c r="Z596" s="14" t="s">
        <v>166</v>
      </c>
      <c r="AA596" s="14" t="s">
        <v>166</v>
      </c>
      <c r="AB596" s="14" t="s">
        <v>166</v>
      </c>
      <c r="AC596" s="14" t="s">
        <v>166</v>
      </c>
      <c r="AD596" s="14" t="s">
        <v>166</v>
      </c>
      <c r="AE596" s="14" t="s">
        <v>166</v>
      </c>
      <c r="AF596" s="14" t="s">
        <v>166</v>
      </c>
      <c r="AG596" s="14" t="s">
        <v>166</v>
      </c>
      <c r="AH596" s="21">
        <v>1</v>
      </c>
      <c r="AI596" s="3">
        <f>HYPERLINK("https://my.pitchbook.com/?d=252377-56T","252377-56T")</f>
      </c>
      <c r="AJ596" s="19" t="s">
        <v>166</v>
      </c>
      <c r="AK596" s="19">
        <v>45341</v>
      </c>
      <c r="AL596" s="18">
        <v>6.3</v>
      </c>
      <c r="AM596" s="14" t="s">
        <v>247</v>
      </c>
      <c r="AN596" s="18" t="s">
        <v>166</v>
      </c>
      <c r="AO596" s="18" t="s">
        <v>166</v>
      </c>
      <c r="AP596" s="14" t="s">
        <v>166</v>
      </c>
      <c r="AQ596" s="21" t="s">
        <v>166</v>
      </c>
      <c r="AR596" s="21" t="s">
        <v>166</v>
      </c>
      <c r="AS596" s="17" t="s">
        <v>166</v>
      </c>
      <c r="AT596" s="18">
        <v>6</v>
      </c>
      <c r="AU596" s="21" t="s">
        <v>186</v>
      </c>
      <c r="AV596" s="21" t="s">
        <v>166</v>
      </c>
      <c r="AW596" s="18" t="s">
        <v>166</v>
      </c>
      <c r="AX596" s="21" t="s">
        <v>166</v>
      </c>
      <c r="AY596" s="14" t="s">
        <v>187</v>
      </c>
      <c r="AZ596" s="14" t="s">
        <v>166</v>
      </c>
      <c r="BA596" s="14" t="s">
        <v>166</v>
      </c>
      <c r="BB596" s="21" t="s">
        <v>166</v>
      </c>
      <c r="BC596" s="14" t="s">
        <v>179</v>
      </c>
      <c r="BD596" s="14" t="s">
        <v>11494</v>
      </c>
      <c r="BE596" s="14" t="s">
        <v>189</v>
      </c>
      <c r="BF596" s="18">
        <v>6</v>
      </c>
      <c r="BG596" s="14" t="s">
        <v>190</v>
      </c>
      <c r="BH596" s="14" t="s">
        <v>166</v>
      </c>
      <c r="BI596" s="14" t="s">
        <v>166</v>
      </c>
      <c r="BJ596" s="18" t="s">
        <v>166</v>
      </c>
      <c r="BK596" s="18" t="s">
        <v>166</v>
      </c>
      <c r="BL596" s="14" t="s">
        <v>191</v>
      </c>
      <c r="BM596" s="14" t="s">
        <v>178</v>
      </c>
      <c r="BN596" s="14" t="s">
        <v>177</v>
      </c>
      <c r="BO596" s="22" t="s">
        <v>166</v>
      </c>
      <c r="BP596" s="14" t="s">
        <v>11491</v>
      </c>
      <c r="BQ596" s="21">
        <v>6</v>
      </c>
      <c r="BR596" s="14" t="s">
        <v>166</v>
      </c>
      <c r="BS596" s="21" t="s">
        <v>166</v>
      </c>
      <c r="BT596" s="14" t="s">
        <v>11500</v>
      </c>
      <c r="BU596" s="14" t="s">
        <v>166</v>
      </c>
      <c r="BV596" s="14" t="s">
        <v>11501</v>
      </c>
      <c r="BW596" s="14" t="s">
        <v>166</v>
      </c>
      <c r="BX596" s="14" t="s">
        <v>166</v>
      </c>
      <c r="BY596" s="14" t="s">
        <v>166</v>
      </c>
      <c r="BZ596" s="14" t="s">
        <v>166</v>
      </c>
      <c r="CA596" s="14" t="s">
        <v>166</v>
      </c>
      <c r="CB596" s="14" t="s">
        <v>166</v>
      </c>
      <c r="CC596" s="14" t="s">
        <v>166</v>
      </c>
      <c r="CD596" s="14" t="s">
        <v>166</v>
      </c>
      <c r="CE596" s="18" t="s">
        <v>166</v>
      </c>
      <c r="CF596" s="16" t="s">
        <v>166</v>
      </c>
      <c r="CG596" s="17" t="s">
        <v>166</v>
      </c>
      <c r="CH596" s="16" t="s">
        <v>166</v>
      </c>
      <c r="CI596" s="16" t="s">
        <v>166</v>
      </c>
      <c r="CJ596" s="16" t="s">
        <v>166</v>
      </c>
      <c r="CK596" s="16" t="s">
        <v>166</v>
      </c>
      <c r="CL596" s="16" t="s">
        <v>166</v>
      </c>
      <c r="CM596" s="20" t="s">
        <v>166</v>
      </c>
      <c r="CN596" s="16" t="s">
        <v>166</v>
      </c>
      <c r="CO596" s="16" t="s">
        <v>166</v>
      </c>
      <c r="CP596" s="16" t="s">
        <v>166</v>
      </c>
      <c r="CQ596" s="16" t="s">
        <v>166</v>
      </c>
      <c r="CR596" s="16" t="s">
        <v>166</v>
      </c>
      <c r="CS596" s="16" t="s">
        <v>166</v>
      </c>
      <c r="CT596" s="16" t="s">
        <v>166</v>
      </c>
      <c r="CU596" s="16" t="s">
        <v>166</v>
      </c>
      <c r="CV596" s="16" t="s">
        <v>166</v>
      </c>
      <c r="CW596" s="16" t="s">
        <v>166</v>
      </c>
      <c r="CX596" s="16" t="s">
        <v>166</v>
      </c>
      <c r="CY596" s="16" t="s">
        <v>166</v>
      </c>
      <c r="CZ596" s="16" t="s">
        <v>166</v>
      </c>
      <c r="DA596" s="16" t="s">
        <v>166</v>
      </c>
      <c r="DB596" s="16" t="s">
        <v>166</v>
      </c>
      <c r="DC596" s="16" t="s">
        <v>166</v>
      </c>
      <c r="DD596" s="16" t="s">
        <v>166</v>
      </c>
      <c r="DE596" s="17" t="s">
        <v>166</v>
      </c>
      <c r="DF596" s="22" t="s">
        <v>166</v>
      </c>
      <c r="DG596" s="14" t="s">
        <v>11502</v>
      </c>
      <c r="DH596" s="14" t="s">
        <v>193</v>
      </c>
      <c r="DI596" s="14" t="s">
        <v>194</v>
      </c>
      <c r="DJ596" s="14" t="s">
        <v>11503</v>
      </c>
      <c r="DK596" s="14" t="s">
        <v>257</v>
      </c>
      <c r="DL596" s="21" t="s">
        <v>166</v>
      </c>
      <c r="DM596" s="14" t="s">
        <v>198</v>
      </c>
      <c r="DN596" s="13" t="s">
        <v>11504</v>
      </c>
      <c r="DO596" s="20">
        <v>2023</v>
      </c>
      <c r="DP596" s="14" t="s">
        <v>166</v>
      </c>
      <c r="DQ596" s="14" t="s">
        <v>166</v>
      </c>
      <c r="DR596" s="18" t="s">
        <v>166</v>
      </c>
      <c r="DS596" s="16" t="s">
        <v>166</v>
      </c>
      <c r="DT596" s="19" t="s">
        <v>166</v>
      </c>
      <c r="DU596" s="14" t="s">
        <v>166</v>
      </c>
      <c r="DV596" s="18" t="s">
        <v>166</v>
      </c>
      <c r="DW596" s="18" t="s">
        <v>166</v>
      </c>
      <c r="DX596" s="16" t="s">
        <v>166</v>
      </c>
      <c r="DY596" s="16" t="s">
        <v>166</v>
      </c>
      <c r="DZ596" s="17" t="s">
        <v>166</v>
      </c>
      <c r="EA596" s="16" t="s">
        <v>166</v>
      </c>
      <c r="EB596" s="16" t="s">
        <v>166</v>
      </c>
      <c r="EC596" s="16" t="s">
        <v>166</v>
      </c>
      <c r="ED596" s="17" t="s">
        <v>166</v>
      </c>
      <c r="EE596" s="17" t="s">
        <v>166</v>
      </c>
      <c r="EF596" s="17" t="s">
        <v>166</v>
      </c>
      <c r="EG596" s="17" t="s">
        <v>166</v>
      </c>
      <c r="EH596" s="16" t="s">
        <v>166</v>
      </c>
      <c r="EI596" s="16" t="s">
        <v>166</v>
      </c>
      <c r="EJ596" s="16" t="s">
        <v>166</v>
      </c>
      <c r="EK596" s="16" t="s">
        <v>166</v>
      </c>
      <c r="EL596" s="16" t="s">
        <v>166</v>
      </c>
      <c r="EM596" s="16" t="s">
        <v>166</v>
      </c>
      <c r="EN596" s="16" t="s">
        <v>166</v>
      </c>
      <c r="EO596" s="16" t="s">
        <v>166</v>
      </c>
      <c r="EP596" s="16" t="s">
        <v>166</v>
      </c>
      <c r="EQ596" s="16" t="s">
        <v>166</v>
      </c>
      <c r="ER596" s="16" t="s">
        <v>166</v>
      </c>
      <c r="ES596" s="16" t="s">
        <v>166</v>
      </c>
      <c r="ET596" s="14" t="s">
        <v>166</v>
      </c>
      <c r="EU596" s="16" t="s">
        <v>166</v>
      </c>
      <c r="EV596" s="16" t="s">
        <v>166</v>
      </c>
      <c r="EW596" s="16" t="s">
        <v>166</v>
      </c>
      <c r="EX596" s="14" t="s">
        <v>190</v>
      </c>
      <c r="EY596" s="14" t="s">
        <v>166</v>
      </c>
      <c r="EZ596" s="16" t="s">
        <v>166</v>
      </c>
      <c r="FA596" s="15" t="s">
        <v>166</v>
      </c>
      <c r="FB596" s="15" t="s">
        <v>166</v>
      </c>
      <c r="FC596" s="15" t="s">
        <v>166</v>
      </c>
      <c r="FD596" s="15" t="s">
        <v>166</v>
      </c>
      <c r="FE596" s="15" t="s">
        <v>166</v>
      </c>
      <c r="FF596" s="15" t="s">
        <v>166</v>
      </c>
      <c r="FG596" s="14" t="s">
        <v>166</v>
      </c>
      <c r="FH596" s="3">
        <f>HYPERLINK("https://my.pitchbook.com?c=252377-56T","View Company Online")</f>
      </c>
    </row>
    <row r="597">
      <c r="A597" s="25" t="s">
        <v>11505</v>
      </c>
      <c r="B597" s="25" t="s">
        <v>11506</v>
      </c>
      <c r="C597" s="25" t="s">
        <v>11507</v>
      </c>
      <c r="D597" s="25" t="s">
        <v>166</v>
      </c>
      <c r="E597" s="34" t="s">
        <v>11508</v>
      </c>
      <c r="F597" s="32">
        <v>1</v>
      </c>
      <c r="G597" s="25" t="s">
        <v>166</v>
      </c>
      <c r="H597" s="25" t="s">
        <v>166</v>
      </c>
      <c r="I597" s="25" t="s">
        <v>11509</v>
      </c>
      <c r="J597" s="25" t="s">
        <v>11510</v>
      </c>
      <c r="K597" s="25" t="s">
        <v>207</v>
      </c>
      <c r="L597" s="25" t="s">
        <v>208</v>
      </c>
      <c r="M597" s="25" t="s">
        <v>209</v>
      </c>
      <c r="N597" s="25" t="s">
        <v>396</v>
      </c>
      <c r="O597" s="25" t="s">
        <v>11511</v>
      </c>
      <c r="P597" s="25" t="s">
        <v>11512</v>
      </c>
      <c r="Q597" s="25" t="s">
        <v>166</v>
      </c>
      <c r="R597" s="25" t="s">
        <v>177</v>
      </c>
      <c r="S597" s="25" t="s">
        <v>178</v>
      </c>
      <c r="T597" s="25" t="s">
        <v>179</v>
      </c>
      <c r="U597" s="25" t="s">
        <v>11513</v>
      </c>
      <c r="V597" s="25" t="s">
        <v>11514</v>
      </c>
      <c r="W597" s="32" t="s">
        <v>11515</v>
      </c>
      <c r="X597" s="25" t="s">
        <v>11516</v>
      </c>
      <c r="Y597" s="25" t="s">
        <v>11517</v>
      </c>
      <c r="Z597" s="25" t="s">
        <v>11518</v>
      </c>
      <c r="AA597" s="25" t="s">
        <v>166</v>
      </c>
      <c r="AB597" s="25" t="s">
        <v>166</v>
      </c>
      <c r="AC597" s="25" t="s">
        <v>166</v>
      </c>
      <c r="AD597" s="25" t="s">
        <v>166</v>
      </c>
      <c r="AE597" s="25" t="s">
        <v>166</v>
      </c>
      <c r="AF597" s="25" t="s">
        <v>166</v>
      </c>
      <c r="AG597" s="25" t="s">
        <v>166</v>
      </c>
      <c r="AH597" s="32">
        <v>1</v>
      </c>
      <c r="AI597" s="4">
        <f>HYPERLINK("https://my.pitchbook.com/?d=193443-13T","193443-13T")</f>
      </c>
      <c r="AJ597" s="30" t="s">
        <v>166</v>
      </c>
      <c r="AK597" s="30">
        <v>44085</v>
      </c>
      <c r="AL597" s="29">
        <v>0.3</v>
      </c>
      <c r="AM597" s="25" t="s">
        <v>185</v>
      </c>
      <c r="AN597" s="29" t="s">
        <v>166</v>
      </c>
      <c r="AO597" s="29" t="s">
        <v>166</v>
      </c>
      <c r="AP597" s="25" t="s">
        <v>166</v>
      </c>
      <c r="AQ597" s="32" t="s">
        <v>166</v>
      </c>
      <c r="AR597" s="32" t="s">
        <v>166</v>
      </c>
      <c r="AS597" s="28" t="s">
        <v>166</v>
      </c>
      <c r="AT597" s="29">
        <v>0.3</v>
      </c>
      <c r="AU597" s="32" t="s">
        <v>186</v>
      </c>
      <c r="AV597" s="32" t="s">
        <v>166</v>
      </c>
      <c r="AW597" s="29" t="s">
        <v>166</v>
      </c>
      <c r="AX597" s="32" t="s">
        <v>166</v>
      </c>
      <c r="AY597" s="25" t="s">
        <v>217</v>
      </c>
      <c r="AZ597" s="25" t="s">
        <v>217</v>
      </c>
      <c r="BA597" s="25" t="s">
        <v>166</v>
      </c>
      <c r="BB597" s="32" t="s">
        <v>166</v>
      </c>
      <c r="BC597" s="25" t="s">
        <v>179</v>
      </c>
      <c r="BD597" s="25" t="s">
        <v>11519</v>
      </c>
      <c r="BE597" s="25" t="s">
        <v>189</v>
      </c>
      <c r="BF597" s="29">
        <v>0.3</v>
      </c>
      <c r="BG597" s="25" t="s">
        <v>190</v>
      </c>
      <c r="BH597" s="25" t="s">
        <v>166</v>
      </c>
      <c r="BI597" s="25" t="s">
        <v>166</v>
      </c>
      <c r="BJ597" s="29" t="s">
        <v>166</v>
      </c>
      <c r="BK597" s="29" t="s">
        <v>166</v>
      </c>
      <c r="BL597" s="25" t="s">
        <v>191</v>
      </c>
      <c r="BM597" s="25" t="s">
        <v>178</v>
      </c>
      <c r="BN597" s="25" t="s">
        <v>177</v>
      </c>
      <c r="BO597" s="33">
        <v>2</v>
      </c>
      <c r="BP597" s="25" t="s">
        <v>11520</v>
      </c>
      <c r="BQ597" s="32">
        <v>1</v>
      </c>
      <c r="BR597" s="25" t="s">
        <v>166</v>
      </c>
      <c r="BS597" s="32" t="s">
        <v>166</v>
      </c>
      <c r="BT597" s="25" t="s">
        <v>166</v>
      </c>
      <c r="BU597" s="25" t="s">
        <v>166</v>
      </c>
      <c r="BV597" s="25" t="s">
        <v>166</v>
      </c>
      <c r="BW597" s="25" t="s">
        <v>166</v>
      </c>
      <c r="BX597" s="25" t="s">
        <v>166</v>
      </c>
      <c r="BY597" s="25" t="s">
        <v>166</v>
      </c>
      <c r="BZ597" s="25" t="s">
        <v>166</v>
      </c>
      <c r="CA597" s="25" t="s">
        <v>166</v>
      </c>
      <c r="CB597" s="25" t="s">
        <v>166</v>
      </c>
      <c r="CC597" s="25" t="s">
        <v>166</v>
      </c>
      <c r="CD597" s="25" t="s">
        <v>166</v>
      </c>
      <c r="CE597" s="29" t="s">
        <v>166</v>
      </c>
      <c r="CF597" s="27">
        <v>0.14</v>
      </c>
      <c r="CG597" s="28" t="s">
        <v>166</v>
      </c>
      <c r="CH597" s="27" t="s">
        <v>166</v>
      </c>
      <c r="CI597" s="27" t="s">
        <v>166</v>
      </c>
      <c r="CJ597" s="27" t="s">
        <v>166</v>
      </c>
      <c r="CK597" s="27" t="s">
        <v>166</v>
      </c>
      <c r="CL597" s="27" t="s">
        <v>166</v>
      </c>
      <c r="CM597" s="31">
        <v>2020</v>
      </c>
      <c r="CN597" s="27" t="s">
        <v>166</v>
      </c>
      <c r="CO597" s="27" t="s">
        <v>166</v>
      </c>
      <c r="CP597" s="27" t="s">
        <v>166</v>
      </c>
      <c r="CQ597" s="27" t="s">
        <v>166</v>
      </c>
      <c r="CR597" s="27" t="s">
        <v>166</v>
      </c>
      <c r="CS597" s="27" t="s">
        <v>166</v>
      </c>
      <c r="CT597" s="27" t="s">
        <v>166</v>
      </c>
      <c r="CU597" s="27" t="s">
        <v>166</v>
      </c>
      <c r="CV597" s="27">
        <v>2.14</v>
      </c>
      <c r="CW597" s="27" t="s">
        <v>166</v>
      </c>
      <c r="CX597" s="27" t="s">
        <v>166</v>
      </c>
      <c r="CY597" s="27" t="s">
        <v>166</v>
      </c>
      <c r="CZ597" s="27" t="s">
        <v>166</v>
      </c>
      <c r="DA597" s="27" t="s">
        <v>166</v>
      </c>
      <c r="DB597" s="27" t="s">
        <v>166</v>
      </c>
      <c r="DC597" s="27" t="s">
        <v>166</v>
      </c>
      <c r="DD597" s="27" t="s">
        <v>166</v>
      </c>
      <c r="DE597" s="28" t="s">
        <v>166</v>
      </c>
      <c r="DF597" s="33">
        <v>10</v>
      </c>
      <c r="DG597" s="25" t="s">
        <v>2541</v>
      </c>
      <c r="DH597" s="25" t="s">
        <v>193</v>
      </c>
      <c r="DI597" s="25" t="s">
        <v>194</v>
      </c>
      <c r="DJ597" s="25" t="s">
        <v>2542</v>
      </c>
      <c r="DK597" s="25" t="s">
        <v>196</v>
      </c>
      <c r="DL597" s="32" t="s">
        <v>2543</v>
      </c>
      <c r="DM597" s="25" t="s">
        <v>198</v>
      </c>
      <c r="DN597" s="24" t="s">
        <v>11521</v>
      </c>
      <c r="DO597" s="31">
        <v>2020</v>
      </c>
      <c r="DP597" s="25" t="s">
        <v>166</v>
      </c>
      <c r="DQ597" s="25" t="s">
        <v>166</v>
      </c>
      <c r="DR597" s="29" t="s">
        <v>166</v>
      </c>
      <c r="DS597" s="27" t="s">
        <v>166</v>
      </c>
      <c r="DT597" s="30" t="s">
        <v>166</v>
      </c>
      <c r="DU597" s="25" t="s">
        <v>166</v>
      </c>
      <c r="DV597" s="29" t="s">
        <v>166</v>
      </c>
      <c r="DW597" s="29" t="s">
        <v>166</v>
      </c>
      <c r="DX597" s="27" t="s">
        <v>166</v>
      </c>
      <c r="DY597" s="27" t="s">
        <v>166</v>
      </c>
      <c r="DZ597" s="28" t="s">
        <v>166</v>
      </c>
      <c r="EA597" s="27" t="s">
        <v>166</v>
      </c>
      <c r="EB597" s="27" t="s">
        <v>166</v>
      </c>
      <c r="EC597" s="27" t="s">
        <v>166</v>
      </c>
      <c r="ED597" s="28" t="s">
        <v>166</v>
      </c>
      <c r="EE597" s="28" t="s">
        <v>166</v>
      </c>
      <c r="EF597" s="28" t="s">
        <v>166</v>
      </c>
      <c r="EG597" s="28" t="s">
        <v>166</v>
      </c>
      <c r="EH597" s="27" t="s">
        <v>166</v>
      </c>
      <c r="EI597" s="27" t="s">
        <v>166</v>
      </c>
      <c r="EJ597" s="27" t="s">
        <v>166</v>
      </c>
      <c r="EK597" s="27" t="s">
        <v>166</v>
      </c>
      <c r="EL597" s="27" t="s">
        <v>166</v>
      </c>
      <c r="EM597" s="27" t="s">
        <v>166</v>
      </c>
      <c r="EN597" s="27" t="s">
        <v>166</v>
      </c>
      <c r="EO597" s="27" t="s">
        <v>166</v>
      </c>
      <c r="EP597" s="27" t="s">
        <v>166</v>
      </c>
      <c r="EQ597" s="27" t="s">
        <v>166</v>
      </c>
      <c r="ER597" s="27" t="s">
        <v>166</v>
      </c>
      <c r="ES597" s="27" t="s">
        <v>166</v>
      </c>
      <c r="ET597" s="25" t="s">
        <v>166</v>
      </c>
      <c r="EU597" s="27" t="s">
        <v>166</v>
      </c>
      <c r="EV597" s="27" t="s">
        <v>166</v>
      </c>
      <c r="EW597" s="27" t="s">
        <v>166</v>
      </c>
      <c r="EX597" s="25" t="s">
        <v>190</v>
      </c>
      <c r="EY597" s="25" t="s">
        <v>166</v>
      </c>
      <c r="EZ597" s="27" t="s">
        <v>166</v>
      </c>
      <c r="FA597" s="26" t="s">
        <v>166</v>
      </c>
      <c r="FB597" s="26" t="s">
        <v>166</v>
      </c>
      <c r="FC597" s="26" t="s">
        <v>166</v>
      </c>
      <c r="FD597" s="26" t="s">
        <v>166</v>
      </c>
      <c r="FE597" s="26" t="s">
        <v>166</v>
      </c>
      <c r="FF597" s="26" t="s">
        <v>166</v>
      </c>
      <c r="FG597" s="25" t="s">
        <v>166</v>
      </c>
      <c r="FH597" s="4">
        <f>HYPERLINK("https://my.pitchbook.com?c=193443-13T","View Company Online")</f>
      </c>
    </row>
    <row r="598">
      <c r="A598" s="14" t="s">
        <v>11522</v>
      </c>
      <c r="B598" s="14" t="s">
        <v>11523</v>
      </c>
      <c r="C598" s="14" t="s">
        <v>11524</v>
      </c>
      <c r="D598" s="14" t="s">
        <v>166</v>
      </c>
      <c r="E598" s="23" t="s">
        <v>11525</v>
      </c>
      <c r="F598" s="21">
        <v>2</v>
      </c>
      <c r="G598" s="14" t="s">
        <v>11526</v>
      </c>
      <c r="H598" s="14" t="s">
        <v>166</v>
      </c>
      <c r="I598" s="14" t="s">
        <v>11527</v>
      </c>
      <c r="J598" s="14" t="s">
        <v>11528</v>
      </c>
      <c r="K598" s="14" t="s">
        <v>171</v>
      </c>
      <c r="L598" s="14" t="s">
        <v>172</v>
      </c>
      <c r="M598" s="14" t="s">
        <v>173</v>
      </c>
      <c r="N598" s="14" t="s">
        <v>2890</v>
      </c>
      <c r="O598" s="14" t="s">
        <v>4487</v>
      </c>
      <c r="P598" s="14" t="s">
        <v>11529</v>
      </c>
      <c r="Q598" s="14" t="s">
        <v>166</v>
      </c>
      <c r="R598" s="14" t="s">
        <v>177</v>
      </c>
      <c r="S598" s="14" t="s">
        <v>178</v>
      </c>
      <c r="T598" s="14" t="s">
        <v>179</v>
      </c>
      <c r="U598" s="14" t="s">
        <v>11530</v>
      </c>
      <c r="V598" s="14" t="s">
        <v>11531</v>
      </c>
      <c r="W598" s="21" t="s">
        <v>166</v>
      </c>
      <c r="X598" s="14" t="s">
        <v>11532</v>
      </c>
      <c r="Y598" s="14" t="s">
        <v>11533</v>
      </c>
      <c r="Z598" s="14" t="s">
        <v>11534</v>
      </c>
      <c r="AA598" s="14" t="s">
        <v>242</v>
      </c>
      <c r="AB598" s="14" t="s">
        <v>243</v>
      </c>
      <c r="AC598" s="14" t="s">
        <v>244</v>
      </c>
      <c r="AD598" s="14" t="s">
        <v>243</v>
      </c>
      <c r="AE598" s="14" t="s">
        <v>243</v>
      </c>
      <c r="AF598" s="14" t="s">
        <v>166</v>
      </c>
      <c r="AG598" s="14" t="s">
        <v>807</v>
      </c>
      <c r="AH598" s="21">
        <v>2</v>
      </c>
      <c r="AI598" s="3">
        <f>HYPERLINK("https://my.pitchbook.com/?d=185113-72T","185113-72T")</f>
      </c>
      <c r="AJ598" s="19" t="s">
        <v>166</v>
      </c>
      <c r="AK598" s="19">
        <v>44543</v>
      </c>
      <c r="AL598" s="18">
        <v>1.25</v>
      </c>
      <c r="AM598" s="14" t="s">
        <v>185</v>
      </c>
      <c r="AN598" s="18">
        <v>3</v>
      </c>
      <c r="AO598" s="18">
        <v>4.25</v>
      </c>
      <c r="AP598" s="14" t="s">
        <v>185</v>
      </c>
      <c r="AQ598" s="21" t="s">
        <v>166</v>
      </c>
      <c r="AR598" s="21" t="s">
        <v>166</v>
      </c>
      <c r="AS598" s="17">
        <v>29.41</v>
      </c>
      <c r="AT598" s="18">
        <v>1.25</v>
      </c>
      <c r="AU598" s="21" t="s">
        <v>186</v>
      </c>
      <c r="AV598" s="21" t="s">
        <v>166</v>
      </c>
      <c r="AW598" s="18">
        <v>1.13</v>
      </c>
      <c r="AX598" s="21" t="s">
        <v>166</v>
      </c>
      <c r="AY598" s="14" t="s">
        <v>217</v>
      </c>
      <c r="AZ598" s="14" t="s">
        <v>217</v>
      </c>
      <c r="BA598" s="14" t="s">
        <v>166</v>
      </c>
      <c r="BB598" s="21" t="s">
        <v>166</v>
      </c>
      <c r="BC598" s="14" t="s">
        <v>179</v>
      </c>
      <c r="BD598" s="14" t="s">
        <v>11535</v>
      </c>
      <c r="BE598" s="14" t="s">
        <v>189</v>
      </c>
      <c r="BF598" s="18">
        <v>1.25</v>
      </c>
      <c r="BG598" s="14" t="s">
        <v>190</v>
      </c>
      <c r="BH598" s="14" t="s">
        <v>166</v>
      </c>
      <c r="BI598" s="14" t="s">
        <v>166</v>
      </c>
      <c r="BJ598" s="18" t="s">
        <v>166</v>
      </c>
      <c r="BK598" s="18" t="s">
        <v>166</v>
      </c>
      <c r="BL598" s="14" t="s">
        <v>191</v>
      </c>
      <c r="BM598" s="14" t="s">
        <v>178</v>
      </c>
      <c r="BN598" s="14" t="s">
        <v>177</v>
      </c>
      <c r="BO598" s="22" t="s">
        <v>166</v>
      </c>
      <c r="BP598" s="14" t="s">
        <v>11536</v>
      </c>
      <c r="BQ598" s="21">
        <v>2</v>
      </c>
      <c r="BR598" s="14" t="s">
        <v>166</v>
      </c>
      <c r="BS598" s="21" t="s">
        <v>166</v>
      </c>
      <c r="BT598" s="14" t="s">
        <v>870</v>
      </c>
      <c r="BU598" s="14" t="s">
        <v>166</v>
      </c>
      <c r="BV598" s="14" t="s">
        <v>11537</v>
      </c>
      <c r="BW598" s="14" t="s">
        <v>166</v>
      </c>
      <c r="BX598" s="14" t="s">
        <v>166</v>
      </c>
      <c r="BY598" s="14" t="s">
        <v>166</v>
      </c>
      <c r="BZ598" s="14" t="s">
        <v>166</v>
      </c>
      <c r="CA598" s="14" t="s">
        <v>166</v>
      </c>
      <c r="CB598" s="14" t="s">
        <v>166</v>
      </c>
      <c r="CC598" s="14" t="s">
        <v>166</v>
      </c>
      <c r="CD598" s="14" t="s">
        <v>166</v>
      </c>
      <c r="CE598" s="18" t="s">
        <v>166</v>
      </c>
      <c r="CF598" s="16" t="s">
        <v>166</v>
      </c>
      <c r="CG598" s="17" t="s">
        <v>166</v>
      </c>
      <c r="CH598" s="16" t="s">
        <v>166</v>
      </c>
      <c r="CI598" s="16" t="s">
        <v>166</v>
      </c>
      <c r="CJ598" s="16" t="s">
        <v>166</v>
      </c>
      <c r="CK598" s="16" t="s">
        <v>166</v>
      </c>
      <c r="CL598" s="16" t="s">
        <v>166</v>
      </c>
      <c r="CM598" s="20" t="s">
        <v>166</v>
      </c>
      <c r="CN598" s="16" t="s">
        <v>166</v>
      </c>
      <c r="CO598" s="16" t="s">
        <v>166</v>
      </c>
      <c r="CP598" s="16" t="s">
        <v>166</v>
      </c>
      <c r="CQ598" s="16" t="s">
        <v>166</v>
      </c>
      <c r="CR598" s="16" t="s">
        <v>166</v>
      </c>
      <c r="CS598" s="16" t="s">
        <v>166</v>
      </c>
      <c r="CT598" s="16" t="s">
        <v>166</v>
      </c>
      <c r="CU598" s="16" t="s">
        <v>166</v>
      </c>
      <c r="CV598" s="16" t="s">
        <v>166</v>
      </c>
      <c r="CW598" s="16" t="s">
        <v>166</v>
      </c>
      <c r="CX598" s="16" t="s">
        <v>166</v>
      </c>
      <c r="CY598" s="16" t="s">
        <v>166</v>
      </c>
      <c r="CZ598" s="16" t="s">
        <v>166</v>
      </c>
      <c r="DA598" s="16" t="s">
        <v>166</v>
      </c>
      <c r="DB598" s="16" t="s">
        <v>166</v>
      </c>
      <c r="DC598" s="16" t="s">
        <v>166</v>
      </c>
      <c r="DD598" s="16" t="s">
        <v>166</v>
      </c>
      <c r="DE598" s="17" t="s">
        <v>166</v>
      </c>
      <c r="DF598" s="22">
        <v>4</v>
      </c>
      <c r="DG598" s="14" t="s">
        <v>309</v>
      </c>
      <c r="DH598" s="14" t="s">
        <v>193</v>
      </c>
      <c r="DI598" s="14" t="s">
        <v>194</v>
      </c>
      <c r="DJ598" s="14" t="s">
        <v>310</v>
      </c>
      <c r="DK598" s="14" t="s">
        <v>310</v>
      </c>
      <c r="DL598" s="21" t="s">
        <v>166</v>
      </c>
      <c r="DM598" s="14" t="s">
        <v>198</v>
      </c>
      <c r="DN598" s="13" t="s">
        <v>11538</v>
      </c>
      <c r="DO598" s="20">
        <v>2020</v>
      </c>
      <c r="DP598" s="14" t="s">
        <v>166</v>
      </c>
      <c r="DQ598" s="14" t="s">
        <v>166</v>
      </c>
      <c r="DR598" s="18" t="s">
        <v>166</v>
      </c>
      <c r="DS598" s="16" t="s">
        <v>166</v>
      </c>
      <c r="DT598" s="19" t="s">
        <v>166</v>
      </c>
      <c r="DU598" s="14" t="s">
        <v>166</v>
      </c>
      <c r="DV598" s="18" t="s">
        <v>166</v>
      </c>
      <c r="DW598" s="18" t="s">
        <v>166</v>
      </c>
      <c r="DX598" s="16" t="s">
        <v>166</v>
      </c>
      <c r="DY598" s="16" t="s">
        <v>166</v>
      </c>
      <c r="DZ598" s="17" t="s">
        <v>166</v>
      </c>
      <c r="EA598" s="16" t="s">
        <v>166</v>
      </c>
      <c r="EB598" s="16" t="s">
        <v>166</v>
      </c>
      <c r="EC598" s="16" t="s">
        <v>166</v>
      </c>
      <c r="ED598" s="17" t="s">
        <v>166</v>
      </c>
      <c r="EE598" s="17" t="s">
        <v>166</v>
      </c>
      <c r="EF598" s="17" t="s">
        <v>166</v>
      </c>
      <c r="EG598" s="17" t="s">
        <v>166</v>
      </c>
      <c r="EH598" s="16" t="s">
        <v>166</v>
      </c>
      <c r="EI598" s="16" t="s">
        <v>166</v>
      </c>
      <c r="EJ598" s="16" t="s">
        <v>166</v>
      </c>
      <c r="EK598" s="16" t="s">
        <v>166</v>
      </c>
      <c r="EL598" s="16" t="s">
        <v>166</v>
      </c>
      <c r="EM598" s="16" t="s">
        <v>166</v>
      </c>
      <c r="EN598" s="16" t="s">
        <v>166</v>
      </c>
      <c r="EO598" s="16" t="s">
        <v>166</v>
      </c>
      <c r="EP598" s="16" t="s">
        <v>166</v>
      </c>
      <c r="EQ598" s="16" t="s">
        <v>166</v>
      </c>
      <c r="ER598" s="16" t="s">
        <v>166</v>
      </c>
      <c r="ES598" s="16" t="s">
        <v>166</v>
      </c>
      <c r="ET598" s="14" t="s">
        <v>166</v>
      </c>
      <c r="EU598" s="16" t="s">
        <v>166</v>
      </c>
      <c r="EV598" s="16" t="s">
        <v>166</v>
      </c>
      <c r="EW598" s="16" t="s">
        <v>166</v>
      </c>
      <c r="EX598" s="14" t="s">
        <v>190</v>
      </c>
      <c r="EY598" s="14" t="s">
        <v>166</v>
      </c>
      <c r="EZ598" s="16" t="s">
        <v>166</v>
      </c>
      <c r="FA598" s="15" t="s">
        <v>166</v>
      </c>
      <c r="FB598" s="15" t="s">
        <v>166</v>
      </c>
      <c r="FC598" s="15" t="s">
        <v>166</v>
      </c>
      <c r="FD598" s="15" t="s">
        <v>166</v>
      </c>
      <c r="FE598" s="15" t="s">
        <v>166</v>
      </c>
      <c r="FF598" s="15" t="s">
        <v>166</v>
      </c>
      <c r="FG598" s="14" t="s">
        <v>166</v>
      </c>
      <c r="FH598" s="3">
        <f>HYPERLINK("https://my.pitchbook.com?c=185113-72T","View Company Online")</f>
      </c>
    </row>
    <row r="599">
      <c r="A599" s="25" t="s">
        <v>11539</v>
      </c>
      <c r="B599" s="25" t="s">
        <v>11540</v>
      </c>
      <c r="C599" s="25" t="s">
        <v>11541</v>
      </c>
      <c r="D599" s="25" t="s">
        <v>166</v>
      </c>
      <c r="E599" s="34" t="s">
        <v>11542</v>
      </c>
      <c r="F599" s="32">
        <v>7</v>
      </c>
      <c r="G599" s="25" t="s">
        <v>11543</v>
      </c>
      <c r="H599" s="25" t="s">
        <v>166</v>
      </c>
      <c r="I599" s="25" t="s">
        <v>11544</v>
      </c>
      <c r="J599" s="25" t="s">
        <v>11545</v>
      </c>
      <c r="K599" s="25" t="s">
        <v>207</v>
      </c>
      <c r="L599" s="25" t="s">
        <v>208</v>
      </c>
      <c r="M599" s="25" t="s">
        <v>209</v>
      </c>
      <c r="N599" s="25" t="s">
        <v>1966</v>
      </c>
      <c r="O599" s="25" t="s">
        <v>665</v>
      </c>
      <c r="P599" s="25" t="s">
        <v>11546</v>
      </c>
      <c r="Q599" s="25" t="s">
        <v>166</v>
      </c>
      <c r="R599" s="25" t="s">
        <v>177</v>
      </c>
      <c r="S599" s="25" t="s">
        <v>178</v>
      </c>
      <c r="T599" s="25" t="s">
        <v>179</v>
      </c>
      <c r="U599" s="25" t="s">
        <v>11547</v>
      </c>
      <c r="V599" s="25" t="s">
        <v>11548</v>
      </c>
      <c r="W599" s="32" t="s">
        <v>166</v>
      </c>
      <c r="X599" s="25" t="s">
        <v>11549</v>
      </c>
      <c r="Y599" s="25" t="s">
        <v>11550</v>
      </c>
      <c r="Z599" s="25" t="s">
        <v>11551</v>
      </c>
      <c r="AA599" s="25" t="s">
        <v>166</v>
      </c>
      <c r="AB599" s="25" t="s">
        <v>166</v>
      </c>
      <c r="AC599" s="25" t="s">
        <v>166</v>
      </c>
      <c r="AD599" s="25" t="s">
        <v>166</v>
      </c>
      <c r="AE599" s="25" t="s">
        <v>166</v>
      </c>
      <c r="AF599" s="25" t="s">
        <v>166</v>
      </c>
      <c r="AG599" s="25" t="s">
        <v>166</v>
      </c>
      <c r="AH599" s="32">
        <v>1</v>
      </c>
      <c r="AI599" s="4">
        <f>HYPERLINK("https://my.pitchbook.com/?d=185133-70T","185133-70T")</f>
      </c>
      <c r="AJ599" s="30" t="s">
        <v>166</v>
      </c>
      <c r="AK599" s="30">
        <v>44544</v>
      </c>
      <c r="AL599" s="29">
        <v>0.65</v>
      </c>
      <c r="AM599" s="25" t="s">
        <v>185</v>
      </c>
      <c r="AN599" s="29" t="s">
        <v>166</v>
      </c>
      <c r="AO599" s="29" t="s">
        <v>166</v>
      </c>
      <c r="AP599" s="25" t="s">
        <v>166</v>
      </c>
      <c r="AQ599" s="32" t="s">
        <v>166</v>
      </c>
      <c r="AR599" s="32" t="s">
        <v>166</v>
      </c>
      <c r="AS599" s="28" t="s">
        <v>166</v>
      </c>
      <c r="AT599" s="29">
        <v>0.65</v>
      </c>
      <c r="AU599" s="32" t="s">
        <v>186</v>
      </c>
      <c r="AV599" s="32" t="s">
        <v>166</v>
      </c>
      <c r="AW599" s="29" t="s">
        <v>166</v>
      </c>
      <c r="AX599" s="32" t="s">
        <v>166</v>
      </c>
      <c r="AY599" s="25" t="s">
        <v>217</v>
      </c>
      <c r="AZ599" s="25" t="s">
        <v>217</v>
      </c>
      <c r="BA599" s="25" t="s">
        <v>166</v>
      </c>
      <c r="BB599" s="32" t="s">
        <v>166</v>
      </c>
      <c r="BC599" s="25" t="s">
        <v>179</v>
      </c>
      <c r="BD599" s="25" t="s">
        <v>11552</v>
      </c>
      <c r="BE599" s="25" t="s">
        <v>189</v>
      </c>
      <c r="BF599" s="29">
        <v>0.65</v>
      </c>
      <c r="BG599" s="25" t="s">
        <v>190</v>
      </c>
      <c r="BH599" s="25" t="s">
        <v>166</v>
      </c>
      <c r="BI599" s="25" t="s">
        <v>166</v>
      </c>
      <c r="BJ599" s="29" t="s">
        <v>166</v>
      </c>
      <c r="BK599" s="29" t="s">
        <v>166</v>
      </c>
      <c r="BL599" s="25" t="s">
        <v>191</v>
      </c>
      <c r="BM599" s="25" t="s">
        <v>178</v>
      </c>
      <c r="BN599" s="25" t="s">
        <v>177</v>
      </c>
      <c r="BO599" s="33" t="s">
        <v>166</v>
      </c>
      <c r="BP599" s="25" t="s">
        <v>11553</v>
      </c>
      <c r="BQ599" s="32">
        <v>7</v>
      </c>
      <c r="BR599" s="25" t="s">
        <v>166</v>
      </c>
      <c r="BS599" s="32" t="s">
        <v>166</v>
      </c>
      <c r="BT599" s="25" t="s">
        <v>11554</v>
      </c>
      <c r="BU599" s="25" t="s">
        <v>166</v>
      </c>
      <c r="BV599" s="25" t="s">
        <v>166</v>
      </c>
      <c r="BW599" s="25" t="s">
        <v>166</v>
      </c>
      <c r="BX599" s="25" t="s">
        <v>166</v>
      </c>
      <c r="BY599" s="25" t="s">
        <v>166</v>
      </c>
      <c r="BZ599" s="25" t="s">
        <v>166</v>
      </c>
      <c r="CA599" s="25" t="s">
        <v>166</v>
      </c>
      <c r="CB599" s="25" t="s">
        <v>166</v>
      </c>
      <c r="CC599" s="25" t="s">
        <v>166</v>
      </c>
      <c r="CD599" s="25" t="s">
        <v>166</v>
      </c>
      <c r="CE599" s="29" t="s">
        <v>166</v>
      </c>
      <c r="CF599" s="27" t="s">
        <v>166</v>
      </c>
      <c r="CG599" s="28" t="s">
        <v>166</v>
      </c>
      <c r="CH599" s="27" t="s">
        <v>166</v>
      </c>
      <c r="CI599" s="27" t="s">
        <v>166</v>
      </c>
      <c r="CJ599" s="27" t="s">
        <v>166</v>
      </c>
      <c r="CK599" s="27" t="s">
        <v>166</v>
      </c>
      <c r="CL599" s="27" t="s">
        <v>166</v>
      </c>
      <c r="CM599" s="31" t="s">
        <v>166</v>
      </c>
      <c r="CN599" s="27" t="s">
        <v>166</v>
      </c>
      <c r="CO599" s="27" t="s">
        <v>166</v>
      </c>
      <c r="CP599" s="27" t="s">
        <v>166</v>
      </c>
      <c r="CQ599" s="27" t="s">
        <v>166</v>
      </c>
      <c r="CR599" s="27" t="s">
        <v>166</v>
      </c>
      <c r="CS599" s="27" t="s">
        <v>166</v>
      </c>
      <c r="CT599" s="27" t="s">
        <v>166</v>
      </c>
      <c r="CU599" s="27" t="s">
        <v>166</v>
      </c>
      <c r="CV599" s="27" t="s">
        <v>166</v>
      </c>
      <c r="CW599" s="27" t="s">
        <v>166</v>
      </c>
      <c r="CX599" s="27" t="s">
        <v>166</v>
      </c>
      <c r="CY599" s="27" t="s">
        <v>166</v>
      </c>
      <c r="CZ599" s="27" t="s">
        <v>166</v>
      </c>
      <c r="DA599" s="27" t="s">
        <v>166</v>
      </c>
      <c r="DB599" s="27" t="s">
        <v>166</v>
      </c>
      <c r="DC599" s="27" t="s">
        <v>166</v>
      </c>
      <c r="DD599" s="27" t="s">
        <v>166</v>
      </c>
      <c r="DE599" s="28" t="s">
        <v>166</v>
      </c>
      <c r="DF599" s="33">
        <v>14</v>
      </c>
      <c r="DG599" s="25" t="s">
        <v>4053</v>
      </c>
      <c r="DH599" s="25" t="s">
        <v>193</v>
      </c>
      <c r="DI599" s="25" t="s">
        <v>194</v>
      </c>
      <c r="DJ599" s="25" t="s">
        <v>4054</v>
      </c>
      <c r="DK599" s="25" t="s">
        <v>1063</v>
      </c>
      <c r="DL599" s="32" t="s">
        <v>1233</v>
      </c>
      <c r="DM599" s="25" t="s">
        <v>198</v>
      </c>
      <c r="DN599" s="24" t="s">
        <v>11555</v>
      </c>
      <c r="DO599" s="31">
        <v>2021</v>
      </c>
      <c r="DP599" s="25" t="s">
        <v>166</v>
      </c>
      <c r="DQ599" s="25" t="s">
        <v>166</v>
      </c>
      <c r="DR599" s="29" t="s">
        <v>166</v>
      </c>
      <c r="DS599" s="27" t="s">
        <v>166</v>
      </c>
      <c r="DT599" s="30" t="s">
        <v>166</v>
      </c>
      <c r="DU599" s="25" t="s">
        <v>166</v>
      </c>
      <c r="DV599" s="29" t="s">
        <v>166</v>
      </c>
      <c r="DW599" s="29" t="s">
        <v>166</v>
      </c>
      <c r="DX599" s="27" t="s">
        <v>166</v>
      </c>
      <c r="DY599" s="27" t="s">
        <v>166</v>
      </c>
      <c r="DZ599" s="28" t="s">
        <v>166</v>
      </c>
      <c r="EA599" s="27" t="s">
        <v>166</v>
      </c>
      <c r="EB599" s="27" t="s">
        <v>166</v>
      </c>
      <c r="EC599" s="27" t="s">
        <v>166</v>
      </c>
      <c r="ED599" s="28" t="s">
        <v>166</v>
      </c>
      <c r="EE599" s="28" t="s">
        <v>166</v>
      </c>
      <c r="EF599" s="28" t="s">
        <v>166</v>
      </c>
      <c r="EG599" s="28" t="s">
        <v>166</v>
      </c>
      <c r="EH599" s="27" t="s">
        <v>166</v>
      </c>
      <c r="EI599" s="27" t="s">
        <v>166</v>
      </c>
      <c r="EJ599" s="27" t="s">
        <v>166</v>
      </c>
      <c r="EK599" s="27" t="s">
        <v>166</v>
      </c>
      <c r="EL599" s="27" t="s">
        <v>166</v>
      </c>
      <c r="EM599" s="27" t="s">
        <v>166</v>
      </c>
      <c r="EN599" s="27" t="s">
        <v>166</v>
      </c>
      <c r="EO599" s="27" t="s">
        <v>166</v>
      </c>
      <c r="EP599" s="27" t="s">
        <v>166</v>
      </c>
      <c r="EQ599" s="27" t="s">
        <v>166</v>
      </c>
      <c r="ER599" s="27" t="s">
        <v>166</v>
      </c>
      <c r="ES599" s="27" t="s">
        <v>166</v>
      </c>
      <c r="ET599" s="25" t="s">
        <v>166</v>
      </c>
      <c r="EU599" s="27" t="s">
        <v>166</v>
      </c>
      <c r="EV599" s="27" t="s">
        <v>166</v>
      </c>
      <c r="EW599" s="27" t="s">
        <v>166</v>
      </c>
      <c r="EX599" s="25" t="s">
        <v>190</v>
      </c>
      <c r="EY599" s="25" t="s">
        <v>166</v>
      </c>
      <c r="EZ599" s="27" t="s">
        <v>166</v>
      </c>
      <c r="FA599" s="26" t="s">
        <v>166</v>
      </c>
      <c r="FB599" s="26" t="s">
        <v>166</v>
      </c>
      <c r="FC599" s="26" t="s">
        <v>166</v>
      </c>
      <c r="FD599" s="26" t="s">
        <v>166</v>
      </c>
      <c r="FE599" s="26" t="s">
        <v>166</v>
      </c>
      <c r="FF599" s="26" t="s">
        <v>166</v>
      </c>
      <c r="FG599" s="25" t="s">
        <v>166</v>
      </c>
      <c r="FH599" s="4">
        <f>HYPERLINK("https://my.pitchbook.com?c=185133-70T","View Company Online")</f>
      </c>
    </row>
    <row r="600">
      <c r="A600" s="14" t="s">
        <v>11556</v>
      </c>
      <c r="B600" s="14" t="s">
        <v>11557</v>
      </c>
      <c r="C600" s="14" t="s">
        <v>11558</v>
      </c>
      <c r="D600" s="14" t="s">
        <v>166</v>
      </c>
      <c r="E600" s="23" t="s">
        <v>11559</v>
      </c>
      <c r="F600" s="21">
        <v>10</v>
      </c>
      <c r="G600" s="14" t="s">
        <v>11560</v>
      </c>
      <c r="H600" s="14" t="s">
        <v>166</v>
      </c>
      <c r="I600" s="14" t="s">
        <v>11561</v>
      </c>
      <c r="J600" s="14" t="s">
        <v>11562</v>
      </c>
      <c r="K600" s="14" t="s">
        <v>171</v>
      </c>
      <c r="L600" s="14" t="s">
        <v>172</v>
      </c>
      <c r="M600" s="14" t="s">
        <v>173</v>
      </c>
      <c r="N600" s="14" t="s">
        <v>2890</v>
      </c>
      <c r="O600" s="14" t="s">
        <v>166</v>
      </c>
      <c r="P600" s="14" t="s">
        <v>11563</v>
      </c>
      <c r="Q600" s="14" t="s">
        <v>166</v>
      </c>
      <c r="R600" s="14" t="s">
        <v>177</v>
      </c>
      <c r="S600" s="14" t="s">
        <v>178</v>
      </c>
      <c r="T600" s="14" t="s">
        <v>179</v>
      </c>
      <c r="U600" s="14" t="s">
        <v>11564</v>
      </c>
      <c r="V600" s="14" t="s">
        <v>11565</v>
      </c>
      <c r="W600" s="21" t="s">
        <v>11566</v>
      </c>
      <c r="X600" s="14" t="s">
        <v>11567</v>
      </c>
      <c r="Y600" s="14" t="s">
        <v>11568</v>
      </c>
      <c r="Z600" s="14" t="s">
        <v>11569</v>
      </c>
      <c r="AA600" s="14" t="s">
        <v>242</v>
      </c>
      <c r="AB600" s="14" t="s">
        <v>243</v>
      </c>
      <c r="AC600" s="14" t="s">
        <v>244</v>
      </c>
      <c r="AD600" s="14" t="s">
        <v>243</v>
      </c>
      <c r="AE600" s="14" t="s">
        <v>243</v>
      </c>
      <c r="AF600" s="14" t="s">
        <v>245</v>
      </c>
      <c r="AG600" s="14" t="s">
        <v>246</v>
      </c>
      <c r="AH600" s="21">
        <v>1</v>
      </c>
      <c r="AI600" s="3">
        <f>HYPERLINK("https://my.pitchbook.com/?d=132853-24T","132853-24T")</f>
      </c>
      <c r="AJ600" s="19">
        <v>41671</v>
      </c>
      <c r="AK600" s="19">
        <v>43888</v>
      </c>
      <c r="AL600" s="18">
        <v>1.5</v>
      </c>
      <c r="AM600" s="14" t="s">
        <v>185</v>
      </c>
      <c r="AN600" s="18">
        <v>4.5</v>
      </c>
      <c r="AO600" s="18">
        <v>6</v>
      </c>
      <c r="AP600" s="14" t="s">
        <v>185</v>
      </c>
      <c r="AQ600" s="21" t="s">
        <v>166</v>
      </c>
      <c r="AR600" s="21" t="s">
        <v>166</v>
      </c>
      <c r="AS600" s="17">
        <v>25</v>
      </c>
      <c r="AT600" s="18">
        <v>1.5</v>
      </c>
      <c r="AU600" s="21" t="s">
        <v>186</v>
      </c>
      <c r="AV600" s="21" t="s">
        <v>166</v>
      </c>
      <c r="AW600" s="18">
        <v>0.17</v>
      </c>
      <c r="AX600" s="21" t="s">
        <v>166</v>
      </c>
      <c r="AY600" s="14" t="s">
        <v>217</v>
      </c>
      <c r="AZ600" s="14" t="s">
        <v>217</v>
      </c>
      <c r="BA600" s="14" t="s">
        <v>166</v>
      </c>
      <c r="BB600" s="21" t="s">
        <v>166</v>
      </c>
      <c r="BC600" s="14" t="s">
        <v>179</v>
      </c>
      <c r="BD600" s="14" t="s">
        <v>11570</v>
      </c>
      <c r="BE600" s="14" t="s">
        <v>189</v>
      </c>
      <c r="BF600" s="18">
        <v>1.5</v>
      </c>
      <c r="BG600" s="14" t="s">
        <v>190</v>
      </c>
      <c r="BH600" s="14" t="s">
        <v>166</v>
      </c>
      <c r="BI600" s="14" t="s">
        <v>166</v>
      </c>
      <c r="BJ600" s="18" t="s">
        <v>166</v>
      </c>
      <c r="BK600" s="18" t="s">
        <v>166</v>
      </c>
      <c r="BL600" s="14" t="s">
        <v>191</v>
      </c>
      <c r="BM600" s="14" t="s">
        <v>178</v>
      </c>
      <c r="BN600" s="14" t="s">
        <v>177</v>
      </c>
      <c r="BO600" s="22" t="s">
        <v>166</v>
      </c>
      <c r="BP600" s="14" t="s">
        <v>11571</v>
      </c>
      <c r="BQ600" s="21">
        <v>10</v>
      </c>
      <c r="BR600" s="14" t="s">
        <v>166</v>
      </c>
      <c r="BS600" s="21" t="s">
        <v>166</v>
      </c>
      <c r="BT600" s="14" t="s">
        <v>11572</v>
      </c>
      <c r="BU600" s="14" t="s">
        <v>166</v>
      </c>
      <c r="BV600" s="14" t="s">
        <v>11573</v>
      </c>
      <c r="BW600" s="14" t="s">
        <v>166</v>
      </c>
      <c r="BX600" s="14" t="s">
        <v>166</v>
      </c>
      <c r="BY600" s="14" t="s">
        <v>166</v>
      </c>
      <c r="BZ600" s="14" t="s">
        <v>11574</v>
      </c>
      <c r="CA600" s="14" t="s">
        <v>1327</v>
      </c>
      <c r="CB600" s="14" t="s">
        <v>166</v>
      </c>
      <c r="CC600" s="14" t="s">
        <v>11575</v>
      </c>
      <c r="CD600" s="14" t="s">
        <v>166</v>
      </c>
      <c r="CE600" s="18" t="s">
        <v>166</v>
      </c>
      <c r="CF600" s="16" t="s">
        <v>166</v>
      </c>
      <c r="CG600" s="17" t="s">
        <v>166</v>
      </c>
      <c r="CH600" s="16" t="s">
        <v>166</v>
      </c>
      <c r="CI600" s="16" t="s">
        <v>166</v>
      </c>
      <c r="CJ600" s="16" t="s">
        <v>166</v>
      </c>
      <c r="CK600" s="16" t="s">
        <v>166</v>
      </c>
      <c r="CL600" s="16" t="s">
        <v>166</v>
      </c>
      <c r="CM600" s="20" t="s">
        <v>166</v>
      </c>
      <c r="CN600" s="16" t="s">
        <v>166</v>
      </c>
      <c r="CO600" s="16" t="s">
        <v>166</v>
      </c>
      <c r="CP600" s="16" t="s">
        <v>166</v>
      </c>
      <c r="CQ600" s="16" t="s">
        <v>166</v>
      </c>
      <c r="CR600" s="16" t="s">
        <v>166</v>
      </c>
      <c r="CS600" s="16" t="s">
        <v>166</v>
      </c>
      <c r="CT600" s="16" t="s">
        <v>166</v>
      </c>
      <c r="CU600" s="16" t="s">
        <v>166</v>
      </c>
      <c r="CV600" s="16" t="s">
        <v>166</v>
      </c>
      <c r="CW600" s="16" t="s">
        <v>166</v>
      </c>
      <c r="CX600" s="16" t="s">
        <v>166</v>
      </c>
      <c r="CY600" s="16" t="s">
        <v>166</v>
      </c>
      <c r="CZ600" s="16" t="s">
        <v>166</v>
      </c>
      <c r="DA600" s="16" t="s">
        <v>166</v>
      </c>
      <c r="DB600" s="16" t="s">
        <v>166</v>
      </c>
      <c r="DC600" s="16" t="s">
        <v>166</v>
      </c>
      <c r="DD600" s="16" t="s">
        <v>166</v>
      </c>
      <c r="DE600" s="17" t="s">
        <v>166</v>
      </c>
      <c r="DF600" s="22">
        <v>44</v>
      </c>
      <c r="DG600" s="14" t="s">
        <v>11576</v>
      </c>
      <c r="DH600" s="14" t="s">
        <v>193</v>
      </c>
      <c r="DI600" s="14" t="s">
        <v>194</v>
      </c>
      <c r="DJ600" s="14" t="s">
        <v>11577</v>
      </c>
      <c r="DK600" s="14" t="s">
        <v>257</v>
      </c>
      <c r="DL600" s="21" t="s">
        <v>11578</v>
      </c>
      <c r="DM600" s="14" t="s">
        <v>198</v>
      </c>
      <c r="DN600" s="13" t="s">
        <v>11579</v>
      </c>
      <c r="DO600" s="20">
        <v>2017</v>
      </c>
      <c r="DP600" s="14" t="s">
        <v>166</v>
      </c>
      <c r="DQ600" s="14" t="s">
        <v>166</v>
      </c>
      <c r="DR600" s="18" t="s">
        <v>166</v>
      </c>
      <c r="DS600" s="16" t="s">
        <v>166</v>
      </c>
      <c r="DT600" s="19" t="s">
        <v>166</v>
      </c>
      <c r="DU600" s="14" t="s">
        <v>166</v>
      </c>
      <c r="DV600" s="18" t="s">
        <v>166</v>
      </c>
      <c r="DW600" s="18" t="s">
        <v>166</v>
      </c>
      <c r="DX600" s="16" t="s">
        <v>166</v>
      </c>
      <c r="DY600" s="16" t="s">
        <v>166</v>
      </c>
      <c r="DZ600" s="17" t="s">
        <v>166</v>
      </c>
      <c r="EA600" s="16" t="s">
        <v>166</v>
      </c>
      <c r="EB600" s="16" t="s">
        <v>166</v>
      </c>
      <c r="EC600" s="16" t="s">
        <v>166</v>
      </c>
      <c r="ED600" s="17" t="s">
        <v>166</v>
      </c>
      <c r="EE600" s="17" t="s">
        <v>166</v>
      </c>
      <c r="EF600" s="17" t="s">
        <v>166</v>
      </c>
      <c r="EG600" s="17" t="s">
        <v>166</v>
      </c>
      <c r="EH600" s="16" t="s">
        <v>166</v>
      </c>
      <c r="EI600" s="16" t="s">
        <v>166</v>
      </c>
      <c r="EJ600" s="16" t="s">
        <v>166</v>
      </c>
      <c r="EK600" s="16" t="s">
        <v>166</v>
      </c>
      <c r="EL600" s="16" t="s">
        <v>166</v>
      </c>
      <c r="EM600" s="16" t="s">
        <v>166</v>
      </c>
      <c r="EN600" s="16" t="s">
        <v>166</v>
      </c>
      <c r="EO600" s="16" t="s">
        <v>166</v>
      </c>
      <c r="EP600" s="16" t="s">
        <v>166</v>
      </c>
      <c r="EQ600" s="16" t="s">
        <v>166</v>
      </c>
      <c r="ER600" s="16" t="s">
        <v>166</v>
      </c>
      <c r="ES600" s="16" t="s">
        <v>166</v>
      </c>
      <c r="ET600" s="14" t="s">
        <v>166</v>
      </c>
      <c r="EU600" s="16" t="s">
        <v>166</v>
      </c>
      <c r="EV600" s="16" t="s">
        <v>166</v>
      </c>
      <c r="EW600" s="16" t="s">
        <v>166</v>
      </c>
      <c r="EX600" s="14" t="s">
        <v>190</v>
      </c>
      <c r="EY600" s="14" t="s">
        <v>166</v>
      </c>
      <c r="EZ600" s="16" t="s">
        <v>166</v>
      </c>
      <c r="FA600" s="15" t="s">
        <v>166</v>
      </c>
      <c r="FB600" s="15" t="s">
        <v>166</v>
      </c>
      <c r="FC600" s="15" t="s">
        <v>166</v>
      </c>
      <c r="FD600" s="15" t="s">
        <v>166</v>
      </c>
      <c r="FE600" s="15" t="s">
        <v>166</v>
      </c>
      <c r="FF600" s="15" t="s">
        <v>166</v>
      </c>
      <c r="FG600" s="14" t="s">
        <v>166</v>
      </c>
      <c r="FH600" s="3">
        <f>HYPERLINK("https://my.pitchbook.com?c=132853-24T","View Company Online")</f>
      </c>
    </row>
    <row r="601">
      <c r="A601" s="25" t="s">
        <v>11580</v>
      </c>
      <c r="B601" s="25" t="s">
        <v>11581</v>
      </c>
      <c r="C601" s="25" t="s">
        <v>11582</v>
      </c>
      <c r="D601" s="25" t="s">
        <v>166</v>
      </c>
      <c r="E601" s="34" t="s">
        <v>11583</v>
      </c>
      <c r="F601" s="32">
        <v>8</v>
      </c>
      <c r="G601" s="25" t="s">
        <v>11584</v>
      </c>
      <c r="H601" s="25" t="s">
        <v>166</v>
      </c>
      <c r="I601" s="25" t="s">
        <v>11585</v>
      </c>
      <c r="J601" s="25" t="s">
        <v>11586</v>
      </c>
      <c r="K601" s="25" t="s">
        <v>207</v>
      </c>
      <c r="L601" s="25" t="s">
        <v>208</v>
      </c>
      <c r="M601" s="25" t="s">
        <v>296</v>
      </c>
      <c r="N601" s="25" t="s">
        <v>1666</v>
      </c>
      <c r="O601" s="25" t="s">
        <v>8880</v>
      </c>
      <c r="P601" s="25" t="s">
        <v>11587</v>
      </c>
      <c r="Q601" s="25" t="s">
        <v>166</v>
      </c>
      <c r="R601" s="25" t="s">
        <v>177</v>
      </c>
      <c r="S601" s="25" t="s">
        <v>178</v>
      </c>
      <c r="T601" s="25" t="s">
        <v>179</v>
      </c>
      <c r="U601" s="25" t="s">
        <v>11588</v>
      </c>
      <c r="V601" s="25" t="s">
        <v>11589</v>
      </c>
      <c r="W601" s="32" t="s">
        <v>166</v>
      </c>
      <c r="X601" s="25" t="s">
        <v>11590</v>
      </c>
      <c r="Y601" s="25" t="s">
        <v>11591</v>
      </c>
      <c r="Z601" s="25" t="s">
        <v>166</v>
      </c>
      <c r="AA601" s="25" t="s">
        <v>242</v>
      </c>
      <c r="AB601" s="25" t="s">
        <v>243</v>
      </c>
      <c r="AC601" s="25" t="s">
        <v>244</v>
      </c>
      <c r="AD601" s="25" t="s">
        <v>243</v>
      </c>
      <c r="AE601" s="25" t="s">
        <v>243</v>
      </c>
      <c r="AF601" s="25" t="s">
        <v>166</v>
      </c>
      <c r="AG601" s="25" t="s">
        <v>246</v>
      </c>
      <c r="AH601" s="32">
        <v>1</v>
      </c>
      <c r="AI601" s="4">
        <f>HYPERLINK("https://my.pitchbook.com/?d=164719-18T","164719-18T")</f>
      </c>
      <c r="AJ601" s="30" t="s">
        <v>166</v>
      </c>
      <c r="AK601" s="30">
        <v>44204</v>
      </c>
      <c r="AL601" s="29">
        <v>3.7</v>
      </c>
      <c r="AM601" s="25" t="s">
        <v>185</v>
      </c>
      <c r="AN601" s="29">
        <v>9.39</v>
      </c>
      <c r="AO601" s="29">
        <v>12.7</v>
      </c>
      <c r="AP601" s="25" t="s">
        <v>185</v>
      </c>
      <c r="AQ601" s="32" t="s">
        <v>166</v>
      </c>
      <c r="AR601" s="32" t="s">
        <v>166</v>
      </c>
      <c r="AS601" s="28" t="s">
        <v>166</v>
      </c>
      <c r="AT601" s="29">
        <v>3.7</v>
      </c>
      <c r="AU601" s="32" t="s">
        <v>186</v>
      </c>
      <c r="AV601" s="32" t="s">
        <v>166</v>
      </c>
      <c r="AW601" s="29">
        <v>0.79</v>
      </c>
      <c r="AX601" s="32" t="s">
        <v>166</v>
      </c>
      <c r="AY601" s="25" t="s">
        <v>217</v>
      </c>
      <c r="AZ601" s="25" t="s">
        <v>217</v>
      </c>
      <c r="BA601" s="25" t="s">
        <v>166</v>
      </c>
      <c r="BB601" s="32" t="s">
        <v>166</v>
      </c>
      <c r="BC601" s="25" t="s">
        <v>179</v>
      </c>
      <c r="BD601" s="25" t="s">
        <v>11592</v>
      </c>
      <c r="BE601" s="25" t="s">
        <v>189</v>
      </c>
      <c r="BF601" s="29">
        <v>3.31</v>
      </c>
      <c r="BG601" s="25" t="s">
        <v>190</v>
      </c>
      <c r="BH601" s="25" t="s">
        <v>166</v>
      </c>
      <c r="BI601" s="25" t="s">
        <v>166</v>
      </c>
      <c r="BJ601" s="29">
        <v>0.39</v>
      </c>
      <c r="BK601" s="29" t="s">
        <v>166</v>
      </c>
      <c r="BL601" s="25" t="s">
        <v>191</v>
      </c>
      <c r="BM601" s="25" t="s">
        <v>178</v>
      </c>
      <c r="BN601" s="25" t="s">
        <v>177</v>
      </c>
      <c r="BO601" s="33" t="s">
        <v>166</v>
      </c>
      <c r="BP601" s="25" t="s">
        <v>11593</v>
      </c>
      <c r="BQ601" s="32">
        <v>8</v>
      </c>
      <c r="BR601" s="25" t="s">
        <v>166</v>
      </c>
      <c r="BS601" s="32" t="s">
        <v>166</v>
      </c>
      <c r="BT601" s="25" t="s">
        <v>11594</v>
      </c>
      <c r="BU601" s="25" t="s">
        <v>166</v>
      </c>
      <c r="BV601" s="25" t="s">
        <v>11595</v>
      </c>
      <c r="BW601" s="25" t="s">
        <v>166</v>
      </c>
      <c r="BX601" s="25" t="s">
        <v>166</v>
      </c>
      <c r="BY601" s="25" t="s">
        <v>166</v>
      </c>
      <c r="BZ601" s="25" t="s">
        <v>770</v>
      </c>
      <c r="CA601" s="25" t="s">
        <v>770</v>
      </c>
      <c r="CB601" s="25" t="s">
        <v>166</v>
      </c>
      <c r="CC601" s="25" t="s">
        <v>166</v>
      </c>
      <c r="CD601" s="25" t="s">
        <v>166</v>
      </c>
      <c r="CE601" s="29" t="s">
        <v>166</v>
      </c>
      <c r="CF601" s="27" t="s">
        <v>166</v>
      </c>
      <c r="CG601" s="28" t="s">
        <v>166</v>
      </c>
      <c r="CH601" s="27" t="s">
        <v>166</v>
      </c>
      <c r="CI601" s="27" t="s">
        <v>166</v>
      </c>
      <c r="CJ601" s="27" t="s">
        <v>166</v>
      </c>
      <c r="CK601" s="27" t="s">
        <v>166</v>
      </c>
      <c r="CL601" s="27" t="s">
        <v>166</v>
      </c>
      <c r="CM601" s="31" t="s">
        <v>166</v>
      </c>
      <c r="CN601" s="27" t="s">
        <v>166</v>
      </c>
      <c r="CO601" s="27" t="s">
        <v>166</v>
      </c>
      <c r="CP601" s="27" t="s">
        <v>166</v>
      </c>
      <c r="CQ601" s="27" t="s">
        <v>166</v>
      </c>
      <c r="CR601" s="27" t="s">
        <v>166</v>
      </c>
      <c r="CS601" s="27" t="s">
        <v>166</v>
      </c>
      <c r="CT601" s="27" t="s">
        <v>166</v>
      </c>
      <c r="CU601" s="27" t="s">
        <v>166</v>
      </c>
      <c r="CV601" s="27" t="s">
        <v>166</v>
      </c>
      <c r="CW601" s="27" t="s">
        <v>166</v>
      </c>
      <c r="CX601" s="27" t="s">
        <v>166</v>
      </c>
      <c r="CY601" s="27">
        <v>0.12</v>
      </c>
      <c r="CZ601" s="27" t="s">
        <v>166</v>
      </c>
      <c r="DA601" s="27" t="s">
        <v>166</v>
      </c>
      <c r="DB601" s="27" t="s">
        <v>166</v>
      </c>
      <c r="DC601" s="27" t="s">
        <v>166</v>
      </c>
      <c r="DD601" s="27" t="s">
        <v>166</v>
      </c>
      <c r="DE601" s="28" t="s">
        <v>166</v>
      </c>
      <c r="DF601" s="33">
        <v>33</v>
      </c>
      <c r="DG601" s="25" t="s">
        <v>1061</v>
      </c>
      <c r="DH601" s="25" t="s">
        <v>193</v>
      </c>
      <c r="DI601" s="25" t="s">
        <v>194</v>
      </c>
      <c r="DJ601" s="25" t="s">
        <v>1062</v>
      </c>
      <c r="DK601" s="25" t="s">
        <v>1063</v>
      </c>
      <c r="DL601" s="32" t="s">
        <v>8315</v>
      </c>
      <c r="DM601" s="25" t="s">
        <v>198</v>
      </c>
      <c r="DN601" s="24" t="s">
        <v>11596</v>
      </c>
      <c r="DO601" s="31">
        <v>2018</v>
      </c>
      <c r="DP601" s="25" t="s">
        <v>166</v>
      </c>
      <c r="DQ601" s="25" t="s">
        <v>11597</v>
      </c>
      <c r="DR601" s="29">
        <v>0.39</v>
      </c>
      <c r="DS601" s="27" t="s">
        <v>166</v>
      </c>
      <c r="DT601" s="30" t="s">
        <v>166</v>
      </c>
      <c r="DU601" s="25" t="s">
        <v>166</v>
      </c>
      <c r="DV601" s="29" t="s">
        <v>166</v>
      </c>
      <c r="DW601" s="29" t="s">
        <v>166</v>
      </c>
      <c r="DX601" s="27" t="s">
        <v>166</v>
      </c>
      <c r="DY601" s="27" t="s">
        <v>166</v>
      </c>
      <c r="DZ601" s="28" t="s">
        <v>166</v>
      </c>
      <c r="EA601" s="27" t="s">
        <v>166</v>
      </c>
      <c r="EB601" s="27" t="s">
        <v>166</v>
      </c>
      <c r="EC601" s="27" t="s">
        <v>166</v>
      </c>
      <c r="ED601" s="28" t="s">
        <v>166</v>
      </c>
      <c r="EE601" s="28" t="s">
        <v>166</v>
      </c>
      <c r="EF601" s="28" t="s">
        <v>166</v>
      </c>
      <c r="EG601" s="28" t="s">
        <v>166</v>
      </c>
      <c r="EH601" s="27" t="s">
        <v>166</v>
      </c>
      <c r="EI601" s="27" t="s">
        <v>166</v>
      </c>
      <c r="EJ601" s="27" t="s">
        <v>166</v>
      </c>
      <c r="EK601" s="27" t="s">
        <v>166</v>
      </c>
      <c r="EL601" s="27" t="s">
        <v>166</v>
      </c>
      <c r="EM601" s="27" t="s">
        <v>166</v>
      </c>
      <c r="EN601" s="27" t="s">
        <v>166</v>
      </c>
      <c r="EO601" s="27" t="s">
        <v>166</v>
      </c>
      <c r="EP601" s="27" t="s">
        <v>166</v>
      </c>
      <c r="EQ601" s="27" t="s">
        <v>166</v>
      </c>
      <c r="ER601" s="27" t="s">
        <v>166</v>
      </c>
      <c r="ES601" s="27" t="s">
        <v>166</v>
      </c>
      <c r="ET601" s="25" t="s">
        <v>166</v>
      </c>
      <c r="EU601" s="27" t="s">
        <v>166</v>
      </c>
      <c r="EV601" s="27" t="s">
        <v>166</v>
      </c>
      <c r="EW601" s="27" t="s">
        <v>166</v>
      </c>
      <c r="EX601" s="25" t="s">
        <v>190</v>
      </c>
      <c r="EY601" s="25" t="s">
        <v>190</v>
      </c>
      <c r="EZ601" s="27" t="s">
        <v>166</v>
      </c>
      <c r="FA601" s="26" t="s">
        <v>166</v>
      </c>
      <c r="FB601" s="26" t="s">
        <v>166</v>
      </c>
      <c r="FC601" s="26" t="s">
        <v>166</v>
      </c>
      <c r="FD601" s="26" t="s">
        <v>166</v>
      </c>
      <c r="FE601" s="26" t="s">
        <v>166</v>
      </c>
      <c r="FF601" s="26" t="s">
        <v>166</v>
      </c>
      <c r="FG601" s="25" t="s">
        <v>166</v>
      </c>
      <c r="FH601" s="4">
        <f>HYPERLINK("https://my.pitchbook.com?c=164719-18T","View Company Online")</f>
      </c>
    </row>
    <row r="602">
      <c r="A602" s="14" t="s">
        <v>11598</v>
      </c>
      <c r="B602" s="14" t="s">
        <v>11599</v>
      </c>
      <c r="C602" s="14" t="s">
        <v>11600</v>
      </c>
      <c r="D602" s="14" t="s">
        <v>166</v>
      </c>
      <c r="E602" s="23" t="s">
        <v>11601</v>
      </c>
      <c r="F602" s="21">
        <v>16</v>
      </c>
      <c r="G602" s="14" t="s">
        <v>11602</v>
      </c>
      <c r="H602" s="14" t="s">
        <v>166</v>
      </c>
      <c r="I602" s="14" t="s">
        <v>11603</v>
      </c>
      <c r="J602" s="14" t="s">
        <v>11604</v>
      </c>
      <c r="K602" s="14" t="s">
        <v>207</v>
      </c>
      <c r="L602" s="14" t="s">
        <v>208</v>
      </c>
      <c r="M602" s="14" t="s">
        <v>296</v>
      </c>
      <c r="N602" s="14" t="s">
        <v>1052</v>
      </c>
      <c r="O602" s="14" t="s">
        <v>11605</v>
      </c>
      <c r="P602" s="14" t="s">
        <v>11606</v>
      </c>
      <c r="Q602" s="14" t="s">
        <v>166</v>
      </c>
      <c r="R602" s="14" t="s">
        <v>177</v>
      </c>
      <c r="S602" s="14" t="s">
        <v>178</v>
      </c>
      <c r="T602" s="14" t="s">
        <v>179</v>
      </c>
      <c r="U602" s="14" t="s">
        <v>11607</v>
      </c>
      <c r="V602" s="14" t="s">
        <v>11608</v>
      </c>
      <c r="W602" s="21" t="s">
        <v>11609</v>
      </c>
      <c r="X602" s="14" t="s">
        <v>11610</v>
      </c>
      <c r="Y602" s="14" t="s">
        <v>11611</v>
      </c>
      <c r="Z602" s="14" t="s">
        <v>11612</v>
      </c>
      <c r="AA602" s="14" t="s">
        <v>242</v>
      </c>
      <c r="AB602" s="14" t="s">
        <v>243</v>
      </c>
      <c r="AC602" s="14" t="s">
        <v>244</v>
      </c>
      <c r="AD602" s="14" t="s">
        <v>243</v>
      </c>
      <c r="AE602" s="14" t="s">
        <v>243</v>
      </c>
      <c r="AF602" s="14" t="s">
        <v>166</v>
      </c>
      <c r="AG602" s="14" t="s">
        <v>807</v>
      </c>
      <c r="AH602" s="21">
        <v>1</v>
      </c>
      <c r="AI602" s="3">
        <f>HYPERLINK("https://my.pitchbook.com/?d=196097-86T","196097-86T")</f>
      </c>
      <c r="AJ602" s="19" t="s">
        <v>166</v>
      </c>
      <c r="AK602" s="19">
        <v>44726</v>
      </c>
      <c r="AL602" s="18">
        <v>2</v>
      </c>
      <c r="AM602" s="14" t="s">
        <v>185</v>
      </c>
      <c r="AN602" s="18">
        <v>6</v>
      </c>
      <c r="AO602" s="18">
        <v>8</v>
      </c>
      <c r="AP602" s="14" t="s">
        <v>185</v>
      </c>
      <c r="AQ602" s="21" t="s">
        <v>166</v>
      </c>
      <c r="AR602" s="21" t="s">
        <v>166</v>
      </c>
      <c r="AS602" s="17">
        <v>25</v>
      </c>
      <c r="AT602" s="18">
        <v>2</v>
      </c>
      <c r="AU602" s="21" t="s">
        <v>186</v>
      </c>
      <c r="AV602" s="21" t="s">
        <v>166</v>
      </c>
      <c r="AW602" s="18">
        <v>1.52</v>
      </c>
      <c r="AX602" s="21" t="s">
        <v>166</v>
      </c>
      <c r="AY602" s="14" t="s">
        <v>217</v>
      </c>
      <c r="AZ602" s="14" t="s">
        <v>217</v>
      </c>
      <c r="BA602" s="14" t="s">
        <v>166</v>
      </c>
      <c r="BB602" s="21" t="s">
        <v>166</v>
      </c>
      <c r="BC602" s="14" t="s">
        <v>179</v>
      </c>
      <c r="BD602" s="14" t="s">
        <v>11613</v>
      </c>
      <c r="BE602" s="14" t="s">
        <v>189</v>
      </c>
      <c r="BF602" s="18">
        <v>2</v>
      </c>
      <c r="BG602" s="14" t="s">
        <v>190</v>
      </c>
      <c r="BH602" s="14" t="s">
        <v>166</v>
      </c>
      <c r="BI602" s="14" t="s">
        <v>166</v>
      </c>
      <c r="BJ602" s="18" t="s">
        <v>166</v>
      </c>
      <c r="BK602" s="18" t="s">
        <v>166</v>
      </c>
      <c r="BL602" s="14" t="s">
        <v>191</v>
      </c>
      <c r="BM602" s="14" t="s">
        <v>358</v>
      </c>
      <c r="BN602" s="14" t="s">
        <v>177</v>
      </c>
      <c r="BO602" s="22" t="s">
        <v>166</v>
      </c>
      <c r="BP602" s="14" t="s">
        <v>11614</v>
      </c>
      <c r="BQ602" s="21">
        <v>16</v>
      </c>
      <c r="BR602" s="14" t="s">
        <v>166</v>
      </c>
      <c r="BS602" s="21" t="s">
        <v>166</v>
      </c>
      <c r="BT602" s="14" t="s">
        <v>11615</v>
      </c>
      <c r="BU602" s="14" t="s">
        <v>166</v>
      </c>
      <c r="BV602" s="14" t="s">
        <v>166</v>
      </c>
      <c r="BW602" s="14" t="s">
        <v>166</v>
      </c>
      <c r="BX602" s="14" t="s">
        <v>166</v>
      </c>
      <c r="BY602" s="14" t="s">
        <v>166</v>
      </c>
      <c r="BZ602" s="14" t="s">
        <v>1232</v>
      </c>
      <c r="CA602" s="14" t="s">
        <v>1232</v>
      </c>
      <c r="CB602" s="14" t="s">
        <v>166</v>
      </c>
      <c r="CC602" s="14" t="s">
        <v>166</v>
      </c>
      <c r="CD602" s="14" t="s">
        <v>166</v>
      </c>
      <c r="CE602" s="18" t="s">
        <v>166</v>
      </c>
      <c r="CF602" s="16" t="s">
        <v>166</v>
      </c>
      <c r="CG602" s="17" t="s">
        <v>166</v>
      </c>
      <c r="CH602" s="16" t="s">
        <v>166</v>
      </c>
      <c r="CI602" s="16" t="s">
        <v>166</v>
      </c>
      <c r="CJ602" s="16" t="s">
        <v>166</v>
      </c>
      <c r="CK602" s="16" t="s">
        <v>166</v>
      </c>
      <c r="CL602" s="16" t="s">
        <v>166</v>
      </c>
      <c r="CM602" s="20" t="s">
        <v>166</v>
      </c>
      <c r="CN602" s="16" t="s">
        <v>166</v>
      </c>
      <c r="CO602" s="16" t="s">
        <v>166</v>
      </c>
      <c r="CP602" s="16" t="s">
        <v>166</v>
      </c>
      <c r="CQ602" s="16" t="s">
        <v>166</v>
      </c>
      <c r="CR602" s="16" t="s">
        <v>166</v>
      </c>
      <c r="CS602" s="16" t="s">
        <v>166</v>
      </c>
      <c r="CT602" s="16" t="s">
        <v>166</v>
      </c>
      <c r="CU602" s="16" t="s">
        <v>166</v>
      </c>
      <c r="CV602" s="16" t="s">
        <v>166</v>
      </c>
      <c r="CW602" s="16" t="s">
        <v>166</v>
      </c>
      <c r="CX602" s="16" t="s">
        <v>166</v>
      </c>
      <c r="CY602" s="16" t="s">
        <v>166</v>
      </c>
      <c r="CZ602" s="16" t="s">
        <v>166</v>
      </c>
      <c r="DA602" s="16" t="s">
        <v>166</v>
      </c>
      <c r="DB602" s="16" t="s">
        <v>166</v>
      </c>
      <c r="DC602" s="16" t="s">
        <v>166</v>
      </c>
      <c r="DD602" s="16" t="s">
        <v>166</v>
      </c>
      <c r="DE602" s="17" t="s">
        <v>166</v>
      </c>
      <c r="DF602" s="22">
        <v>6</v>
      </c>
      <c r="DG602" s="14" t="s">
        <v>11616</v>
      </c>
      <c r="DH602" s="14" t="s">
        <v>193</v>
      </c>
      <c r="DI602" s="14" t="s">
        <v>194</v>
      </c>
      <c r="DJ602" s="14" t="s">
        <v>11617</v>
      </c>
      <c r="DK602" s="14" t="s">
        <v>1000</v>
      </c>
      <c r="DL602" s="21" t="s">
        <v>11618</v>
      </c>
      <c r="DM602" s="14" t="s">
        <v>198</v>
      </c>
      <c r="DN602" s="13" t="s">
        <v>11619</v>
      </c>
      <c r="DO602" s="20">
        <v>2021</v>
      </c>
      <c r="DP602" s="14" t="s">
        <v>166</v>
      </c>
      <c r="DQ602" s="14" t="s">
        <v>166</v>
      </c>
      <c r="DR602" s="18" t="s">
        <v>166</v>
      </c>
      <c r="DS602" s="16" t="s">
        <v>166</v>
      </c>
      <c r="DT602" s="19" t="s">
        <v>166</v>
      </c>
      <c r="DU602" s="14" t="s">
        <v>166</v>
      </c>
      <c r="DV602" s="18" t="s">
        <v>166</v>
      </c>
      <c r="DW602" s="18" t="s">
        <v>166</v>
      </c>
      <c r="DX602" s="16" t="s">
        <v>166</v>
      </c>
      <c r="DY602" s="16" t="s">
        <v>166</v>
      </c>
      <c r="DZ602" s="17" t="s">
        <v>166</v>
      </c>
      <c r="EA602" s="16" t="s">
        <v>166</v>
      </c>
      <c r="EB602" s="16" t="s">
        <v>166</v>
      </c>
      <c r="EC602" s="16" t="s">
        <v>166</v>
      </c>
      <c r="ED602" s="17" t="s">
        <v>166</v>
      </c>
      <c r="EE602" s="17" t="s">
        <v>166</v>
      </c>
      <c r="EF602" s="17" t="s">
        <v>166</v>
      </c>
      <c r="EG602" s="17" t="s">
        <v>166</v>
      </c>
      <c r="EH602" s="16" t="s">
        <v>166</v>
      </c>
      <c r="EI602" s="16" t="s">
        <v>166</v>
      </c>
      <c r="EJ602" s="16" t="s">
        <v>166</v>
      </c>
      <c r="EK602" s="16" t="s">
        <v>166</v>
      </c>
      <c r="EL602" s="16" t="s">
        <v>166</v>
      </c>
      <c r="EM602" s="16" t="s">
        <v>166</v>
      </c>
      <c r="EN602" s="16" t="s">
        <v>166</v>
      </c>
      <c r="EO602" s="16" t="s">
        <v>166</v>
      </c>
      <c r="EP602" s="16" t="s">
        <v>166</v>
      </c>
      <c r="EQ602" s="16" t="s">
        <v>166</v>
      </c>
      <c r="ER602" s="16" t="s">
        <v>166</v>
      </c>
      <c r="ES602" s="16" t="s">
        <v>166</v>
      </c>
      <c r="ET602" s="14" t="s">
        <v>166</v>
      </c>
      <c r="EU602" s="16" t="s">
        <v>166</v>
      </c>
      <c r="EV602" s="16" t="s">
        <v>166</v>
      </c>
      <c r="EW602" s="16" t="s">
        <v>166</v>
      </c>
      <c r="EX602" s="14" t="s">
        <v>190</v>
      </c>
      <c r="EY602" s="14" t="s">
        <v>166</v>
      </c>
      <c r="EZ602" s="16" t="s">
        <v>166</v>
      </c>
      <c r="FA602" s="15" t="s">
        <v>166</v>
      </c>
      <c r="FB602" s="15" t="s">
        <v>166</v>
      </c>
      <c r="FC602" s="15" t="s">
        <v>166</v>
      </c>
      <c r="FD602" s="15" t="s">
        <v>166</v>
      </c>
      <c r="FE602" s="15" t="s">
        <v>166</v>
      </c>
      <c r="FF602" s="15" t="s">
        <v>166</v>
      </c>
      <c r="FG602" s="14" t="s">
        <v>166</v>
      </c>
      <c r="FH602" s="3">
        <f>HYPERLINK("https://my.pitchbook.com?c=196097-86T","View Company Online")</f>
      </c>
    </row>
    <row r="603">
      <c r="A603" s="25" t="s">
        <v>11620</v>
      </c>
      <c r="B603" s="25" t="s">
        <v>11621</v>
      </c>
      <c r="C603" s="25" t="s">
        <v>11622</v>
      </c>
      <c r="D603" s="25" t="s">
        <v>166</v>
      </c>
      <c r="E603" s="34" t="s">
        <v>11623</v>
      </c>
      <c r="F603" s="32">
        <v>1</v>
      </c>
      <c r="G603" s="25" t="s">
        <v>11624</v>
      </c>
      <c r="H603" s="25" t="s">
        <v>166</v>
      </c>
      <c r="I603" s="25" t="s">
        <v>11625</v>
      </c>
      <c r="J603" s="25" t="s">
        <v>11626</v>
      </c>
      <c r="K603" s="25" t="s">
        <v>207</v>
      </c>
      <c r="L603" s="25" t="s">
        <v>208</v>
      </c>
      <c r="M603" s="25" t="s">
        <v>209</v>
      </c>
      <c r="N603" s="25" t="s">
        <v>2045</v>
      </c>
      <c r="O603" s="25" t="s">
        <v>166</v>
      </c>
      <c r="P603" s="25" t="s">
        <v>11627</v>
      </c>
      <c r="Q603" s="25" t="s">
        <v>166</v>
      </c>
      <c r="R603" s="25" t="s">
        <v>177</v>
      </c>
      <c r="S603" s="25" t="s">
        <v>178</v>
      </c>
      <c r="T603" s="25" t="s">
        <v>1401</v>
      </c>
      <c r="U603" s="25" t="s">
        <v>11628</v>
      </c>
      <c r="V603" s="25" t="s">
        <v>11629</v>
      </c>
      <c r="W603" s="32" t="s">
        <v>11630</v>
      </c>
      <c r="X603" s="25" t="s">
        <v>11631</v>
      </c>
      <c r="Y603" s="25" t="s">
        <v>11632</v>
      </c>
      <c r="Z603" s="25" t="s">
        <v>166</v>
      </c>
      <c r="AA603" s="25" t="s">
        <v>242</v>
      </c>
      <c r="AB603" s="25" t="s">
        <v>243</v>
      </c>
      <c r="AC603" s="25" t="s">
        <v>244</v>
      </c>
      <c r="AD603" s="25" t="s">
        <v>243</v>
      </c>
      <c r="AE603" s="25" t="s">
        <v>243</v>
      </c>
      <c r="AF603" s="25" t="s">
        <v>306</v>
      </c>
      <c r="AG603" s="25" t="s">
        <v>5628</v>
      </c>
      <c r="AH603" s="32">
        <v>1</v>
      </c>
      <c r="AI603" s="4">
        <f>HYPERLINK("https://my.pitchbook.com/?d=248447-89T","248447-89T")</f>
      </c>
      <c r="AJ603" s="30">
        <v>45273</v>
      </c>
      <c r="AK603" s="30">
        <v>45288</v>
      </c>
      <c r="AL603" s="29">
        <v>6.8</v>
      </c>
      <c r="AM603" s="25" t="s">
        <v>185</v>
      </c>
      <c r="AN603" s="29">
        <v>23.2</v>
      </c>
      <c r="AO603" s="29">
        <v>30</v>
      </c>
      <c r="AP603" s="25" t="s">
        <v>185</v>
      </c>
      <c r="AQ603" s="32" t="s">
        <v>166</v>
      </c>
      <c r="AR603" s="32" t="s">
        <v>166</v>
      </c>
      <c r="AS603" s="28">
        <v>23.44</v>
      </c>
      <c r="AT603" s="29">
        <v>6.8</v>
      </c>
      <c r="AU603" s="32" t="s">
        <v>186</v>
      </c>
      <c r="AV603" s="32" t="s">
        <v>166</v>
      </c>
      <c r="AW603" s="29">
        <v>3.6</v>
      </c>
      <c r="AX603" s="32" t="s">
        <v>248</v>
      </c>
      <c r="AY603" s="25" t="s">
        <v>187</v>
      </c>
      <c r="AZ603" s="25" t="s">
        <v>248</v>
      </c>
      <c r="BA603" s="25" t="s">
        <v>166</v>
      </c>
      <c r="BB603" s="32" t="s">
        <v>166</v>
      </c>
      <c r="BC603" s="25" t="s">
        <v>179</v>
      </c>
      <c r="BD603" s="25" t="s">
        <v>11633</v>
      </c>
      <c r="BE603" s="25" t="s">
        <v>189</v>
      </c>
      <c r="BF603" s="29">
        <v>6.8</v>
      </c>
      <c r="BG603" s="25" t="s">
        <v>190</v>
      </c>
      <c r="BH603" s="25" t="s">
        <v>166</v>
      </c>
      <c r="BI603" s="25" t="s">
        <v>166</v>
      </c>
      <c r="BJ603" s="29" t="s">
        <v>166</v>
      </c>
      <c r="BK603" s="29" t="s">
        <v>166</v>
      </c>
      <c r="BL603" s="25" t="s">
        <v>191</v>
      </c>
      <c r="BM603" s="25" t="s">
        <v>178</v>
      </c>
      <c r="BN603" s="25" t="s">
        <v>177</v>
      </c>
      <c r="BO603" s="33" t="s">
        <v>166</v>
      </c>
      <c r="BP603" s="25" t="s">
        <v>11634</v>
      </c>
      <c r="BQ603" s="32">
        <v>1</v>
      </c>
      <c r="BR603" s="25" t="s">
        <v>166</v>
      </c>
      <c r="BS603" s="32" t="s">
        <v>166</v>
      </c>
      <c r="BT603" s="25" t="s">
        <v>166</v>
      </c>
      <c r="BU603" s="25" t="s">
        <v>166</v>
      </c>
      <c r="BV603" s="25" t="s">
        <v>11635</v>
      </c>
      <c r="BW603" s="25" t="s">
        <v>166</v>
      </c>
      <c r="BX603" s="25" t="s">
        <v>166</v>
      </c>
      <c r="BY603" s="25" t="s">
        <v>166</v>
      </c>
      <c r="BZ603" s="25" t="s">
        <v>166</v>
      </c>
      <c r="CA603" s="25" t="s">
        <v>166</v>
      </c>
      <c r="CB603" s="25" t="s">
        <v>166</v>
      </c>
      <c r="CC603" s="25" t="s">
        <v>166</v>
      </c>
      <c r="CD603" s="25" t="s">
        <v>166</v>
      </c>
      <c r="CE603" s="29" t="s">
        <v>166</v>
      </c>
      <c r="CF603" s="27" t="s">
        <v>166</v>
      </c>
      <c r="CG603" s="28" t="s">
        <v>166</v>
      </c>
      <c r="CH603" s="27" t="s">
        <v>166</v>
      </c>
      <c r="CI603" s="27" t="s">
        <v>166</v>
      </c>
      <c r="CJ603" s="27" t="s">
        <v>166</v>
      </c>
      <c r="CK603" s="27" t="s">
        <v>166</v>
      </c>
      <c r="CL603" s="27" t="s">
        <v>166</v>
      </c>
      <c r="CM603" s="31" t="s">
        <v>166</v>
      </c>
      <c r="CN603" s="27" t="s">
        <v>166</v>
      </c>
      <c r="CO603" s="27" t="s">
        <v>166</v>
      </c>
      <c r="CP603" s="27" t="s">
        <v>166</v>
      </c>
      <c r="CQ603" s="27" t="s">
        <v>166</v>
      </c>
      <c r="CR603" s="27" t="s">
        <v>166</v>
      </c>
      <c r="CS603" s="27" t="s">
        <v>166</v>
      </c>
      <c r="CT603" s="27" t="s">
        <v>166</v>
      </c>
      <c r="CU603" s="27" t="s">
        <v>166</v>
      </c>
      <c r="CV603" s="27" t="s">
        <v>166</v>
      </c>
      <c r="CW603" s="27" t="s">
        <v>166</v>
      </c>
      <c r="CX603" s="27" t="s">
        <v>166</v>
      </c>
      <c r="CY603" s="27" t="s">
        <v>166</v>
      </c>
      <c r="CZ603" s="27" t="s">
        <v>166</v>
      </c>
      <c r="DA603" s="27" t="s">
        <v>166</v>
      </c>
      <c r="DB603" s="27" t="s">
        <v>166</v>
      </c>
      <c r="DC603" s="27" t="s">
        <v>166</v>
      </c>
      <c r="DD603" s="27" t="s">
        <v>166</v>
      </c>
      <c r="DE603" s="28" t="s">
        <v>166</v>
      </c>
      <c r="DF603" s="33">
        <v>38</v>
      </c>
      <c r="DG603" s="25" t="s">
        <v>11636</v>
      </c>
      <c r="DH603" s="25" t="s">
        <v>193</v>
      </c>
      <c r="DI603" s="25" t="s">
        <v>194</v>
      </c>
      <c r="DJ603" s="25" t="s">
        <v>11637</v>
      </c>
      <c r="DK603" s="25" t="s">
        <v>1251</v>
      </c>
      <c r="DL603" s="32" t="s">
        <v>4995</v>
      </c>
      <c r="DM603" s="25" t="s">
        <v>198</v>
      </c>
      <c r="DN603" s="24" t="s">
        <v>11638</v>
      </c>
      <c r="DO603" s="31">
        <v>2017</v>
      </c>
      <c r="DP603" s="25" t="s">
        <v>166</v>
      </c>
      <c r="DQ603" s="25" t="s">
        <v>166</v>
      </c>
      <c r="DR603" s="29" t="s">
        <v>166</v>
      </c>
      <c r="DS603" s="27" t="s">
        <v>166</v>
      </c>
      <c r="DT603" s="30" t="s">
        <v>166</v>
      </c>
      <c r="DU603" s="25" t="s">
        <v>166</v>
      </c>
      <c r="DV603" s="29" t="s">
        <v>166</v>
      </c>
      <c r="DW603" s="29" t="s">
        <v>166</v>
      </c>
      <c r="DX603" s="27" t="s">
        <v>166</v>
      </c>
      <c r="DY603" s="27" t="s">
        <v>166</v>
      </c>
      <c r="DZ603" s="28" t="s">
        <v>166</v>
      </c>
      <c r="EA603" s="27" t="s">
        <v>166</v>
      </c>
      <c r="EB603" s="27" t="s">
        <v>166</v>
      </c>
      <c r="EC603" s="27" t="s">
        <v>166</v>
      </c>
      <c r="ED603" s="28" t="s">
        <v>166</v>
      </c>
      <c r="EE603" s="28" t="s">
        <v>166</v>
      </c>
      <c r="EF603" s="28" t="s">
        <v>166</v>
      </c>
      <c r="EG603" s="28" t="s">
        <v>166</v>
      </c>
      <c r="EH603" s="27" t="s">
        <v>166</v>
      </c>
      <c r="EI603" s="27" t="s">
        <v>166</v>
      </c>
      <c r="EJ603" s="27" t="s">
        <v>166</v>
      </c>
      <c r="EK603" s="27" t="s">
        <v>166</v>
      </c>
      <c r="EL603" s="27" t="s">
        <v>166</v>
      </c>
      <c r="EM603" s="27" t="s">
        <v>166</v>
      </c>
      <c r="EN603" s="27" t="s">
        <v>166</v>
      </c>
      <c r="EO603" s="27" t="s">
        <v>166</v>
      </c>
      <c r="EP603" s="27" t="s">
        <v>166</v>
      </c>
      <c r="EQ603" s="27" t="s">
        <v>166</v>
      </c>
      <c r="ER603" s="27" t="s">
        <v>166</v>
      </c>
      <c r="ES603" s="27" t="s">
        <v>166</v>
      </c>
      <c r="ET603" s="25" t="s">
        <v>166</v>
      </c>
      <c r="EU603" s="27" t="s">
        <v>166</v>
      </c>
      <c r="EV603" s="27" t="s">
        <v>166</v>
      </c>
      <c r="EW603" s="27" t="s">
        <v>166</v>
      </c>
      <c r="EX603" s="25" t="s">
        <v>190</v>
      </c>
      <c r="EY603" s="25" t="s">
        <v>166</v>
      </c>
      <c r="EZ603" s="27" t="s">
        <v>166</v>
      </c>
      <c r="FA603" s="26">
        <v>14</v>
      </c>
      <c r="FB603" s="26">
        <v>1</v>
      </c>
      <c r="FC603" s="26">
        <v>10</v>
      </c>
      <c r="FD603" s="26">
        <v>3</v>
      </c>
      <c r="FE603" s="26" t="s">
        <v>166</v>
      </c>
      <c r="FF603" s="26">
        <v>1</v>
      </c>
      <c r="FG603" s="25" t="s">
        <v>11639</v>
      </c>
      <c r="FH603" s="4">
        <f>HYPERLINK("https://my.pitchbook.com?c=248447-89T","View Company Online")</f>
      </c>
    </row>
    <row r="604">
      <c r="A604" s="14" t="s">
        <v>11640</v>
      </c>
      <c r="B604" s="14" t="s">
        <v>11641</v>
      </c>
      <c r="C604" s="14" t="s">
        <v>11642</v>
      </c>
      <c r="D604" s="14" t="s">
        <v>166</v>
      </c>
      <c r="E604" s="23" t="s">
        <v>11643</v>
      </c>
      <c r="F604" s="21">
        <v>9</v>
      </c>
      <c r="G604" s="14" t="s">
        <v>11644</v>
      </c>
      <c r="H604" s="14" t="s">
        <v>166</v>
      </c>
      <c r="I604" s="14" t="s">
        <v>11645</v>
      </c>
      <c r="J604" s="14" t="s">
        <v>3220</v>
      </c>
      <c r="K604" s="14" t="s">
        <v>207</v>
      </c>
      <c r="L604" s="14" t="s">
        <v>208</v>
      </c>
      <c r="M604" s="14" t="s">
        <v>1220</v>
      </c>
      <c r="N604" s="14" t="s">
        <v>11646</v>
      </c>
      <c r="O604" s="14" t="s">
        <v>11647</v>
      </c>
      <c r="P604" s="14" t="s">
        <v>11648</v>
      </c>
      <c r="Q604" s="14" t="s">
        <v>166</v>
      </c>
      <c r="R604" s="14" t="s">
        <v>177</v>
      </c>
      <c r="S604" s="14" t="s">
        <v>178</v>
      </c>
      <c r="T604" s="14" t="s">
        <v>179</v>
      </c>
      <c r="U604" s="14" t="s">
        <v>11649</v>
      </c>
      <c r="V604" s="14" t="s">
        <v>11650</v>
      </c>
      <c r="W604" s="21" t="s">
        <v>11651</v>
      </c>
      <c r="X604" s="14" t="s">
        <v>11652</v>
      </c>
      <c r="Y604" s="14" t="s">
        <v>11653</v>
      </c>
      <c r="Z604" s="14" t="s">
        <v>11654</v>
      </c>
      <c r="AA604" s="14" t="s">
        <v>166</v>
      </c>
      <c r="AB604" s="14" t="s">
        <v>166</v>
      </c>
      <c r="AC604" s="14" t="s">
        <v>166</v>
      </c>
      <c r="AD604" s="14" t="s">
        <v>166</v>
      </c>
      <c r="AE604" s="14" t="s">
        <v>166</v>
      </c>
      <c r="AF604" s="14" t="s">
        <v>166</v>
      </c>
      <c r="AG604" s="14" t="s">
        <v>166</v>
      </c>
      <c r="AH604" s="21">
        <v>3</v>
      </c>
      <c r="AI604" s="3">
        <f>HYPERLINK("https://my.pitchbook.com/?d=185704-93T","185704-93T")</f>
      </c>
      <c r="AJ604" s="19" t="s">
        <v>166</v>
      </c>
      <c r="AK604" s="19">
        <v>44588</v>
      </c>
      <c r="AL604" s="18">
        <v>0.05</v>
      </c>
      <c r="AM604" s="14" t="s">
        <v>185</v>
      </c>
      <c r="AN604" s="18" t="s">
        <v>166</v>
      </c>
      <c r="AO604" s="18" t="s">
        <v>166</v>
      </c>
      <c r="AP604" s="14" t="s">
        <v>166</v>
      </c>
      <c r="AQ604" s="21" t="s">
        <v>166</v>
      </c>
      <c r="AR604" s="21" t="s">
        <v>166</v>
      </c>
      <c r="AS604" s="17" t="s">
        <v>166</v>
      </c>
      <c r="AT604" s="18">
        <v>0.05</v>
      </c>
      <c r="AU604" s="21" t="s">
        <v>186</v>
      </c>
      <c r="AV604" s="21" t="s">
        <v>166</v>
      </c>
      <c r="AW604" s="18" t="s">
        <v>166</v>
      </c>
      <c r="AX604" s="21" t="s">
        <v>166</v>
      </c>
      <c r="AY604" s="14" t="s">
        <v>217</v>
      </c>
      <c r="AZ604" s="14" t="s">
        <v>217</v>
      </c>
      <c r="BA604" s="14" t="s">
        <v>166</v>
      </c>
      <c r="BB604" s="21" t="s">
        <v>166</v>
      </c>
      <c r="BC604" s="14" t="s">
        <v>179</v>
      </c>
      <c r="BD604" s="14" t="s">
        <v>11655</v>
      </c>
      <c r="BE604" s="14" t="s">
        <v>189</v>
      </c>
      <c r="BF604" s="18">
        <v>0.05</v>
      </c>
      <c r="BG604" s="14" t="s">
        <v>190</v>
      </c>
      <c r="BH604" s="14" t="s">
        <v>166</v>
      </c>
      <c r="BI604" s="14" t="s">
        <v>166</v>
      </c>
      <c r="BJ604" s="18" t="s">
        <v>166</v>
      </c>
      <c r="BK604" s="18" t="s">
        <v>166</v>
      </c>
      <c r="BL604" s="14" t="s">
        <v>191</v>
      </c>
      <c r="BM604" s="14" t="s">
        <v>178</v>
      </c>
      <c r="BN604" s="14" t="s">
        <v>177</v>
      </c>
      <c r="BO604" s="22" t="s">
        <v>166</v>
      </c>
      <c r="BP604" s="14" t="s">
        <v>11656</v>
      </c>
      <c r="BQ604" s="21">
        <v>9</v>
      </c>
      <c r="BR604" s="14" t="s">
        <v>166</v>
      </c>
      <c r="BS604" s="21" t="s">
        <v>166</v>
      </c>
      <c r="BT604" s="14" t="s">
        <v>166</v>
      </c>
      <c r="BU604" s="14" t="s">
        <v>166</v>
      </c>
      <c r="BV604" s="14" t="s">
        <v>11657</v>
      </c>
      <c r="BW604" s="14" t="s">
        <v>166</v>
      </c>
      <c r="BX604" s="14" t="s">
        <v>166</v>
      </c>
      <c r="BY604" s="14" t="s">
        <v>166</v>
      </c>
      <c r="BZ604" s="14" t="s">
        <v>166</v>
      </c>
      <c r="CA604" s="14" t="s">
        <v>166</v>
      </c>
      <c r="CB604" s="14" t="s">
        <v>166</v>
      </c>
      <c r="CC604" s="14" t="s">
        <v>166</v>
      </c>
      <c r="CD604" s="14" t="s">
        <v>166</v>
      </c>
      <c r="CE604" s="18" t="s">
        <v>166</v>
      </c>
      <c r="CF604" s="16" t="s">
        <v>166</v>
      </c>
      <c r="CG604" s="17" t="s">
        <v>166</v>
      </c>
      <c r="CH604" s="16" t="s">
        <v>166</v>
      </c>
      <c r="CI604" s="16" t="s">
        <v>166</v>
      </c>
      <c r="CJ604" s="16" t="s">
        <v>166</v>
      </c>
      <c r="CK604" s="16" t="s">
        <v>166</v>
      </c>
      <c r="CL604" s="16" t="s">
        <v>166</v>
      </c>
      <c r="CM604" s="20" t="s">
        <v>166</v>
      </c>
      <c r="CN604" s="16" t="s">
        <v>166</v>
      </c>
      <c r="CO604" s="16" t="s">
        <v>166</v>
      </c>
      <c r="CP604" s="16" t="s">
        <v>166</v>
      </c>
      <c r="CQ604" s="16" t="s">
        <v>166</v>
      </c>
      <c r="CR604" s="16" t="s">
        <v>166</v>
      </c>
      <c r="CS604" s="16" t="s">
        <v>166</v>
      </c>
      <c r="CT604" s="16" t="s">
        <v>166</v>
      </c>
      <c r="CU604" s="16" t="s">
        <v>166</v>
      </c>
      <c r="CV604" s="16" t="s">
        <v>166</v>
      </c>
      <c r="CW604" s="16" t="s">
        <v>166</v>
      </c>
      <c r="CX604" s="16" t="s">
        <v>166</v>
      </c>
      <c r="CY604" s="16" t="s">
        <v>166</v>
      </c>
      <c r="CZ604" s="16" t="s">
        <v>166</v>
      </c>
      <c r="DA604" s="16" t="s">
        <v>166</v>
      </c>
      <c r="DB604" s="16" t="s">
        <v>166</v>
      </c>
      <c r="DC604" s="16" t="s">
        <v>166</v>
      </c>
      <c r="DD604" s="16" t="s">
        <v>166</v>
      </c>
      <c r="DE604" s="17" t="s">
        <v>166</v>
      </c>
      <c r="DF604" s="22">
        <v>14</v>
      </c>
      <c r="DG604" s="14" t="s">
        <v>1077</v>
      </c>
      <c r="DH604" s="14" t="s">
        <v>193</v>
      </c>
      <c r="DI604" s="14" t="s">
        <v>194</v>
      </c>
      <c r="DJ604" s="14" t="s">
        <v>1078</v>
      </c>
      <c r="DK604" s="14" t="s">
        <v>257</v>
      </c>
      <c r="DL604" s="21" t="s">
        <v>1079</v>
      </c>
      <c r="DM604" s="14" t="s">
        <v>198</v>
      </c>
      <c r="DN604" s="13" t="s">
        <v>11658</v>
      </c>
      <c r="DO604" s="20">
        <v>2020</v>
      </c>
      <c r="DP604" s="14" t="s">
        <v>166</v>
      </c>
      <c r="DQ604" s="14" t="s">
        <v>166</v>
      </c>
      <c r="DR604" s="18" t="s">
        <v>166</v>
      </c>
      <c r="DS604" s="16" t="s">
        <v>166</v>
      </c>
      <c r="DT604" s="19" t="s">
        <v>166</v>
      </c>
      <c r="DU604" s="14" t="s">
        <v>166</v>
      </c>
      <c r="DV604" s="18" t="s">
        <v>166</v>
      </c>
      <c r="DW604" s="18" t="s">
        <v>166</v>
      </c>
      <c r="DX604" s="16" t="s">
        <v>166</v>
      </c>
      <c r="DY604" s="16" t="s">
        <v>166</v>
      </c>
      <c r="DZ604" s="17" t="s">
        <v>166</v>
      </c>
      <c r="EA604" s="16" t="s">
        <v>166</v>
      </c>
      <c r="EB604" s="16" t="s">
        <v>166</v>
      </c>
      <c r="EC604" s="16" t="s">
        <v>166</v>
      </c>
      <c r="ED604" s="17" t="s">
        <v>166</v>
      </c>
      <c r="EE604" s="17" t="s">
        <v>166</v>
      </c>
      <c r="EF604" s="17" t="s">
        <v>166</v>
      </c>
      <c r="EG604" s="17" t="s">
        <v>166</v>
      </c>
      <c r="EH604" s="16" t="s">
        <v>166</v>
      </c>
      <c r="EI604" s="16" t="s">
        <v>166</v>
      </c>
      <c r="EJ604" s="16" t="s">
        <v>166</v>
      </c>
      <c r="EK604" s="16" t="s">
        <v>166</v>
      </c>
      <c r="EL604" s="16" t="s">
        <v>166</v>
      </c>
      <c r="EM604" s="16" t="s">
        <v>166</v>
      </c>
      <c r="EN604" s="16" t="s">
        <v>166</v>
      </c>
      <c r="EO604" s="16" t="s">
        <v>166</v>
      </c>
      <c r="EP604" s="16" t="s">
        <v>166</v>
      </c>
      <c r="EQ604" s="16" t="s">
        <v>166</v>
      </c>
      <c r="ER604" s="16" t="s">
        <v>166</v>
      </c>
      <c r="ES604" s="16" t="s">
        <v>166</v>
      </c>
      <c r="ET604" s="14" t="s">
        <v>166</v>
      </c>
      <c r="EU604" s="16" t="s">
        <v>166</v>
      </c>
      <c r="EV604" s="16" t="s">
        <v>166</v>
      </c>
      <c r="EW604" s="16" t="s">
        <v>166</v>
      </c>
      <c r="EX604" s="14" t="s">
        <v>190</v>
      </c>
      <c r="EY604" s="14" t="s">
        <v>166</v>
      </c>
      <c r="EZ604" s="16" t="s">
        <v>166</v>
      </c>
      <c r="FA604" s="15" t="s">
        <v>166</v>
      </c>
      <c r="FB604" s="15" t="s">
        <v>166</v>
      </c>
      <c r="FC604" s="15" t="s">
        <v>166</v>
      </c>
      <c r="FD604" s="15" t="s">
        <v>166</v>
      </c>
      <c r="FE604" s="15" t="s">
        <v>166</v>
      </c>
      <c r="FF604" s="15" t="s">
        <v>166</v>
      </c>
      <c r="FG604" s="14" t="s">
        <v>166</v>
      </c>
      <c r="FH604" s="3">
        <f>HYPERLINK("https://my.pitchbook.com?c=185704-93T","View Company Online")</f>
      </c>
    </row>
    <row r="605">
      <c r="A605" s="25" t="s">
        <v>11659</v>
      </c>
      <c r="B605" s="25" t="s">
        <v>11660</v>
      </c>
      <c r="C605" s="25" t="s">
        <v>11661</v>
      </c>
      <c r="D605" s="25" t="s">
        <v>166</v>
      </c>
      <c r="E605" s="34" t="s">
        <v>11662</v>
      </c>
      <c r="F605" s="32">
        <v>11</v>
      </c>
      <c r="G605" s="25" t="s">
        <v>11663</v>
      </c>
      <c r="H605" s="25" t="s">
        <v>166</v>
      </c>
      <c r="I605" s="25" t="s">
        <v>11664</v>
      </c>
      <c r="J605" s="25" t="s">
        <v>3220</v>
      </c>
      <c r="K605" s="25" t="s">
        <v>207</v>
      </c>
      <c r="L605" s="25" t="s">
        <v>208</v>
      </c>
      <c r="M605" s="25" t="s">
        <v>209</v>
      </c>
      <c r="N605" s="25" t="s">
        <v>269</v>
      </c>
      <c r="O605" s="25" t="s">
        <v>11665</v>
      </c>
      <c r="P605" s="25" t="s">
        <v>11666</v>
      </c>
      <c r="Q605" s="25" t="s">
        <v>166</v>
      </c>
      <c r="R605" s="25" t="s">
        <v>177</v>
      </c>
      <c r="S605" s="25" t="s">
        <v>178</v>
      </c>
      <c r="T605" s="25" t="s">
        <v>179</v>
      </c>
      <c r="U605" s="25" t="s">
        <v>11667</v>
      </c>
      <c r="V605" s="25" t="s">
        <v>11668</v>
      </c>
      <c r="W605" s="32" t="s">
        <v>11669</v>
      </c>
      <c r="X605" s="25" t="s">
        <v>11670</v>
      </c>
      <c r="Y605" s="25" t="s">
        <v>11671</v>
      </c>
      <c r="Z605" s="25" t="s">
        <v>11672</v>
      </c>
      <c r="AA605" s="25" t="s">
        <v>242</v>
      </c>
      <c r="AB605" s="25" t="s">
        <v>243</v>
      </c>
      <c r="AC605" s="25" t="s">
        <v>244</v>
      </c>
      <c r="AD605" s="25" t="s">
        <v>243</v>
      </c>
      <c r="AE605" s="25" t="s">
        <v>243</v>
      </c>
      <c r="AF605" s="25" t="s">
        <v>245</v>
      </c>
      <c r="AG605" s="25" t="s">
        <v>246</v>
      </c>
      <c r="AH605" s="32">
        <v>7</v>
      </c>
      <c r="AI605" s="4">
        <f>HYPERLINK("https://my.pitchbook.com/?d=122575-69T","122575-69T")</f>
      </c>
      <c r="AJ605" s="30" t="s">
        <v>166</v>
      </c>
      <c r="AK605" s="30">
        <v>44130</v>
      </c>
      <c r="AL605" s="29">
        <v>3.41</v>
      </c>
      <c r="AM605" s="25" t="s">
        <v>185</v>
      </c>
      <c r="AN605" s="29">
        <v>9.59</v>
      </c>
      <c r="AO605" s="29">
        <v>13</v>
      </c>
      <c r="AP605" s="25" t="s">
        <v>185</v>
      </c>
      <c r="AQ605" s="32" t="s">
        <v>166</v>
      </c>
      <c r="AR605" s="32" t="s">
        <v>166</v>
      </c>
      <c r="AS605" s="28">
        <v>32.98</v>
      </c>
      <c r="AT605" s="29">
        <v>3.53</v>
      </c>
      <c r="AU605" s="32" t="s">
        <v>186</v>
      </c>
      <c r="AV605" s="32" t="s">
        <v>166</v>
      </c>
      <c r="AW605" s="29">
        <v>0.9</v>
      </c>
      <c r="AX605" s="32" t="s">
        <v>166</v>
      </c>
      <c r="AY605" s="25" t="s">
        <v>217</v>
      </c>
      <c r="AZ605" s="25" t="s">
        <v>217</v>
      </c>
      <c r="BA605" s="25" t="s">
        <v>166</v>
      </c>
      <c r="BB605" s="32" t="s">
        <v>166</v>
      </c>
      <c r="BC605" s="25" t="s">
        <v>179</v>
      </c>
      <c r="BD605" s="25" t="s">
        <v>11673</v>
      </c>
      <c r="BE605" s="25" t="s">
        <v>189</v>
      </c>
      <c r="BF605" s="29">
        <v>3.41</v>
      </c>
      <c r="BG605" s="25" t="s">
        <v>190</v>
      </c>
      <c r="BH605" s="25" t="s">
        <v>166</v>
      </c>
      <c r="BI605" s="25" t="s">
        <v>166</v>
      </c>
      <c r="BJ605" s="29" t="s">
        <v>166</v>
      </c>
      <c r="BK605" s="29" t="s">
        <v>166</v>
      </c>
      <c r="BL605" s="25" t="s">
        <v>191</v>
      </c>
      <c r="BM605" s="25" t="s">
        <v>178</v>
      </c>
      <c r="BN605" s="25" t="s">
        <v>177</v>
      </c>
      <c r="BO605" s="33" t="s">
        <v>166</v>
      </c>
      <c r="BP605" s="25" t="s">
        <v>11674</v>
      </c>
      <c r="BQ605" s="32">
        <v>9</v>
      </c>
      <c r="BR605" s="25" t="s">
        <v>11675</v>
      </c>
      <c r="BS605" s="32">
        <v>2</v>
      </c>
      <c r="BT605" s="25" t="s">
        <v>166</v>
      </c>
      <c r="BU605" s="25" t="s">
        <v>166</v>
      </c>
      <c r="BV605" s="25" t="s">
        <v>11676</v>
      </c>
      <c r="BW605" s="25" t="s">
        <v>166</v>
      </c>
      <c r="BX605" s="25" t="s">
        <v>166</v>
      </c>
      <c r="BY605" s="25" t="s">
        <v>166</v>
      </c>
      <c r="BZ605" s="25" t="s">
        <v>11677</v>
      </c>
      <c r="CA605" s="25" t="s">
        <v>11677</v>
      </c>
      <c r="CB605" s="25" t="s">
        <v>166</v>
      </c>
      <c r="CC605" s="25" t="s">
        <v>166</v>
      </c>
      <c r="CD605" s="25" t="s">
        <v>166</v>
      </c>
      <c r="CE605" s="29" t="s">
        <v>166</v>
      </c>
      <c r="CF605" s="27" t="s">
        <v>166</v>
      </c>
      <c r="CG605" s="28" t="s">
        <v>166</v>
      </c>
      <c r="CH605" s="27" t="s">
        <v>166</v>
      </c>
      <c r="CI605" s="27" t="s">
        <v>166</v>
      </c>
      <c r="CJ605" s="27" t="s">
        <v>166</v>
      </c>
      <c r="CK605" s="27" t="s">
        <v>166</v>
      </c>
      <c r="CL605" s="27" t="s">
        <v>166</v>
      </c>
      <c r="CM605" s="31" t="s">
        <v>166</v>
      </c>
      <c r="CN605" s="27" t="s">
        <v>166</v>
      </c>
      <c r="CO605" s="27" t="s">
        <v>166</v>
      </c>
      <c r="CP605" s="27" t="s">
        <v>166</v>
      </c>
      <c r="CQ605" s="27" t="s">
        <v>166</v>
      </c>
      <c r="CR605" s="27" t="s">
        <v>166</v>
      </c>
      <c r="CS605" s="27" t="s">
        <v>166</v>
      </c>
      <c r="CT605" s="27" t="s">
        <v>166</v>
      </c>
      <c r="CU605" s="27" t="s">
        <v>166</v>
      </c>
      <c r="CV605" s="27" t="s">
        <v>166</v>
      </c>
      <c r="CW605" s="27" t="s">
        <v>166</v>
      </c>
      <c r="CX605" s="27" t="s">
        <v>166</v>
      </c>
      <c r="CY605" s="27" t="s">
        <v>166</v>
      </c>
      <c r="CZ605" s="27" t="s">
        <v>166</v>
      </c>
      <c r="DA605" s="27" t="s">
        <v>166</v>
      </c>
      <c r="DB605" s="27" t="s">
        <v>166</v>
      </c>
      <c r="DC605" s="27" t="s">
        <v>166</v>
      </c>
      <c r="DD605" s="27" t="s">
        <v>166</v>
      </c>
      <c r="DE605" s="28" t="s">
        <v>166</v>
      </c>
      <c r="DF605" s="33">
        <v>76</v>
      </c>
      <c r="DG605" s="25" t="s">
        <v>309</v>
      </c>
      <c r="DH605" s="25" t="s">
        <v>193</v>
      </c>
      <c r="DI605" s="25" t="s">
        <v>194</v>
      </c>
      <c r="DJ605" s="25" t="s">
        <v>310</v>
      </c>
      <c r="DK605" s="25" t="s">
        <v>310</v>
      </c>
      <c r="DL605" s="32" t="s">
        <v>2881</v>
      </c>
      <c r="DM605" s="25" t="s">
        <v>198</v>
      </c>
      <c r="DN605" s="24" t="s">
        <v>11678</v>
      </c>
      <c r="DO605" s="31">
        <v>2017</v>
      </c>
      <c r="DP605" s="25" t="s">
        <v>166</v>
      </c>
      <c r="DQ605" s="25" t="s">
        <v>166</v>
      </c>
      <c r="DR605" s="29" t="s">
        <v>166</v>
      </c>
      <c r="DS605" s="27" t="s">
        <v>166</v>
      </c>
      <c r="DT605" s="30" t="s">
        <v>166</v>
      </c>
      <c r="DU605" s="25" t="s">
        <v>166</v>
      </c>
      <c r="DV605" s="29" t="s">
        <v>166</v>
      </c>
      <c r="DW605" s="29" t="s">
        <v>166</v>
      </c>
      <c r="DX605" s="27" t="s">
        <v>166</v>
      </c>
      <c r="DY605" s="27" t="s">
        <v>166</v>
      </c>
      <c r="DZ605" s="28" t="s">
        <v>166</v>
      </c>
      <c r="EA605" s="27" t="s">
        <v>166</v>
      </c>
      <c r="EB605" s="27" t="s">
        <v>166</v>
      </c>
      <c r="EC605" s="27" t="s">
        <v>166</v>
      </c>
      <c r="ED605" s="28" t="s">
        <v>166</v>
      </c>
      <c r="EE605" s="28" t="s">
        <v>166</v>
      </c>
      <c r="EF605" s="28" t="s">
        <v>166</v>
      </c>
      <c r="EG605" s="28" t="s">
        <v>166</v>
      </c>
      <c r="EH605" s="27" t="s">
        <v>166</v>
      </c>
      <c r="EI605" s="27" t="s">
        <v>166</v>
      </c>
      <c r="EJ605" s="27" t="s">
        <v>166</v>
      </c>
      <c r="EK605" s="27" t="s">
        <v>166</v>
      </c>
      <c r="EL605" s="27" t="s">
        <v>166</v>
      </c>
      <c r="EM605" s="27" t="s">
        <v>166</v>
      </c>
      <c r="EN605" s="27" t="s">
        <v>166</v>
      </c>
      <c r="EO605" s="27" t="s">
        <v>166</v>
      </c>
      <c r="EP605" s="27" t="s">
        <v>166</v>
      </c>
      <c r="EQ605" s="27" t="s">
        <v>166</v>
      </c>
      <c r="ER605" s="27" t="s">
        <v>166</v>
      </c>
      <c r="ES605" s="27" t="s">
        <v>166</v>
      </c>
      <c r="ET605" s="25" t="s">
        <v>166</v>
      </c>
      <c r="EU605" s="27" t="s">
        <v>166</v>
      </c>
      <c r="EV605" s="27" t="s">
        <v>166</v>
      </c>
      <c r="EW605" s="27" t="s">
        <v>166</v>
      </c>
      <c r="EX605" s="25" t="s">
        <v>190</v>
      </c>
      <c r="EY605" s="25" t="s">
        <v>166</v>
      </c>
      <c r="EZ605" s="27" t="s">
        <v>166</v>
      </c>
      <c r="FA605" s="26">
        <v>5</v>
      </c>
      <c r="FB605" s="26">
        <v>3</v>
      </c>
      <c r="FC605" s="26">
        <v>2</v>
      </c>
      <c r="FD605" s="26">
        <v>3</v>
      </c>
      <c r="FE605" s="26" t="s">
        <v>166</v>
      </c>
      <c r="FF605" s="26" t="s">
        <v>166</v>
      </c>
      <c r="FG605" s="25" t="s">
        <v>11679</v>
      </c>
      <c r="FH605" s="4">
        <f>HYPERLINK("https://my.pitchbook.com?c=122575-69T","View Company Online")</f>
      </c>
    </row>
    <row r="606">
      <c r="A606" s="14" t="s">
        <v>11680</v>
      </c>
      <c r="B606" s="14" t="s">
        <v>11681</v>
      </c>
      <c r="C606" s="14" t="s">
        <v>11682</v>
      </c>
      <c r="D606" s="14" t="s">
        <v>166</v>
      </c>
      <c r="E606" s="23" t="s">
        <v>11683</v>
      </c>
      <c r="F606" s="21">
        <v>7</v>
      </c>
      <c r="G606" s="14" t="s">
        <v>11684</v>
      </c>
      <c r="H606" s="14" t="s">
        <v>166</v>
      </c>
      <c r="I606" s="14" t="s">
        <v>11685</v>
      </c>
      <c r="J606" s="14" t="s">
        <v>11686</v>
      </c>
      <c r="K606" s="14" t="s">
        <v>207</v>
      </c>
      <c r="L606" s="14" t="s">
        <v>208</v>
      </c>
      <c r="M606" s="14" t="s">
        <v>209</v>
      </c>
      <c r="N606" s="14" t="s">
        <v>269</v>
      </c>
      <c r="O606" s="14" t="s">
        <v>3583</v>
      </c>
      <c r="P606" s="14" t="s">
        <v>11687</v>
      </c>
      <c r="Q606" s="14" t="s">
        <v>166</v>
      </c>
      <c r="R606" s="14" t="s">
        <v>177</v>
      </c>
      <c r="S606" s="14" t="s">
        <v>178</v>
      </c>
      <c r="T606" s="14" t="s">
        <v>179</v>
      </c>
      <c r="U606" s="14" t="s">
        <v>11688</v>
      </c>
      <c r="V606" s="14" t="s">
        <v>11689</v>
      </c>
      <c r="W606" s="21" t="s">
        <v>11690</v>
      </c>
      <c r="X606" s="14" t="s">
        <v>11691</v>
      </c>
      <c r="Y606" s="14" t="s">
        <v>11692</v>
      </c>
      <c r="Z606" s="14" t="s">
        <v>11693</v>
      </c>
      <c r="AA606" s="14" t="s">
        <v>242</v>
      </c>
      <c r="AB606" s="14" t="s">
        <v>243</v>
      </c>
      <c r="AC606" s="14" t="s">
        <v>244</v>
      </c>
      <c r="AD606" s="14" t="s">
        <v>243</v>
      </c>
      <c r="AE606" s="14" t="s">
        <v>243</v>
      </c>
      <c r="AF606" s="14" t="s">
        <v>166</v>
      </c>
      <c r="AG606" s="14" t="s">
        <v>246</v>
      </c>
      <c r="AH606" s="21">
        <v>3</v>
      </c>
      <c r="AI606" s="3">
        <f>HYPERLINK("https://my.pitchbook.com/?d=200327-05T","200327-05T")</f>
      </c>
      <c r="AJ606" s="19">
        <v>44754</v>
      </c>
      <c r="AK606" s="19">
        <v>44768</v>
      </c>
      <c r="AL606" s="18">
        <v>7.22</v>
      </c>
      <c r="AM606" s="14" t="s">
        <v>185</v>
      </c>
      <c r="AN606" s="18">
        <v>9.78</v>
      </c>
      <c r="AO606" s="18">
        <v>17</v>
      </c>
      <c r="AP606" s="14" t="s">
        <v>185</v>
      </c>
      <c r="AQ606" s="21" t="s">
        <v>166</v>
      </c>
      <c r="AR606" s="21" t="s">
        <v>166</v>
      </c>
      <c r="AS606" s="17">
        <v>46.17</v>
      </c>
      <c r="AT606" s="18">
        <v>7.22</v>
      </c>
      <c r="AU606" s="21" t="s">
        <v>186</v>
      </c>
      <c r="AV606" s="21" t="s">
        <v>166</v>
      </c>
      <c r="AW606" s="18">
        <v>0.21</v>
      </c>
      <c r="AX606" s="21" t="s">
        <v>166</v>
      </c>
      <c r="AY606" s="14" t="s">
        <v>217</v>
      </c>
      <c r="AZ606" s="14" t="s">
        <v>217</v>
      </c>
      <c r="BA606" s="14" t="s">
        <v>166</v>
      </c>
      <c r="BB606" s="21" t="s">
        <v>166</v>
      </c>
      <c r="BC606" s="14" t="s">
        <v>179</v>
      </c>
      <c r="BD606" s="14" t="s">
        <v>11694</v>
      </c>
      <c r="BE606" s="14" t="s">
        <v>189</v>
      </c>
      <c r="BF606" s="18">
        <v>7.22</v>
      </c>
      <c r="BG606" s="14" t="s">
        <v>190</v>
      </c>
      <c r="BH606" s="14" t="s">
        <v>166</v>
      </c>
      <c r="BI606" s="14" t="s">
        <v>166</v>
      </c>
      <c r="BJ606" s="18" t="s">
        <v>166</v>
      </c>
      <c r="BK606" s="18" t="s">
        <v>166</v>
      </c>
      <c r="BL606" s="14" t="s">
        <v>191</v>
      </c>
      <c r="BM606" s="14" t="s">
        <v>178</v>
      </c>
      <c r="BN606" s="14" t="s">
        <v>177</v>
      </c>
      <c r="BO606" s="22" t="s">
        <v>166</v>
      </c>
      <c r="BP606" s="14" t="s">
        <v>11695</v>
      </c>
      <c r="BQ606" s="21">
        <v>7</v>
      </c>
      <c r="BR606" s="14" t="s">
        <v>166</v>
      </c>
      <c r="BS606" s="21" t="s">
        <v>166</v>
      </c>
      <c r="BT606" s="14" t="s">
        <v>11696</v>
      </c>
      <c r="BU606" s="14" t="s">
        <v>166</v>
      </c>
      <c r="BV606" s="14" t="s">
        <v>11697</v>
      </c>
      <c r="BW606" s="14" t="s">
        <v>166</v>
      </c>
      <c r="BX606" s="14" t="s">
        <v>166</v>
      </c>
      <c r="BY606" s="14" t="s">
        <v>166</v>
      </c>
      <c r="BZ606" s="14" t="s">
        <v>11698</v>
      </c>
      <c r="CA606" s="14" t="s">
        <v>166</v>
      </c>
      <c r="CB606" s="14" t="s">
        <v>166</v>
      </c>
      <c r="CC606" s="14" t="s">
        <v>11698</v>
      </c>
      <c r="CD606" s="14" t="s">
        <v>166</v>
      </c>
      <c r="CE606" s="18" t="s">
        <v>166</v>
      </c>
      <c r="CF606" s="16" t="s">
        <v>166</v>
      </c>
      <c r="CG606" s="17" t="s">
        <v>166</v>
      </c>
      <c r="CH606" s="16" t="s">
        <v>166</v>
      </c>
      <c r="CI606" s="16" t="s">
        <v>166</v>
      </c>
      <c r="CJ606" s="16" t="s">
        <v>166</v>
      </c>
      <c r="CK606" s="16" t="s">
        <v>166</v>
      </c>
      <c r="CL606" s="16" t="s">
        <v>166</v>
      </c>
      <c r="CM606" s="20" t="s">
        <v>166</v>
      </c>
      <c r="CN606" s="16" t="s">
        <v>166</v>
      </c>
      <c r="CO606" s="16" t="s">
        <v>166</v>
      </c>
      <c r="CP606" s="16" t="s">
        <v>166</v>
      </c>
      <c r="CQ606" s="16" t="s">
        <v>166</v>
      </c>
      <c r="CR606" s="16" t="s">
        <v>166</v>
      </c>
      <c r="CS606" s="16" t="s">
        <v>166</v>
      </c>
      <c r="CT606" s="16" t="s">
        <v>166</v>
      </c>
      <c r="CU606" s="16" t="s">
        <v>166</v>
      </c>
      <c r="CV606" s="16" t="s">
        <v>166</v>
      </c>
      <c r="CW606" s="16" t="s">
        <v>166</v>
      </c>
      <c r="CX606" s="16" t="s">
        <v>166</v>
      </c>
      <c r="CY606" s="16" t="s">
        <v>166</v>
      </c>
      <c r="CZ606" s="16" t="s">
        <v>166</v>
      </c>
      <c r="DA606" s="16" t="s">
        <v>166</v>
      </c>
      <c r="DB606" s="16" t="s">
        <v>166</v>
      </c>
      <c r="DC606" s="16" t="s">
        <v>166</v>
      </c>
      <c r="DD606" s="16" t="s">
        <v>166</v>
      </c>
      <c r="DE606" s="17" t="s">
        <v>166</v>
      </c>
      <c r="DF606" s="22">
        <v>50</v>
      </c>
      <c r="DG606" s="14" t="s">
        <v>9953</v>
      </c>
      <c r="DH606" s="14" t="s">
        <v>193</v>
      </c>
      <c r="DI606" s="14" t="s">
        <v>194</v>
      </c>
      <c r="DJ606" s="14" t="s">
        <v>9954</v>
      </c>
      <c r="DK606" s="14" t="s">
        <v>454</v>
      </c>
      <c r="DL606" s="21" t="s">
        <v>11699</v>
      </c>
      <c r="DM606" s="14" t="s">
        <v>198</v>
      </c>
      <c r="DN606" s="13" t="s">
        <v>11700</v>
      </c>
      <c r="DO606" s="20">
        <v>2017</v>
      </c>
      <c r="DP606" s="14" t="s">
        <v>166</v>
      </c>
      <c r="DQ606" s="14" t="s">
        <v>166</v>
      </c>
      <c r="DR606" s="18" t="s">
        <v>166</v>
      </c>
      <c r="DS606" s="16" t="s">
        <v>166</v>
      </c>
      <c r="DT606" s="19" t="s">
        <v>166</v>
      </c>
      <c r="DU606" s="14" t="s">
        <v>166</v>
      </c>
      <c r="DV606" s="18" t="s">
        <v>166</v>
      </c>
      <c r="DW606" s="18" t="s">
        <v>166</v>
      </c>
      <c r="DX606" s="16" t="s">
        <v>166</v>
      </c>
      <c r="DY606" s="16" t="s">
        <v>166</v>
      </c>
      <c r="DZ606" s="17" t="s">
        <v>166</v>
      </c>
      <c r="EA606" s="16" t="s">
        <v>166</v>
      </c>
      <c r="EB606" s="16" t="s">
        <v>166</v>
      </c>
      <c r="EC606" s="16" t="s">
        <v>166</v>
      </c>
      <c r="ED606" s="17" t="s">
        <v>166</v>
      </c>
      <c r="EE606" s="17" t="s">
        <v>166</v>
      </c>
      <c r="EF606" s="17" t="s">
        <v>166</v>
      </c>
      <c r="EG606" s="17" t="s">
        <v>166</v>
      </c>
      <c r="EH606" s="16" t="s">
        <v>166</v>
      </c>
      <c r="EI606" s="16" t="s">
        <v>166</v>
      </c>
      <c r="EJ606" s="16" t="s">
        <v>166</v>
      </c>
      <c r="EK606" s="16" t="s">
        <v>166</v>
      </c>
      <c r="EL606" s="16" t="s">
        <v>166</v>
      </c>
      <c r="EM606" s="16" t="s">
        <v>166</v>
      </c>
      <c r="EN606" s="16" t="s">
        <v>166</v>
      </c>
      <c r="EO606" s="16" t="s">
        <v>166</v>
      </c>
      <c r="EP606" s="16" t="s">
        <v>166</v>
      </c>
      <c r="EQ606" s="16" t="s">
        <v>166</v>
      </c>
      <c r="ER606" s="16" t="s">
        <v>166</v>
      </c>
      <c r="ES606" s="16" t="s">
        <v>166</v>
      </c>
      <c r="ET606" s="14" t="s">
        <v>166</v>
      </c>
      <c r="EU606" s="16" t="s">
        <v>166</v>
      </c>
      <c r="EV606" s="16" t="s">
        <v>166</v>
      </c>
      <c r="EW606" s="16" t="s">
        <v>166</v>
      </c>
      <c r="EX606" s="14" t="s">
        <v>190</v>
      </c>
      <c r="EY606" s="14" t="s">
        <v>166</v>
      </c>
      <c r="EZ606" s="16" t="s">
        <v>166</v>
      </c>
      <c r="FA606" s="15" t="s">
        <v>166</v>
      </c>
      <c r="FB606" s="15" t="s">
        <v>166</v>
      </c>
      <c r="FC606" s="15" t="s">
        <v>166</v>
      </c>
      <c r="FD606" s="15" t="s">
        <v>166</v>
      </c>
      <c r="FE606" s="15" t="s">
        <v>166</v>
      </c>
      <c r="FF606" s="15" t="s">
        <v>166</v>
      </c>
      <c r="FG606" s="14" t="s">
        <v>166</v>
      </c>
      <c r="FH606" s="3">
        <f>HYPERLINK("https://my.pitchbook.com?c=200327-05T","View Company Online")</f>
      </c>
    </row>
    <row r="607">
      <c r="A607" s="25" t="s">
        <v>11701</v>
      </c>
      <c r="B607" s="25" t="s">
        <v>11702</v>
      </c>
      <c r="C607" s="25" t="s">
        <v>11703</v>
      </c>
      <c r="D607" s="25" t="s">
        <v>166</v>
      </c>
      <c r="E607" s="34" t="s">
        <v>11704</v>
      </c>
      <c r="F607" s="32">
        <v>5</v>
      </c>
      <c r="G607" s="25" t="s">
        <v>11705</v>
      </c>
      <c r="H607" s="25" t="s">
        <v>166</v>
      </c>
      <c r="I607" s="25" t="s">
        <v>11706</v>
      </c>
      <c r="J607" s="25" t="s">
        <v>11707</v>
      </c>
      <c r="K607" s="25" t="s">
        <v>207</v>
      </c>
      <c r="L607" s="25" t="s">
        <v>208</v>
      </c>
      <c r="M607" s="25" t="s">
        <v>209</v>
      </c>
      <c r="N607" s="25" t="s">
        <v>5087</v>
      </c>
      <c r="O607" s="25" t="s">
        <v>166</v>
      </c>
      <c r="P607" s="25" t="s">
        <v>11708</v>
      </c>
      <c r="Q607" s="25" t="s">
        <v>166</v>
      </c>
      <c r="R607" s="25" t="s">
        <v>177</v>
      </c>
      <c r="S607" s="25" t="s">
        <v>178</v>
      </c>
      <c r="T607" s="25" t="s">
        <v>179</v>
      </c>
      <c r="U607" s="25" t="s">
        <v>11709</v>
      </c>
      <c r="V607" s="25" t="s">
        <v>11710</v>
      </c>
      <c r="W607" s="32" t="s">
        <v>166</v>
      </c>
      <c r="X607" s="25" t="s">
        <v>11711</v>
      </c>
      <c r="Y607" s="25" t="s">
        <v>11712</v>
      </c>
      <c r="Z607" s="25" t="s">
        <v>166</v>
      </c>
      <c r="AA607" s="25" t="s">
        <v>166</v>
      </c>
      <c r="AB607" s="25" t="s">
        <v>166</v>
      </c>
      <c r="AC607" s="25" t="s">
        <v>166</v>
      </c>
      <c r="AD607" s="25" t="s">
        <v>166</v>
      </c>
      <c r="AE607" s="25" t="s">
        <v>166</v>
      </c>
      <c r="AF607" s="25" t="s">
        <v>166</v>
      </c>
      <c r="AG607" s="25" t="s">
        <v>166</v>
      </c>
      <c r="AH607" s="32">
        <v>2</v>
      </c>
      <c r="AI607" s="4">
        <f>HYPERLINK("https://my.pitchbook.com/?d=164248-66T","164248-66T")</f>
      </c>
      <c r="AJ607" s="30">
        <v>43700</v>
      </c>
      <c r="AK607" s="30">
        <v>43855</v>
      </c>
      <c r="AL607" s="29">
        <v>0.12</v>
      </c>
      <c r="AM607" s="25" t="s">
        <v>185</v>
      </c>
      <c r="AN607" s="29">
        <v>4.88</v>
      </c>
      <c r="AO607" s="29">
        <v>5</v>
      </c>
      <c r="AP607" s="25" t="s">
        <v>185</v>
      </c>
      <c r="AQ607" s="32" t="s">
        <v>166</v>
      </c>
      <c r="AR607" s="32" t="s">
        <v>166</v>
      </c>
      <c r="AS607" s="28" t="s">
        <v>166</v>
      </c>
      <c r="AT607" s="29">
        <v>0.12</v>
      </c>
      <c r="AU607" s="32" t="s">
        <v>186</v>
      </c>
      <c r="AV607" s="32" t="s">
        <v>166</v>
      </c>
      <c r="AW607" s="29" t="s">
        <v>166</v>
      </c>
      <c r="AX607" s="32" t="s">
        <v>166</v>
      </c>
      <c r="AY607" s="25" t="s">
        <v>217</v>
      </c>
      <c r="AZ607" s="25" t="s">
        <v>217</v>
      </c>
      <c r="BA607" s="25" t="s">
        <v>166</v>
      </c>
      <c r="BB607" s="32" t="s">
        <v>166</v>
      </c>
      <c r="BC607" s="25" t="s">
        <v>179</v>
      </c>
      <c r="BD607" s="25" t="s">
        <v>11713</v>
      </c>
      <c r="BE607" s="25" t="s">
        <v>189</v>
      </c>
      <c r="BF607" s="29">
        <v>0.12</v>
      </c>
      <c r="BG607" s="25" t="s">
        <v>190</v>
      </c>
      <c r="BH607" s="25" t="s">
        <v>166</v>
      </c>
      <c r="BI607" s="25" t="s">
        <v>166</v>
      </c>
      <c r="BJ607" s="29" t="s">
        <v>166</v>
      </c>
      <c r="BK607" s="29" t="s">
        <v>166</v>
      </c>
      <c r="BL607" s="25" t="s">
        <v>191</v>
      </c>
      <c r="BM607" s="25" t="s">
        <v>358</v>
      </c>
      <c r="BN607" s="25" t="s">
        <v>177</v>
      </c>
      <c r="BO607" s="33">
        <v>2</v>
      </c>
      <c r="BP607" s="25" t="s">
        <v>11714</v>
      </c>
      <c r="BQ607" s="32">
        <v>4</v>
      </c>
      <c r="BR607" s="25" t="s">
        <v>11715</v>
      </c>
      <c r="BS607" s="32">
        <v>1</v>
      </c>
      <c r="BT607" s="25" t="s">
        <v>166</v>
      </c>
      <c r="BU607" s="25" t="s">
        <v>166</v>
      </c>
      <c r="BV607" s="25" t="s">
        <v>11716</v>
      </c>
      <c r="BW607" s="25" t="s">
        <v>166</v>
      </c>
      <c r="BX607" s="25" t="s">
        <v>166</v>
      </c>
      <c r="BY607" s="25" t="s">
        <v>166</v>
      </c>
      <c r="BZ607" s="25" t="s">
        <v>166</v>
      </c>
      <c r="CA607" s="25" t="s">
        <v>166</v>
      </c>
      <c r="CB607" s="25" t="s">
        <v>166</v>
      </c>
      <c r="CC607" s="25" t="s">
        <v>166</v>
      </c>
      <c r="CD607" s="25" t="s">
        <v>166</v>
      </c>
      <c r="CE607" s="29" t="s">
        <v>166</v>
      </c>
      <c r="CF607" s="27" t="s">
        <v>166</v>
      </c>
      <c r="CG607" s="28" t="s">
        <v>166</v>
      </c>
      <c r="CH607" s="27" t="s">
        <v>166</v>
      </c>
      <c r="CI607" s="27" t="s">
        <v>166</v>
      </c>
      <c r="CJ607" s="27" t="s">
        <v>166</v>
      </c>
      <c r="CK607" s="27" t="s">
        <v>166</v>
      </c>
      <c r="CL607" s="27" t="s">
        <v>166</v>
      </c>
      <c r="CM607" s="31" t="s">
        <v>166</v>
      </c>
      <c r="CN607" s="27" t="s">
        <v>166</v>
      </c>
      <c r="CO607" s="27" t="s">
        <v>166</v>
      </c>
      <c r="CP607" s="27" t="s">
        <v>166</v>
      </c>
      <c r="CQ607" s="27" t="s">
        <v>166</v>
      </c>
      <c r="CR607" s="27" t="s">
        <v>166</v>
      </c>
      <c r="CS607" s="27" t="s">
        <v>166</v>
      </c>
      <c r="CT607" s="27" t="s">
        <v>166</v>
      </c>
      <c r="CU607" s="27" t="s">
        <v>166</v>
      </c>
      <c r="CV607" s="27" t="s">
        <v>166</v>
      </c>
      <c r="CW607" s="27" t="s">
        <v>166</v>
      </c>
      <c r="CX607" s="27" t="s">
        <v>166</v>
      </c>
      <c r="CY607" s="27" t="s">
        <v>166</v>
      </c>
      <c r="CZ607" s="27" t="s">
        <v>166</v>
      </c>
      <c r="DA607" s="27" t="s">
        <v>166</v>
      </c>
      <c r="DB607" s="27" t="s">
        <v>166</v>
      </c>
      <c r="DC607" s="27" t="s">
        <v>166</v>
      </c>
      <c r="DD607" s="27" t="s">
        <v>166</v>
      </c>
      <c r="DE607" s="28" t="s">
        <v>166</v>
      </c>
      <c r="DF607" s="33">
        <v>3</v>
      </c>
      <c r="DG607" s="25" t="s">
        <v>518</v>
      </c>
      <c r="DH607" s="25" t="s">
        <v>193</v>
      </c>
      <c r="DI607" s="25" t="s">
        <v>194</v>
      </c>
      <c r="DJ607" s="25" t="s">
        <v>519</v>
      </c>
      <c r="DK607" s="25" t="s">
        <v>257</v>
      </c>
      <c r="DL607" s="32" t="s">
        <v>6109</v>
      </c>
      <c r="DM607" s="25" t="s">
        <v>198</v>
      </c>
      <c r="DN607" s="24" t="s">
        <v>11717</v>
      </c>
      <c r="DO607" s="31" t="s">
        <v>166</v>
      </c>
      <c r="DP607" s="25" t="s">
        <v>166</v>
      </c>
      <c r="DQ607" s="25" t="s">
        <v>166</v>
      </c>
      <c r="DR607" s="29" t="s">
        <v>166</v>
      </c>
      <c r="DS607" s="27" t="s">
        <v>166</v>
      </c>
      <c r="DT607" s="30" t="s">
        <v>166</v>
      </c>
      <c r="DU607" s="25" t="s">
        <v>166</v>
      </c>
      <c r="DV607" s="29" t="s">
        <v>166</v>
      </c>
      <c r="DW607" s="29" t="s">
        <v>166</v>
      </c>
      <c r="DX607" s="27" t="s">
        <v>166</v>
      </c>
      <c r="DY607" s="27" t="s">
        <v>166</v>
      </c>
      <c r="DZ607" s="28" t="s">
        <v>166</v>
      </c>
      <c r="EA607" s="27" t="s">
        <v>166</v>
      </c>
      <c r="EB607" s="27" t="s">
        <v>166</v>
      </c>
      <c r="EC607" s="27" t="s">
        <v>166</v>
      </c>
      <c r="ED607" s="28" t="s">
        <v>166</v>
      </c>
      <c r="EE607" s="28" t="s">
        <v>166</v>
      </c>
      <c r="EF607" s="28" t="s">
        <v>166</v>
      </c>
      <c r="EG607" s="28" t="s">
        <v>166</v>
      </c>
      <c r="EH607" s="27" t="s">
        <v>166</v>
      </c>
      <c r="EI607" s="27" t="s">
        <v>166</v>
      </c>
      <c r="EJ607" s="27" t="s">
        <v>166</v>
      </c>
      <c r="EK607" s="27" t="s">
        <v>166</v>
      </c>
      <c r="EL607" s="27" t="s">
        <v>166</v>
      </c>
      <c r="EM607" s="27" t="s">
        <v>166</v>
      </c>
      <c r="EN607" s="27" t="s">
        <v>166</v>
      </c>
      <c r="EO607" s="27" t="s">
        <v>166</v>
      </c>
      <c r="EP607" s="27" t="s">
        <v>166</v>
      </c>
      <c r="EQ607" s="27" t="s">
        <v>166</v>
      </c>
      <c r="ER607" s="27" t="s">
        <v>166</v>
      </c>
      <c r="ES607" s="27" t="s">
        <v>166</v>
      </c>
      <c r="ET607" s="25" t="s">
        <v>166</v>
      </c>
      <c r="EU607" s="27" t="s">
        <v>166</v>
      </c>
      <c r="EV607" s="27" t="s">
        <v>166</v>
      </c>
      <c r="EW607" s="27" t="s">
        <v>166</v>
      </c>
      <c r="EX607" s="25" t="s">
        <v>190</v>
      </c>
      <c r="EY607" s="25" t="s">
        <v>166</v>
      </c>
      <c r="EZ607" s="27" t="s">
        <v>166</v>
      </c>
      <c r="FA607" s="26" t="s">
        <v>166</v>
      </c>
      <c r="FB607" s="26" t="s">
        <v>166</v>
      </c>
      <c r="FC607" s="26" t="s">
        <v>166</v>
      </c>
      <c r="FD607" s="26" t="s">
        <v>166</v>
      </c>
      <c r="FE607" s="26" t="s">
        <v>166</v>
      </c>
      <c r="FF607" s="26" t="s">
        <v>166</v>
      </c>
      <c r="FG607" s="25" t="s">
        <v>166</v>
      </c>
      <c r="FH607" s="4">
        <f>HYPERLINK("https://my.pitchbook.com?c=164248-66T","View Company Online")</f>
      </c>
    </row>
    <row r="608">
      <c r="A608" s="14" t="s">
        <v>11718</v>
      </c>
      <c r="B608" s="14" t="s">
        <v>11719</v>
      </c>
      <c r="C608" s="14" t="s">
        <v>11720</v>
      </c>
      <c r="D608" s="14" t="s">
        <v>166</v>
      </c>
      <c r="E608" s="23" t="s">
        <v>11721</v>
      </c>
      <c r="F608" s="21">
        <v>7</v>
      </c>
      <c r="G608" s="14" t="s">
        <v>11722</v>
      </c>
      <c r="H608" s="14" t="s">
        <v>166</v>
      </c>
      <c r="I608" s="14" t="s">
        <v>11723</v>
      </c>
      <c r="J608" s="14" t="s">
        <v>11724</v>
      </c>
      <c r="K608" s="14" t="s">
        <v>1455</v>
      </c>
      <c r="L608" s="14" t="s">
        <v>1456</v>
      </c>
      <c r="M608" s="14" t="s">
        <v>1457</v>
      </c>
      <c r="N608" s="14" t="s">
        <v>1841</v>
      </c>
      <c r="O608" s="14" t="s">
        <v>4299</v>
      </c>
      <c r="P608" s="14" t="s">
        <v>11725</v>
      </c>
      <c r="Q608" s="14" t="s">
        <v>166</v>
      </c>
      <c r="R608" s="14" t="s">
        <v>177</v>
      </c>
      <c r="S608" s="14" t="s">
        <v>178</v>
      </c>
      <c r="T608" s="14" t="s">
        <v>179</v>
      </c>
      <c r="U608" s="14" t="s">
        <v>11726</v>
      </c>
      <c r="V608" s="14" t="s">
        <v>11727</v>
      </c>
      <c r="W608" s="21" t="s">
        <v>11728</v>
      </c>
      <c r="X608" s="14" t="s">
        <v>11729</v>
      </c>
      <c r="Y608" s="14" t="s">
        <v>11730</v>
      </c>
      <c r="Z608" s="14" t="s">
        <v>166</v>
      </c>
      <c r="AA608" s="14" t="s">
        <v>166</v>
      </c>
      <c r="AB608" s="14" t="s">
        <v>166</v>
      </c>
      <c r="AC608" s="14" t="s">
        <v>166</v>
      </c>
      <c r="AD608" s="14" t="s">
        <v>166</v>
      </c>
      <c r="AE608" s="14" t="s">
        <v>166</v>
      </c>
      <c r="AF608" s="14" t="s">
        <v>166</v>
      </c>
      <c r="AG608" s="14" t="s">
        <v>166</v>
      </c>
      <c r="AH608" s="21">
        <v>1</v>
      </c>
      <c r="AI608" s="3">
        <f>HYPERLINK("https://my.pitchbook.com/?d=249958-90T","249958-90T")</f>
      </c>
      <c r="AJ608" s="19" t="s">
        <v>166</v>
      </c>
      <c r="AK608" s="19">
        <v>45313</v>
      </c>
      <c r="AL608" s="18">
        <v>6</v>
      </c>
      <c r="AM608" s="14" t="s">
        <v>185</v>
      </c>
      <c r="AN608" s="18" t="s">
        <v>166</v>
      </c>
      <c r="AO608" s="18" t="s">
        <v>166</v>
      </c>
      <c r="AP608" s="14" t="s">
        <v>166</v>
      </c>
      <c r="AQ608" s="21" t="s">
        <v>166</v>
      </c>
      <c r="AR608" s="21" t="s">
        <v>166</v>
      </c>
      <c r="AS608" s="17" t="s">
        <v>166</v>
      </c>
      <c r="AT608" s="18">
        <v>6</v>
      </c>
      <c r="AU608" s="21" t="s">
        <v>186</v>
      </c>
      <c r="AV608" s="21" t="s">
        <v>166</v>
      </c>
      <c r="AW608" s="18" t="s">
        <v>166</v>
      </c>
      <c r="AX608" s="21" t="s">
        <v>166</v>
      </c>
      <c r="AY608" s="14" t="s">
        <v>217</v>
      </c>
      <c r="AZ608" s="14" t="s">
        <v>217</v>
      </c>
      <c r="BA608" s="14" t="s">
        <v>166</v>
      </c>
      <c r="BB608" s="21" t="s">
        <v>166</v>
      </c>
      <c r="BC608" s="14" t="s">
        <v>179</v>
      </c>
      <c r="BD608" s="14" t="s">
        <v>11731</v>
      </c>
      <c r="BE608" s="14" t="s">
        <v>189</v>
      </c>
      <c r="BF608" s="18">
        <v>6</v>
      </c>
      <c r="BG608" s="14" t="s">
        <v>190</v>
      </c>
      <c r="BH608" s="14" t="s">
        <v>166</v>
      </c>
      <c r="BI608" s="14" t="s">
        <v>166</v>
      </c>
      <c r="BJ608" s="18" t="s">
        <v>166</v>
      </c>
      <c r="BK608" s="18" t="s">
        <v>166</v>
      </c>
      <c r="BL608" s="14" t="s">
        <v>191</v>
      </c>
      <c r="BM608" s="14" t="s">
        <v>178</v>
      </c>
      <c r="BN608" s="14" t="s">
        <v>177</v>
      </c>
      <c r="BO608" s="22" t="s">
        <v>166</v>
      </c>
      <c r="BP608" s="14" t="s">
        <v>11732</v>
      </c>
      <c r="BQ608" s="21">
        <v>7</v>
      </c>
      <c r="BR608" s="14" t="s">
        <v>166</v>
      </c>
      <c r="BS608" s="21" t="s">
        <v>166</v>
      </c>
      <c r="BT608" s="14" t="s">
        <v>11733</v>
      </c>
      <c r="BU608" s="14" t="s">
        <v>166</v>
      </c>
      <c r="BV608" s="14" t="s">
        <v>11734</v>
      </c>
      <c r="BW608" s="14" t="s">
        <v>166</v>
      </c>
      <c r="BX608" s="14" t="s">
        <v>166</v>
      </c>
      <c r="BY608" s="14" t="s">
        <v>166</v>
      </c>
      <c r="BZ608" s="14" t="s">
        <v>11735</v>
      </c>
      <c r="CA608" s="14" t="s">
        <v>11735</v>
      </c>
      <c r="CB608" s="14" t="s">
        <v>166</v>
      </c>
      <c r="CC608" s="14" t="s">
        <v>166</v>
      </c>
      <c r="CD608" s="14" t="s">
        <v>166</v>
      </c>
      <c r="CE608" s="18" t="s">
        <v>166</v>
      </c>
      <c r="CF608" s="16" t="s">
        <v>166</v>
      </c>
      <c r="CG608" s="17" t="s">
        <v>166</v>
      </c>
      <c r="CH608" s="16" t="s">
        <v>166</v>
      </c>
      <c r="CI608" s="16" t="s">
        <v>166</v>
      </c>
      <c r="CJ608" s="16" t="s">
        <v>166</v>
      </c>
      <c r="CK608" s="16" t="s">
        <v>166</v>
      </c>
      <c r="CL608" s="16" t="s">
        <v>166</v>
      </c>
      <c r="CM608" s="20" t="s">
        <v>166</v>
      </c>
      <c r="CN608" s="16" t="s">
        <v>166</v>
      </c>
      <c r="CO608" s="16" t="s">
        <v>166</v>
      </c>
      <c r="CP608" s="16" t="s">
        <v>166</v>
      </c>
      <c r="CQ608" s="16" t="s">
        <v>166</v>
      </c>
      <c r="CR608" s="16" t="s">
        <v>166</v>
      </c>
      <c r="CS608" s="16" t="s">
        <v>166</v>
      </c>
      <c r="CT608" s="16" t="s">
        <v>166</v>
      </c>
      <c r="CU608" s="16" t="s">
        <v>166</v>
      </c>
      <c r="CV608" s="16" t="s">
        <v>166</v>
      </c>
      <c r="CW608" s="16" t="s">
        <v>166</v>
      </c>
      <c r="CX608" s="16" t="s">
        <v>166</v>
      </c>
      <c r="CY608" s="16" t="s">
        <v>166</v>
      </c>
      <c r="CZ608" s="16" t="s">
        <v>166</v>
      </c>
      <c r="DA608" s="16" t="s">
        <v>166</v>
      </c>
      <c r="DB608" s="16" t="s">
        <v>166</v>
      </c>
      <c r="DC608" s="16" t="s">
        <v>166</v>
      </c>
      <c r="DD608" s="16" t="s">
        <v>166</v>
      </c>
      <c r="DE608" s="17" t="s">
        <v>166</v>
      </c>
      <c r="DF608" s="22">
        <v>40</v>
      </c>
      <c r="DG608" s="14" t="s">
        <v>11736</v>
      </c>
      <c r="DH608" s="14" t="s">
        <v>193</v>
      </c>
      <c r="DI608" s="14" t="s">
        <v>194</v>
      </c>
      <c r="DJ608" s="14" t="s">
        <v>11737</v>
      </c>
      <c r="DK608" s="14" t="s">
        <v>1023</v>
      </c>
      <c r="DL608" s="21" t="s">
        <v>11738</v>
      </c>
      <c r="DM608" s="14" t="s">
        <v>198</v>
      </c>
      <c r="DN608" s="13" t="s">
        <v>11739</v>
      </c>
      <c r="DO608" s="20">
        <v>2021</v>
      </c>
      <c r="DP608" s="14" t="s">
        <v>166</v>
      </c>
      <c r="DQ608" s="14" t="s">
        <v>166</v>
      </c>
      <c r="DR608" s="18" t="s">
        <v>166</v>
      </c>
      <c r="DS608" s="16" t="s">
        <v>166</v>
      </c>
      <c r="DT608" s="19" t="s">
        <v>166</v>
      </c>
      <c r="DU608" s="14" t="s">
        <v>166</v>
      </c>
      <c r="DV608" s="18" t="s">
        <v>166</v>
      </c>
      <c r="DW608" s="18" t="s">
        <v>166</v>
      </c>
      <c r="DX608" s="16" t="s">
        <v>166</v>
      </c>
      <c r="DY608" s="16" t="s">
        <v>166</v>
      </c>
      <c r="DZ608" s="17" t="s">
        <v>166</v>
      </c>
      <c r="EA608" s="16" t="s">
        <v>166</v>
      </c>
      <c r="EB608" s="16" t="s">
        <v>166</v>
      </c>
      <c r="EC608" s="16" t="s">
        <v>166</v>
      </c>
      <c r="ED608" s="17" t="s">
        <v>166</v>
      </c>
      <c r="EE608" s="17" t="s">
        <v>166</v>
      </c>
      <c r="EF608" s="17" t="s">
        <v>166</v>
      </c>
      <c r="EG608" s="17" t="s">
        <v>166</v>
      </c>
      <c r="EH608" s="16" t="s">
        <v>166</v>
      </c>
      <c r="EI608" s="16" t="s">
        <v>166</v>
      </c>
      <c r="EJ608" s="16" t="s">
        <v>166</v>
      </c>
      <c r="EK608" s="16" t="s">
        <v>166</v>
      </c>
      <c r="EL608" s="16" t="s">
        <v>166</v>
      </c>
      <c r="EM608" s="16" t="s">
        <v>166</v>
      </c>
      <c r="EN608" s="16" t="s">
        <v>166</v>
      </c>
      <c r="EO608" s="16" t="s">
        <v>166</v>
      </c>
      <c r="EP608" s="16" t="s">
        <v>166</v>
      </c>
      <c r="EQ608" s="16" t="s">
        <v>166</v>
      </c>
      <c r="ER608" s="16" t="s">
        <v>166</v>
      </c>
      <c r="ES608" s="16" t="s">
        <v>166</v>
      </c>
      <c r="ET608" s="14" t="s">
        <v>166</v>
      </c>
      <c r="EU608" s="16" t="s">
        <v>166</v>
      </c>
      <c r="EV608" s="16" t="s">
        <v>166</v>
      </c>
      <c r="EW608" s="16" t="s">
        <v>166</v>
      </c>
      <c r="EX608" s="14" t="s">
        <v>190</v>
      </c>
      <c r="EY608" s="14" t="s">
        <v>166</v>
      </c>
      <c r="EZ608" s="16" t="s">
        <v>166</v>
      </c>
      <c r="FA608" s="15" t="s">
        <v>166</v>
      </c>
      <c r="FB608" s="15" t="s">
        <v>166</v>
      </c>
      <c r="FC608" s="15" t="s">
        <v>166</v>
      </c>
      <c r="FD608" s="15" t="s">
        <v>166</v>
      </c>
      <c r="FE608" s="15" t="s">
        <v>166</v>
      </c>
      <c r="FF608" s="15" t="s">
        <v>166</v>
      </c>
      <c r="FG608" s="14" t="s">
        <v>166</v>
      </c>
      <c r="FH608" s="3">
        <f>HYPERLINK("https://my.pitchbook.com?c=249958-90T","View Company Online")</f>
      </c>
    </row>
    <row r="609">
      <c r="A609" s="25" t="s">
        <v>11740</v>
      </c>
      <c r="B609" s="25" t="s">
        <v>11741</v>
      </c>
      <c r="C609" s="25" t="s">
        <v>11742</v>
      </c>
      <c r="D609" s="25" t="s">
        <v>166</v>
      </c>
      <c r="E609" s="34" t="s">
        <v>11743</v>
      </c>
      <c r="F609" s="32">
        <v>1</v>
      </c>
      <c r="G609" s="25" t="s">
        <v>11744</v>
      </c>
      <c r="H609" s="25" t="s">
        <v>166</v>
      </c>
      <c r="I609" s="25" t="s">
        <v>11745</v>
      </c>
      <c r="J609" s="25" t="s">
        <v>11746</v>
      </c>
      <c r="K609" s="25" t="s">
        <v>207</v>
      </c>
      <c r="L609" s="25" t="s">
        <v>208</v>
      </c>
      <c r="M609" s="25" t="s">
        <v>209</v>
      </c>
      <c r="N609" s="25" t="s">
        <v>269</v>
      </c>
      <c r="O609" s="25" t="s">
        <v>4158</v>
      </c>
      <c r="P609" s="25" t="s">
        <v>11747</v>
      </c>
      <c r="Q609" s="25" t="s">
        <v>166</v>
      </c>
      <c r="R609" s="25" t="s">
        <v>177</v>
      </c>
      <c r="S609" s="25" t="s">
        <v>178</v>
      </c>
      <c r="T609" s="25" t="s">
        <v>179</v>
      </c>
      <c r="U609" s="25" t="s">
        <v>11748</v>
      </c>
      <c r="V609" s="25" t="s">
        <v>11749</v>
      </c>
      <c r="W609" s="32" t="s">
        <v>11750</v>
      </c>
      <c r="X609" s="25" t="s">
        <v>11751</v>
      </c>
      <c r="Y609" s="25" t="s">
        <v>11752</v>
      </c>
      <c r="Z609" s="25" t="s">
        <v>11753</v>
      </c>
      <c r="AA609" s="25" t="s">
        <v>166</v>
      </c>
      <c r="AB609" s="25" t="s">
        <v>166</v>
      </c>
      <c r="AC609" s="25" t="s">
        <v>166</v>
      </c>
      <c r="AD609" s="25" t="s">
        <v>166</v>
      </c>
      <c r="AE609" s="25" t="s">
        <v>166</v>
      </c>
      <c r="AF609" s="25" t="s">
        <v>166</v>
      </c>
      <c r="AG609" s="25" t="s">
        <v>166</v>
      </c>
      <c r="AH609" s="32">
        <v>1</v>
      </c>
      <c r="AI609" s="4">
        <f>HYPERLINK("https://my.pitchbook.com/?d=225420-13T","225420-13T")</f>
      </c>
      <c r="AJ609" s="30">
        <v>45070</v>
      </c>
      <c r="AK609" s="30">
        <v>45079</v>
      </c>
      <c r="AL609" s="29">
        <v>2.8</v>
      </c>
      <c r="AM609" s="25" t="s">
        <v>185</v>
      </c>
      <c r="AN609" s="29" t="s">
        <v>166</v>
      </c>
      <c r="AO609" s="29" t="s">
        <v>166</v>
      </c>
      <c r="AP609" s="25" t="s">
        <v>166</v>
      </c>
      <c r="AQ609" s="32" t="s">
        <v>166</v>
      </c>
      <c r="AR609" s="32" t="s">
        <v>166</v>
      </c>
      <c r="AS609" s="28" t="s">
        <v>166</v>
      </c>
      <c r="AT609" s="29">
        <v>2.8</v>
      </c>
      <c r="AU609" s="32" t="s">
        <v>186</v>
      </c>
      <c r="AV609" s="32" t="s">
        <v>166</v>
      </c>
      <c r="AW609" s="29" t="s">
        <v>166</v>
      </c>
      <c r="AX609" s="32" t="s">
        <v>166</v>
      </c>
      <c r="AY609" s="25" t="s">
        <v>217</v>
      </c>
      <c r="AZ609" s="25" t="s">
        <v>217</v>
      </c>
      <c r="BA609" s="25" t="s">
        <v>166</v>
      </c>
      <c r="BB609" s="32" t="s">
        <v>166</v>
      </c>
      <c r="BC609" s="25" t="s">
        <v>179</v>
      </c>
      <c r="BD609" s="25" t="s">
        <v>11754</v>
      </c>
      <c r="BE609" s="25" t="s">
        <v>189</v>
      </c>
      <c r="BF609" s="29">
        <v>2.8</v>
      </c>
      <c r="BG609" s="25" t="s">
        <v>190</v>
      </c>
      <c r="BH609" s="25" t="s">
        <v>166</v>
      </c>
      <c r="BI609" s="25" t="s">
        <v>166</v>
      </c>
      <c r="BJ609" s="29" t="s">
        <v>166</v>
      </c>
      <c r="BK609" s="29" t="s">
        <v>166</v>
      </c>
      <c r="BL609" s="25" t="s">
        <v>191</v>
      </c>
      <c r="BM609" s="25" t="s">
        <v>178</v>
      </c>
      <c r="BN609" s="25" t="s">
        <v>177</v>
      </c>
      <c r="BO609" s="33" t="s">
        <v>166</v>
      </c>
      <c r="BP609" s="25" t="s">
        <v>11755</v>
      </c>
      <c r="BQ609" s="32">
        <v>1</v>
      </c>
      <c r="BR609" s="25" t="s">
        <v>166</v>
      </c>
      <c r="BS609" s="32" t="s">
        <v>166</v>
      </c>
      <c r="BT609" s="25" t="s">
        <v>11743</v>
      </c>
      <c r="BU609" s="25" t="s">
        <v>166</v>
      </c>
      <c r="BV609" s="25" t="s">
        <v>166</v>
      </c>
      <c r="BW609" s="25" t="s">
        <v>166</v>
      </c>
      <c r="BX609" s="25" t="s">
        <v>166</v>
      </c>
      <c r="BY609" s="25" t="s">
        <v>166</v>
      </c>
      <c r="BZ609" s="25" t="s">
        <v>166</v>
      </c>
      <c r="CA609" s="25" t="s">
        <v>166</v>
      </c>
      <c r="CB609" s="25" t="s">
        <v>166</v>
      </c>
      <c r="CC609" s="25" t="s">
        <v>166</v>
      </c>
      <c r="CD609" s="25" t="s">
        <v>166</v>
      </c>
      <c r="CE609" s="29" t="s">
        <v>166</v>
      </c>
      <c r="CF609" s="27" t="s">
        <v>166</v>
      </c>
      <c r="CG609" s="28" t="s">
        <v>166</v>
      </c>
      <c r="CH609" s="27" t="s">
        <v>166</v>
      </c>
      <c r="CI609" s="27" t="s">
        <v>166</v>
      </c>
      <c r="CJ609" s="27" t="s">
        <v>166</v>
      </c>
      <c r="CK609" s="27" t="s">
        <v>166</v>
      </c>
      <c r="CL609" s="27" t="s">
        <v>166</v>
      </c>
      <c r="CM609" s="31" t="s">
        <v>166</v>
      </c>
      <c r="CN609" s="27" t="s">
        <v>166</v>
      </c>
      <c r="CO609" s="27" t="s">
        <v>166</v>
      </c>
      <c r="CP609" s="27" t="s">
        <v>166</v>
      </c>
      <c r="CQ609" s="27" t="s">
        <v>166</v>
      </c>
      <c r="CR609" s="27" t="s">
        <v>166</v>
      </c>
      <c r="CS609" s="27" t="s">
        <v>166</v>
      </c>
      <c r="CT609" s="27" t="s">
        <v>166</v>
      </c>
      <c r="CU609" s="27" t="s">
        <v>166</v>
      </c>
      <c r="CV609" s="27" t="s">
        <v>166</v>
      </c>
      <c r="CW609" s="27" t="s">
        <v>166</v>
      </c>
      <c r="CX609" s="27" t="s">
        <v>166</v>
      </c>
      <c r="CY609" s="27" t="s">
        <v>166</v>
      </c>
      <c r="CZ609" s="27" t="s">
        <v>166</v>
      </c>
      <c r="DA609" s="27" t="s">
        <v>166</v>
      </c>
      <c r="DB609" s="27" t="s">
        <v>166</v>
      </c>
      <c r="DC609" s="27" t="s">
        <v>166</v>
      </c>
      <c r="DD609" s="27" t="s">
        <v>166</v>
      </c>
      <c r="DE609" s="28" t="s">
        <v>166</v>
      </c>
      <c r="DF609" s="33">
        <v>32</v>
      </c>
      <c r="DG609" s="25" t="s">
        <v>11756</v>
      </c>
      <c r="DH609" s="25" t="s">
        <v>193</v>
      </c>
      <c r="DI609" s="25" t="s">
        <v>194</v>
      </c>
      <c r="DJ609" s="25" t="s">
        <v>3175</v>
      </c>
      <c r="DK609" s="25" t="s">
        <v>8633</v>
      </c>
      <c r="DL609" s="32" t="s">
        <v>11757</v>
      </c>
      <c r="DM609" s="25" t="s">
        <v>198</v>
      </c>
      <c r="DN609" s="24" t="s">
        <v>11758</v>
      </c>
      <c r="DO609" s="31">
        <v>2021</v>
      </c>
      <c r="DP609" s="25" t="s">
        <v>166</v>
      </c>
      <c r="DQ609" s="25" t="s">
        <v>166</v>
      </c>
      <c r="DR609" s="29" t="s">
        <v>166</v>
      </c>
      <c r="DS609" s="27" t="s">
        <v>166</v>
      </c>
      <c r="DT609" s="30" t="s">
        <v>166</v>
      </c>
      <c r="DU609" s="25" t="s">
        <v>166</v>
      </c>
      <c r="DV609" s="29" t="s">
        <v>166</v>
      </c>
      <c r="DW609" s="29" t="s">
        <v>166</v>
      </c>
      <c r="DX609" s="27" t="s">
        <v>166</v>
      </c>
      <c r="DY609" s="27" t="s">
        <v>166</v>
      </c>
      <c r="DZ609" s="28" t="s">
        <v>166</v>
      </c>
      <c r="EA609" s="27" t="s">
        <v>166</v>
      </c>
      <c r="EB609" s="27" t="s">
        <v>166</v>
      </c>
      <c r="EC609" s="27" t="s">
        <v>166</v>
      </c>
      <c r="ED609" s="28" t="s">
        <v>166</v>
      </c>
      <c r="EE609" s="28" t="s">
        <v>166</v>
      </c>
      <c r="EF609" s="28" t="s">
        <v>166</v>
      </c>
      <c r="EG609" s="28" t="s">
        <v>166</v>
      </c>
      <c r="EH609" s="27" t="s">
        <v>166</v>
      </c>
      <c r="EI609" s="27" t="s">
        <v>166</v>
      </c>
      <c r="EJ609" s="27" t="s">
        <v>166</v>
      </c>
      <c r="EK609" s="27" t="s">
        <v>166</v>
      </c>
      <c r="EL609" s="27" t="s">
        <v>166</v>
      </c>
      <c r="EM609" s="27" t="s">
        <v>166</v>
      </c>
      <c r="EN609" s="27" t="s">
        <v>166</v>
      </c>
      <c r="EO609" s="27" t="s">
        <v>166</v>
      </c>
      <c r="EP609" s="27" t="s">
        <v>166</v>
      </c>
      <c r="EQ609" s="27" t="s">
        <v>166</v>
      </c>
      <c r="ER609" s="27" t="s">
        <v>166</v>
      </c>
      <c r="ES609" s="27" t="s">
        <v>166</v>
      </c>
      <c r="ET609" s="25" t="s">
        <v>166</v>
      </c>
      <c r="EU609" s="27" t="s">
        <v>166</v>
      </c>
      <c r="EV609" s="27" t="s">
        <v>166</v>
      </c>
      <c r="EW609" s="27" t="s">
        <v>166</v>
      </c>
      <c r="EX609" s="25" t="s">
        <v>190</v>
      </c>
      <c r="EY609" s="25" t="s">
        <v>166</v>
      </c>
      <c r="EZ609" s="27" t="s">
        <v>166</v>
      </c>
      <c r="FA609" s="26" t="s">
        <v>166</v>
      </c>
      <c r="FB609" s="26" t="s">
        <v>166</v>
      </c>
      <c r="FC609" s="26" t="s">
        <v>166</v>
      </c>
      <c r="FD609" s="26" t="s">
        <v>166</v>
      </c>
      <c r="FE609" s="26" t="s">
        <v>166</v>
      </c>
      <c r="FF609" s="26" t="s">
        <v>166</v>
      </c>
      <c r="FG609" s="25" t="s">
        <v>166</v>
      </c>
      <c r="FH609" s="4">
        <f>HYPERLINK("https://my.pitchbook.com?c=225420-13T","View Company Online")</f>
      </c>
    </row>
    <row r="610">
      <c r="A610" s="14" t="s">
        <v>11759</v>
      </c>
      <c r="B610" s="14" t="s">
        <v>11760</v>
      </c>
      <c r="C610" s="14" t="s">
        <v>11761</v>
      </c>
      <c r="D610" s="14" t="s">
        <v>166</v>
      </c>
      <c r="E610" s="23" t="s">
        <v>11762</v>
      </c>
      <c r="F610" s="21">
        <v>2</v>
      </c>
      <c r="G610" s="14" t="s">
        <v>11763</v>
      </c>
      <c r="H610" s="14" t="s">
        <v>166</v>
      </c>
      <c r="I610" s="14" t="s">
        <v>11764</v>
      </c>
      <c r="J610" s="14" t="s">
        <v>11765</v>
      </c>
      <c r="K610" s="14" t="s">
        <v>207</v>
      </c>
      <c r="L610" s="14" t="s">
        <v>208</v>
      </c>
      <c r="M610" s="14" t="s">
        <v>296</v>
      </c>
      <c r="N610" s="14" t="s">
        <v>1052</v>
      </c>
      <c r="O610" s="14" t="s">
        <v>6509</v>
      </c>
      <c r="P610" s="14" t="s">
        <v>11766</v>
      </c>
      <c r="Q610" s="14" t="s">
        <v>166</v>
      </c>
      <c r="R610" s="14" t="s">
        <v>177</v>
      </c>
      <c r="S610" s="14" t="s">
        <v>178</v>
      </c>
      <c r="T610" s="14" t="s">
        <v>179</v>
      </c>
      <c r="U610" s="14" t="s">
        <v>11767</v>
      </c>
      <c r="V610" s="14" t="s">
        <v>11768</v>
      </c>
      <c r="W610" s="21" t="s">
        <v>11769</v>
      </c>
      <c r="X610" s="14" t="s">
        <v>11770</v>
      </c>
      <c r="Y610" s="14" t="s">
        <v>11771</v>
      </c>
      <c r="Z610" s="14" t="s">
        <v>11772</v>
      </c>
      <c r="AA610" s="14" t="s">
        <v>166</v>
      </c>
      <c r="AB610" s="14" t="s">
        <v>166</v>
      </c>
      <c r="AC610" s="14" t="s">
        <v>166</v>
      </c>
      <c r="AD610" s="14" t="s">
        <v>166</v>
      </c>
      <c r="AE610" s="14" t="s">
        <v>166</v>
      </c>
      <c r="AF610" s="14" t="s">
        <v>166</v>
      </c>
      <c r="AG610" s="14" t="s">
        <v>166</v>
      </c>
      <c r="AH610" s="21">
        <v>1</v>
      </c>
      <c r="AI610" s="3">
        <f>HYPERLINK("https://my.pitchbook.com/?d=223199-20T","223199-20T")</f>
      </c>
      <c r="AJ610" s="19" t="s">
        <v>166</v>
      </c>
      <c r="AK610" s="19">
        <v>44476</v>
      </c>
      <c r="AL610" s="18">
        <v>1</v>
      </c>
      <c r="AM610" s="14" t="s">
        <v>185</v>
      </c>
      <c r="AN610" s="18" t="s">
        <v>166</v>
      </c>
      <c r="AO610" s="18" t="s">
        <v>166</v>
      </c>
      <c r="AP610" s="14" t="s">
        <v>166</v>
      </c>
      <c r="AQ610" s="21" t="s">
        <v>166</v>
      </c>
      <c r="AR610" s="21" t="s">
        <v>166</v>
      </c>
      <c r="AS610" s="17" t="s">
        <v>166</v>
      </c>
      <c r="AT610" s="18">
        <v>1</v>
      </c>
      <c r="AU610" s="21" t="s">
        <v>186</v>
      </c>
      <c r="AV610" s="21" t="s">
        <v>166</v>
      </c>
      <c r="AW610" s="18" t="s">
        <v>166</v>
      </c>
      <c r="AX610" s="21" t="s">
        <v>166</v>
      </c>
      <c r="AY610" s="14" t="s">
        <v>217</v>
      </c>
      <c r="AZ610" s="14" t="s">
        <v>217</v>
      </c>
      <c r="BA610" s="14" t="s">
        <v>166</v>
      </c>
      <c r="BB610" s="21" t="s">
        <v>166</v>
      </c>
      <c r="BC610" s="14" t="s">
        <v>179</v>
      </c>
      <c r="BD610" s="14" t="s">
        <v>11773</v>
      </c>
      <c r="BE610" s="14" t="s">
        <v>189</v>
      </c>
      <c r="BF610" s="18">
        <v>1</v>
      </c>
      <c r="BG610" s="14" t="s">
        <v>190</v>
      </c>
      <c r="BH610" s="14" t="s">
        <v>166</v>
      </c>
      <c r="BI610" s="14" t="s">
        <v>166</v>
      </c>
      <c r="BJ610" s="18" t="s">
        <v>166</v>
      </c>
      <c r="BK610" s="18" t="s">
        <v>166</v>
      </c>
      <c r="BL610" s="14" t="s">
        <v>191</v>
      </c>
      <c r="BM610" s="14" t="s">
        <v>178</v>
      </c>
      <c r="BN610" s="14" t="s">
        <v>177</v>
      </c>
      <c r="BO610" s="22" t="s">
        <v>166</v>
      </c>
      <c r="BP610" s="14" t="s">
        <v>11762</v>
      </c>
      <c r="BQ610" s="21">
        <v>2</v>
      </c>
      <c r="BR610" s="14" t="s">
        <v>166</v>
      </c>
      <c r="BS610" s="21" t="s">
        <v>166</v>
      </c>
      <c r="BT610" s="14" t="s">
        <v>166</v>
      </c>
      <c r="BU610" s="14" t="s">
        <v>166</v>
      </c>
      <c r="BV610" s="14" t="s">
        <v>11774</v>
      </c>
      <c r="BW610" s="14" t="s">
        <v>166</v>
      </c>
      <c r="BX610" s="14" t="s">
        <v>166</v>
      </c>
      <c r="BY610" s="14" t="s">
        <v>166</v>
      </c>
      <c r="BZ610" s="14" t="s">
        <v>166</v>
      </c>
      <c r="CA610" s="14" t="s">
        <v>166</v>
      </c>
      <c r="CB610" s="14" t="s">
        <v>166</v>
      </c>
      <c r="CC610" s="14" t="s">
        <v>166</v>
      </c>
      <c r="CD610" s="14" t="s">
        <v>166</v>
      </c>
      <c r="CE610" s="18" t="s">
        <v>166</v>
      </c>
      <c r="CF610" s="16" t="s">
        <v>166</v>
      </c>
      <c r="CG610" s="17" t="s">
        <v>166</v>
      </c>
      <c r="CH610" s="16" t="s">
        <v>166</v>
      </c>
      <c r="CI610" s="16" t="s">
        <v>166</v>
      </c>
      <c r="CJ610" s="16" t="s">
        <v>166</v>
      </c>
      <c r="CK610" s="16" t="s">
        <v>166</v>
      </c>
      <c r="CL610" s="16" t="s">
        <v>166</v>
      </c>
      <c r="CM610" s="20" t="s">
        <v>166</v>
      </c>
      <c r="CN610" s="16" t="s">
        <v>166</v>
      </c>
      <c r="CO610" s="16" t="s">
        <v>166</v>
      </c>
      <c r="CP610" s="16" t="s">
        <v>166</v>
      </c>
      <c r="CQ610" s="16" t="s">
        <v>166</v>
      </c>
      <c r="CR610" s="16" t="s">
        <v>166</v>
      </c>
      <c r="CS610" s="16" t="s">
        <v>166</v>
      </c>
      <c r="CT610" s="16" t="s">
        <v>166</v>
      </c>
      <c r="CU610" s="16" t="s">
        <v>166</v>
      </c>
      <c r="CV610" s="16" t="s">
        <v>166</v>
      </c>
      <c r="CW610" s="16" t="s">
        <v>166</v>
      </c>
      <c r="CX610" s="16" t="s">
        <v>166</v>
      </c>
      <c r="CY610" s="16" t="s">
        <v>166</v>
      </c>
      <c r="CZ610" s="16" t="s">
        <v>166</v>
      </c>
      <c r="DA610" s="16" t="s">
        <v>166</v>
      </c>
      <c r="DB610" s="16" t="s">
        <v>166</v>
      </c>
      <c r="DC610" s="16" t="s">
        <v>166</v>
      </c>
      <c r="DD610" s="16" t="s">
        <v>166</v>
      </c>
      <c r="DE610" s="17" t="s">
        <v>166</v>
      </c>
      <c r="DF610" s="22">
        <v>2</v>
      </c>
      <c r="DG610" s="14" t="s">
        <v>360</v>
      </c>
      <c r="DH610" s="14" t="s">
        <v>193</v>
      </c>
      <c r="DI610" s="14" t="s">
        <v>194</v>
      </c>
      <c r="DJ610" s="14" t="s">
        <v>361</v>
      </c>
      <c r="DK610" s="14" t="s">
        <v>196</v>
      </c>
      <c r="DL610" s="21" t="s">
        <v>166</v>
      </c>
      <c r="DM610" s="14" t="s">
        <v>198</v>
      </c>
      <c r="DN610" s="13" t="s">
        <v>11775</v>
      </c>
      <c r="DO610" s="20">
        <v>2021</v>
      </c>
      <c r="DP610" s="14" t="s">
        <v>166</v>
      </c>
      <c r="DQ610" s="14" t="s">
        <v>166</v>
      </c>
      <c r="DR610" s="18" t="s">
        <v>166</v>
      </c>
      <c r="DS610" s="16" t="s">
        <v>166</v>
      </c>
      <c r="DT610" s="19" t="s">
        <v>166</v>
      </c>
      <c r="DU610" s="14" t="s">
        <v>166</v>
      </c>
      <c r="DV610" s="18" t="s">
        <v>166</v>
      </c>
      <c r="DW610" s="18" t="s">
        <v>166</v>
      </c>
      <c r="DX610" s="16" t="s">
        <v>166</v>
      </c>
      <c r="DY610" s="16" t="s">
        <v>166</v>
      </c>
      <c r="DZ610" s="17" t="s">
        <v>166</v>
      </c>
      <c r="EA610" s="16" t="s">
        <v>166</v>
      </c>
      <c r="EB610" s="16" t="s">
        <v>166</v>
      </c>
      <c r="EC610" s="16" t="s">
        <v>166</v>
      </c>
      <c r="ED610" s="17" t="s">
        <v>166</v>
      </c>
      <c r="EE610" s="17" t="s">
        <v>166</v>
      </c>
      <c r="EF610" s="17" t="s">
        <v>166</v>
      </c>
      <c r="EG610" s="17" t="s">
        <v>166</v>
      </c>
      <c r="EH610" s="16" t="s">
        <v>166</v>
      </c>
      <c r="EI610" s="16" t="s">
        <v>166</v>
      </c>
      <c r="EJ610" s="16" t="s">
        <v>166</v>
      </c>
      <c r="EK610" s="16" t="s">
        <v>166</v>
      </c>
      <c r="EL610" s="16" t="s">
        <v>166</v>
      </c>
      <c r="EM610" s="16" t="s">
        <v>166</v>
      </c>
      <c r="EN610" s="16" t="s">
        <v>166</v>
      </c>
      <c r="EO610" s="16" t="s">
        <v>166</v>
      </c>
      <c r="EP610" s="16" t="s">
        <v>166</v>
      </c>
      <c r="EQ610" s="16" t="s">
        <v>166</v>
      </c>
      <c r="ER610" s="16" t="s">
        <v>166</v>
      </c>
      <c r="ES610" s="16" t="s">
        <v>166</v>
      </c>
      <c r="ET610" s="14" t="s">
        <v>166</v>
      </c>
      <c r="EU610" s="16" t="s">
        <v>166</v>
      </c>
      <c r="EV610" s="16" t="s">
        <v>166</v>
      </c>
      <c r="EW610" s="16" t="s">
        <v>166</v>
      </c>
      <c r="EX610" s="14" t="s">
        <v>190</v>
      </c>
      <c r="EY610" s="14" t="s">
        <v>166</v>
      </c>
      <c r="EZ610" s="16" t="s">
        <v>166</v>
      </c>
      <c r="FA610" s="15" t="s">
        <v>166</v>
      </c>
      <c r="FB610" s="15" t="s">
        <v>166</v>
      </c>
      <c r="FC610" s="15" t="s">
        <v>166</v>
      </c>
      <c r="FD610" s="15" t="s">
        <v>166</v>
      </c>
      <c r="FE610" s="15" t="s">
        <v>166</v>
      </c>
      <c r="FF610" s="15" t="s">
        <v>166</v>
      </c>
      <c r="FG610" s="14" t="s">
        <v>166</v>
      </c>
      <c r="FH610" s="3">
        <f>HYPERLINK("https://my.pitchbook.com?c=223199-20T","View Company Online")</f>
      </c>
    </row>
    <row r="611">
      <c r="A611" s="25" t="s">
        <v>11776</v>
      </c>
      <c r="B611" s="25" t="s">
        <v>11777</v>
      </c>
      <c r="C611" s="25" t="s">
        <v>11778</v>
      </c>
      <c r="D611" s="25" t="s">
        <v>166</v>
      </c>
      <c r="E611" s="34" t="s">
        <v>11779</v>
      </c>
      <c r="F611" s="32">
        <v>1</v>
      </c>
      <c r="G611" s="25" t="s">
        <v>11780</v>
      </c>
      <c r="H611" s="25" t="s">
        <v>166</v>
      </c>
      <c r="I611" s="25" t="s">
        <v>11781</v>
      </c>
      <c r="J611" s="25" t="s">
        <v>11782</v>
      </c>
      <c r="K611" s="25" t="s">
        <v>207</v>
      </c>
      <c r="L611" s="25" t="s">
        <v>208</v>
      </c>
      <c r="M611" s="25" t="s">
        <v>839</v>
      </c>
      <c r="N611" s="25" t="s">
        <v>6472</v>
      </c>
      <c r="O611" s="25" t="s">
        <v>11783</v>
      </c>
      <c r="P611" s="25" t="s">
        <v>11784</v>
      </c>
      <c r="Q611" s="25" t="s">
        <v>166</v>
      </c>
      <c r="R611" s="25" t="s">
        <v>177</v>
      </c>
      <c r="S611" s="25" t="s">
        <v>358</v>
      </c>
      <c r="T611" s="25" t="s">
        <v>179</v>
      </c>
      <c r="U611" s="25" t="s">
        <v>11785</v>
      </c>
      <c r="V611" s="25" t="s">
        <v>11786</v>
      </c>
      <c r="W611" s="32" t="s">
        <v>11787</v>
      </c>
      <c r="X611" s="25" t="s">
        <v>11788</v>
      </c>
      <c r="Y611" s="25" t="s">
        <v>11789</v>
      </c>
      <c r="Z611" s="25" t="s">
        <v>166</v>
      </c>
      <c r="AA611" s="25" t="s">
        <v>379</v>
      </c>
      <c r="AB611" s="25" t="s">
        <v>243</v>
      </c>
      <c r="AC611" s="25" t="s">
        <v>244</v>
      </c>
      <c r="AD611" s="25" t="s">
        <v>243</v>
      </c>
      <c r="AE611" s="25" t="s">
        <v>243</v>
      </c>
      <c r="AF611" s="25" t="s">
        <v>166</v>
      </c>
      <c r="AG611" s="25" t="s">
        <v>166</v>
      </c>
      <c r="AH611" s="32">
        <v>1</v>
      </c>
      <c r="AI611" s="4">
        <f>HYPERLINK("https://my.pitchbook.com/?d=223316-11T","223316-11T")</f>
      </c>
      <c r="AJ611" s="30" t="s">
        <v>166</v>
      </c>
      <c r="AK611" s="30">
        <v>44858</v>
      </c>
      <c r="AL611" s="29">
        <v>4.3</v>
      </c>
      <c r="AM611" s="25" t="s">
        <v>247</v>
      </c>
      <c r="AN611" s="29">
        <v>12</v>
      </c>
      <c r="AO611" s="29">
        <v>16.3</v>
      </c>
      <c r="AP611" s="25" t="s">
        <v>185</v>
      </c>
      <c r="AQ611" s="32" t="s">
        <v>166</v>
      </c>
      <c r="AR611" s="32" t="s">
        <v>166</v>
      </c>
      <c r="AS611" s="28">
        <v>28.04</v>
      </c>
      <c r="AT611" s="29">
        <v>4.3</v>
      </c>
      <c r="AU611" s="32" t="s">
        <v>186</v>
      </c>
      <c r="AV611" s="32" t="s">
        <v>166</v>
      </c>
      <c r="AW611" s="29">
        <v>1.29</v>
      </c>
      <c r="AX611" s="32" t="s">
        <v>166</v>
      </c>
      <c r="AY611" s="25" t="s">
        <v>217</v>
      </c>
      <c r="AZ611" s="25" t="s">
        <v>217</v>
      </c>
      <c r="BA611" s="25" t="s">
        <v>166</v>
      </c>
      <c r="BB611" s="32" t="s">
        <v>166</v>
      </c>
      <c r="BC611" s="25" t="s">
        <v>179</v>
      </c>
      <c r="BD611" s="25" t="s">
        <v>11790</v>
      </c>
      <c r="BE611" s="25" t="s">
        <v>189</v>
      </c>
      <c r="BF611" s="29">
        <v>4.3</v>
      </c>
      <c r="BG611" s="25" t="s">
        <v>190</v>
      </c>
      <c r="BH611" s="25" t="s">
        <v>166</v>
      </c>
      <c r="BI611" s="25" t="s">
        <v>166</v>
      </c>
      <c r="BJ611" s="29" t="s">
        <v>166</v>
      </c>
      <c r="BK611" s="29" t="s">
        <v>166</v>
      </c>
      <c r="BL611" s="25" t="s">
        <v>191</v>
      </c>
      <c r="BM611" s="25" t="s">
        <v>358</v>
      </c>
      <c r="BN611" s="25" t="s">
        <v>177</v>
      </c>
      <c r="BO611" s="33" t="s">
        <v>166</v>
      </c>
      <c r="BP611" s="25" t="s">
        <v>11779</v>
      </c>
      <c r="BQ611" s="32">
        <v>1</v>
      </c>
      <c r="BR611" s="25" t="s">
        <v>166</v>
      </c>
      <c r="BS611" s="32" t="s">
        <v>166</v>
      </c>
      <c r="BT611" s="25" t="s">
        <v>166</v>
      </c>
      <c r="BU611" s="25" t="s">
        <v>166</v>
      </c>
      <c r="BV611" s="25" t="s">
        <v>166</v>
      </c>
      <c r="BW611" s="25" t="s">
        <v>166</v>
      </c>
      <c r="BX611" s="25" t="s">
        <v>166</v>
      </c>
      <c r="BY611" s="25" t="s">
        <v>166</v>
      </c>
      <c r="BZ611" s="25" t="s">
        <v>166</v>
      </c>
      <c r="CA611" s="25" t="s">
        <v>166</v>
      </c>
      <c r="CB611" s="25" t="s">
        <v>166</v>
      </c>
      <c r="CC611" s="25" t="s">
        <v>166</v>
      </c>
      <c r="CD611" s="25" t="s">
        <v>166</v>
      </c>
      <c r="CE611" s="29" t="s">
        <v>166</v>
      </c>
      <c r="CF611" s="27" t="s">
        <v>166</v>
      </c>
      <c r="CG611" s="28" t="s">
        <v>166</v>
      </c>
      <c r="CH611" s="27" t="s">
        <v>166</v>
      </c>
      <c r="CI611" s="27" t="s">
        <v>166</v>
      </c>
      <c r="CJ611" s="27" t="s">
        <v>166</v>
      </c>
      <c r="CK611" s="27" t="s">
        <v>166</v>
      </c>
      <c r="CL611" s="27" t="s">
        <v>166</v>
      </c>
      <c r="CM611" s="31" t="s">
        <v>166</v>
      </c>
      <c r="CN611" s="27" t="s">
        <v>166</v>
      </c>
      <c r="CO611" s="27" t="s">
        <v>166</v>
      </c>
      <c r="CP611" s="27" t="s">
        <v>166</v>
      </c>
      <c r="CQ611" s="27" t="s">
        <v>166</v>
      </c>
      <c r="CR611" s="27" t="s">
        <v>166</v>
      </c>
      <c r="CS611" s="27" t="s">
        <v>166</v>
      </c>
      <c r="CT611" s="27" t="s">
        <v>166</v>
      </c>
      <c r="CU611" s="27" t="s">
        <v>166</v>
      </c>
      <c r="CV611" s="27" t="s">
        <v>166</v>
      </c>
      <c r="CW611" s="27" t="s">
        <v>166</v>
      </c>
      <c r="CX611" s="27" t="s">
        <v>166</v>
      </c>
      <c r="CY611" s="27" t="s">
        <v>166</v>
      </c>
      <c r="CZ611" s="27" t="s">
        <v>166</v>
      </c>
      <c r="DA611" s="27" t="s">
        <v>166</v>
      </c>
      <c r="DB611" s="27" t="s">
        <v>166</v>
      </c>
      <c r="DC611" s="27" t="s">
        <v>166</v>
      </c>
      <c r="DD611" s="27" t="s">
        <v>166</v>
      </c>
      <c r="DE611" s="28" t="s">
        <v>166</v>
      </c>
      <c r="DF611" s="33">
        <v>9</v>
      </c>
      <c r="DG611" s="25" t="s">
        <v>309</v>
      </c>
      <c r="DH611" s="25" t="s">
        <v>193</v>
      </c>
      <c r="DI611" s="25" t="s">
        <v>194</v>
      </c>
      <c r="DJ611" s="25" t="s">
        <v>310</v>
      </c>
      <c r="DK611" s="25" t="s">
        <v>310</v>
      </c>
      <c r="DL611" s="32" t="s">
        <v>479</v>
      </c>
      <c r="DM611" s="25" t="s">
        <v>198</v>
      </c>
      <c r="DN611" s="24" t="s">
        <v>11791</v>
      </c>
      <c r="DO611" s="31">
        <v>2022</v>
      </c>
      <c r="DP611" s="25" t="s">
        <v>166</v>
      </c>
      <c r="DQ611" s="25" t="s">
        <v>166</v>
      </c>
      <c r="DR611" s="29" t="s">
        <v>166</v>
      </c>
      <c r="DS611" s="27" t="s">
        <v>166</v>
      </c>
      <c r="DT611" s="30" t="s">
        <v>166</v>
      </c>
      <c r="DU611" s="25" t="s">
        <v>166</v>
      </c>
      <c r="DV611" s="29" t="s">
        <v>166</v>
      </c>
      <c r="DW611" s="29" t="s">
        <v>166</v>
      </c>
      <c r="DX611" s="27" t="s">
        <v>166</v>
      </c>
      <c r="DY611" s="27" t="s">
        <v>166</v>
      </c>
      <c r="DZ611" s="28" t="s">
        <v>166</v>
      </c>
      <c r="EA611" s="27" t="s">
        <v>166</v>
      </c>
      <c r="EB611" s="27" t="s">
        <v>166</v>
      </c>
      <c r="EC611" s="27" t="s">
        <v>166</v>
      </c>
      <c r="ED611" s="28" t="s">
        <v>166</v>
      </c>
      <c r="EE611" s="28" t="s">
        <v>166</v>
      </c>
      <c r="EF611" s="28" t="s">
        <v>166</v>
      </c>
      <c r="EG611" s="28" t="s">
        <v>166</v>
      </c>
      <c r="EH611" s="27" t="s">
        <v>166</v>
      </c>
      <c r="EI611" s="27" t="s">
        <v>166</v>
      </c>
      <c r="EJ611" s="27" t="s">
        <v>166</v>
      </c>
      <c r="EK611" s="27" t="s">
        <v>166</v>
      </c>
      <c r="EL611" s="27" t="s">
        <v>166</v>
      </c>
      <c r="EM611" s="27" t="s">
        <v>166</v>
      </c>
      <c r="EN611" s="27" t="s">
        <v>166</v>
      </c>
      <c r="EO611" s="27" t="s">
        <v>166</v>
      </c>
      <c r="EP611" s="27" t="s">
        <v>166</v>
      </c>
      <c r="EQ611" s="27" t="s">
        <v>166</v>
      </c>
      <c r="ER611" s="27" t="s">
        <v>166</v>
      </c>
      <c r="ES611" s="27" t="s">
        <v>166</v>
      </c>
      <c r="ET611" s="25" t="s">
        <v>166</v>
      </c>
      <c r="EU611" s="27" t="s">
        <v>166</v>
      </c>
      <c r="EV611" s="27" t="s">
        <v>166</v>
      </c>
      <c r="EW611" s="27" t="s">
        <v>166</v>
      </c>
      <c r="EX611" s="25" t="s">
        <v>190</v>
      </c>
      <c r="EY611" s="25" t="s">
        <v>166</v>
      </c>
      <c r="EZ611" s="27" t="s">
        <v>166</v>
      </c>
      <c r="FA611" s="26" t="s">
        <v>166</v>
      </c>
      <c r="FB611" s="26" t="s">
        <v>166</v>
      </c>
      <c r="FC611" s="26" t="s">
        <v>166</v>
      </c>
      <c r="FD611" s="26" t="s">
        <v>166</v>
      </c>
      <c r="FE611" s="26" t="s">
        <v>166</v>
      </c>
      <c r="FF611" s="26" t="s">
        <v>166</v>
      </c>
      <c r="FG611" s="25" t="s">
        <v>166</v>
      </c>
      <c r="FH611" s="4">
        <f>HYPERLINK("https://my.pitchbook.com?c=223316-11T","View Company Online")</f>
      </c>
    </row>
    <row r="612">
      <c r="A612" s="14" t="s">
        <v>11792</v>
      </c>
      <c r="B612" s="14" t="s">
        <v>11793</v>
      </c>
      <c r="C612" s="14" t="s">
        <v>11794</v>
      </c>
      <c r="D612" s="14" t="s">
        <v>166</v>
      </c>
      <c r="E612" s="23" t="s">
        <v>11795</v>
      </c>
      <c r="F612" s="21">
        <v>2</v>
      </c>
      <c r="G612" s="14" t="s">
        <v>11796</v>
      </c>
      <c r="H612" s="14" t="s">
        <v>166</v>
      </c>
      <c r="I612" s="14" t="s">
        <v>11797</v>
      </c>
      <c r="J612" s="14" t="s">
        <v>11798</v>
      </c>
      <c r="K612" s="14" t="s">
        <v>207</v>
      </c>
      <c r="L612" s="14" t="s">
        <v>208</v>
      </c>
      <c r="M612" s="14" t="s">
        <v>296</v>
      </c>
      <c r="N612" s="14" t="s">
        <v>1052</v>
      </c>
      <c r="O612" s="14" t="s">
        <v>1053</v>
      </c>
      <c r="P612" s="14" t="s">
        <v>11799</v>
      </c>
      <c r="Q612" s="14" t="s">
        <v>2555</v>
      </c>
      <c r="R612" s="14" t="s">
        <v>177</v>
      </c>
      <c r="S612" s="14" t="s">
        <v>178</v>
      </c>
      <c r="T612" s="14" t="s">
        <v>179</v>
      </c>
      <c r="U612" s="14" t="s">
        <v>11800</v>
      </c>
      <c r="V612" s="14" t="s">
        <v>11801</v>
      </c>
      <c r="W612" s="21" t="s">
        <v>11802</v>
      </c>
      <c r="X612" s="14" t="s">
        <v>11803</v>
      </c>
      <c r="Y612" s="14" t="s">
        <v>11804</v>
      </c>
      <c r="Z612" s="14" t="s">
        <v>166</v>
      </c>
      <c r="AA612" s="14" t="s">
        <v>166</v>
      </c>
      <c r="AB612" s="14" t="s">
        <v>166</v>
      </c>
      <c r="AC612" s="14" t="s">
        <v>166</v>
      </c>
      <c r="AD612" s="14" t="s">
        <v>166</v>
      </c>
      <c r="AE612" s="14" t="s">
        <v>166</v>
      </c>
      <c r="AF612" s="14" t="s">
        <v>166</v>
      </c>
      <c r="AG612" s="14" t="s">
        <v>166</v>
      </c>
      <c r="AH612" s="21">
        <v>1</v>
      </c>
      <c r="AI612" s="3">
        <f>HYPERLINK("https://my.pitchbook.com/?d=189013-24T","189013-24T")</f>
      </c>
      <c r="AJ612" s="19" t="s">
        <v>166</v>
      </c>
      <c r="AK612" s="19">
        <v>44136</v>
      </c>
      <c r="AL612" s="18">
        <v>0.85</v>
      </c>
      <c r="AM612" s="14" t="s">
        <v>185</v>
      </c>
      <c r="AN612" s="18">
        <v>14.15</v>
      </c>
      <c r="AO612" s="18">
        <v>15</v>
      </c>
      <c r="AP612" s="14" t="s">
        <v>185</v>
      </c>
      <c r="AQ612" s="21" t="s">
        <v>166</v>
      </c>
      <c r="AR612" s="21" t="s">
        <v>166</v>
      </c>
      <c r="AS612" s="17">
        <v>5.67</v>
      </c>
      <c r="AT612" s="18">
        <v>0.85</v>
      </c>
      <c r="AU612" s="21" t="s">
        <v>186</v>
      </c>
      <c r="AV612" s="21" t="s">
        <v>166</v>
      </c>
      <c r="AW612" s="18" t="s">
        <v>166</v>
      </c>
      <c r="AX612" s="21" t="s">
        <v>166</v>
      </c>
      <c r="AY612" s="14" t="s">
        <v>217</v>
      </c>
      <c r="AZ612" s="14" t="s">
        <v>217</v>
      </c>
      <c r="BA612" s="14" t="s">
        <v>166</v>
      </c>
      <c r="BB612" s="21" t="s">
        <v>166</v>
      </c>
      <c r="BC612" s="14" t="s">
        <v>179</v>
      </c>
      <c r="BD612" s="14" t="s">
        <v>11798</v>
      </c>
      <c r="BE612" s="14" t="s">
        <v>189</v>
      </c>
      <c r="BF612" s="18">
        <v>0.85</v>
      </c>
      <c r="BG612" s="14" t="s">
        <v>190</v>
      </c>
      <c r="BH612" s="14" t="s">
        <v>166</v>
      </c>
      <c r="BI612" s="14" t="s">
        <v>166</v>
      </c>
      <c r="BJ612" s="18" t="s">
        <v>166</v>
      </c>
      <c r="BK612" s="18" t="s">
        <v>166</v>
      </c>
      <c r="BL612" s="14" t="s">
        <v>191</v>
      </c>
      <c r="BM612" s="14" t="s">
        <v>358</v>
      </c>
      <c r="BN612" s="14" t="s">
        <v>177</v>
      </c>
      <c r="BO612" s="22" t="s">
        <v>166</v>
      </c>
      <c r="BP612" s="14" t="s">
        <v>11795</v>
      </c>
      <c r="BQ612" s="21">
        <v>2</v>
      </c>
      <c r="BR612" s="14" t="s">
        <v>166</v>
      </c>
      <c r="BS612" s="21" t="s">
        <v>166</v>
      </c>
      <c r="BT612" s="14" t="s">
        <v>166</v>
      </c>
      <c r="BU612" s="14" t="s">
        <v>166</v>
      </c>
      <c r="BV612" s="14" t="s">
        <v>166</v>
      </c>
      <c r="BW612" s="14" t="s">
        <v>166</v>
      </c>
      <c r="BX612" s="14" t="s">
        <v>166</v>
      </c>
      <c r="BY612" s="14" t="s">
        <v>166</v>
      </c>
      <c r="BZ612" s="14" t="s">
        <v>166</v>
      </c>
      <c r="CA612" s="14" t="s">
        <v>166</v>
      </c>
      <c r="CB612" s="14" t="s">
        <v>166</v>
      </c>
      <c r="CC612" s="14" t="s">
        <v>166</v>
      </c>
      <c r="CD612" s="14" t="s">
        <v>166</v>
      </c>
      <c r="CE612" s="18" t="s">
        <v>166</v>
      </c>
      <c r="CF612" s="16" t="s">
        <v>166</v>
      </c>
      <c r="CG612" s="17" t="s">
        <v>166</v>
      </c>
      <c r="CH612" s="16" t="s">
        <v>166</v>
      </c>
      <c r="CI612" s="16" t="s">
        <v>166</v>
      </c>
      <c r="CJ612" s="16" t="s">
        <v>166</v>
      </c>
      <c r="CK612" s="16" t="s">
        <v>166</v>
      </c>
      <c r="CL612" s="16" t="s">
        <v>166</v>
      </c>
      <c r="CM612" s="20" t="s">
        <v>166</v>
      </c>
      <c r="CN612" s="16" t="s">
        <v>166</v>
      </c>
      <c r="CO612" s="16" t="s">
        <v>166</v>
      </c>
      <c r="CP612" s="16" t="s">
        <v>166</v>
      </c>
      <c r="CQ612" s="16" t="s">
        <v>166</v>
      </c>
      <c r="CR612" s="16" t="s">
        <v>166</v>
      </c>
      <c r="CS612" s="16" t="s">
        <v>166</v>
      </c>
      <c r="CT612" s="16" t="s">
        <v>166</v>
      </c>
      <c r="CU612" s="16" t="s">
        <v>166</v>
      </c>
      <c r="CV612" s="16" t="s">
        <v>166</v>
      </c>
      <c r="CW612" s="16" t="s">
        <v>166</v>
      </c>
      <c r="CX612" s="16" t="s">
        <v>166</v>
      </c>
      <c r="CY612" s="16" t="s">
        <v>166</v>
      </c>
      <c r="CZ612" s="16" t="s">
        <v>166</v>
      </c>
      <c r="DA612" s="16" t="s">
        <v>166</v>
      </c>
      <c r="DB612" s="16" t="s">
        <v>166</v>
      </c>
      <c r="DC612" s="16" t="s">
        <v>166</v>
      </c>
      <c r="DD612" s="16" t="s">
        <v>166</v>
      </c>
      <c r="DE612" s="17" t="s">
        <v>166</v>
      </c>
      <c r="DF612" s="22">
        <v>17</v>
      </c>
      <c r="DG612" s="14" t="s">
        <v>4914</v>
      </c>
      <c r="DH612" s="14" t="s">
        <v>193</v>
      </c>
      <c r="DI612" s="14" t="s">
        <v>194</v>
      </c>
      <c r="DJ612" s="14" t="s">
        <v>4915</v>
      </c>
      <c r="DK612" s="14" t="s">
        <v>257</v>
      </c>
      <c r="DL612" s="21" t="s">
        <v>11805</v>
      </c>
      <c r="DM612" s="14" t="s">
        <v>198</v>
      </c>
      <c r="DN612" s="13" t="s">
        <v>11806</v>
      </c>
      <c r="DO612" s="20">
        <v>2019</v>
      </c>
      <c r="DP612" s="14" t="s">
        <v>166</v>
      </c>
      <c r="DQ612" s="14" t="s">
        <v>166</v>
      </c>
      <c r="DR612" s="18" t="s">
        <v>166</v>
      </c>
      <c r="DS612" s="16" t="s">
        <v>166</v>
      </c>
      <c r="DT612" s="19" t="s">
        <v>166</v>
      </c>
      <c r="DU612" s="14" t="s">
        <v>166</v>
      </c>
      <c r="DV612" s="18" t="s">
        <v>166</v>
      </c>
      <c r="DW612" s="18" t="s">
        <v>166</v>
      </c>
      <c r="DX612" s="16" t="s">
        <v>166</v>
      </c>
      <c r="DY612" s="16" t="s">
        <v>166</v>
      </c>
      <c r="DZ612" s="17" t="s">
        <v>166</v>
      </c>
      <c r="EA612" s="16" t="s">
        <v>166</v>
      </c>
      <c r="EB612" s="16" t="s">
        <v>166</v>
      </c>
      <c r="EC612" s="16" t="s">
        <v>166</v>
      </c>
      <c r="ED612" s="17" t="s">
        <v>166</v>
      </c>
      <c r="EE612" s="17" t="s">
        <v>166</v>
      </c>
      <c r="EF612" s="17" t="s">
        <v>166</v>
      </c>
      <c r="EG612" s="17" t="s">
        <v>166</v>
      </c>
      <c r="EH612" s="16" t="s">
        <v>166</v>
      </c>
      <c r="EI612" s="16" t="s">
        <v>166</v>
      </c>
      <c r="EJ612" s="16" t="s">
        <v>166</v>
      </c>
      <c r="EK612" s="16" t="s">
        <v>166</v>
      </c>
      <c r="EL612" s="16" t="s">
        <v>166</v>
      </c>
      <c r="EM612" s="16" t="s">
        <v>166</v>
      </c>
      <c r="EN612" s="16" t="s">
        <v>166</v>
      </c>
      <c r="EO612" s="16" t="s">
        <v>166</v>
      </c>
      <c r="EP612" s="16" t="s">
        <v>166</v>
      </c>
      <c r="EQ612" s="16" t="s">
        <v>166</v>
      </c>
      <c r="ER612" s="16" t="s">
        <v>166</v>
      </c>
      <c r="ES612" s="16" t="s">
        <v>166</v>
      </c>
      <c r="ET612" s="14" t="s">
        <v>166</v>
      </c>
      <c r="EU612" s="16" t="s">
        <v>166</v>
      </c>
      <c r="EV612" s="16" t="s">
        <v>166</v>
      </c>
      <c r="EW612" s="16" t="s">
        <v>166</v>
      </c>
      <c r="EX612" s="14" t="s">
        <v>190</v>
      </c>
      <c r="EY612" s="14" t="s">
        <v>166</v>
      </c>
      <c r="EZ612" s="16" t="s">
        <v>166</v>
      </c>
      <c r="FA612" s="15">
        <v>1</v>
      </c>
      <c r="FB612" s="15">
        <v>1</v>
      </c>
      <c r="FC612" s="15" t="s">
        <v>166</v>
      </c>
      <c r="FD612" s="15">
        <v>1</v>
      </c>
      <c r="FE612" s="15" t="s">
        <v>166</v>
      </c>
      <c r="FF612" s="15" t="s">
        <v>166</v>
      </c>
      <c r="FG612" s="14" t="s">
        <v>775</v>
      </c>
      <c r="FH612" s="3">
        <f>HYPERLINK("https://my.pitchbook.com?c=189013-24T","View Company Online")</f>
      </c>
    </row>
    <row r="613">
      <c r="A613" s="25" t="s">
        <v>11807</v>
      </c>
      <c r="B613" s="25" t="s">
        <v>11808</v>
      </c>
      <c r="C613" s="25" t="s">
        <v>11809</v>
      </c>
      <c r="D613" s="25" t="s">
        <v>166</v>
      </c>
      <c r="E613" s="34" t="s">
        <v>11810</v>
      </c>
      <c r="F613" s="32">
        <v>3</v>
      </c>
      <c r="G613" s="25" t="s">
        <v>11811</v>
      </c>
      <c r="H613" s="25" t="s">
        <v>166</v>
      </c>
      <c r="I613" s="25" t="s">
        <v>11812</v>
      </c>
      <c r="J613" s="25" t="s">
        <v>11813</v>
      </c>
      <c r="K613" s="25" t="s">
        <v>207</v>
      </c>
      <c r="L613" s="25" t="s">
        <v>208</v>
      </c>
      <c r="M613" s="25" t="s">
        <v>209</v>
      </c>
      <c r="N613" s="25" t="s">
        <v>11814</v>
      </c>
      <c r="O613" s="25" t="s">
        <v>1530</v>
      </c>
      <c r="P613" s="25" t="s">
        <v>11815</v>
      </c>
      <c r="Q613" s="25" t="s">
        <v>166</v>
      </c>
      <c r="R613" s="25" t="s">
        <v>177</v>
      </c>
      <c r="S613" s="25" t="s">
        <v>178</v>
      </c>
      <c r="T613" s="25" t="s">
        <v>179</v>
      </c>
      <c r="U613" s="25" t="s">
        <v>11816</v>
      </c>
      <c r="V613" s="25" t="s">
        <v>11817</v>
      </c>
      <c r="W613" s="32" t="s">
        <v>11818</v>
      </c>
      <c r="X613" s="25" t="s">
        <v>11819</v>
      </c>
      <c r="Y613" s="25" t="s">
        <v>11820</v>
      </c>
      <c r="Z613" s="25" t="s">
        <v>11821</v>
      </c>
      <c r="AA613" s="25" t="s">
        <v>166</v>
      </c>
      <c r="AB613" s="25" t="s">
        <v>166</v>
      </c>
      <c r="AC613" s="25" t="s">
        <v>166</v>
      </c>
      <c r="AD613" s="25" t="s">
        <v>166</v>
      </c>
      <c r="AE613" s="25" t="s">
        <v>166</v>
      </c>
      <c r="AF613" s="25" t="s">
        <v>166</v>
      </c>
      <c r="AG613" s="25" t="s">
        <v>166</v>
      </c>
      <c r="AH613" s="32">
        <v>3</v>
      </c>
      <c r="AI613" s="4">
        <f>HYPERLINK("https://my.pitchbook.com/?d=251541-37T","251541-37T")</f>
      </c>
      <c r="AJ613" s="30">
        <v>45231</v>
      </c>
      <c r="AK613" s="30">
        <v>45412</v>
      </c>
      <c r="AL613" s="29">
        <v>0.41</v>
      </c>
      <c r="AM613" s="25" t="s">
        <v>185</v>
      </c>
      <c r="AN613" s="29" t="s">
        <v>166</v>
      </c>
      <c r="AO613" s="29">
        <v>7</v>
      </c>
      <c r="AP613" s="25" t="s">
        <v>185</v>
      </c>
      <c r="AQ613" s="32" t="s">
        <v>166</v>
      </c>
      <c r="AR613" s="32" t="s">
        <v>166</v>
      </c>
      <c r="AS613" s="28" t="s">
        <v>166</v>
      </c>
      <c r="AT613" s="29">
        <v>0.55</v>
      </c>
      <c r="AU613" s="32" t="s">
        <v>186</v>
      </c>
      <c r="AV613" s="32" t="s">
        <v>166</v>
      </c>
      <c r="AW613" s="29" t="s">
        <v>166</v>
      </c>
      <c r="AX613" s="32" t="s">
        <v>166</v>
      </c>
      <c r="AY613" s="25" t="s">
        <v>217</v>
      </c>
      <c r="AZ613" s="25" t="s">
        <v>217</v>
      </c>
      <c r="BA613" s="25" t="s">
        <v>166</v>
      </c>
      <c r="BB613" s="32" t="s">
        <v>166</v>
      </c>
      <c r="BC613" s="25" t="s">
        <v>179</v>
      </c>
      <c r="BD613" s="25" t="s">
        <v>11813</v>
      </c>
      <c r="BE613" s="25" t="s">
        <v>189</v>
      </c>
      <c r="BF613" s="29" t="s">
        <v>166</v>
      </c>
      <c r="BG613" s="25" t="s">
        <v>190</v>
      </c>
      <c r="BH613" s="25" t="s">
        <v>166</v>
      </c>
      <c r="BI613" s="25" t="s">
        <v>166</v>
      </c>
      <c r="BJ613" s="29">
        <v>0.41</v>
      </c>
      <c r="BK613" s="29" t="s">
        <v>166</v>
      </c>
      <c r="BL613" s="25" t="s">
        <v>191</v>
      </c>
      <c r="BM613" s="25" t="s">
        <v>178</v>
      </c>
      <c r="BN613" s="25" t="s">
        <v>177</v>
      </c>
      <c r="BO613" s="33" t="s">
        <v>166</v>
      </c>
      <c r="BP613" s="25" t="s">
        <v>11822</v>
      </c>
      <c r="BQ613" s="32">
        <v>2</v>
      </c>
      <c r="BR613" s="25" t="s">
        <v>252</v>
      </c>
      <c r="BS613" s="32">
        <v>1</v>
      </c>
      <c r="BT613" s="25" t="s">
        <v>166</v>
      </c>
      <c r="BU613" s="25" t="s">
        <v>166</v>
      </c>
      <c r="BV613" s="25" t="s">
        <v>166</v>
      </c>
      <c r="BW613" s="25" t="s">
        <v>166</v>
      </c>
      <c r="BX613" s="25" t="s">
        <v>166</v>
      </c>
      <c r="BY613" s="25" t="s">
        <v>166</v>
      </c>
      <c r="BZ613" s="25" t="s">
        <v>166</v>
      </c>
      <c r="CA613" s="25" t="s">
        <v>166</v>
      </c>
      <c r="CB613" s="25" t="s">
        <v>166</v>
      </c>
      <c r="CC613" s="25" t="s">
        <v>166</v>
      </c>
      <c r="CD613" s="25" t="s">
        <v>166</v>
      </c>
      <c r="CE613" s="29" t="s">
        <v>166</v>
      </c>
      <c r="CF613" s="27" t="s">
        <v>166</v>
      </c>
      <c r="CG613" s="28" t="s">
        <v>166</v>
      </c>
      <c r="CH613" s="27" t="s">
        <v>166</v>
      </c>
      <c r="CI613" s="27" t="s">
        <v>166</v>
      </c>
      <c r="CJ613" s="27" t="s">
        <v>166</v>
      </c>
      <c r="CK613" s="27" t="s">
        <v>166</v>
      </c>
      <c r="CL613" s="27" t="s">
        <v>166</v>
      </c>
      <c r="CM613" s="31" t="s">
        <v>166</v>
      </c>
      <c r="CN613" s="27" t="s">
        <v>166</v>
      </c>
      <c r="CO613" s="27" t="s">
        <v>166</v>
      </c>
      <c r="CP613" s="27" t="s">
        <v>166</v>
      </c>
      <c r="CQ613" s="27" t="s">
        <v>166</v>
      </c>
      <c r="CR613" s="27" t="s">
        <v>166</v>
      </c>
      <c r="CS613" s="27" t="s">
        <v>166</v>
      </c>
      <c r="CT613" s="27" t="s">
        <v>166</v>
      </c>
      <c r="CU613" s="27" t="s">
        <v>166</v>
      </c>
      <c r="CV613" s="27" t="s">
        <v>166</v>
      </c>
      <c r="CW613" s="27" t="s">
        <v>166</v>
      </c>
      <c r="CX613" s="27" t="s">
        <v>166</v>
      </c>
      <c r="CY613" s="27" t="s">
        <v>166</v>
      </c>
      <c r="CZ613" s="27" t="s">
        <v>166</v>
      </c>
      <c r="DA613" s="27" t="s">
        <v>166</v>
      </c>
      <c r="DB613" s="27" t="s">
        <v>166</v>
      </c>
      <c r="DC613" s="27" t="s">
        <v>166</v>
      </c>
      <c r="DD613" s="27" t="s">
        <v>166</v>
      </c>
      <c r="DE613" s="28" t="s">
        <v>166</v>
      </c>
      <c r="DF613" s="33">
        <v>22</v>
      </c>
      <c r="DG613" s="25" t="s">
        <v>1929</v>
      </c>
      <c r="DH613" s="25" t="s">
        <v>193</v>
      </c>
      <c r="DI613" s="25" t="s">
        <v>194</v>
      </c>
      <c r="DJ613" s="25" t="s">
        <v>1930</v>
      </c>
      <c r="DK613" s="25" t="s">
        <v>545</v>
      </c>
      <c r="DL613" s="32" t="s">
        <v>11823</v>
      </c>
      <c r="DM613" s="25" t="s">
        <v>198</v>
      </c>
      <c r="DN613" s="24" t="s">
        <v>11824</v>
      </c>
      <c r="DO613" s="31">
        <v>2015</v>
      </c>
      <c r="DP613" s="25" t="s">
        <v>166</v>
      </c>
      <c r="DQ613" s="25" t="s">
        <v>11825</v>
      </c>
      <c r="DR613" s="29">
        <v>0.41</v>
      </c>
      <c r="DS613" s="27" t="s">
        <v>166</v>
      </c>
      <c r="DT613" s="30" t="s">
        <v>166</v>
      </c>
      <c r="DU613" s="25" t="s">
        <v>166</v>
      </c>
      <c r="DV613" s="29" t="s">
        <v>166</v>
      </c>
      <c r="DW613" s="29" t="s">
        <v>166</v>
      </c>
      <c r="DX613" s="27" t="s">
        <v>166</v>
      </c>
      <c r="DY613" s="27" t="s">
        <v>166</v>
      </c>
      <c r="DZ613" s="28" t="s">
        <v>166</v>
      </c>
      <c r="EA613" s="27" t="s">
        <v>166</v>
      </c>
      <c r="EB613" s="27" t="s">
        <v>166</v>
      </c>
      <c r="EC613" s="27" t="s">
        <v>166</v>
      </c>
      <c r="ED613" s="28" t="s">
        <v>166</v>
      </c>
      <c r="EE613" s="28" t="s">
        <v>166</v>
      </c>
      <c r="EF613" s="28" t="s">
        <v>166</v>
      </c>
      <c r="EG613" s="28" t="s">
        <v>166</v>
      </c>
      <c r="EH613" s="27" t="s">
        <v>166</v>
      </c>
      <c r="EI613" s="27" t="s">
        <v>166</v>
      </c>
      <c r="EJ613" s="27" t="s">
        <v>166</v>
      </c>
      <c r="EK613" s="27" t="s">
        <v>166</v>
      </c>
      <c r="EL613" s="27" t="s">
        <v>166</v>
      </c>
      <c r="EM613" s="27" t="s">
        <v>166</v>
      </c>
      <c r="EN613" s="27" t="s">
        <v>166</v>
      </c>
      <c r="EO613" s="27" t="s">
        <v>166</v>
      </c>
      <c r="EP613" s="27" t="s">
        <v>166</v>
      </c>
      <c r="EQ613" s="27" t="s">
        <v>166</v>
      </c>
      <c r="ER613" s="27" t="s">
        <v>166</v>
      </c>
      <c r="ES613" s="27" t="s">
        <v>166</v>
      </c>
      <c r="ET613" s="25" t="s">
        <v>166</v>
      </c>
      <c r="EU613" s="27" t="s">
        <v>166</v>
      </c>
      <c r="EV613" s="27" t="s">
        <v>166</v>
      </c>
      <c r="EW613" s="27" t="s">
        <v>166</v>
      </c>
      <c r="EX613" s="25" t="s">
        <v>190</v>
      </c>
      <c r="EY613" s="25" t="s">
        <v>190</v>
      </c>
      <c r="EZ613" s="27" t="s">
        <v>166</v>
      </c>
      <c r="FA613" s="26" t="s">
        <v>166</v>
      </c>
      <c r="FB613" s="26" t="s">
        <v>166</v>
      </c>
      <c r="FC613" s="26" t="s">
        <v>166</v>
      </c>
      <c r="FD613" s="26" t="s">
        <v>166</v>
      </c>
      <c r="FE613" s="26" t="s">
        <v>166</v>
      </c>
      <c r="FF613" s="26" t="s">
        <v>166</v>
      </c>
      <c r="FG613" s="25" t="s">
        <v>166</v>
      </c>
      <c r="FH613" s="4">
        <f>HYPERLINK("https://my.pitchbook.com?c=251541-37T","View Company Online")</f>
      </c>
    </row>
    <row r="614">
      <c r="A614" s="14" t="s">
        <v>11826</v>
      </c>
      <c r="B614" s="14" t="s">
        <v>11827</v>
      </c>
      <c r="C614" s="14" t="s">
        <v>11828</v>
      </c>
      <c r="D614" s="14" t="s">
        <v>166</v>
      </c>
      <c r="E614" s="23" t="s">
        <v>11829</v>
      </c>
      <c r="F614" s="21">
        <v>2</v>
      </c>
      <c r="G614" s="14" t="s">
        <v>11830</v>
      </c>
      <c r="H614" s="14" t="s">
        <v>166</v>
      </c>
      <c r="I614" s="14" t="s">
        <v>11831</v>
      </c>
      <c r="J614" s="14" t="s">
        <v>11832</v>
      </c>
      <c r="K614" s="14" t="s">
        <v>207</v>
      </c>
      <c r="L614" s="14" t="s">
        <v>208</v>
      </c>
      <c r="M614" s="14" t="s">
        <v>1766</v>
      </c>
      <c r="N614" s="14" t="s">
        <v>11833</v>
      </c>
      <c r="O614" s="14" t="s">
        <v>11834</v>
      </c>
      <c r="P614" s="14" t="s">
        <v>11835</v>
      </c>
      <c r="Q614" s="14" t="s">
        <v>166</v>
      </c>
      <c r="R614" s="14" t="s">
        <v>177</v>
      </c>
      <c r="S614" s="14" t="s">
        <v>178</v>
      </c>
      <c r="T614" s="14" t="s">
        <v>179</v>
      </c>
      <c r="U614" s="14" t="s">
        <v>11836</v>
      </c>
      <c r="V614" s="14" t="s">
        <v>11837</v>
      </c>
      <c r="W614" s="21" t="s">
        <v>11838</v>
      </c>
      <c r="X614" s="14" t="s">
        <v>11839</v>
      </c>
      <c r="Y614" s="14" t="s">
        <v>11840</v>
      </c>
      <c r="Z614" s="14" t="s">
        <v>11841</v>
      </c>
      <c r="AA614" s="14" t="s">
        <v>242</v>
      </c>
      <c r="AB614" s="14" t="s">
        <v>243</v>
      </c>
      <c r="AC614" s="14" t="s">
        <v>244</v>
      </c>
      <c r="AD614" s="14" t="s">
        <v>166</v>
      </c>
      <c r="AE614" s="14" t="s">
        <v>243</v>
      </c>
      <c r="AF614" s="14" t="s">
        <v>245</v>
      </c>
      <c r="AG614" s="14" t="s">
        <v>807</v>
      </c>
      <c r="AH614" s="21">
        <v>2</v>
      </c>
      <c r="AI614" s="3">
        <f>HYPERLINK("https://my.pitchbook.com/?d=168806-71T","168806-71T")</f>
      </c>
      <c r="AJ614" s="19">
        <v>44260</v>
      </c>
      <c r="AK614" s="19">
        <v>44272</v>
      </c>
      <c r="AL614" s="18">
        <v>0.5</v>
      </c>
      <c r="AM614" s="14" t="s">
        <v>185</v>
      </c>
      <c r="AN614" s="18">
        <v>2</v>
      </c>
      <c r="AO614" s="18">
        <v>2.5</v>
      </c>
      <c r="AP614" s="14" t="s">
        <v>185</v>
      </c>
      <c r="AQ614" s="21" t="s">
        <v>166</v>
      </c>
      <c r="AR614" s="21" t="s">
        <v>166</v>
      </c>
      <c r="AS614" s="17">
        <v>20</v>
      </c>
      <c r="AT614" s="18">
        <v>0.5</v>
      </c>
      <c r="AU614" s="21" t="s">
        <v>186</v>
      </c>
      <c r="AV614" s="21" t="s">
        <v>166</v>
      </c>
      <c r="AW614" s="18">
        <v>0.18</v>
      </c>
      <c r="AX614" s="21" t="s">
        <v>166</v>
      </c>
      <c r="AY614" s="14" t="s">
        <v>249</v>
      </c>
      <c r="AZ614" s="14" t="s">
        <v>166</v>
      </c>
      <c r="BA614" s="14" t="s">
        <v>166</v>
      </c>
      <c r="BB614" s="21" t="s">
        <v>166</v>
      </c>
      <c r="BC614" s="14" t="s">
        <v>179</v>
      </c>
      <c r="BD614" s="14" t="s">
        <v>11842</v>
      </c>
      <c r="BE614" s="14" t="s">
        <v>189</v>
      </c>
      <c r="BF614" s="18">
        <v>0.5</v>
      </c>
      <c r="BG614" s="14" t="s">
        <v>190</v>
      </c>
      <c r="BH614" s="14" t="s">
        <v>166</v>
      </c>
      <c r="BI614" s="14" t="s">
        <v>166</v>
      </c>
      <c r="BJ614" s="18" t="s">
        <v>166</v>
      </c>
      <c r="BK614" s="18" t="s">
        <v>166</v>
      </c>
      <c r="BL614" s="14" t="s">
        <v>191</v>
      </c>
      <c r="BM614" s="14" t="s">
        <v>178</v>
      </c>
      <c r="BN614" s="14" t="s">
        <v>177</v>
      </c>
      <c r="BO614" s="22" t="s">
        <v>166</v>
      </c>
      <c r="BP614" s="14" t="s">
        <v>11843</v>
      </c>
      <c r="BQ614" s="21">
        <v>2</v>
      </c>
      <c r="BR614" s="14" t="s">
        <v>166</v>
      </c>
      <c r="BS614" s="21" t="s">
        <v>166</v>
      </c>
      <c r="BT614" s="14" t="s">
        <v>11844</v>
      </c>
      <c r="BU614" s="14" t="s">
        <v>166</v>
      </c>
      <c r="BV614" s="14" t="s">
        <v>11845</v>
      </c>
      <c r="BW614" s="14" t="s">
        <v>166</v>
      </c>
      <c r="BX614" s="14" t="s">
        <v>166</v>
      </c>
      <c r="BY614" s="14" t="s">
        <v>166</v>
      </c>
      <c r="BZ614" s="14" t="s">
        <v>11846</v>
      </c>
      <c r="CA614" s="14" t="s">
        <v>11846</v>
      </c>
      <c r="CB614" s="14" t="s">
        <v>166</v>
      </c>
      <c r="CC614" s="14" t="s">
        <v>166</v>
      </c>
      <c r="CD614" s="14" t="s">
        <v>166</v>
      </c>
      <c r="CE614" s="18" t="s">
        <v>166</v>
      </c>
      <c r="CF614" s="16" t="s">
        <v>166</v>
      </c>
      <c r="CG614" s="17" t="s">
        <v>166</v>
      </c>
      <c r="CH614" s="16" t="s">
        <v>166</v>
      </c>
      <c r="CI614" s="16" t="s">
        <v>166</v>
      </c>
      <c r="CJ614" s="16" t="s">
        <v>166</v>
      </c>
      <c r="CK614" s="16" t="s">
        <v>166</v>
      </c>
      <c r="CL614" s="16" t="s">
        <v>166</v>
      </c>
      <c r="CM614" s="20" t="s">
        <v>166</v>
      </c>
      <c r="CN614" s="16" t="s">
        <v>166</v>
      </c>
      <c r="CO614" s="16" t="s">
        <v>166</v>
      </c>
      <c r="CP614" s="16" t="s">
        <v>166</v>
      </c>
      <c r="CQ614" s="16" t="s">
        <v>166</v>
      </c>
      <c r="CR614" s="16" t="s">
        <v>166</v>
      </c>
      <c r="CS614" s="16" t="s">
        <v>166</v>
      </c>
      <c r="CT614" s="16" t="s">
        <v>166</v>
      </c>
      <c r="CU614" s="16" t="s">
        <v>166</v>
      </c>
      <c r="CV614" s="16" t="s">
        <v>166</v>
      </c>
      <c r="CW614" s="16" t="s">
        <v>166</v>
      </c>
      <c r="CX614" s="16" t="s">
        <v>166</v>
      </c>
      <c r="CY614" s="16" t="s">
        <v>166</v>
      </c>
      <c r="CZ614" s="16" t="s">
        <v>166</v>
      </c>
      <c r="DA614" s="16" t="s">
        <v>166</v>
      </c>
      <c r="DB614" s="16" t="s">
        <v>166</v>
      </c>
      <c r="DC614" s="16" t="s">
        <v>166</v>
      </c>
      <c r="DD614" s="16" t="s">
        <v>166</v>
      </c>
      <c r="DE614" s="17" t="s">
        <v>166</v>
      </c>
      <c r="DF614" s="22">
        <v>16</v>
      </c>
      <c r="DG614" s="14" t="s">
        <v>309</v>
      </c>
      <c r="DH614" s="14" t="s">
        <v>193</v>
      </c>
      <c r="DI614" s="14" t="s">
        <v>194</v>
      </c>
      <c r="DJ614" s="14" t="s">
        <v>310</v>
      </c>
      <c r="DK614" s="14" t="s">
        <v>310</v>
      </c>
      <c r="DL614" s="21" t="s">
        <v>5163</v>
      </c>
      <c r="DM614" s="14" t="s">
        <v>198</v>
      </c>
      <c r="DN614" s="13" t="s">
        <v>11847</v>
      </c>
      <c r="DO614" s="20">
        <v>2016</v>
      </c>
      <c r="DP614" s="14" t="s">
        <v>166</v>
      </c>
      <c r="DQ614" s="14" t="s">
        <v>166</v>
      </c>
      <c r="DR614" s="18" t="s">
        <v>166</v>
      </c>
      <c r="DS614" s="16" t="s">
        <v>166</v>
      </c>
      <c r="DT614" s="19" t="s">
        <v>166</v>
      </c>
      <c r="DU614" s="14" t="s">
        <v>166</v>
      </c>
      <c r="DV614" s="18" t="s">
        <v>166</v>
      </c>
      <c r="DW614" s="18" t="s">
        <v>166</v>
      </c>
      <c r="DX614" s="16" t="s">
        <v>166</v>
      </c>
      <c r="DY614" s="16" t="s">
        <v>166</v>
      </c>
      <c r="DZ614" s="17" t="s">
        <v>166</v>
      </c>
      <c r="EA614" s="16" t="s">
        <v>166</v>
      </c>
      <c r="EB614" s="16" t="s">
        <v>166</v>
      </c>
      <c r="EC614" s="16" t="s">
        <v>166</v>
      </c>
      <c r="ED614" s="17" t="s">
        <v>166</v>
      </c>
      <c r="EE614" s="17" t="s">
        <v>166</v>
      </c>
      <c r="EF614" s="17" t="s">
        <v>166</v>
      </c>
      <c r="EG614" s="17" t="s">
        <v>166</v>
      </c>
      <c r="EH614" s="16" t="s">
        <v>166</v>
      </c>
      <c r="EI614" s="16" t="s">
        <v>166</v>
      </c>
      <c r="EJ614" s="16" t="s">
        <v>166</v>
      </c>
      <c r="EK614" s="16" t="s">
        <v>166</v>
      </c>
      <c r="EL614" s="16" t="s">
        <v>166</v>
      </c>
      <c r="EM614" s="16" t="s">
        <v>166</v>
      </c>
      <c r="EN614" s="16" t="s">
        <v>166</v>
      </c>
      <c r="EO614" s="16" t="s">
        <v>166</v>
      </c>
      <c r="EP614" s="16" t="s">
        <v>166</v>
      </c>
      <c r="EQ614" s="16" t="s">
        <v>166</v>
      </c>
      <c r="ER614" s="16" t="s">
        <v>166</v>
      </c>
      <c r="ES614" s="16" t="s">
        <v>166</v>
      </c>
      <c r="ET614" s="14" t="s">
        <v>166</v>
      </c>
      <c r="EU614" s="16" t="s">
        <v>166</v>
      </c>
      <c r="EV614" s="16" t="s">
        <v>166</v>
      </c>
      <c r="EW614" s="16" t="s">
        <v>166</v>
      </c>
      <c r="EX614" s="14" t="s">
        <v>190</v>
      </c>
      <c r="EY614" s="14" t="s">
        <v>166</v>
      </c>
      <c r="EZ614" s="16" t="s">
        <v>166</v>
      </c>
      <c r="FA614" s="15" t="s">
        <v>166</v>
      </c>
      <c r="FB614" s="15" t="s">
        <v>166</v>
      </c>
      <c r="FC614" s="15" t="s">
        <v>166</v>
      </c>
      <c r="FD614" s="15" t="s">
        <v>166</v>
      </c>
      <c r="FE614" s="15" t="s">
        <v>166</v>
      </c>
      <c r="FF614" s="15" t="s">
        <v>166</v>
      </c>
      <c r="FG614" s="14" t="s">
        <v>166</v>
      </c>
      <c r="FH614" s="3">
        <f>HYPERLINK("https://my.pitchbook.com?c=168806-71T","View Company Online")</f>
      </c>
    </row>
    <row r="615">
      <c r="A615" s="25" t="s">
        <v>11848</v>
      </c>
      <c r="B615" s="25" t="s">
        <v>11849</v>
      </c>
      <c r="C615" s="25" t="s">
        <v>11850</v>
      </c>
      <c r="D615" s="25" t="s">
        <v>166</v>
      </c>
      <c r="E615" s="34" t="s">
        <v>11851</v>
      </c>
      <c r="F615" s="32">
        <v>16</v>
      </c>
      <c r="G615" s="25" t="s">
        <v>11852</v>
      </c>
      <c r="H615" s="25" t="s">
        <v>166</v>
      </c>
      <c r="I615" s="25" t="s">
        <v>11853</v>
      </c>
      <c r="J615" s="25" t="s">
        <v>11854</v>
      </c>
      <c r="K615" s="25" t="s">
        <v>207</v>
      </c>
      <c r="L615" s="25" t="s">
        <v>208</v>
      </c>
      <c r="M615" s="25" t="s">
        <v>209</v>
      </c>
      <c r="N615" s="25" t="s">
        <v>11855</v>
      </c>
      <c r="O615" s="25" t="s">
        <v>4158</v>
      </c>
      <c r="P615" s="25" t="s">
        <v>11856</v>
      </c>
      <c r="Q615" s="25" t="s">
        <v>166</v>
      </c>
      <c r="R615" s="25" t="s">
        <v>177</v>
      </c>
      <c r="S615" s="25" t="s">
        <v>178</v>
      </c>
      <c r="T615" s="25" t="s">
        <v>179</v>
      </c>
      <c r="U615" s="25" t="s">
        <v>11857</v>
      </c>
      <c r="V615" s="25" t="s">
        <v>11858</v>
      </c>
      <c r="W615" s="32" t="s">
        <v>166</v>
      </c>
      <c r="X615" s="25" t="s">
        <v>11859</v>
      </c>
      <c r="Y615" s="25" t="s">
        <v>11860</v>
      </c>
      <c r="Z615" s="25" t="s">
        <v>166</v>
      </c>
      <c r="AA615" s="25" t="s">
        <v>166</v>
      </c>
      <c r="AB615" s="25" t="s">
        <v>166</v>
      </c>
      <c r="AC615" s="25" t="s">
        <v>166</v>
      </c>
      <c r="AD615" s="25" t="s">
        <v>166</v>
      </c>
      <c r="AE615" s="25" t="s">
        <v>166</v>
      </c>
      <c r="AF615" s="25" t="s">
        <v>166</v>
      </c>
      <c r="AG615" s="25" t="s">
        <v>166</v>
      </c>
      <c r="AH615" s="32">
        <v>2</v>
      </c>
      <c r="AI615" s="4">
        <f>HYPERLINK("https://my.pitchbook.com/?d=208566-37T","208566-37T")</f>
      </c>
      <c r="AJ615" s="30" t="s">
        <v>166</v>
      </c>
      <c r="AK615" s="30">
        <v>44881</v>
      </c>
      <c r="AL615" s="29">
        <v>6.3</v>
      </c>
      <c r="AM615" s="25" t="s">
        <v>185</v>
      </c>
      <c r="AN615" s="29" t="s">
        <v>166</v>
      </c>
      <c r="AO615" s="29" t="s">
        <v>166</v>
      </c>
      <c r="AP615" s="25" t="s">
        <v>166</v>
      </c>
      <c r="AQ615" s="32" t="s">
        <v>166</v>
      </c>
      <c r="AR615" s="32" t="s">
        <v>166</v>
      </c>
      <c r="AS615" s="28" t="s">
        <v>166</v>
      </c>
      <c r="AT615" s="29">
        <v>6.43</v>
      </c>
      <c r="AU615" s="32" t="s">
        <v>186</v>
      </c>
      <c r="AV615" s="32" t="s">
        <v>166</v>
      </c>
      <c r="AW615" s="29" t="s">
        <v>166</v>
      </c>
      <c r="AX615" s="32" t="s">
        <v>166</v>
      </c>
      <c r="AY615" s="25" t="s">
        <v>217</v>
      </c>
      <c r="AZ615" s="25" t="s">
        <v>217</v>
      </c>
      <c r="BA615" s="25" t="s">
        <v>166</v>
      </c>
      <c r="BB615" s="32" t="s">
        <v>166</v>
      </c>
      <c r="BC615" s="25" t="s">
        <v>179</v>
      </c>
      <c r="BD615" s="25" t="s">
        <v>11861</v>
      </c>
      <c r="BE615" s="25" t="s">
        <v>189</v>
      </c>
      <c r="BF615" s="29">
        <v>6.3</v>
      </c>
      <c r="BG615" s="25" t="s">
        <v>190</v>
      </c>
      <c r="BH615" s="25" t="s">
        <v>166</v>
      </c>
      <c r="BI615" s="25" t="s">
        <v>166</v>
      </c>
      <c r="BJ615" s="29" t="s">
        <v>166</v>
      </c>
      <c r="BK615" s="29" t="s">
        <v>166</v>
      </c>
      <c r="BL615" s="25" t="s">
        <v>191</v>
      </c>
      <c r="BM615" s="25" t="s">
        <v>178</v>
      </c>
      <c r="BN615" s="25" t="s">
        <v>177</v>
      </c>
      <c r="BO615" s="33" t="s">
        <v>166</v>
      </c>
      <c r="BP615" s="25" t="s">
        <v>11862</v>
      </c>
      <c r="BQ615" s="32">
        <v>15</v>
      </c>
      <c r="BR615" s="25" t="s">
        <v>914</v>
      </c>
      <c r="BS615" s="32">
        <v>1</v>
      </c>
      <c r="BT615" s="25" t="s">
        <v>11863</v>
      </c>
      <c r="BU615" s="25" t="s">
        <v>166</v>
      </c>
      <c r="BV615" s="25" t="s">
        <v>166</v>
      </c>
      <c r="BW615" s="25" t="s">
        <v>166</v>
      </c>
      <c r="BX615" s="25" t="s">
        <v>166</v>
      </c>
      <c r="BY615" s="25" t="s">
        <v>166</v>
      </c>
      <c r="BZ615" s="25" t="s">
        <v>166</v>
      </c>
      <c r="CA615" s="25" t="s">
        <v>166</v>
      </c>
      <c r="CB615" s="25" t="s">
        <v>166</v>
      </c>
      <c r="CC615" s="25" t="s">
        <v>166</v>
      </c>
      <c r="CD615" s="25" t="s">
        <v>166</v>
      </c>
      <c r="CE615" s="29" t="s">
        <v>166</v>
      </c>
      <c r="CF615" s="27" t="s">
        <v>166</v>
      </c>
      <c r="CG615" s="28" t="s">
        <v>166</v>
      </c>
      <c r="CH615" s="27" t="s">
        <v>166</v>
      </c>
      <c r="CI615" s="27" t="s">
        <v>166</v>
      </c>
      <c r="CJ615" s="27" t="s">
        <v>166</v>
      </c>
      <c r="CK615" s="27" t="s">
        <v>166</v>
      </c>
      <c r="CL615" s="27" t="s">
        <v>166</v>
      </c>
      <c r="CM615" s="31" t="s">
        <v>166</v>
      </c>
      <c r="CN615" s="27" t="s">
        <v>166</v>
      </c>
      <c r="CO615" s="27" t="s">
        <v>166</v>
      </c>
      <c r="CP615" s="27" t="s">
        <v>166</v>
      </c>
      <c r="CQ615" s="27" t="s">
        <v>166</v>
      </c>
      <c r="CR615" s="27" t="s">
        <v>166</v>
      </c>
      <c r="CS615" s="27" t="s">
        <v>166</v>
      </c>
      <c r="CT615" s="27" t="s">
        <v>166</v>
      </c>
      <c r="CU615" s="27" t="s">
        <v>166</v>
      </c>
      <c r="CV615" s="27" t="s">
        <v>166</v>
      </c>
      <c r="CW615" s="27" t="s">
        <v>166</v>
      </c>
      <c r="CX615" s="27" t="s">
        <v>166</v>
      </c>
      <c r="CY615" s="27" t="s">
        <v>166</v>
      </c>
      <c r="CZ615" s="27" t="s">
        <v>166</v>
      </c>
      <c r="DA615" s="27" t="s">
        <v>166</v>
      </c>
      <c r="DB615" s="27" t="s">
        <v>166</v>
      </c>
      <c r="DC615" s="27" t="s">
        <v>166</v>
      </c>
      <c r="DD615" s="27" t="s">
        <v>166</v>
      </c>
      <c r="DE615" s="28" t="s">
        <v>166</v>
      </c>
      <c r="DF615" s="33">
        <v>17</v>
      </c>
      <c r="DG615" s="25" t="s">
        <v>673</v>
      </c>
      <c r="DH615" s="25" t="s">
        <v>193</v>
      </c>
      <c r="DI615" s="25" t="s">
        <v>194</v>
      </c>
      <c r="DJ615" s="25" t="s">
        <v>674</v>
      </c>
      <c r="DK615" s="25" t="s">
        <v>257</v>
      </c>
      <c r="DL615" s="32" t="s">
        <v>1794</v>
      </c>
      <c r="DM615" s="25" t="s">
        <v>198</v>
      </c>
      <c r="DN615" s="24" t="s">
        <v>11864</v>
      </c>
      <c r="DO615" s="31">
        <v>2021</v>
      </c>
      <c r="DP615" s="25" t="s">
        <v>166</v>
      </c>
      <c r="DQ615" s="25" t="s">
        <v>166</v>
      </c>
      <c r="DR615" s="29" t="s">
        <v>166</v>
      </c>
      <c r="DS615" s="27" t="s">
        <v>166</v>
      </c>
      <c r="DT615" s="30" t="s">
        <v>166</v>
      </c>
      <c r="DU615" s="25" t="s">
        <v>166</v>
      </c>
      <c r="DV615" s="29" t="s">
        <v>166</v>
      </c>
      <c r="DW615" s="29" t="s">
        <v>166</v>
      </c>
      <c r="DX615" s="27" t="s">
        <v>166</v>
      </c>
      <c r="DY615" s="27" t="s">
        <v>166</v>
      </c>
      <c r="DZ615" s="28" t="s">
        <v>166</v>
      </c>
      <c r="EA615" s="27" t="s">
        <v>166</v>
      </c>
      <c r="EB615" s="27" t="s">
        <v>166</v>
      </c>
      <c r="EC615" s="27" t="s">
        <v>166</v>
      </c>
      <c r="ED615" s="28" t="s">
        <v>166</v>
      </c>
      <c r="EE615" s="28" t="s">
        <v>166</v>
      </c>
      <c r="EF615" s="28" t="s">
        <v>166</v>
      </c>
      <c r="EG615" s="28" t="s">
        <v>166</v>
      </c>
      <c r="EH615" s="27" t="s">
        <v>166</v>
      </c>
      <c r="EI615" s="27" t="s">
        <v>166</v>
      </c>
      <c r="EJ615" s="27" t="s">
        <v>166</v>
      </c>
      <c r="EK615" s="27" t="s">
        <v>166</v>
      </c>
      <c r="EL615" s="27" t="s">
        <v>166</v>
      </c>
      <c r="EM615" s="27" t="s">
        <v>166</v>
      </c>
      <c r="EN615" s="27" t="s">
        <v>166</v>
      </c>
      <c r="EO615" s="27" t="s">
        <v>166</v>
      </c>
      <c r="EP615" s="27" t="s">
        <v>166</v>
      </c>
      <c r="EQ615" s="27" t="s">
        <v>166</v>
      </c>
      <c r="ER615" s="27" t="s">
        <v>166</v>
      </c>
      <c r="ES615" s="27" t="s">
        <v>166</v>
      </c>
      <c r="ET615" s="25" t="s">
        <v>166</v>
      </c>
      <c r="EU615" s="27" t="s">
        <v>166</v>
      </c>
      <c r="EV615" s="27" t="s">
        <v>166</v>
      </c>
      <c r="EW615" s="27" t="s">
        <v>166</v>
      </c>
      <c r="EX615" s="25" t="s">
        <v>190</v>
      </c>
      <c r="EY615" s="25" t="s">
        <v>166</v>
      </c>
      <c r="EZ615" s="27" t="s">
        <v>166</v>
      </c>
      <c r="FA615" s="26" t="s">
        <v>166</v>
      </c>
      <c r="FB615" s="26" t="s">
        <v>166</v>
      </c>
      <c r="FC615" s="26" t="s">
        <v>166</v>
      </c>
      <c r="FD615" s="26" t="s">
        <v>166</v>
      </c>
      <c r="FE615" s="26" t="s">
        <v>166</v>
      </c>
      <c r="FF615" s="26" t="s">
        <v>166</v>
      </c>
      <c r="FG615" s="25" t="s">
        <v>166</v>
      </c>
      <c r="FH615" s="4">
        <f>HYPERLINK("https://my.pitchbook.com?c=208566-37T","View Company Online")</f>
      </c>
    </row>
    <row r="616">
      <c r="A616" s="14" t="s">
        <v>11865</v>
      </c>
      <c r="B616" s="14" t="s">
        <v>11866</v>
      </c>
      <c r="C616" s="14" t="s">
        <v>11867</v>
      </c>
      <c r="D616" s="14" t="s">
        <v>166</v>
      </c>
      <c r="E616" s="23" t="s">
        <v>11868</v>
      </c>
      <c r="F616" s="21">
        <v>1</v>
      </c>
      <c r="G616" s="14" t="s">
        <v>11869</v>
      </c>
      <c r="H616" s="14" t="s">
        <v>166</v>
      </c>
      <c r="I616" s="14" t="s">
        <v>11870</v>
      </c>
      <c r="J616" s="14" t="s">
        <v>11871</v>
      </c>
      <c r="K616" s="14" t="s">
        <v>207</v>
      </c>
      <c r="L616" s="14" t="s">
        <v>208</v>
      </c>
      <c r="M616" s="14" t="s">
        <v>209</v>
      </c>
      <c r="N616" s="14" t="s">
        <v>8840</v>
      </c>
      <c r="O616" s="14" t="s">
        <v>11872</v>
      </c>
      <c r="P616" s="14" t="s">
        <v>11873</v>
      </c>
      <c r="Q616" s="14" t="s">
        <v>166</v>
      </c>
      <c r="R616" s="14" t="s">
        <v>177</v>
      </c>
      <c r="S616" s="14" t="s">
        <v>178</v>
      </c>
      <c r="T616" s="14" t="s">
        <v>179</v>
      </c>
      <c r="U616" s="14" t="s">
        <v>11874</v>
      </c>
      <c r="V616" s="14" t="s">
        <v>11875</v>
      </c>
      <c r="W616" s="21" t="s">
        <v>11876</v>
      </c>
      <c r="X616" s="14" t="s">
        <v>11877</v>
      </c>
      <c r="Y616" s="14" t="s">
        <v>11878</v>
      </c>
      <c r="Z616" s="14" t="s">
        <v>11879</v>
      </c>
      <c r="AA616" s="14" t="s">
        <v>166</v>
      </c>
      <c r="AB616" s="14" t="s">
        <v>166</v>
      </c>
      <c r="AC616" s="14" t="s">
        <v>166</v>
      </c>
      <c r="AD616" s="14" t="s">
        <v>166</v>
      </c>
      <c r="AE616" s="14" t="s">
        <v>166</v>
      </c>
      <c r="AF616" s="14" t="s">
        <v>166</v>
      </c>
      <c r="AG616" s="14" t="s">
        <v>166</v>
      </c>
      <c r="AH616" s="21">
        <v>1</v>
      </c>
      <c r="AI616" s="3">
        <f>HYPERLINK("https://my.pitchbook.com/?d=156808-09T","156808-09T")</f>
      </c>
      <c r="AJ616" s="19" t="s">
        <v>166</v>
      </c>
      <c r="AK616" s="19">
        <v>44099</v>
      </c>
      <c r="AL616" s="18">
        <v>0.25</v>
      </c>
      <c r="AM616" s="14" t="s">
        <v>185</v>
      </c>
      <c r="AN616" s="18" t="s">
        <v>166</v>
      </c>
      <c r="AO616" s="18" t="s">
        <v>166</v>
      </c>
      <c r="AP616" s="14" t="s">
        <v>166</v>
      </c>
      <c r="AQ616" s="21" t="s">
        <v>166</v>
      </c>
      <c r="AR616" s="21" t="s">
        <v>166</v>
      </c>
      <c r="AS616" s="17" t="s">
        <v>166</v>
      </c>
      <c r="AT616" s="18">
        <v>0.25</v>
      </c>
      <c r="AU616" s="21" t="s">
        <v>186</v>
      </c>
      <c r="AV616" s="21" t="s">
        <v>166</v>
      </c>
      <c r="AW616" s="18" t="s">
        <v>166</v>
      </c>
      <c r="AX616" s="21" t="s">
        <v>166</v>
      </c>
      <c r="AY616" s="14" t="s">
        <v>249</v>
      </c>
      <c r="AZ616" s="14" t="s">
        <v>166</v>
      </c>
      <c r="BA616" s="14" t="s">
        <v>166</v>
      </c>
      <c r="BB616" s="21" t="s">
        <v>166</v>
      </c>
      <c r="BC616" s="14" t="s">
        <v>179</v>
      </c>
      <c r="BD616" s="14" t="s">
        <v>11871</v>
      </c>
      <c r="BE616" s="14" t="s">
        <v>189</v>
      </c>
      <c r="BF616" s="18">
        <v>0.23</v>
      </c>
      <c r="BG616" s="14" t="s">
        <v>190</v>
      </c>
      <c r="BH616" s="14" t="s">
        <v>166</v>
      </c>
      <c r="BI616" s="14" t="s">
        <v>166</v>
      </c>
      <c r="BJ616" s="18">
        <v>0.03</v>
      </c>
      <c r="BK616" s="18" t="s">
        <v>166</v>
      </c>
      <c r="BL616" s="14" t="s">
        <v>191</v>
      </c>
      <c r="BM616" s="14" t="s">
        <v>178</v>
      </c>
      <c r="BN616" s="14" t="s">
        <v>177</v>
      </c>
      <c r="BO616" s="22" t="s">
        <v>166</v>
      </c>
      <c r="BP616" s="14" t="s">
        <v>6830</v>
      </c>
      <c r="BQ616" s="21">
        <v>1</v>
      </c>
      <c r="BR616" s="14" t="s">
        <v>166</v>
      </c>
      <c r="BS616" s="21" t="s">
        <v>166</v>
      </c>
      <c r="BT616" s="14" t="s">
        <v>166</v>
      </c>
      <c r="BU616" s="14" t="s">
        <v>166</v>
      </c>
      <c r="BV616" s="14" t="s">
        <v>166</v>
      </c>
      <c r="BW616" s="14" t="s">
        <v>166</v>
      </c>
      <c r="BX616" s="14" t="s">
        <v>166</v>
      </c>
      <c r="BY616" s="14" t="s">
        <v>166</v>
      </c>
      <c r="BZ616" s="14" t="s">
        <v>166</v>
      </c>
      <c r="CA616" s="14" t="s">
        <v>166</v>
      </c>
      <c r="CB616" s="14" t="s">
        <v>166</v>
      </c>
      <c r="CC616" s="14" t="s">
        <v>166</v>
      </c>
      <c r="CD616" s="14" t="s">
        <v>11880</v>
      </c>
      <c r="CE616" s="18" t="s">
        <v>166</v>
      </c>
      <c r="CF616" s="16" t="s">
        <v>166</v>
      </c>
      <c r="CG616" s="17" t="s">
        <v>166</v>
      </c>
      <c r="CH616" s="16" t="s">
        <v>166</v>
      </c>
      <c r="CI616" s="16" t="s">
        <v>166</v>
      </c>
      <c r="CJ616" s="16" t="s">
        <v>166</v>
      </c>
      <c r="CK616" s="16" t="s">
        <v>166</v>
      </c>
      <c r="CL616" s="16" t="s">
        <v>166</v>
      </c>
      <c r="CM616" s="20" t="s">
        <v>166</v>
      </c>
      <c r="CN616" s="16" t="s">
        <v>166</v>
      </c>
      <c r="CO616" s="16" t="s">
        <v>166</v>
      </c>
      <c r="CP616" s="16" t="s">
        <v>166</v>
      </c>
      <c r="CQ616" s="16" t="s">
        <v>166</v>
      </c>
      <c r="CR616" s="16" t="s">
        <v>166</v>
      </c>
      <c r="CS616" s="16" t="s">
        <v>166</v>
      </c>
      <c r="CT616" s="16" t="s">
        <v>166</v>
      </c>
      <c r="CU616" s="16" t="s">
        <v>166</v>
      </c>
      <c r="CV616" s="16" t="s">
        <v>166</v>
      </c>
      <c r="CW616" s="16" t="s">
        <v>166</v>
      </c>
      <c r="CX616" s="16" t="s">
        <v>166</v>
      </c>
      <c r="CY616" s="16">
        <v>0.11</v>
      </c>
      <c r="CZ616" s="16" t="s">
        <v>166</v>
      </c>
      <c r="DA616" s="16" t="s">
        <v>166</v>
      </c>
      <c r="DB616" s="16" t="s">
        <v>166</v>
      </c>
      <c r="DC616" s="16" t="s">
        <v>166</v>
      </c>
      <c r="DD616" s="16" t="s">
        <v>166</v>
      </c>
      <c r="DE616" s="17" t="s">
        <v>166</v>
      </c>
      <c r="DF616" s="22">
        <v>9</v>
      </c>
      <c r="DG616" s="14" t="s">
        <v>429</v>
      </c>
      <c r="DH616" s="14" t="s">
        <v>193</v>
      </c>
      <c r="DI616" s="14" t="s">
        <v>194</v>
      </c>
      <c r="DJ616" s="14" t="s">
        <v>430</v>
      </c>
      <c r="DK616" s="14" t="s">
        <v>431</v>
      </c>
      <c r="DL616" s="21" t="s">
        <v>11881</v>
      </c>
      <c r="DM616" s="14" t="s">
        <v>198</v>
      </c>
      <c r="DN616" s="13" t="s">
        <v>11882</v>
      </c>
      <c r="DO616" s="20">
        <v>2004</v>
      </c>
      <c r="DP616" s="14" t="s">
        <v>166</v>
      </c>
      <c r="DQ616" s="14" t="s">
        <v>11883</v>
      </c>
      <c r="DR616" s="18">
        <v>0.03</v>
      </c>
      <c r="DS616" s="16" t="s">
        <v>166</v>
      </c>
      <c r="DT616" s="19" t="s">
        <v>166</v>
      </c>
      <c r="DU616" s="14" t="s">
        <v>11884</v>
      </c>
      <c r="DV616" s="18" t="s">
        <v>166</v>
      </c>
      <c r="DW616" s="18" t="s">
        <v>166</v>
      </c>
      <c r="DX616" s="16" t="s">
        <v>166</v>
      </c>
      <c r="DY616" s="16" t="s">
        <v>166</v>
      </c>
      <c r="DZ616" s="17" t="s">
        <v>166</v>
      </c>
      <c r="EA616" s="16" t="s">
        <v>166</v>
      </c>
      <c r="EB616" s="16" t="s">
        <v>166</v>
      </c>
      <c r="EC616" s="16" t="s">
        <v>166</v>
      </c>
      <c r="ED616" s="17" t="s">
        <v>166</v>
      </c>
      <c r="EE616" s="17" t="s">
        <v>166</v>
      </c>
      <c r="EF616" s="17" t="s">
        <v>166</v>
      </c>
      <c r="EG616" s="17" t="s">
        <v>166</v>
      </c>
      <c r="EH616" s="16" t="s">
        <v>166</v>
      </c>
      <c r="EI616" s="16" t="s">
        <v>166</v>
      </c>
      <c r="EJ616" s="16" t="s">
        <v>166</v>
      </c>
      <c r="EK616" s="16" t="s">
        <v>166</v>
      </c>
      <c r="EL616" s="16" t="s">
        <v>166</v>
      </c>
      <c r="EM616" s="16" t="s">
        <v>166</v>
      </c>
      <c r="EN616" s="16" t="s">
        <v>166</v>
      </c>
      <c r="EO616" s="16" t="s">
        <v>166</v>
      </c>
      <c r="EP616" s="16" t="s">
        <v>166</v>
      </c>
      <c r="EQ616" s="16" t="s">
        <v>166</v>
      </c>
      <c r="ER616" s="16" t="s">
        <v>166</v>
      </c>
      <c r="ES616" s="16" t="s">
        <v>166</v>
      </c>
      <c r="ET616" s="14" t="s">
        <v>166</v>
      </c>
      <c r="EU616" s="16" t="s">
        <v>166</v>
      </c>
      <c r="EV616" s="16" t="s">
        <v>166</v>
      </c>
      <c r="EW616" s="16" t="s">
        <v>166</v>
      </c>
      <c r="EX616" s="14" t="s">
        <v>190</v>
      </c>
      <c r="EY616" s="14" t="s">
        <v>190</v>
      </c>
      <c r="EZ616" s="16" t="s">
        <v>166</v>
      </c>
      <c r="FA616" s="15" t="s">
        <v>166</v>
      </c>
      <c r="FB616" s="15" t="s">
        <v>166</v>
      </c>
      <c r="FC616" s="15" t="s">
        <v>166</v>
      </c>
      <c r="FD616" s="15" t="s">
        <v>166</v>
      </c>
      <c r="FE616" s="15" t="s">
        <v>166</v>
      </c>
      <c r="FF616" s="15" t="s">
        <v>166</v>
      </c>
      <c r="FG616" s="14" t="s">
        <v>166</v>
      </c>
      <c r="FH616" s="3">
        <f>HYPERLINK("https://my.pitchbook.com?c=156808-09T","View Company Online")</f>
      </c>
    </row>
    <row r="617">
      <c r="A617" s="25" t="s">
        <v>11885</v>
      </c>
      <c r="B617" s="25" t="s">
        <v>11886</v>
      </c>
      <c r="C617" s="25" t="s">
        <v>11887</v>
      </c>
      <c r="D617" s="25" t="s">
        <v>166</v>
      </c>
      <c r="E617" s="34" t="s">
        <v>11888</v>
      </c>
      <c r="F617" s="32">
        <v>4</v>
      </c>
      <c r="G617" s="25" t="s">
        <v>11889</v>
      </c>
      <c r="H617" s="25" t="s">
        <v>166</v>
      </c>
      <c r="I617" s="25" t="s">
        <v>11890</v>
      </c>
      <c r="J617" s="25" t="s">
        <v>11891</v>
      </c>
      <c r="K617" s="25" t="s">
        <v>207</v>
      </c>
      <c r="L617" s="25" t="s">
        <v>208</v>
      </c>
      <c r="M617" s="25" t="s">
        <v>296</v>
      </c>
      <c r="N617" s="25" t="s">
        <v>11892</v>
      </c>
      <c r="O617" s="25" t="s">
        <v>4042</v>
      </c>
      <c r="P617" s="25" t="s">
        <v>11893</v>
      </c>
      <c r="Q617" s="25" t="s">
        <v>166</v>
      </c>
      <c r="R617" s="25" t="s">
        <v>177</v>
      </c>
      <c r="S617" s="25" t="s">
        <v>178</v>
      </c>
      <c r="T617" s="25" t="s">
        <v>179</v>
      </c>
      <c r="U617" s="25" t="s">
        <v>11894</v>
      </c>
      <c r="V617" s="25" t="s">
        <v>11895</v>
      </c>
      <c r="W617" s="32" t="s">
        <v>11896</v>
      </c>
      <c r="X617" s="25" t="s">
        <v>11897</v>
      </c>
      <c r="Y617" s="25" t="s">
        <v>11898</v>
      </c>
      <c r="Z617" s="25" t="s">
        <v>11899</v>
      </c>
      <c r="AA617" s="25" t="s">
        <v>242</v>
      </c>
      <c r="AB617" s="25" t="s">
        <v>243</v>
      </c>
      <c r="AC617" s="25" t="s">
        <v>244</v>
      </c>
      <c r="AD617" s="25" t="s">
        <v>243</v>
      </c>
      <c r="AE617" s="25" t="s">
        <v>243</v>
      </c>
      <c r="AF617" s="25" t="s">
        <v>245</v>
      </c>
      <c r="AG617" s="25" t="s">
        <v>246</v>
      </c>
      <c r="AH617" s="32">
        <v>1</v>
      </c>
      <c r="AI617" s="4">
        <f>HYPERLINK("https://my.pitchbook.com/?d=169601-68T","169601-68T")</f>
      </c>
      <c r="AJ617" s="30">
        <v>44279</v>
      </c>
      <c r="AK617" s="30">
        <v>44286</v>
      </c>
      <c r="AL617" s="29">
        <v>3</v>
      </c>
      <c r="AM617" s="25" t="s">
        <v>185</v>
      </c>
      <c r="AN617" s="29">
        <v>5</v>
      </c>
      <c r="AO617" s="29">
        <v>8</v>
      </c>
      <c r="AP617" s="25" t="s">
        <v>185</v>
      </c>
      <c r="AQ617" s="32" t="s">
        <v>166</v>
      </c>
      <c r="AR617" s="32" t="s">
        <v>166</v>
      </c>
      <c r="AS617" s="28">
        <v>37.5</v>
      </c>
      <c r="AT617" s="29">
        <v>3</v>
      </c>
      <c r="AU617" s="32" t="s">
        <v>186</v>
      </c>
      <c r="AV617" s="32" t="s">
        <v>166</v>
      </c>
      <c r="AW617" s="29">
        <v>0.94</v>
      </c>
      <c r="AX617" s="32" t="s">
        <v>746</v>
      </c>
      <c r="AY617" s="25" t="s">
        <v>217</v>
      </c>
      <c r="AZ617" s="25" t="s">
        <v>746</v>
      </c>
      <c r="BA617" s="25" t="s">
        <v>166</v>
      </c>
      <c r="BB617" s="32" t="s">
        <v>166</v>
      </c>
      <c r="BC617" s="25" t="s">
        <v>179</v>
      </c>
      <c r="BD617" s="25" t="s">
        <v>11900</v>
      </c>
      <c r="BE617" s="25" t="s">
        <v>189</v>
      </c>
      <c r="BF617" s="29">
        <v>3</v>
      </c>
      <c r="BG617" s="25" t="s">
        <v>190</v>
      </c>
      <c r="BH617" s="25" t="s">
        <v>166</v>
      </c>
      <c r="BI617" s="25" t="s">
        <v>166</v>
      </c>
      <c r="BJ617" s="29" t="s">
        <v>166</v>
      </c>
      <c r="BK617" s="29" t="s">
        <v>166</v>
      </c>
      <c r="BL617" s="25" t="s">
        <v>191</v>
      </c>
      <c r="BM617" s="25" t="s">
        <v>178</v>
      </c>
      <c r="BN617" s="25" t="s">
        <v>177</v>
      </c>
      <c r="BO617" s="33" t="s">
        <v>166</v>
      </c>
      <c r="BP617" s="25" t="s">
        <v>11901</v>
      </c>
      <c r="BQ617" s="32">
        <v>4</v>
      </c>
      <c r="BR617" s="25" t="s">
        <v>166</v>
      </c>
      <c r="BS617" s="32" t="s">
        <v>166</v>
      </c>
      <c r="BT617" s="25" t="s">
        <v>166</v>
      </c>
      <c r="BU617" s="25" t="s">
        <v>166</v>
      </c>
      <c r="BV617" s="25" t="s">
        <v>11902</v>
      </c>
      <c r="BW617" s="25" t="s">
        <v>166</v>
      </c>
      <c r="BX617" s="25" t="s">
        <v>166</v>
      </c>
      <c r="BY617" s="25" t="s">
        <v>166</v>
      </c>
      <c r="BZ617" s="25" t="s">
        <v>770</v>
      </c>
      <c r="CA617" s="25" t="s">
        <v>770</v>
      </c>
      <c r="CB617" s="25" t="s">
        <v>166</v>
      </c>
      <c r="CC617" s="25" t="s">
        <v>166</v>
      </c>
      <c r="CD617" s="25" t="s">
        <v>166</v>
      </c>
      <c r="CE617" s="29" t="s">
        <v>166</v>
      </c>
      <c r="CF617" s="27" t="s">
        <v>166</v>
      </c>
      <c r="CG617" s="28" t="s">
        <v>166</v>
      </c>
      <c r="CH617" s="27" t="s">
        <v>166</v>
      </c>
      <c r="CI617" s="27" t="s">
        <v>166</v>
      </c>
      <c r="CJ617" s="27" t="s">
        <v>166</v>
      </c>
      <c r="CK617" s="27" t="s">
        <v>166</v>
      </c>
      <c r="CL617" s="27" t="s">
        <v>166</v>
      </c>
      <c r="CM617" s="31" t="s">
        <v>166</v>
      </c>
      <c r="CN617" s="27" t="s">
        <v>166</v>
      </c>
      <c r="CO617" s="27" t="s">
        <v>166</v>
      </c>
      <c r="CP617" s="27" t="s">
        <v>166</v>
      </c>
      <c r="CQ617" s="27" t="s">
        <v>166</v>
      </c>
      <c r="CR617" s="27" t="s">
        <v>166</v>
      </c>
      <c r="CS617" s="27" t="s">
        <v>166</v>
      </c>
      <c r="CT617" s="27" t="s">
        <v>166</v>
      </c>
      <c r="CU617" s="27" t="s">
        <v>166</v>
      </c>
      <c r="CV617" s="27" t="s">
        <v>166</v>
      </c>
      <c r="CW617" s="27" t="s">
        <v>166</v>
      </c>
      <c r="CX617" s="27" t="s">
        <v>166</v>
      </c>
      <c r="CY617" s="27" t="s">
        <v>166</v>
      </c>
      <c r="CZ617" s="27" t="s">
        <v>166</v>
      </c>
      <c r="DA617" s="27" t="s">
        <v>166</v>
      </c>
      <c r="DB617" s="27" t="s">
        <v>166</v>
      </c>
      <c r="DC617" s="27" t="s">
        <v>166</v>
      </c>
      <c r="DD617" s="27" t="s">
        <v>166</v>
      </c>
      <c r="DE617" s="28" t="s">
        <v>166</v>
      </c>
      <c r="DF617" s="33">
        <v>10</v>
      </c>
      <c r="DG617" s="25" t="s">
        <v>518</v>
      </c>
      <c r="DH617" s="25" t="s">
        <v>193</v>
      </c>
      <c r="DI617" s="25" t="s">
        <v>194</v>
      </c>
      <c r="DJ617" s="25" t="s">
        <v>519</v>
      </c>
      <c r="DK617" s="25" t="s">
        <v>257</v>
      </c>
      <c r="DL617" s="32" t="s">
        <v>11903</v>
      </c>
      <c r="DM617" s="25" t="s">
        <v>198</v>
      </c>
      <c r="DN617" s="24" t="s">
        <v>11904</v>
      </c>
      <c r="DO617" s="31">
        <v>2020</v>
      </c>
      <c r="DP617" s="25" t="s">
        <v>166</v>
      </c>
      <c r="DQ617" s="25" t="s">
        <v>166</v>
      </c>
      <c r="DR617" s="29" t="s">
        <v>166</v>
      </c>
      <c r="DS617" s="27" t="s">
        <v>166</v>
      </c>
      <c r="DT617" s="30" t="s">
        <v>166</v>
      </c>
      <c r="DU617" s="25" t="s">
        <v>166</v>
      </c>
      <c r="DV617" s="29" t="s">
        <v>166</v>
      </c>
      <c r="DW617" s="29" t="s">
        <v>166</v>
      </c>
      <c r="DX617" s="27" t="s">
        <v>166</v>
      </c>
      <c r="DY617" s="27" t="s">
        <v>166</v>
      </c>
      <c r="DZ617" s="28" t="s">
        <v>166</v>
      </c>
      <c r="EA617" s="27" t="s">
        <v>166</v>
      </c>
      <c r="EB617" s="27" t="s">
        <v>166</v>
      </c>
      <c r="EC617" s="27" t="s">
        <v>166</v>
      </c>
      <c r="ED617" s="28" t="s">
        <v>166</v>
      </c>
      <c r="EE617" s="28" t="s">
        <v>166</v>
      </c>
      <c r="EF617" s="28" t="s">
        <v>166</v>
      </c>
      <c r="EG617" s="28" t="s">
        <v>166</v>
      </c>
      <c r="EH617" s="27" t="s">
        <v>166</v>
      </c>
      <c r="EI617" s="27" t="s">
        <v>166</v>
      </c>
      <c r="EJ617" s="27" t="s">
        <v>166</v>
      </c>
      <c r="EK617" s="27" t="s">
        <v>166</v>
      </c>
      <c r="EL617" s="27" t="s">
        <v>166</v>
      </c>
      <c r="EM617" s="27" t="s">
        <v>166</v>
      </c>
      <c r="EN617" s="27" t="s">
        <v>166</v>
      </c>
      <c r="EO617" s="27" t="s">
        <v>166</v>
      </c>
      <c r="EP617" s="27" t="s">
        <v>166</v>
      </c>
      <c r="EQ617" s="27" t="s">
        <v>166</v>
      </c>
      <c r="ER617" s="27" t="s">
        <v>166</v>
      </c>
      <c r="ES617" s="27" t="s">
        <v>166</v>
      </c>
      <c r="ET617" s="25" t="s">
        <v>166</v>
      </c>
      <c r="EU617" s="27" t="s">
        <v>166</v>
      </c>
      <c r="EV617" s="27" t="s">
        <v>166</v>
      </c>
      <c r="EW617" s="27" t="s">
        <v>166</v>
      </c>
      <c r="EX617" s="25" t="s">
        <v>190</v>
      </c>
      <c r="EY617" s="25" t="s">
        <v>166</v>
      </c>
      <c r="EZ617" s="27" t="s">
        <v>166</v>
      </c>
      <c r="FA617" s="26" t="s">
        <v>166</v>
      </c>
      <c r="FB617" s="26" t="s">
        <v>166</v>
      </c>
      <c r="FC617" s="26" t="s">
        <v>166</v>
      </c>
      <c r="FD617" s="26" t="s">
        <v>166</v>
      </c>
      <c r="FE617" s="26" t="s">
        <v>166</v>
      </c>
      <c r="FF617" s="26" t="s">
        <v>166</v>
      </c>
      <c r="FG617" s="25" t="s">
        <v>166</v>
      </c>
      <c r="FH617" s="4">
        <f>HYPERLINK("https://my.pitchbook.com?c=169601-68T","View Company Online")</f>
      </c>
    </row>
    <row r="618">
      <c r="A618" s="14" t="s">
        <v>11905</v>
      </c>
      <c r="B618" s="14" t="s">
        <v>11906</v>
      </c>
      <c r="C618" s="14" t="s">
        <v>11907</v>
      </c>
      <c r="D618" s="14" t="s">
        <v>166</v>
      </c>
      <c r="E618" s="23" t="s">
        <v>11908</v>
      </c>
      <c r="F618" s="21">
        <v>2</v>
      </c>
      <c r="G618" s="14" t="s">
        <v>11909</v>
      </c>
      <c r="H618" s="14" t="s">
        <v>166</v>
      </c>
      <c r="I618" s="14" t="s">
        <v>11910</v>
      </c>
      <c r="J618" s="14" t="s">
        <v>11911</v>
      </c>
      <c r="K618" s="14" t="s">
        <v>207</v>
      </c>
      <c r="L618" s="14" t="s">
        <v>208</v>
      </c>
      <c r="M618" s="14" t="s">
        <v>839</v>
      </c>
      <c r="N618" s="14" t="s">
        <v>11912</v>
      </c>
      <c r="O618" s="14" t="s">
        <v>11913</v>
      </c>
      <c r="P618" s="14" t="s">
        <v>11914</v>
      </c>
      <c r="Q618" s="14" t="s">
        <v>166</v>
      </c>
      <c r="R618" s="14" t="s">
        <v>177</v>
      </c>
      <c r="S618" s="14" t="s">
        <v>178</v>
      </c>
      <c r="T618" s="14" t="s">
        <v>179</v>
      </c>
      <c r="U618" s="14" t="s">
        <v>11915</v>
      </c>
      <c r="V618" s="14" t="s">
        <v>11916</v>
      </c>
      <c r="W618" s="21" t="s">
        <v>11917</v>
      </c>
      <c r="X618" s="14" t="s">
        <v>11918</v>
      </c>
      <c r="Y618" s="14" t="s">
        <v>11919</v>
      </c>
      <c r="Z618" s="14" t="s">
        <v>166</v>
      </c>
      <c r="AA618" s="14" t="s">
        <v>242</v>
      </c>
      <c r="AB618" s="14" t="s">
        <v>243</v>
      </c>
      <c r="AC618" s="14" t="s">
        <v>244</v>
      </c>
      <c r="AD618" s="14" t="s">
        <v>243</v>
      </c>
      <c r="AE618" s="14" t="s">
        <v>243</v>
      </c>
      <c r="AF618" s="14" t="s">
        <v>166</v>
      </c>
      <c r="AG618" s="14" t="s">
        <v>807</v>
      </c>
      <c r="AH618" s="21">
        <v>1</v>
      </c>
      <c r="AI618" s="3">
        <f>HYPERLINK("https://my.pitchbook.com/?d=205063-39T","205063-39T")</f>
      </c>
      <c r="AJ618" s="19" t="s">
        <v>166</v>
      </c>
      <c r="AK618" s="19">
        <v>44833</v>
      </c>
      <c r="AL618" s="18">
        <v>5</v>
      </c>
      <c r="AM618" s="14" t="s">
        <v>185</v>
      </c>
      <c r="AN618" s="18">
        <v>7</v>
      </c>
      <c r="AO618" s="18">
        <v>12</v>
      </c>
      <c r="AP618" s="14" t="s">
        <v>185</v>
      </c>
      <c r="AQ618" s="21" t="s">
        <v>166</v>
      </c>
      <c r="AR618" s="21" t="s">
        <v>166</v>
      </c>
      <c r="AS618" s="17">
        <v>41.67</v>
      </c>
      <c r="AT618" s="18">
        <v>5</v>
      </c>
      <c r="AU618" s="21" t="s">
        <v>186</v>
      </c>
      <c r="AV618" s="21" t="s">
        <v>166</v>
      </c>
      <c r="AW618" s="18">
        <v>0.73</v>
      </c>
      <c r="AX618" s="21" t="s">
        <v>166</v>
      </c>
      <c r="AY618" s="14" t="s">
        <v>217</v>
      </c>
      <c r="AZ618" s="14" t="s">
        <v>217</v>
      </c>
      <c r="BA618" s="14" t="s">
        <v>166</v>
      </c>
      <c r="BB618" s="21" t="s">
        <v>166</v>
      </c>
      <c r="BC618" s="14" t="s">
        <v>179</v>
      </c>
      <c r="BD618" s="14" t="s">
        <v>11920</v>
      </c>
      <c r="BE618" s="14" t="s">
        <v>189</v>
      </c>
      <c r="BF618" s="18">
        <v>5</v>
      </c>
      <c r="BG618" s="14" t="s">
        <v>190</v>
      </c>
      <c r="BH618" s="14" t="s">
        <v>166</v>
      </c>
      <c r="BI618" s="14" t="s">
        <v>166</v>
      </c>
      <c r="BJ618" s="18" t="s">
        <v>166</v>
      </c>
      <c r="BK618" s="18" t="s">
        <v>166</v>
      </c>
      <c r="BL618" s="14" t="s">
        <v>191</v>
      </c>
      <c r="BM618" s="14" t="s">
        <v>178</v>
      </c>
      <c r="BN618" s="14" t="s">
        <v>177</v>
      </c>
      <c r="BO618" s="22" t="s">
        <v>166</v>
      </c>
      <c r="BP618" s="14" t="s">
        <v>11921</v>
      </c>
      <c r="BQ618" s="21">
        <v>2</v>
      </c>
      <c r="BR618" s="14" t="s">
        <v>166</v>
      </c>
      <c r="BS618" s="21" t="s">
        <v>166</v>
      </c>
      <c r="BT618" s="14" t="s">
        <v>11922</v>
      </c>
      <c r="BU618" s="14" t="s">
        <v>166</v>
      </c>
      <c r="BV618" s="14" t="s">
        <v>166</v>
      </c>
      <c r="BW618" s="14" t="s">
        <v>166</v>
      </c>
      <c r="BX618" s="14" t="s">
        <v>166</v>
      </c>
      <c r="BY618" s="14" t="s">
        <v>166</v>
      </c>
      <c r="BZ618" s="14" t="s">
        <v>166</v>
      </c>
      <c r="CA618" s="14" t="s">
        <v>166</v>
      </c>
      <c r="CB618" s="14" t="s">
        <v>166</v>
      </c>
      <c r="CC618" s="14" t="s">
        <v>166</v>
      </c>
      <c r="CD618" s="14" t="s">
        <v>166</v>
      </c>
      <c r="CE618" s="18" t="s">
        <v>166</v>
      </c>
      <c r="CF618" s="16" t="s">
        <v>166</v>
      </c>
      <c r="CG618" s="17" t="s">
        <v>166</v>
      </c>
      <c r="CH618" s="16" t="s">
        <v>166</v>
      </c>
      <c r="CI618" s="16" t="s">
        <v>166</v>
      </c>
      <c r="CJ618" s="16" t="s">
        <v>166</v>
      </c>
      <c r="CK618" s="16" t="s">
        <v>166</v>
      </c>
      <c r="CL618" s="16" t="s">
        <v>166</v>
      </c>
      <c r="CM618" s="20" t="s">
        <v>166</v>
      </c>
      <c r="CN618" s="16" t="s">
        <v>166</v>
      </c>
      <c r="CO618" s="16" t="s">
        <v>166</v>
      </c>
      <c r="CP618" s="16" t="s">
        <v>166</v>
      </c>
      <c r="CQ618" s="16" t="s">
        <v>166</v>
      </c>
      <c r="CR618" s="16" t="s">
        <v>166</v>
      </c>
      <c r="CS618" s="16" t="s">
        <v>166</v>
      </c>
      <c r="CT618" s="16" t="s">
        <v>166</v>
      </c>
      <c r="CU618" s="16" t="s">
        <v>166</v>
      </c>
      <c r="CV618" s="16" t="s">
        <v>166</v>
      </c>
      <c r="CW618" s="16" t="s">
        <v>166</v>
      </c>
      <c r="CX618" s="16" t="s">
        <v>166</v>
      </c>
      <c r="CY618" s="16" t="s">
        <v>166</v>
      </c>
      <c r="CZ618" s="16" t="s">
        <v>166</v>
      </c>
      <c r="DA618" s="16" t="s">
        <v>166</v>
      </c>
      <c r="DB618" s="16" t="s">
        <v>166</v>
      </c>
      <c r="DC618" s="16" t="s">
        <v>166</v>
      </c>
      <c r="DD618" s="16" t="s">
        <v>166</v>
      </c>
      <c r="DE618" s="17" t="s">
        <v>166</v>
      </c>
      <c r="DF618" s="22">
        <v>19</v>
      </c>
      <c r="DG618" s="14" t="s">
        <v>309</v>
      </c>
      <c r="DH618" s="14" t="s">
        <v>193</v>
      </c>
      <c r="DI618" s="14" t="s">
        <v>194</v>
      </c>
      <c r="DJ618" s="14" t="s">
        <v>310</v>
      </c>
      <c r="DK618" s="14" t="s">
        <v>310</v>
      </c>
      <c r="DL618" s="21" t="s">
        <v>6736</v>
      </c>
      <c r="DM618" s="14" t="s">
        <v>198</v>
      </c>
      <c r="DN618" s="13" t="s">
        <v>11923</v>
      </c>
      <c r="DO618" s="20">
        <v>2021</v>
      </c>
      <c r="DP618" s="14" t="s">
        <v>166</v>
      </c>
      <c r="DQ618" s="14" t="s">
        <v>166</v>
      </c>
      <c r="DR618" s="18" t="s">
        <v>166</v>
      </c>
      <c r="DS618" s="16" t="s">
        <v>166</v>
      </c>
      <c r="DT618" s="19" t="s">
        <v>166</v>
      </c>
      <c r="DU618" s="14" t="s">
        <v>166</v>
      </c>
      <c r="DV618" s="18" t="s">
        <v>166</v>
      </c>
      <c r="DW618" s="18" t="s">
        <v>166</v>
      </c>
      <c r="DX618" s="16" t="s">
        <v>166</v>
      </c>
      <c r="DY618" s="16" t="s">
        <v>166</v>
      </c>
      <c r="DZ618" s="17" t="s">
        <v>166</v>
      </c>
      <c r="EA618" s="16" t="s">
        <v>166</v>
      </c>
      <c r="EB618" s="16" t="s">
        <v>166</v>
      </c>
      <c r="EC618" s="16" t="s">
        <v>166</v>
      </c>
      <c r="ED618" s="17" t="s">
        <v>166</v>
      </c>
      <c r="EE618" s="17" t="s">
        <v>166</v>
      </c>
      <c r="EF618" s="17" t="s">
        <v>166</v>
      </c>
      <c r="EG618" s="17" t="s">
        <v>166</v>
      </c>
      <c r="EH618" s="16" t="s">
        <v>166</v>
      </c>
      <c r="EI618" s="16" t="s">
        <v>166</v>
      </c>
      <c r="EJ618" s="16" t="s">
        <v>166</v>
      </c>
      <c r="EK618" s="16" t="s">
        <v>166</v>
      </c>
      <c r="EL618" s="16" t="s">
        <v>166</v>
      </c>
      <c r="EM618" s="16" t="s">
        <v>166</v>
      </c>
      <c r="EN618" s="16" t="s">
        <v>166</v>
      </c>
      <c r="EO618" s="16" t="s">
        <v>166</v>
      </c>
      <c r="EP618" s="16" t="s">
        <v>166</v>
      </c>
      <c r="EQ618" s="16" t="s">
        <v>166</v>
      </c>
      <c r="ER618" s="16" t="s">
        <v>166</v>
      </c>
      <c r="ES618" s="16" t="s">
        <v>166</v>
      </c>
      <c r="ET618" s="14" t="s">
        <v>166</v>
      </c>
      <c r="EU618" s="16" t="s">
        <v>166</v>
      </c>
      <c r="EV618" s="16" t="s">
        <v>166</v>
      </c>
      <c r="EW618" s="16" t="s">
        <v>166</v>
      </c>
      <c r="EX618" s="14" t="s">
        <v>190</v>
      </c>
      <c r="EY618" s="14" t="s">
        <v>166</v>
      </c>
      <c r="EZ618" s="16" t="s">
        <v>166</v>
      </c>
      <c r="FA618" s="15" t="s">
        <v>166</v>
      </c>
      <c r="FB618" s="15" t="s">
        <v>166</v>
      </c>
      <c r="FC618" s="15" t="s">
        <v>166</v>
      </c>
      <c r="FD618" s="15" t="s">
        <v>166</v>
      </c>
      <c r="FE618" s="15" t="s">
        <v>166</v>
      </c>
      <c r="FF618" s="15" t="s">
        <v>166</v>
      </c>
      <c r="FG618" s="14" t="s">
        <v>166</v>
      </c>
      <c r="FH618" s="3">
        <f>HYPERLINK("https://my.pitchbook.com?c=205063-39T","View Company Online")</f>
      </c>
    </row>
    <row r="619">
      <c r="A619" s="25" t="s">
        <v>11924</v>
      </c>
      <c r="B619" s="25" t="s">
        <v>11925</v>
      </c>
      <c r="C619" s="25" t="s">
        <v>11926</v>
      </c>
      <c r="D619" s="25" t="s">
        <v>166</v>
      </c>
      <c r="E619" s="34" t="s">
        <v>11927</v>
      </c>
      <c r="F619" s="32">
        <v>3</v>
      </c>
      <c r="G619" s="25" t="s">
        <v>11928</v>
      </c>
      <c r="H619" s="25" t="s">
        <v>166</v>
      </c>
      <c r="I619" s="25" t="s">
        <v>11929</v>
      </c>
      <c r="J619" s="25" t="s">
        <v>11930</v>
      </c>
      <c r="K619" s="25" t="s">
        <v>1455</v>
      </c>
      <c r="L619" s="25" t="s">
        <v>1456</v>
      </c>
      <c r="M619" s="25" t="s">
        <v>1457</v>
      </c>
      <c r="N619" s="25" t="s">
        <v>1919</v>
      </c>
      <c r="O619" s="25" t="s">
        <v>1842</v>
      </c>
      <c r="P619" s="25" t="s">
        <v>11931</v>
      </c>
      <c r="Q619" s="25" t="s">
        <v>166</v>
      </c>
      <c r="R619" s="25" t="s">
        <v>177</v>
      </c>
      <c r="S619" s="25" t="s">
        <v>178</v>
      </c>
      <c r="T619" s="25" t="s">
        <v>179</v>
      </c>
      <c r="U619" s="25" t="s">
        <v>11932</v>
      </c>
      <c r="V619" s="25" t="s">
        <v>11933</v>
      </c>
      <c r="W619" s="32" t="s">
        <v>11934</v>
      </c>
      <c r="X619" s="25" t="s">
        <v>11935</v>
      </c>
      <c r="Y619" s="25" t="s">
        <v>11936</v>
      </c>
      <c r="Z619" s="25" t="s">
        <v>11937</v>
      </c>
      <c r="AA619" s="25" t="s">
        <v>242</v>
      </c>
      <c r="AB619" s="25" t="s">
        <v>243</v>
      </c>
      <c r="AC619" s="25" t="s">
        <v>244</v>
      </c>
      <c r="AD619" s="25" t="s">
        <v>243</v>
      </c>
      <c r="AE619" s="25" t="s">
        <v>243</v>
      </c>
      <c r="AF619" s="25" t="s">
        <v>166</v>
      </c>
      <c r="AG619" s="25" t="s">
        <v>807</v>
      </c>
      <c r="AH619" s="32">
        <v>1</v>
      </c>
      <c r="AI619" s="4">
        <f>HYPERLINK("https://my.pitchbook.com/?d=178644-16T","178644-16T")</f>
      </c>
      <c r="AJ619" s="30" t="s">
        <v>166</v>
      </c>
      <c r="AK619" s="30">
        <v>44428</v>
      </c>
      <c r="AL619" s="29">
        <v>1.57</v>
      </c>
      <c r="AM619" s="25" t="s">
        <v>185</v>
      </c>
      <c r="AN619" s="29">
        <v>3</v>
      </c>
      <c r="AO619" s="29">
        <v>4.57</v>
      </c>
      <c r="AP619" s="25" t="s">
        <v>185</v>
      </c>
      <c r="AQ619" s="32" t="s">
        <v>166</v>
      </c>
      <c r="AR619" s="32" t="s">
        <v>166</v>
      </c>
      <c r="AS619" s="28">
        <v>34.35</v>
      </c>
      <c r="AT619" s="29">
        <v>1.57</v>
      </c>
      <c r="AU619" s="32" t="s">
        <v>186</v>
      </c>
      <c r="AV619" s="32" t="s">
        <v>166</v>
      </c>
      <c r="AW619" s="29">
        <v>4.98</v>
      </c>
      <c r="AX619" s="32" t="s">
        <v>166</v>
      </c>
      <c r="AY619" s="25" t="s">
        <v>217</v>
      </c>
      <c r="AZ619" s="25" t="s">
        <v>217</v>
      </c>
      <c r="BA619" s="25" t="s">
        <v>166</v>
      </c>
      <c r="BB619" s="32" t="s">
        <v>166</v>
      </c>
      <c r="BC619" s="25" t="s">
        <v>179</v>
      </c>
      <c r="BD619" s="25" t="s">
        <v>11938</v>
      </c>
      <c r="BE619" s="25" t="s">
        <v>189</v>
      </c>
      <c r="BF619" s="29">
        <v>1.57</v>
      </c>
      <c r="BG619" s="25" t="s">
        <v>190</v>
      </c>
      <c r="BH619" s="25" t="s">
        <v>166</v>
      </c>
      <c r="BI619" s="25" t="s">
        <v>166</v>
      </c>
      <c r="BJ619" s="29" t="s">
        <v>166</v>
      </c>
      <c r="BK619" s="29" t="s">
        <v>166</v>
      </c>
      <c r="BL619" s="25" t="s">
        <v>191</v>
      </c>
      <c r="BM619" s="25" t="s">
        <v>358</v>
      </c>
      <c r="BN619" s="25" t="s">
        <v>177</v>
      </c>
      <c r="BO619" s="33" t="s">
        <v>166</v>
      </c>
      <c r="BP619" s="25" t="s">
        <v>11939</v>
      </c>
      <c r="BQ619" s="32">
        <v>3</v>
      </c>
      <c r="BR619" s="25" t="s">
        <v>166</v>
      </c>
      <c r="BS619" s="32" t="s">
        <v>166</v>
      </c>
      <c r="BT619" s="25" t="s">
        <v>7479</v>
      </c>
      <c r="BU619" s="25" t="s">
        <v>166</v>
      </c>
      <c r="BV619" s="25" t="s">
        <v>11940</v>
      </c>
      <c r="BW619" s="25" t="s">
        <v>166</v>
      </c>
      <c r="BX619" s="25" t="s">
        <v>166</v>
      </c>
      <c r="BY619" s="25" t="s">
        <v>166</v>
      </c>
      <c r="BZ619" s="25" t="s">
        <v>166</v>
      </c>
      <c r="CA619" s="25" t="s">
        <v>166</v>
      </c>
      <c r="CB619" s="25" t="s">
        <v>166</v>
      </c>
      <c r="CC619" s="25" t="s">
        <v>166</v>
      </c>
      <c r="CD619" s="25" t="s">
        <v>166</v>
      </c>
      <c r="CE619" s="29" t="s">
        <v>166</v>
      </c>
      <c r="CF619" s="27" t="s">
        <v>166</v>
      </c>
      <c r="CG619" s="28" t="s">
        <v>166</v>
      </c>
      <c r="CH619" s="27" t="s">
        <v>166</v>
      </c>
      <c r="CI619" s="27" t="s">
        <v>166</v>
      </c>
      <c r="CJ619" s="27" t="s">
        <v>166</v>
      </c>
      <c r="CK619" s="27" t="s">
        <v>166</v>
      </c>
      <c r="CL619" s="27" t="s">
        <v>166</v>
      </c>
      <c r="CM619" s="31" t="s">
        <v>166</v>
      </c>
      <c r="CN619" s="27" t="s">
        <v>166</v>
      </c>
      <c r="CO619" s="27" t="s">
        <v>166</v>
      </c>
      <c r="CP619" s="27" t="s">
        <v>166</v>
      </c>
      <c r="CQ619" s="27" t="s">
        <v>166</v>
      </c>
      <c r="CR619" s="27" t="s">
        <v>166</v>
      </c>
      <c r="CS619" s="27" t="s">
        <v>166</v>
      </c>
      <c r="CT619" s="27" t="s">
        <v>166</v>
      </c>
      <c r="CU619" s="27" t="s">
        <v>166</v>
      </c>
      <c r="CV619" s="27" t="s">
        <v>166</v>
      </c>
      <c r="CW619" s="27" t="s">
        <v>166</v>
      </c>
      <c r="CX619" s="27" t="s">
        <v>166</v>
      </c>
      <c r="CY619" s="27" t="s">
        <v>166</v>
      </c>
      <c r="CZ619" s="27" t="s">
        <v>166</v>
      </c>
      <c r="DA619" s="27" t="s">
        <v>166</v>
      </c>
      <c r="DB619" s="27" t="s">
        <v>166</v>
      </c>
      <c r="DC619" s="27" t="s">
        <v>166</v>
      </c>
      <c r="DD619" s="27" t="s">
        <v>166</v>
      </c>
      <c r="DE619" s="28" t="s">
        <v>166</v>
      </c>
      <c r="DF619" s="33">
        <v>42</v>
      </c>
      <c r="DG619" s="25" t="s">
        <v>429</v>
      </c>
      <c r="DH619" s="25" t="s">
        <v>193</v>
      </c>
      <c r="DI619" s="25" t="s">
        <v>194</v>
      </c>
      <c r="DJ619" s="25" t="s">
        <v>430</v>
      </c>
      <c r="DK619" s="25" t="s">
        <v>431</v>
      </c>
      <c r="DL619" s="32" t="s">
        <v>11941</v>
      </c>
      <c r="DM619" s="25" t="s">
        <v>198</v>
      </c>
      <c r="DN619" s="24" t="s">
        <v>11942</v>
      </c>
      <c r="DO619" s="31">
        <v>2021</v>
      </c>
      <c r="DP619" s="25" t="s">
        <v>166</v>
      </c>
      <c r="DQ619" s="25" t="s">
        <v>166</v>
      </c>
      <c r="DR619" s="29" t="s">
        <v>166</v>
      </c>
      <c r="DS619" s="27" t="s">
        <v>166</v>
      </c>
      <c r="DT619" s="30" t="s">
        <v>166</v>
      </c>
      <c r="DU619" s="25" t="s">
        <v>166</v>
      </c>
      <c r="DV619" s="29" t="s">
        <v>166</v>
      </c>
      <c r="DW619" s="29" t="s">
        <v>166</v>
      </c>
      <c r="DX619" s="27" t="s">
        <v>166</v>
      </c>
      <c r="DY619" s="27" t="s">
        <v>166</v>
      </c>
      <c r="DZ619" s="28" t="s">
        <v>166</v>
      </c>
      <c r="EA619" s="27" t="s">
        <v>166</v>
      </c>
      <c r="EB619" s="27" t="s">
        <v>166</v>
      </c>
      <c r="EC619" s="27" t="s">
        <v>166</v>
      </c>
      <c r="ED619" s="28" t="s">
        <v>166</v>
      </c>
      <c r="EE619" s="28" t="s">
        <v>166</v>
      </c>
      <c r="EF619" s="28" t="s">
        <v>166</v>
      </c>
      <c r="EG619" s="28" t="s">
        <v>166</v>
      </c>
      <c r="EH619" s="27" t="s">
        <v>166</v>
      </c>
      <c r="EI619" s="27" t="s">
        <v>166</v>
      </c>
      <c r="EJ619" s="27" t="s">
        <v>166</v>
      </c>
      <c r="EK619" s="27" t="s">
        <v>166</v>
      </c>
      <c r="EL619" s="27" t="s">
        <v>166</v>
      </c>
      <c r="EM619" s="27" t="s">
        <v>166</v>
      </c>
      <c r="EN619" s="27" t="s">
        <v>166</v>
      </c>
      <c r="EO619" s="27" t="s">
        <v>166</v>
      </c>
      <c r="EP619" s="27" t="s">
        <v>166</v>
      </c>
      <c r="EQ619" s="27" t="s">
        <v>166</v>
      </c>
      <c r="ER619" s="27" t="s">
        <v>166</v>
      </c>
      <c r="ES619" s="27" t="s">
        <v>166</v>
      </c>
      <c r="ET619" s="25" t="s">
        <v>166</v>
      </c>
      <c r="EU619" s="27" t="s">
        <v>166</v>
      </c>
      <c r="EV619" s="27" t="s">
        <v>166</v>
      </c>
      <c r="EW619" s="27" t="s">
        <v>166</v>
      </c>
      <c r="EX619" s="25" t="s">
        <v>190</v>
      </c>
      <c r="EY619" s="25" t="s">
        <v>166</v>
      </c>
      <c r="EZ619" s="27" t="s">
        <v>166</v>
      </c>
      <c r="FA619" s="26">
        <v>1</v>
      </c>
      <c r="FB619" s="26">
        <v>1</v>
      </c>
      <c r="FC619" s="26">
        <v>1</v>
      </c>
      <c r="FD619" s="26" t="s">
        <v>166</v>
      </c>
      <c r="FE619" s="26" t="s">
        <v>166</v>
      </c>
      <c r="FF619" s="26" t="s">
        <v>166</v>
      </c>
      <c r="FG619" s="25" t="s">
        <v>166</v>
      </c>
      <c r="FH619" s="4">
        <f>HYPERLINK("https://my.pitchbook.com?c=178644-16T","View Company Online")</f>
      </c>
    </row>
    <row r="620">
      <c r="A620" s="14" t="s">
        <v>11943</v>
      </c>
      <c r="B620" s="14" t="s">
        <v>11944</v>
      </c>
      <c r="C620" s="14" t="s">
        <v>11945</v>
      </c>
      <c r="D620" s="14" t="s">
        <v>166</v>
      </c>
      <c r="E620" s="23" t="s">
        <v>11946</v>
      </c>
      <c r="F620" s="21">
        <v>2</v>
      </c>
      <c r="G620" s="14" t="s">
        <v>11947</v>
      </c>
      <c r="H620" s="14" t="s">
        <v>166</v>
      </c>
      <c r="I620" s="14" t="s">
        <v>11948</v>
      </c>
      <c r="J620" s="14" t="s">
        <v>11949</v>
      </c>
      <c r="K620" s="14" t="s">
        <v>207</v>
      </c>
      <c r="L620" s="14" t="s">
        <v>208</v>
      </c>
      <c r="M620" s="14" t="s">
        <v>839</v>
      </c>
      <c r="N620" s="14" t="s">
        <v>9025</v>
      </c>
      <c r="O620" s="14" t="s">
        <v>7665</v>
      </c>
      <c r="P620" s="14" t="s">
        <v>11950</v>
      </c>
      <c r="Q620" s="14" t="s">
        <v>166</v>
      </c>
      <c r="R620" s="14" t="s">
        <v>177</v>
      </c>
      <c r="S620" s="14" t="s">
        <v>178</v>
      </c>
      <c r="T620" s="14" t="s">
        <v>179</v>
      </c>
      <c r="U620" s="14" t="s">
        <v>11951</v>
      </c>
      <c r="V620" s="14" t="s">
        <v>11952</v>
      </c>
      <c r="W620" s="21" t="s">
        <v>166</v>
      </c>
      <c r="X620" s="14" t="s">
        <v>166</v>
      </c>
      <c r="Y620" s="14" t="s">
        <v>11953</v>
      </c>
      <c r="Z620" s="14" t="s">
        <v>11954</v>
      </c>
      <c r="AA620" s="14" t="s">
        <v>166</v>
      </c>
      <c r="AB620" s="14" t="s">
        <v>166</v>
      </c>
      <c r="AC620" s="14" t="s">
        <v>166</v>
      </c>
      <c r="AD620" s="14" t="s">
        <v>166</v>
      </c>
      <c r="AE620" s="14" t="s">
        <v>166</v>
      </c>
      <c r="AF620" s="14" t="s">
        <v>166</v>
      </c>
      <c r="AG620" s="14" t="s">
        <v>166</v>
      </c>
      <c r="AH620" s="21">
        <v>2</v>
      </c>
      <c r="AI620" s="3">
        <f>HYPERLINK("https://my.pitchbook.com/?d=137918-62T","137918-62T")</f>
      </c>
      <c r="AJ620" s="19" t="s">
        <v>166</v>
      </c>
      <c r="AK620" s="19">
        <v>43993</v>
      </c>
      <c r="AL620" s="18">
        <v>7</v>
      </c>
      <c r="AM620" s="14" t="s">
        <v>185</v>
      </c>
      <c r="AN620" s="18">
        <v>12.02</v>
      </c>
      <c r="AO620" s="18">
        <v>19.02</v>
      </c>
      <c r="AP620" s="14" t="s">
        <v>185</v>
      </c>
      <c r="AQ620" s="21" t="s">
        <v>166</v>
      </c>
      <c r="AR620" s="21" t="s">
        <v>166</v>
      </c>
      <c r="AS620" s="17">
        <v>36.81</v>
      </c>
      <c r="AT620" s="18">
        <v>7.57</v>
      </c>
      <c r="AU620" s="21" t="s">
        <v>186</v>
      </c>
      <c r="AV620" s="21" t="s">
        <v>166</v>
      </c>
      <c r="AW620" s="18">
        <v>1.27</v>
      </c>
      <c r="AX620" s="21" t="s">
        <v>166</v>
      </c>
      <c r="AY620" s="14" t="s">
        <v>217</v>
      </c>
      <c r="AZ620" s="14" t="s">
        <v>217</v>
      </c>
      <c r="BA620" s="14" t="s">
        <v>166</v>
      </c>
      <c r="BB620" s="21" t="s">
        <v>166</v>
      </c>
      <c r="BC620" s="14" t="s">
        <v>179</v>
      </c>
      <c r="BD620" s="14" t="s">
        <v>11955</v>
      </c>
      <c r="BE620" s="14" t="s">
        <v>189</v>
      </c>
      <c r="BF620" s="18">
        <v>7</v>
      </c>
      <c r="BG620" s="14" t="s">
        <v>190</v>
      </c>
      <c r="BH620" s="14" t="s">
        <v>166</v>
      </c>
      <c r="BI620" s="14" t="s">
        <v>166</v>
      </c>
      <c r="BJ620" s="18" t="s">
        <v>166</v>
      </c>
      <c r="BK620" s="18" t="s">
        <v>166</v>
      </c>
      <c r="BL620" s="14" t="s">
        <v>191</v>
      </c>
      <c r="BM620" s="14" t="s">
        <v>178</v>
      </c>
      <c r="BN620" s="14" t="s">
        <v>177</v>
      </c>
      <c r="BO620" s="22">
        <v>10</v>
      </c>
      <c r="BP620" s="14" t="s">
        <v>11956</v>
      </c>
      <c r="BQ620" s="21">
        <v>2</v>
      </c>
      <c r="BR620" s="14" t="s">
        <v>166</v>
      </c>
      <c r="BS620" s="21" t="s">
        <v>166</v>
      </c>
      <c r="BT620" s="14" t="s">
        <v>11957</v>
      </c>
      <c r="BU620" s="14" t="s">
        <v>166</v>
      </c>
      <c r="BV620" s="14" t="s">
        <v>166</v>
      </c>
      <c r="BW620" s="14" t="s">
        <v>166</v>
      </c>
      <c r="BX620" s="14" t="s">
        <v>166</v>
      </c>
      <c r="BY620" s="14" t="s">
        <v>166</v>
      </c>
      <c r="BZ620" s="14" t="s">
        <v>166</v>
      </c>
      <c r="CA620" s="14" t="s">
        <v>166</v>
      </c>
      <c r="CB620" s="14" t="s">
        <v>166</v>
      </c>
      <c r="CC620" s="14" t="s">
        <v>166</v>
      </c>
      <c r="CD620" s="14" t="s">
        <v>166</v>
      </c>
      <c r="CE620" s="18" t="s">
        <v>166</v>
      </c>
      <c r="CF620" s="16" t="s">
        <v>166</v>
      </c>
      <c r="CG620" s="17" t="s">
        <v>166</v>
      </c>
      <c r="CH620" s="16" t="s">
        <v>166</v>
      </c>
      <c r="CI620" s="16" t="s">
        <v>166</v>
      </c>
      <c r="CJ620" s="16" t="s">
        <v>166</v>
      </c>
      <c r="CK620" s="16" t="s">
        <v>166</v>
      </c>
      <c r="CL620" s="16" t="s">
        <v>166</v>
      </c>
      <c r="CM620" s="20" t="s">
        <v>166</v>
      </c>
      <c r="CN620" s="16" t="s">
        <v>166</v>
      </c>
      <c r="CO620" s="16" t="s">
        <v>166</v>
      </c>
      <c r="CP620" s="16" t="s">
        <v>166</v>
      </c>
      <c r="CQ620" s="16" t="s">
        <v>166</v>
      </c>
      <c r="CR620" s="16" t="s">
        <v>166</v>
      </c>
      <c r="CS620" s="16" t="s">
        <v>166</v>
      </c>
      <c r="CT620" s="16" t="s">
        <v>166</v>
      </c>
      <c r="CU620" s="16" t="s">
        <v>166</v>
      </c>
      <c r="CV620" s="16" t="s">
        <v>166</v>
      </c>
      <c r="CW620" s="16" t="s">
        <v>166</v>
      </c>
      <c r="CX620" s="16" t="s">
        <v>166</v>
      </c>
      <c r="CY620" s="16" t="s">
        <v>166</v>
      </c>
      <c r="CZ620" s="16" t="s">
        <v>166</v>
      </c>
      <c r="DA620" s="16" t="s">
        <v>166</v>
      </c>
      <c r="DB620" s="16" t="s">
        <v>166</v>
      </c>
      <c r="DC620" s="16" t="s">
        <v>166</v>
      </c>
      <c r="DD620" s="16" t="s">
        <v>166</v>
      </c>
      <c r="DE620" s="17" t="s">
        <v>166</v>
      </c>
      <c r="DF620" s="22">
        <v>15</v>
      </c>
      <c r="DG620" s="14" t="s">
        <v>309</v>
      </c>
      <c r="DH620" s="14" t="s">
        <v>193</v>
      </c>
      <c r="DI620" s="14" t="s">
        <v>194</v>
      </c>
      <c r="DJ620" s="14" t="s">
        <v>310</v>
      </c>
      <c r="DK620" s="14" t="s">
        <v>310</v>
      </c>
      <c r="DL620" s="21" t="s">
        <v>479</v>
      </c>
      <c r="DM620" s="14" t="s">
        <v>198</v>
      </c>
      <c r="DN620" s="13" t="s">
        <v>11958</v>
      </c>
      <c r="DO620" s="20">
        <v>2018</v>
      </c>
      <c r="DP620" s="14" t="s">
        <v>166</v>
      </c>
      <c r="DQ620" s="14" t="s">
        <v>166</v>
      </c>
      <c r="DR620" s="18" t="s">
        <v>166</v>
      </c>
      <c r="DS620" s="16" t="s">
        <v>166</v>
      </c>
      <c r="DT620" s="19" t="s">
        <v>166</v>
      </c>
      <c r="DU620" s="14" t="s">
        <v>166</v>
      </c>
      <c r="DV620" s="18" t="s">
        <v>166</v>
      </c>
      <c r="DW620" s="18" t="s">
        <v>166</v>
      </c>
      <c r="DX620" s="16" t="s">
        <v>166</v>
      </c>
      <c r="DY620" s="16" t="s">
        <v>166</v>
      </c>
      <c r="DZ620" s="17" t="s">
        <v>166</v>
      </c>
      <c r="EA620" s="16" t="s">
        <v>166</v>
      </c>
      <c r="EB620" s="16" t="s">
        <v>166</v>
      </c>
      <c r="EC620" s="16" t="s">
        <v>166</v>
      </c>
      <c r="ED620" s="17" t="s">
        <v>166</v>
      </c>
      <c r="EE620" s="17" t="s">
        <v>166</v>
      </c>
      <c r="EF620" s="17" t="s">
        <v>166</v>
      </c>
      <c r="EG620" s="17" t="s">
        <v>166</v>
      </c>
      <c r="EH620" s="16" t="s">
        <v>166</v>
      </c>
      <c r="EI620" s="16" t="s">
        <v>166</v>
      </c>
      <c r="EJ620" s="16" t="s">
        <v>166</v>
      </c>
      <c r="EK620" s="16" t="s">
        <v>166</v>
      </c>
      <c r="EL620" s="16" t="s">
        <v>166</v>
      </c>
      <c r="EM620" s="16" t="s">
        <v>166</v>
      </c>
      <c r="EN620" s="16" t="s">
        <v>166</v>
      </c>
      <c r="EO620" s="16" t="s">
        <v>166</v>
      </c>
      <c r="EP620" s="16" t="s">
        <v>166</v>
      </c>
      <c r="EQ620" s="16" t="s">
        <v>166</v>
      </c>
      <c r="ER620" s="16" t="s">
        <v>166</v>
      </c>
      <c r="ES620" s="16" t="s">
        <v>166</v>
      </c>
      <c r="ET620" s="14" t="s">
        <v>166</v>
      </c>
      <c r="EU620" s="16" t="s">
        <v>166</v>
      </c>
      <c r="EV620" s="16" t="s">
        <v>166</v>
      </c>
      <c r="EW620" s="16" t="s">
        <v>166</v>
      </c>
      <c r="EX620" s="14" t="s">
        <v>190</v>
      </c>
      <c r="EY620" s="14" t="s">
        <v>166</v>
      </c>
      <c r="EZ620" s="16" t="s">
        <v>166</v>
      </c>
      <c r="FA620" s="15" t="s">
        <v>166</v>
      </c>
      <c r="FB620" s="15" t="s">
        <v>166</v>
      </c>
      <c r="FC620" s="15" t="s">
        <v>166</v>
      </c>
      <c r="FD620" s="15" t="s">
        <v>166</v>
      </c>
      <c r="FE620" s="15" t="s">
        <v>166</v>
      </c>
      <c r="FF620" s="15" t="s">
        <v>166</v>
      </c>
      <c r="FG620" s="14" t="s">
        <v>166</v>
      </c>
      <c r="FH620" s="3">
        <f>HYPERLINK("https://my.pitchbook.com?c=137918-62T","View Company Online")</f>
      </c>
    </row>
    <row r="621">
      <c r="A621" s="25" t="s">
        <v>11959</v>
      </c>
      <c r="B621" s="25" t="s">
        <v>11960</v>
      </c>
      <c r="C621" s="25" t="s">
        <v>11961</v>
      </c>
      <c r="D621" s="25" t="s">
        <v>166</v>
      </c>
      <c r="E621" s="34" t="s">
        <v>11962</v>
      </c>
      <c r="F621" s="32">
        <v>1</v>
      </c>
      <c r="G621" s="25" t="s">
        <v>11963</v>
      </c>
      <c r="H621" s="25" t="s">
        <v>166</v>
      </c>
      <c r="I621" s="25" t="s">
        <v>11964</v>
      </c>
      <c r="J621" s="25" t="s">
        <v>11965</v>
      </c>
      <c r="K621" s="25" t="s">
        <v>1455</v>
      </c>
      <c r="L621" s="25" t="s">
        <v>1456</v>
      </c>
      <c r="M621" s="25" t="s">
        <v>1457</v>
      </c>
      <c r="N621" s="25" t="s">
        <v>11966</v>
      </c>
      <c r="O621" s="25" t="s">
        <v>7860</v>
      </c>
      <c r="P621" s="25" t="s">
        <v>11967</v>
      </c>
      <c r="Q621" s="25" t="s">
        <v>166</v>
      </c>
      <c r="R621" s="25" t="s">
        <v>177</v>
      </c>
      <c r="S621" s="25" t="s">
        <v>178</v>
      </c>
      <c r="T621" s="25" t="s">
        <v>179</v>
      </c>
      <c r="U621" s="25" t="s">
        <v>11968</v>
      </c>
      <c r="V621" s="25" t="s">
        <v>11969</v>
      </c>
      <c r="W621" s="32" t="s">
        <v>11970</v>
      </c>
      <c r="X621" s="25" t="s">
        <v>11971</v>
      </c>
      <c r="Y621" s="25" t="s">
        <v>11972</v>
      </c>
      <c r="Z621" s="25" t="s">
        <v>166</v>
      </c>
      <c r="AA621" s="25" t="s">
        <v>242</v>
      </c>
      <c r="AB621" s="25" t="s">
        <v>243</v>
      </c>
      <c r="AC621" s="25" t="s">
        <v>244</v>
      </c>
      <c r="AD621" s="25" t="s">
        <v>166</v>
      </c>
      <c r="AE621" s="25" t="s">
        <v>243</v>
      </c>
      <c r="AF621" s="25" t="s">
        <v>166</v>
      </c>
      <c r="AG621" s="25" t="s">
        <v>246</v>
      </c>
      <c r="AH621" s="32">
        <v>2</v>
      </c>
      <c r="AI621" s="4">
        <f>HYPERLINK("https://my.pitchbook.com/?d=235896-13T","235896-13T")</f>
      </c>
      <c r="AJ621" s="30">
        <v>45160</v>
      </c>
      <c r="AK621" s="30">
        <v>45174</v>
      </c>
      <c r="AL621" s="29">
        <v>6.88</v>
      </c>
      <c r="AM621" s="25" t="s">
        <v>185</v>
      </c>
      <c r="AN621" s="29">
        <v>9</v>
      </c>
      <c r="AO621" s="29">
        <v>15.88</v>
      </c>
      <c r="AP621" s="25" t="s">
        <v>185</v>
      </c>
      <c r="AQ621" s="32" t="s">
        <v>166</v>
      </c>
      <c r="AR621" s="32" t="s">
        <v>166</v>
      </c>
      <c r="AS621" s="28">
        <v>45.9</v>
      </c>
      <c r="AT621" s="29">
        <v>7.51</v>
      </c>
      <c r="AU621" s="32" t="s">
        <v>186</v>
      </c>
      <c r="AV621" s="32" t="s">
        <v>166</v>
      </c>
      <c r="AW621" s="29">
        <v>0.68</v>
      </c>
      <c r="AX621" s="32" t="s">
        <v>166</v>
      </c>
      <c r="AY621" s="25" t="s">
        <v>217</v>
      </c>
      <c r="AZ621" s="25" t="s">
        <v>217</v>
      </c>
      <c r="BA621" s="25" t="s">
        <v>166</v>
      </c>
      <c r="BB621" s="32" t="s">
        <v>166</v>
      </c>
      <c r="BC621" s="25" t="s">
        <v>179</v>
      </c>
      <c r="BD621" s="25" t="s">
        <v>11965</v>
      </c>
      <c r="BE621" s="25" t="s">
        <v>189</v>
      </c>
      <c r="BF621" s="29">
        <v>6.88</v>
      </c>
      <c r="BG621" s="25" t="s">
        <v>190</v>
      </c>
      <c r="BH621" s="25" t="s">
        <v>166</v>
      </c>
      <c r="BI621" s="25" t="s">
        <v>166</v>
      </c>
      <c r="BJ621" s="29" t="s">
        <v>166</v>
      </c>
      <c r="BK621" s="29" t="s">
        <v>166</v>
      </c>
      <c r="BL621" s="25" t="s">
        <v>191</v>
      </c>
      <c r="BM621" s="25" t="s">
        <v>178</v>
      </c>
      <c r="BN621" s="25" t="s">
        <v>177</v>
      </c>
      <c r="BO621" s="33" t="s">
        <v>166</v>
      </c>
      <c r="BP621" s="25" t="s">
        <v>11962</v>
      </c>
      <c r="BQ621" s="32">
        <v>1</v>
      </c>
      <c r="BR621" s="25" t="s">
        <v>166</v>
      </c>
      <c r="BS621" s="32" t="s">
        <v>166</v>
      </c>
      <c r="BT621" s="25" t="s">
        <v>166</v>
      </c>
      <c r="BU621" s="25" t="s">
        <v>166</v>
      </c>
      <c r="BV621" s="25" t="s">
        <v>166</v>
      </c>
      <c r="BW621" s="25" t="s">
        <v>166</v>
      </c>
      <c r="BX621" s="25" t="s">
        <v>166</v>
      </c>
      <c r="BY621" s="25" t="s">
        <v>166</v>
      </c>
      <c r="BZ621" s="25" t="s">
        <v>1232</v>
      </c>
      <c r="CA621" s="25" t="s">
        <v>1232</v>
      </c>
      <c r="CB621" s="25" t="s">
        <v>166</v>
      </c>
      <c r="CC621" s="25" t="s">
        <v>166</v>
      </c>
      <c r="CD621" s="25" t="s">
        <v>166</v>
      </c>
      <c r="CE621" s="29" t="s">
        <v>166</v>
      </c>
      <c r="CF621" s="27" t="s">
        <v>166</v>
      </c>
      <c r="CG621" s="28" t="s">
        <v>166</v>
      </c>
      <c r="CH621" s="27" t="s">
        <v>166</v>
      </c>
      <c r="CI621" s="27" t="s">
        <v>166</v>
      </c>
      <c r="CJ621" s="27" t="s">
        <v>166</v>
      </c>
      <c r="CK621" s="27" t="s">
        <v>166</v>
      </c>
      <c r="CL621" s="27" t="s">
        <v>166</v>
      </c>
      <c r="CM621" s="31" t="s">
        <v>166</v>
      </c>
      <c r="CN621" s="27" t="s">
        <v>166</v>
      </c>
      <c r="CO621" s="27" t="s">
        <v>166</v>
      </c>
      <c r="CP621" s="27" t="s">
        <v>166</v>
      </c>
      <c r="CQ621" s="27" t="s">
        <v>166</v>
      </c>
      <c r="CR621" s="27" t="s">
        <v>166</v>
      </c>
      <c r="CS621" s="27" t="s">
        <v>166</v>
      </c>
      <c r="CT621" s="27" t="s">
        <v>166</v>
      </c>
      <c r="CU621" s="27" t="s">
        <v>166</v>
      </c>
      <c r="CV621" s="27" t="s">
        <v>166</v>
      </c>
      <c r="CW621" s="27" t="s">
        <v>166</v>
      </c>
      <c r="CX621" s="27" t="s">
        <v>166</v>
      </c>
      <c r="CY621" s="27" t="s">
        <v>166</v>
      </c>
      <c r="CZ621" s="27" t="s">
        <v>166</v>
      </c>
      <c r="DA621" s="27" t="s">
        <v>166</v>
      </c>
      <c r="DB621" s="27" t="s">
        <v>166</v>
      </c>
      <c r="DC621" s="27" t="s">
        <v>166</v>
      </c>
      <c r="DD621" s="27" t="s">
        <v>166</v>
      </c>
      <c r="DE621" s="28" t="s">
        <v>166</v>
      </c>
      <c r="DF621" s="33">
        <v>14</v>
      </c>
      <c r="DG621" s="25" t="s">
        <v>673</v>
      </c>
      <c r="DH621" s="25" t="s">
        <v>193</v>
      </c>
      <c r="DI621" s="25" t="s">
        <v>194</v>
      </c>
      <c r="DJ621" s="25" t="s">
        <v>674</v>
      </c>
      <c r="DK621" s="25" t="s">
        <v>257</v>
      </c>
      <c r="DL621" s="32" t="s">
        <v>4341</v>
      </c>
      <c r="DM621" s="25" t="s">
        <v>198</v>
      </c>
      <c r="DN621" s="24" t="s">
        <v>11973</v>
      </c>
      <c r="DO621" s="31">
        <v>2020</v>
      </c>
      <c r="DP621" s="25" t="s">
        <v>166</v>
      </c>
      <c r="DQ621" s="25" t="s">
        <v>166</v>
      </c>
      <c r="DR621" s="29" t="s">
        <v>166</v>
      </c>
      <c r="DS621" s="27" t="s">
        <v>166</v>
      </c>
      <c r="DT621" s="30" t="s">
        <v>166</v>
      </c>
      <c r="DU621" s="25" t="s">
        <v>166</v>
      </c>
      <c r="DV621" s="29" t="s">
        <v>166</v>
      </c>
      <c r="DW621" s="29" t="s">
        <v>166</v>
      </c>
      <c r="DX621" s="27" t="s">
        <v>166</v>
      </c>
      <c r="DY621" s="27" t="s">
        <v>166</v>
      </c>
      <c r="DZ621" s="28" t="s">
        <v>166</v>
      </c>
      <c r="EA621" s="27" t="s">
        <v>166</v>
      </c>
      <c r="EB621" s="27" t="s">
        <v>166</v>
      </c>
      <c r="EC621" s="27" t="s">
        <v>166</v>
      </c>
      <c r="ED621" s="28" t="s">
        <v>166</v>
      </c>
      <c r="EE621" s="28" t="s">
        <v>166</v>
      </c>
      <c r="EF621" s="28" t="s">
        <v>166</v>
      </c>
      <c r="EG621" s="28" t="s">
        <v>166</v>
      </c>
      <c r="EH621" s="27" t="s">
        <v>166</v>
      </c>
      <c r="EI621" s="27" t="s">
        <v>166</v>
      </c>
      <c r="EJ621" s="27" t="s">
        <v>166</v>
      </c>
      <c r="EK621" s="27" t="s">
        <v>166</v>
      </c>
      <c r="EL621" s="27" t="s">
        <v>166</v>
      </c>
      <c r="EM621" s="27" t="s">
        <v>166</v>
      </c>
      <c r="EN621" s="27" t="s">
        <v>166</v>
      </c>
      <c r="EO621" s="27" t="s">
        <v>166</v>
      </c>
      <c r="EP621" s="27" t="s">
        <v>166</v>
      </c>
      <c r="EQ621" s="27" t="s">
        <v>166</v>
      </c>
      <c r="ER621" s="27" t="s">
        <v>166</v>
      </c>
      <c r="ES621" s="27" t="s">
        <v>166</v>
      </c>
      <c r="ET621" s="25" t="s">
        <v>166</v>
      </c>
      <c r="EU621" s="27" t="s">
        <v>166</v>
      </c>
      <c r="EV621" s="27" t="s">
        <v>166</v>
      </c>
      <c r="EW621" s="27" t="s">
        <v>166</v>
      </c>
      <c r="EX621" s="25" t="s">
        <v>190</v>
      </c>
      <c r="EY621" s="25" t="s">
        <v>166</v>
      </c>
      <c r="EZ621" s="27" t="s">
        <v>166</v>
      </c>
      <c r="FA621" s="26" t="s">
        <v>166</v>
      </c>
      <c r="FB621" s="26" t="s">
        <v>166</v>
      </c>
      <c r="FC621" s="26" t="s">
        <v>166</v>
      </c>
      <c r="FD621" s="26" t="s">
        <v>166</v>
      </c>
      <c r="FE621" s="26" t="s">
        <v>166</v>
      </c>
      <c r="FF621" s="26" t="s">
        <v>166</v>
      </c>
      <c r="FG621" s="25" t="s">
        <v>166</v>
      </c>
      <c r="FH621" s="4">
        <f>HYPERLINK("https://my.pitchbook.com?c=235896-13T","View Company Online")</f>
      </c>
    </row>
    <row r="622">
      <c r="A622" s="14" t="s">
        <v>11974</v>
      </c>
      <c r="B622" s="14" t="s">
        <v>11975</v>
      </c>
      <c r="C622" s="14" t="s">
        <v>11976</v>
      </c>
      <c r="D622" s="14" t="s">
        <v>166</v>
      </c>
      <c r="E622" s="23" t="s">
        <v>11977</v>
      </c>
      <c r="F622" s="21">
        <v>10</v>
      </c>
      <c r="G622" s="14" t="s">
        <v>11978</v>
      </c>
      <c r="H622" s="14" t="s">
        <v>166</v>
      </c>
      <c r="I622" s="14" t="s">
        <v>11979</v>
      </c>
      <c r="J622" s="14" t="s">
        <v>11980</v>
      </c>
      <c r="K622" s="14" t="s">
        <v>207</v>
      </c>
      <c r="L622" s="14" t="s">
        <v>208</v>
      </c>
      <c r="M622" s="14" t="s">
        <v>1766</v>
      </c>
      <c r="N622" s="14" t="s">
        <v>11981</v>
      </c>
      <c r="O622" s="14" t="s">
        <v>3984</v>
      </c>
      <c r="P622" s="14" t="s">
        <v>11982</v>
      </c>
      <c r="Q622" s="14" t="s">
        <v>926</v>
      </c>
      <c r="R622" s="14" t="s">
        <v>177</v>
      </c>
      <c r="S622" s="14" t="s">
        <v>178</v>
      </c>
      <c r="T622" s="14" t="s">
        <v>179</v>
      </c>
      <c r="U622" s="14" t="s">
        <v>11983</v>
      </c>
      <c r="V622" s="14" t="s">
        <v>11984</v>
      </c>
      <c r="W622" s="21" t="s">
        <v>11985</v>
      </c>
      <c r="X622" s="14" t="s">
        <v>11986</v>
      </c>
      <c r="Y622" s="14" t="s">
        <v>11987</v>
      </c>
      <c r="Z622" s="14" t="s">
        <v>166</v>
      </c>
      <c r="AA622" s="14" t="s">
        <v>242</v>
      </c>
      <c r="AB622" s="14" t="s">
        <v>243</v>
      </c>
      <c r="AC622" s="14" t="s">
        <v>244</v>
      </c>
      <c r="AD622" s="14" t="s">
        <v>243</v>
      </c>
      <c r="AE622" s="14" t="s">
        <v>243</v>
      </c>
      <c r="AF622" s="14" t="s">
        <v>166</v>
      </c>
      <c r="AG622" s="14" t="s">
        <v>246</v>
      </c>
      <c r="AH622" s="21">
        <v>2</v>
      </c>
      <c r="AI622" s="3">
        <f>HYPERLINK("https://my.pitchbook.com/?d=131516-65T","131516-65T")</f>
      </c>
      <c r="AJ622" s="19" t="s">
        <v>166</v>
      </c>
      <c r="AK622" s="19">
        <v>43978</v>
      </c>
      <c r="AL622" s="18">
        <v>2.04</v>
      </c>
      <c r="AM622" s="14" t="s">
        <v>185</v>
      </c>
      <c r="AN622" s="18">
        <v>4</v>
      </c>
      <c r="AO622" s="18">
        <v>6.04</v>
      </c>
      <c r="AP622" s="14" t="s">
        <v>185</v>
      </c>
      <c r="AQ622" s="21" t="s">
        <v>166</v>
      </c>
      <c r="AR622" s="21" t="s">
        <v>166</v>
      </c>
      <c r="AS622" s="17">
        <v>33.77</v>
      </c>
      <c r="AT622" s="18">
        <v>2.1</v>
      </c>
      <c r="AU622" s="21" t="s">
        <v>186</v>
      </c>
      <c r="AV622" s="21" t="s">
        <v>166</v>
      </c>
      <c r="AW622" s="18">
        <v>1.14</v>
      </c>
      <c r="AX622" s="21" t="s">
        <v>166</v>
      </c>
      <c r="AY622" s="14" t="s">
        <v>217</v>
      </c>
      <c r="AZ622" s="14" t="s">
        <v>217</v>
      </c>
      <c r="BA622" s="14" t="s">
        <v>166</v>
      </c>
      <c r="BB622" s="21" t="s">
        <v>166</v>
      </c>
      <c r="BC622" s="14" t="s">
        <v>179</v>
      </c>
      <c r="BD622" s="14" t="s">
        <v>11988</v>
      </c>
      <c r="BE622" s="14" t="s">
        <v>189</v>
      </c>
      <c r="BF622" s="18">
        <v>2.04</v>
      </c>
      <c r="BG622" s="14" t="s">
        <v>190</v>
      </c>
      <c r="BH622" s="14" t="s">
        <v>166</v>
      </c>
      <c r="BI622" s="14" t="s">
        <v>166</v>
      </c>
      <c r="BJ622" s="18" t="s">
        <v>166</v>
      </c>
      <c r="BK622" s="18" t="s">
        <v>166</v>
      </c>
      <c r="BL622" s="14" t="s">
        <v>191</v>
      </c>
      <c r="BM622" s="14" t="s">
        <v>178</v>
      </c>
      <c r="BN622" s="14" t="s">
        <v>177</v>
      </c>
      <c r="BO622" s="22" t="s">
        <v>166</v>
      </c>
      <c r="BP622" s="14" t="s">
        <v>11989</v>
      </c>
      <c r="BQ622" s="21">
        <v>10</v>
      </c>
      <c r="BR622" s="14" t="s">
        <v>166</v>
      </c>
      <c r="BS622" s="21" t="s">
        <v>166</v>
      </c>
      <c r="BT622" s="14" t="s">
        <v>11990</v>
      </c>
      <c r="BU622" s="14" t="s">
        <v>166</v>
      </c>
      <c r="BV622" s="14" t="s">
        <v>11991</v>
      </c>
      <c r="BW622" s="14" t="s">
        <v>166</v>
      </c>
      <c r="BX622" s="14" t="s">
        <v>166</v>
      </c>
      <c r="BY622" s="14" t="s">
        <v>166</v>
      </c>
      <c r="BZ622" s="14" t="s">
        <v>996</v>
      </c>
      <c r="CA622" s="14" t="s">
        <v>996</v>
      </c>
      <c r="CB622" s="14" t="s">
        <v>166</v>
      </c>
      <c r="CC622" s="14" t="s">
        <v>166</v>
      </c>
      <c r="CD622" s="14" t="s">
        <v>166</v>
      </c>
      <c r="CE622" s="18" t="s">
        <v>166</v>
      </c>
      <c r="CF622" s="16" t="s">
        <v>166</v>
      </c>
      <c r="CG622" s="17" t="s">
        <v>166</v>
      </c>
      <c r="CH622" s="16" t="s">
        <v>166</v>
      </c>
      <c r="CI622" s="16" t="s">
        <v>166</v>
      </c>
      <c r="CJ622" s="16" t="s">
        <v>166</v>
      </c>
      <c r="CK622" s="16" t="s">
        <v>166</v>
      </c>
      <c r="CL622" s="16" t="s">
        <v>166</v>
      </c>
      <c r="CM622" s="20" t="s">
        <v>166</v>
      </c>
      <c r="CN622" s="16" t="s">
        <v>166</v>
      </c>
      <c r="CO622" s="16" t="s">
        <v>166</v>
      </c>
      <c r="CP622" s="16" t="s">
        <v>166</v>
      </c>
      <c r="CQ622" s="16" t="s">
        <v>166</v>
      </c>
      <c r="CR622" s="16" t="s">
        <v>166</v>
      </c>
      <c r="CS622" s="16" t="s">
        <v>166</v>
      </c>
      <c r="CT622" s="16" t="s">
        <v>166</v>
      </c>
      <c r="CU622" s="16" t="s">
        <v>166</v>
      </c>
      <c r="CV622" s="16" t="s">
        <v>166</v>
      </c>
      <c r="CW622" s="16" t="s">
        <v>166</v>
      </c>
      <c r="CX622" s="16" t="s">
        <v>166</v>
      </c>
      <c r="CY622" s="16" t="s">
        <v>166</v>
      </c>
      <c r="CZ622" s="16" t="s">
        <v>166</v>
      </c>
      <c r="DA622" s="16" t="s">
        <v>166</v>
      </c>
      <c r="DB622" s="16" t="s">
        <v>166</v>
      </c>
      <c r="DC622" s="16" t="s">
        <v>166</v>
      </c>
      <c r="DD622" s="16" t="s">
        <v>166</v>
      </c>
      <c r="DE622" s="17" t="s">
        <v>166</v>
      </c>
      <c r="DF622" s="22">
        <v>30</v>
      </c>
      <c r="DG622" s="14" t="s">
        <v>309</v>
      </c>
      <c r="DH622" s="14" t="s">
        <v>193</v>
      </c>
      <c r="DI622" s="14" t="s">
        <v>194</v>
      </c>
      <c r="DJ622" s="14" t="s">
        <v>310</v>
      </c>
      <c r="DK622" s="14" t="s">
        <v>310</v>
      </c>
      <c r="DL622" s="21" t="s">
        <v>479</v>
      </c>
      <c r="DM622" s="14" t="s">
        <v>198</v>
      </c>
      <c r="DN622" s="13" t="s">
        <v>11992</v>
      </c>
      <c r="DO622" s="20">
        <v>2016</v>
      </c>
      <c r="DP622" s="14" t="s">
        <v>166</v>
      </c>
      <c r="DQ622" s="14" t="s">
        <v>166</v>
      </c>
      <c r="DR622" s="18" t="s">
        <v>166</v>
      </c>
      <c r="DS622" s="16" t="s">
        <v>166</v>
      </c>
      <c r="DT622" s="19" t="s">
        <v>166</v>
      </c>
      <c r="DU622" s="14" t="s">
        <v>166</v>
      </c>
      <c r="DV622" s="18" t="s">
        <v>166</v>
      </c>
      <c r="DW622" s="18" t="s">
        <v>166</v>
      </c>
      <c r="DX622" s="16" t="s">
        <v>166</v>
      </c>
      <c r="DY622" s="16" t="s">
        <v>166</v>
      </c>
      <c r="DZ622" s="17" t="s">
        <v>166</v>
      </c>
      <c r="EA622" s="16" t="s">
        <v>166</v>
      </c>
      <c r="EB622" s="16" t="s">
        <v>166</v>
      </c>
      <c r="EC622" s="16" t="s">
        <v>166</v>
      </c>
      <c r="ED622" s="17" t="s">
        <v>166</v>
      </c>
      <c r="EE622" s="17" t="s">
        <v>166</v>
      </c>
      <c r="EF622" s="17" t="s">
        <v>166</v>
      </c>
      <c r="EG622" s="17" t="s">
        <v>166</v>
      </c>
      <c r="EH622" s="16" t="s">
        <v>166</v>
      </c>
      <c r="EI622" s="16" t="s">
        <v>166</v>
      </c>
      <c r="EJ622" s="16" t="s">
        <v>166</v>
      </c>
      <c r="EK622" s="16" t="s">
        <v>166</v>
      </c>
      <c r="EL622" s="16" t="s">
        <v>166</v>
      </c>
      <c r="EM622" s="16" t="s">
        <v>166</v>
      </c>
      <c r="EN622" s="16" t="s">
        <v>166</v>
      </c>
      <c r="EO622" s="16" t="s">
        <v>166</v>
      </c>
      <c r="EP622" s="16" t="s">
        <v>166</v>
      </c>
      <c r="EQ622" s="16" t="s">
        <v>166</v>
      </c>
      <c r="ER622" s="16" t="s">
        <v>166</v>
      </c>
      <c r="ES622" s="16" t="s">
        <v>166</v>
      </c>
      <c r="ET622" s="14" t="s">
        <v>166</v>
      </c>
      <c r="EU622" s="16" t="s">
        <v>166</v>
      </c>
      <c r="EV622" s="16" t="s">
        <v>166</v>
      </c>
      <c r="EW622" s="16" t="s">
        <v>166</v>
      </c>
      <c r="EX622" s="14" t="s">
        <v>190</v>
      </c>
      <c r="EY622" s="14" t="s">
        <v>166</v>
      </c>
      <c r="EZ622" s="16" t="s">
        <v>166</v>
      </c>
      <c r="FA622" s="15" t="s">
        <v>166</v>
      </c>
      <c r="FB622" s="15" t="s">
        <v>166</v>
      </c>
      <c r="FC622" s="15" t="s">
        <v>166</v>
      </c>
      <c r="FD622" s="15" t="s">
        <v>166</v>
      </c>
      <c r="FE622" s="15" t="s">
        <v>166</v>
      </c>
      <c r="FF622" s="15" t="s">
        <v>166</v>
      </c>
      <c r="FG622" s="14" t="s">
        <v>166</v>
      </c>
      <c r="FH622" s="3">
        <f>HYPERLINK("https://my.pitchbook.com?c=131516-65T","View Company Online")</f>
      </c>
    </row>
    <row r="623">
      <c r="A623" s="25" t="s">
        <v>11993</v>
      </c>
      <c r="B623" s="25" t="s">
        <v>11994</v>
      </c>
      <c r="C623" s="25" t="s">
        <v>11995</v>
      </c>
      <c r="D623" s="25" t="s">
        <v>166</v>
      </c>
      <c r="E623" s="34" t="s">
        <v>11996</v>
      </c>
      <c r="F623" s="32">
        <v>3</v>
      </c>
      <c r="G623" s="25" t="s">
        <v>11997</v>
      </c>
      <c r="H623" s="25" t="s">
        <v>166</v>
      </c>
      <c r="I623" s="25" t="s">
        <v>11998</v>
      </c>
      <c r="J623" s="25" t="s">
        <v>11999</v>
      </c>
      <c r="K623" s="25" t="s">
        <v>207</v>
      </c>
      <c r="L623" s="25" t="s">
        <v>208</v>
      </c>
      <c r="M623" s="25" t="s">
        <v>882</v>
      </c>
      <c r="N623" s="25" t="s">
        <v>12000</v>
      </c>
      <c r="O623" s="25" t="s">
        <v>665</v>
      </c>
      <c r="P623" s="25" t="s">
        <v>12001</v>
      </c>
      <c r="Q623" s="25" t="s">
        <v>166</v>
      </c>
      <c r="R623" s="25" t="s">
        <v>177</v>
      </c>
      <c r="S623" s="25" t="s">
        <v>178</v>
      </c>
      <c r="T623" s="25" t="s">
        <v>179</v>
      </c>
      <c r="U623" s="25" t="s">
        <v>12002</v>
      </c>
      <c r="V623" s="25" t="s">
        <v>12003</v>
      </c>
      <c r="W623" s="32" t="s">
        <v>12004</v>
      </c>
      <c r="X623" s="25" t="s">
        <v>166</v>
      </c>
      <c r="Y623" s="25" t="s">
        <v>12005</v>
      </c>
      <c r="Z623" s="25" t="s">
        <v>166</v>
      </c>
      <c r="AA623" s="25" t="s">
        <v>166</v>
      </c>
      <c r="AB623" s="25" t="s">
        <v>166</v>
      </c>
      <c r="AC623" s="25" t="s">
        <v>166</v>
      </c>
      <c r="AD623" s="25" t="s">
        <v>166</v>
      </c>
      <c r="AE623" s="25" t="s">
        <v>166</v>
      </c>
      <c r="AF623" s="25" t="s">
        <v>166</v>
      </c>
      <c r="AG623" s="25" t="s">
        <v>166</v>
      </c>
      <c r="AH623" s="32">
        <v>1</v>
      </c>
      <c r="AI623" s="4">
        <f>HYPERLINK("https://my.pitchbook.com/?d=224152-12T","224152-12T")</f>
      </c>
      <c r="AJ623" s="30">
        <v>44951</v>
      </c>
      <c r="AK623" s="30">
        <v>44965</v>
      </c>
      <c r="AL623" s="29">
        <v>3.37</v>
      </c>
      <c r="AM623" s="25" t="s">
        <v>185</v>
      </c>
      <c r="AN623" s="29" t="s">
        <v>166</v>
      </c>
      <c r="AO623" s="29" t="s">
        <v>166</v>
      </c>
      <c r="AP623" s="25" t="s">
        <v>166</v>
      </c>
      <c r="AQ623" s="32" t="s">
        <v>166</v>
      </c>
      <c r="AR623" s="32" t="s">
        <v>166</v>
      </c>
      <c r="AS623" s="28" t="s">
        <v>166</v>
      </c>
      <c r="AT623" s="29">
        <v>3.37</v>
      </c>
      <c r="AU623" s="32" t="s">
        <v>186</v>
      </c>
      <c r="AV623" s="32" t="s">
        <v>166</v>
      </c>
      <c r="AW623" s="29" t="s">
        <v>166</v>
      </c>
      <c r="AX623" s="32" t="s">
        <v>166</v>
      </c>
      <c r="AY623" s="25" t="s">
        <v>217</v>
      </c>
      <c r="AZ623" s="25" t="s">
        <v>217</v>
      </c>
      <c r="BA623" s="25" t="s">
        <v>166</v>
      </c>
      <c r="BB623" s="32" t="s">
        <v>166</v>
      </c>
      <c r="BC623" s="25" t="s">
        <v>179</v>
      </c>
      <c r="BD623" s="25" t="s">
        <v>11999</v>
      </c>
      <c r="BE623" s="25" t="s">
        <v>189</v>
      </c>
      <c r="BF623" s="29" t="s">
        <v>166</v>
      </c>
      <c r="BG623" s="25" t="s">
        <v>190</v>
      </c>
      <c r="BH623" s="25" t="s">
        <v>166</v>
      </c>
      <c r="BI623" s="25" t="s">
        <v>166</v>
      </c>
      <c r="BJ623" s="29" t="s">
        <v>166</v>
      </c>
      <c r="BK623" s="29" t="s">
        <v>166</v>
      </c>
      <c r="BL623" s="25" t="s">
        <v>191</v>
      </c>
      <c r="BM623" s="25" t="s">
        <v>178</v>
      </c>
      <c r="BN623" s="25" t="s">
        <v>177</v>
      </c>
      <c r="BO623" s="33" t="s">
        <v>166</v>
      </c>
      <c r="BP623" s="25" t="s">
        <v>11996</v>
      </c>
      <c r="BQ623" s="32">
        <v>3</v>
      </c>
      <c r="BR623" s="25" t="s">
        <v>166</v>
      </c>
      <c r="BS623" s="32" t="s">
        <v>166</v>
      </c>
      <c r="BT623" s="25" t="s">
        <v>166</v>
      </c>
      <c r="BU623" s="25" t="s">
        <v>166</v>
      </c>
      <c r="BV623" s="25" t="s">
        <v>166</v>
      </c>
      <c r="BW623" s="25" t="s">
        <v>166</v>
      </c>
      <c r="BX623" s="25" t="s">
        <v>166</v>
      </c>
      <c r="BY623" s="25" t="s">
        <v>166</v>
      </c>
      <c r="BZ623" s="25" t="s">
        <v>166</v>
      </c>
      <c r="CA623" s="25" t="s">
        <v>166</v>
      </c>
      <c r="CB623" s="25" t="s">
        <v>166</v>
      </c>
      <c r="CC623" s="25" t="s">
        <v>166</v>
      </c>
      <c r="CD623" s="25" t="s">
        <v>166</v>
      </c>
      <c r="CE623" s="29" t="s">
        <v>166</v>
      </c>
      <c r="CF623" s="27" t="s">
        <v>166</v>
      </c>
      <c r="CG623" s="28" t="s">
        <v>166</v>
      </c>
      <c r="CH623" s="27" t="s">
        <v>166</v>
      </c>
      <c r="CI623" s="27" t="s">
        <v>166</v>
      </c>
      <c r="CJ623" s="27" t="s">
        <v>166</v>
      </c>
      <c r="CK623" s="27" t="s">
        <v>166</v>
      </c>
      <c r="CL623" s="27" t="s">
        <v>166</v>
      </c>
      <c r="CM623" s="31" t="s">
        <v>166</v>
      </c>
      <c r="CN623" s="27" t="s">
        <v>166</v>
      </c>
      <c r="CO623" s="27" t="s">
        <v>166</v>
      </c>
      <c r="CP623" s="27" t="s">
        <v>166</v>
      </c>
      <c r="CQ623" s="27" t="s">
        <v>166</v>
      </c>
      <c r="CR623" s="27" t="s">
        <v>166</v>
      </c>
      <c r="CS623" s="27" t="s">
        <v>166</v>
      </c>
      <c r="CT623" s="27" t="s">
        <v>166</v>
      </c>
      <c r="CU623" s="27" t="s">
        <v>166</v>
      </c>
      <c r="CV623" s="27" t="s">
        <v>166</v>
      </c>
      <c r="CW623" s="27" t="s">
        <v>166</v>
      </c>
      <c r="CX623" s="27" t="s">
        <v>166</v>
      </c>
      <c r="CY623" s="27" t="s">
        <v>166</v>
      </c>
      <c r="CZ623" s="27" t="s">
        <v>166</v>
      </c>
      <c r="DA623" s="27" t="s">
        <v>166</v>
      </c>
      <c r="DB623" s="27" t="s">
        <v>166</v>
      </c>
      <c r="DC623" s="27" t="s">
        <v>166</v>
      </c>
      <c r="DD623" s="27" t="s">
        <v>166</v>
      </c>
      <c r="DE623" s="28" t="s">
        <v>166</v>
      </c>
      <c r="DF623" s="33">
        <v>3</v>
      </c>
      <c r="DG623" s="25" t="s">
        <v>9066</v>
      </c>
      <c r="DH623" s="25" t="s">
        <v>193</v>
      </c>
      <c r="DI623" s="25" t="s">
        <v>194</v>
      </c>
      <c r="DJ623" s="25" t="s">
        <v>9067</v>
      </c>
      <c r="DK623" s="25" t="s">
        <v>1063</v>
      </c>
      <c r="DL623" s="32" t="s">
        <v>11469</v>
      </c>
      <c r="DM623" s="25" t="s">
        <v>198</v>
      </c>
      <c r="DN623" s="24" t="s">
        <v>12006</v>
      </c>
      <c r="DO623" s="31">
        <v>2022</v>
      </c>
      <c r="DP623" s="25" t="s">
        <v>166</v>
      </c>
      <c r="DQ623" s="25" t="s">
        <v>166</v>
      </c>
      <c r="DR623" s="29" t="s">
        <v>166</v>
      </c>
      <c r="DS623" s="27" t="s">
        <v>166</v>
      </c>
      <c r="DT623" s="30" t="s">
        <v>166</v>
      </c>
      <c r="DU623" s="25" t="s">
        <v>166</v>
      </c>
      <c r="DV623" s="29" t="s">
        <v>166</v>
      </c>
      <c r="DW623" s="29" t="s">
        <v>166</v>
      </c>
      <c r="DX623" s="27" t="s">
        <v>166</v>
      </c>
      <c r="DY623" s="27" t="s">
        <v>166</v>
      </c>
      <c r="DZ623" s="28" t="s">
        <v>166</v>
      </c>
      <c r="EA623" s="27" t="s">
        <v>166</v>
      </c>
      <c r="EB623" s="27" t="s">
        <v>166</v>
      </c>
      <c r="EC623" s="27" t="s">
        <v>166</v>
      </c>
      <c r="ED623" s="28" t="s">
        <v>166</v>
      </c>
      <c r="EE623" s="28" t="s">
        <v>166</v>
      </c>
      <c r="EF623" s="28" t="s">
        <v>166</v>
      </c>
      <c r="EG623" s="28" t="s">
        <v>166</v>
      </c>
      <c r="EH623" s="27" t="s">
        <v>166</v>
      </c>
      <c r="EI623" s="27" t="s">
        <v>166</v>
      </c>
      <c r="EJ623" s="27" t="s">
        <v>166</v>
      </c>
      <c r="EK623" s="27" t="s">
        <v>166</v>
      </c>
      <c r="EL623" s="27" t="s">
        <v>166</v>
      </c>
      <c r="EM623" s="27" t="s">
        <v>166</v>
      </c>
      <c r="EN623" s="27" t="s">
        <v>166</v>
      </c>
      <c r="EO623" s="27" t="s">
        <v>166</v>
      </c>
      <c r="EP623" s="27" t="s">
        <v>166</v>
      </c>
      <c r="EQ623" s="27" t="s">
        <v>166</v>
      </c>
      <c r="ER623" s="27" t="s">
        <v>166</v>
      </c>
      <c r="ES623" s="27" t="s">
        <v>166</v>
      </c>
      <c r="ET623" s="25" t="s">
        <v>166</v>
      </c>
      <c r="EU623" s="27" t="s">
        <v>166</v>
      </c>
      <c r="EV623" s="27" t="s">
        <v>166</v>
      </c>
      <c r="EW623" s="27" t="s">
        <v>166</v>
      </c>
      <c r="EX623" s="25" t="s">
        <v>190</v>
      </c>
      <c r="EY623" s="25" t="s">
        <v>166</v>
      </c>
      <c r="EZ623" s="27" t="s">
        <v>166</v>
      </c>
      <c r="FA623" s="26" t="s">
        <v>166</v>
      </c>
      <c r="FB623" s="26" t="s">
        <v>166</v>
      </c>
      <c r="FC623" s="26" t="s">
        <v>166</v>
      </c>
      <c r="FD623" s="26" t="s">
        <v>166</v>
      </c>
      <c r="FE623" s="26" t="s">
        <v>166</v>
      </c>
      <c r="FF623" s="26" t="s">
        <v>166</v>
      </c>
      <c r="FG623" s="25" t="s">
        <v>166</v>
      </c>
      <c r="FH623" s="4">
        <f>HYPERLINK("https://my.pitchbook.com?c=224152-12T","View Company Online")</f>
      </c>
    </row>
    <row r="624">
      <c r="A624" s="14" t="s">
        <v>12007</v>
      </c>
      <c r="B624" s="14" t="s">
        <v>12008</v>
      </c>
      <c r="C624" s="14" t="s">
        <v>12009</v>
      </c>
      <c r="D624" s="14" t="s">
        <v>166</v>
      </c>
      <c r="E624" s="23" t="s">
        <v>12010</v>
      </c>
      <c r="F624" s="21">
        <v>1</v>
      </c>
      <c r="G624" s="14" t="s">
        <v>166</v>
      </c>
      <c r="H624" s="14" t="s">
        <v>166</v>
      </c>
      <c r="I624" s="14" t="s">
        <v>12011</v>
      </c>
      <c r="J624" s="14" t="s">
        <v>12012</v>
      </c>
      <c r="K624" s="14" t="s">
        <v>207</v>
      </c>
      <c r="L624" s="14" t="s">
        <v>208</v>
      </c>
      <c r="M624" s="14" t="s">
        <v>209</v>
      </c>
      <c r="N624" s="14" t="s">
        <v>6422</v>
      </c>
      <c r="O624" s="14" t="s">
        <v>800</v>
      </c>
      <c r="P624" s="14" t="s">
        <v>12013</v>
      </c>
      <c r="Q624" s="14" t="s">
        <v>166</v>
      </c>
      <c r="R624" s="14" t="s">
        <v>177</v>
      </c>
      <c r="S624" s="14" t="s">
        <v>178</v>
      </c>
      <c r="T624" s="14" t="s">
        <v>179</v>
      </c>
      <c r="U624" s="14" t="s">
        <v>12014</v>
      </c>
      <c r="V624" s="14" t="s">
        <v>12015</v>
      </c>
      <c r="W624" s="21" t="s">
        <v>12016</v>
      </c>
      <c r="X624" s="14" t="s">
        <v>166</v>
      </c>
      <c r="Y624" s="14" t="s">
        <v>12017</v>
      </c>
      <c r="Z624" s="14" t="s">
        <v>12018</v>
      </c>
      <c r="AA624" s="14" t="s">
        <v>166</v>
      </c>
      <c r="AB624" s="14" t="s">
        <v>166</v>
      </c>
      <c r="AC624" s="14" t="s">
        <v>166</v>
      </c>
      <c r="AD624" s="14" t="s">
        <v>166</v>
      </c>
      <c r="AE624" s="14" t="s">
        <v>166</v>
      </c>
      <c r="AF624" s="14" t="s">
        <v>166</v>
      </c>
      <c r="AG624" s="14" t="s">
        <v>166</v>
      </c>
      <c r="AH624" s="21">
        <v>1</v>
      </c>
      <c r="AI624" s="3">
        <f>HYPERLINK("https://my.pitchbook.com/?d=172788-76T","172788-76T")</f>
      </c>
      <c r="AJ624" s="19" t="s">
        <v>166</v>
      </c>
      <c r="AK624" s="19">
        <v>43831</v>
      </c>
      <c r="AL624" s="18">
        <v>0.2</v>
      </c>
      <c r="AM624" s="14" t="s">
        <v>185</v>
      </c>
      <c r="AN624" s="18" t="s">
        <v>166</v>
      </c>
      <c r="AO624" s="18" t="s">
        <v>166</v>
      </c>
      <c r="AP624" s="14" t="s">
        <v>166</v>
      </c>
      <c r="AQ624" s="21" t="s">
        <v>166</v>
      </c>
      <c r="AR624" s="21" t="s">
        <v>166</v>
      </c>
      <c r="AS624" s="17" t="s">
        <v>166</v>
      </c>
      <c r="AT624" s="18">
        <v>0.2</v>
      </c>
      <c r="AU624" s="21" t="s">
        <v>186</v>
      </c>
      <c r="AV624" s="21" t="s">
        <v>166</v>
      </c>
      <c r="AW624" s="18" t="s">
        <v>166</v>
      </c>
      <c r="AX624" s="21" t="s">
        <v>166</v>
      </c>
      <c r="AY624" s="14" t="s">
        <v>217</v>
      </c>
      <c r="AZ624" s="14" t="s">
        <v>217</v>
      </c>
      <c r="BA624" s="14" t="s">
        <v>166</v>
      </c>
      <c r="BB624" s="21" t="s">
        <v>166</v>
      </c>
      <c r="BC624" s="14" t="s">
        <v>2991</v>
      </c>
      <c r="BD624" s="14" t="s">
        <v>12019</v>
      </c>
      <c r="BE624" s="14" t="s">
        <v>189</v>
      </c>
      <c r="BF624" s="18">
        <v>0.2</v>
      </c>
      <c r="BG624" s="14" t="s">
        <v>190</v>
      </c>
      <c r="BH624" s="14" t="s">
        <v>166</v>
      </c>
      <c r="BI624" s="14" t="s">
        <v>166</v>
      </c>
      <c r="BJ624" s="18" t="s">
        <v>166</v>
      </c>
      <c r="BK624" s="18" t="s">
        <v>166</v>
      </c>
      <c r="BL624" s="14" t="s">
        <v>191</v>
      </c>
      <c r="BM624" s="14" t="s">
        <v>358</v>
      </c>
      <c r="BN624" s="14" t="s">
        <v>177</v>
      </c>
      <c r="BO624" s="22" t="s">
        <v>166</v>
      </c>
      <c r="BP624" s="14" t="s">
        <v>12020</v>
      </c>
      <c r="BQ624" s="21">
        <v>1</v>
      </c>
      <c r="BR624" s="14" t="s">
        <v>166</v>
      </c>
      <c r="BS624" s="21" t="s">
        <v>166</v>
      </c>
      <c r="BT624" s="14" t="s">
        <v>166</v>
      </c>
      <c r="BU624" s="14" t="s">
        <v>166</v>
      </c>
      <c r="BV624" s="14" t="s">
        <v>166</v>
      </c>
      <c r="BW624" s="14" t="s">
        <v>166</v>
      </c>
      <c r="BX624" s="14" t="s">
        <v>166</v>
      </c>
      <c r="BY624" s="14" t="s">
        <v>166</v>
      </c>
      <c r="BZ624" s="14" t="s">
        <v>166</v>
      </c>
      <c r="CA624" s="14" t="s">
        <v>166</v>
      </c>
      <c r="CB624" s="14" t="s">
        <v>166</v>
      </c>
      <c r="CC624" s="14" t="s">
        <v>166</v>
      </c>
      <c r="CD624" s="14" t="s">
        <v>166</v>
      </c>
      <c r="CE624" s="18" t="s">
        <v>166</v>
      </c>
      <c r="CF624" s="16" t="s">
        <v>166</v>
      </c>
      <c r="CG624" s="17" t="s">
        <v>166</v>
      </c>
      <c r="CH624" s="16" t="s">
        <v>166</v>
      </c>
      <c r="CI624" s="16" t="s">
        <v>166</v>
      </c>
      <c r="CJ624" s="16" t="s">
        <v>166</v>
      </c>
      <c r="CK624" s="16" t="s">
        <v>166</v>
      </c>
      <c r="CL624" s="16" t="s">
        <v>166</v>
      </c>
      <c r="CM624" s="20" t="s">
        <v>166</v>
      </c>
      <c r="CN624" s="16" t="s">
        <v>166</v>
      </c>
      <c r="CO624" s="16" t="s">
        <v>166</v>
      </c>
      <c r="CP624" s="16" t="s">
        <v>166</v>
      </c>
      <c r="CQ624" s="16" t="s">
        <v>166</v>
      </c>
      <c r="CR624" s="16" t="s">
        <v>166</v>
      </c>
      <c r="CS624" s="16" t="s">
        <v>166</v>
      </c>
      <c r="CT624" s="16" t="s">
        <v>166</v>
      </c>
      <c r="CU624" s="16" t="s">
        <v>166</v>
      </c>
      <c r="CV624" s="16" t="s">
        <v>166</v>
      </c>
      <c r="CW624" s="16" t="s">
        <v>166</v>
      </c>
      <c r="CX624" s="16" t="s">
        <v>166</v>
      </c>
      <c r="CY624" s="16" t="s">
        <v>166</v>
      </c>
      <c r="CZ624" s="16" t="s">
        <v>166</v>
      </c>
      <c r="DA624" s="16" t="s">
        <v>166</v>
      </c>
      <c r="DB624" s="16" t="s">
        <v>166</v>
      </c>
      <c r="DC624" s="16" t="s">
        <v>166</v>
      </c>
      <c r="DD624" s="16" t="s">
        <v>166</v>
      </c>
      <c r="DE624" s="17" t="s">
        <v>166</v>
      </c>
      <c r="DF624" s="22">
        <v>4</v>
      </c>
      <c r="DG624" s="14" t="s">
        <v>12021</v>
      </c>
      <c r="DH624" s="14" t="s">
        <v>193</v>
      </c>
      <c r="DI624" s="14" t="s">
        <v>194</v>
      </c>
      <c r="DJ624" s="14" t="s">
        <v>12022</v>
      </c>
      <c r="DK624" s="14" t="s">
        <v>196</v>
      </c>
      <c r="DL624" s="21" t="s">
        <v>166</v>
      </c>
      <c r="DM624" s="14" t="s">
        <v>198</v>
      </c>
      <c r="DN624" s="13" t="s">
        <v>12023</v>
      </c>
      <c r="DO624" s="20">
        <v>2018</v>
      </c>
      <c r="DP624" s="14" t="s">
        <v>166</v>
      </c>
      <c r="DQ624" s="14" t="s">
        <v>166</v>
      </c>
      <c r="DR624" s="18" t="s">
        <v>166</v>
      </c>
      <c r="DS624" s="16" t="s">
        <v>166</v>
      </c>
      <c r="DT624" s="19" t="s">
        <v>166</v>
      </c>
      <c r="DU624" s="14" t="s">
        <v>166</v>
      </c>
      <c r="DV624" s="18" t="s">
        <v>166</v>
      </c>
      <c r="DW624" s="18" t="s">
        <v>166</v>
      </c>
      <c r="DX624" s="16" t="s">
        <v>166</v>
      </c>
      <c r="DY624" s="16" t="s">
        <v>166</v>
      </c>
      <c r="DZ624" s="17" t="s">
        <v>166</v>
      </c>
      <c r="EA624" s="16" t="s">
        <v>166</v>
      </c>
      <c r="EB624" s="16" t="s">
        <v>166</v>
      </c>
      <c r="EC624" s="16" t="s">
        <v>166</v>
      </c>
      <c r="ED624" s="17" t="s">
        <v>166</v>
      </c>
      <c r="EE624" s="17" t="s">
        <v>166</v>
      </c>
      <c r="EF624" s="17" t="s">
        <v>166</v>
      </c>
      <c r="EG624" s="17" t="s">
        <v>166</v>
      </c>
      <c r="EH624" s="16" t="s">
        <v>166</v>
      </c>
      <c r="EI624" s="16" t="s">
        <v>166</v>
      </c>
      <c r="EJ624" s="16" t="s">
        <v>166</v>
      </c>
      <c r="EK624" s="16" t="s">
        <v>166</v>
      </c>
      <c r="EL624" s="16" t="s">
        <v>166</v>
      </c>
      <c r="EM624" s="16" t="s">
        <v>166</v>
      </c>
      <c r="EN624" s="16" t="s">
        <v>166</v>
      </c>
      <c r="EO624" s="16" t="s">
        <v>166</v>
      </c>
      <c r="EP624" s="16" t="s">
        <v>166</v>
      </c>
      <c r="EQ624" s="16" t="s">
        <v>166</v>
      </c>
      <c r="ER624" s="16" t="s">
        <v>166</v>
      </c>
      <c r="ES624" s="16" t="s">
        <v>166</v>
      </c>
      <c r="ET624" s="14" t="s">
        <v>166</v>
      </c>
      <c r="EU624" s="16" t="s">
        <v>166</v>
      </c>
      <c r="EV624" s="16" t="s">
        <v>166</v>
      </c>
      <c r="EW624" s="16" t="s">
        <v>166</v>
      </c>
      <c r="EX624" s="14" t="s">
        <v>190</v>
      </c>
      <c r="EY624" s="14" t="s">
        <v>166</v>
      </c>
      <c r="EZ624" s="16" t="s">
        <v>166</v>
      </c>
      <c r="FA624" s="15" t="s">
        <v>166</v>
      </c>
      <c r="FB624" s="15" t="s">
        <v>166</v>
      </c>
      <c r="FC624" s="15" t="s">
        <v>166</v>
      </c>
      <c r="FD624" s="15" t="s">
        <v>166</v>
      </c>
      <c r="FE624" s="15" t="s">
        <v>166</v>
      </c>
      <c r="FF624" s="15" t="s">
        <v>166</v>
      </c>
      <c r="FG624" s="14" t="s">
        <v>166</v>
      </c>
      <c r="FH624" s="3">
        <f>HYPERLINK("https://my.pitchbook.com?c=172788-76T","View Company Online")</f>
      </c>
    </row>
    <row r="625">
      <c r="A625" s="25" t="s">
        <v>12024</v>
      </c>
      <c r="B625" s="25" t="s">
        <v>12025</v>
      </c>
      <c r="C625" s="25" t="s">
        <v>12026</v>
      </c>
      <c r="D625" s="25" t="s">
        <v>166</v>
      </c>
      <c r="E625" s="34" t="s">
        <v>12027</v>
      </c>
      <c r="F625" s="32">
        <v>4</v>
      </c>
      <c r="G625" s="25" t="s">
        <v>12028</v>
      </c>
      <c r="H625" s="25" t="s">
        <v>166</v>
      </c>
      <c r="I625" s="25" t="s">
        <v>12029</v>
      </c>
      <c r="J625" s="25" t="s">
        <v>12030</v>
      </c>
      <c r="K625" s="25" t="s">
        <v>207</v>
      </c>
      <c r="L625" s="25" t="s">
        <v>208</v>
      </c>
      <c r="M625" s="25" t="s">
        <v>209</v>
      </c>
      <c r="N625" s="25" t="s">
        <v>269</v>
      </c>
      <c r="O625" s="25" t="s">
        <v>665</v>
      </c>
      <c r="P625" s="25" t="s">
        <v>12031</v>
      </c>
      <c r="Q625" s="25" t="s">
        <v>11255</v>
      </c>
      <c r="R625" s="25" t="s">
        <v>177</v>
      </c>
      <c r="S625" s="25" t="s">
        <v>178</v>
      </c>
      <c r="T625" s="25" t="s">
        <v>179</v>
      </c>
      <c r="U625" s="25" t="s">
        <v>12032</v>
      </c>
      <c r="V625" s="25" t="s">
        <v>12033</v>
      </c>
      <c r="W625" s="32" t="s">
        <v>12034</v>
      </c>
      <c r="X625" s="25" t="s">
        <v>12035</v>
      </c>
      <c r="Y625" s="25" t="s">
        <v>12036</v>
      </c>
      <c r="Z625" s="25" t="s">
        <v>12037</v>
      </c>
      <c r="AA625" s="25" t="s">
        <v>242</v>
      </c>
      <c r="AB625" s="25" t="s">
        <v>243</v>
      </c>
      <c r="AC625" s="25" t="s">
        <v>244</v>
      </c>
      <c r="AD625" s="25" t="s">
        <v>243</v>
      </c>
      <c r="AE625" s="25" t="s">
        <v>243</v>
      </c>
      <c r="AF625" s="25" t="s">
        <v>245</v>
      </c>
      <c r="AG625" s="25" t="s">
        <v>246</v>
      </c>
      <c r="AH625" s="32">
        <v>2</v>
      </c>
      <c r="AI625" s="4">
        <f>HYPERLINK("https://my.pitchbook.com/?d=204559-57T","204559-57T")</f>
      </c>
      <c r="AJ625" s="30">
        <v>44762</v>
      </c>
      <c r="AK625" s="30">
        <v>44775</v>
      </c>
      <c r="AL625" s="29">
        <v>4.5</v>
      </c>
      <c r="AM625" s="25" t="s">
        <v>185</v>
      </c>
      <c r="AN625" s="29">
        <v>15.5</v>
      </c>
      <c r="AO625" s="29">
        <v>20</v>
      </c>
      <c r="AP625" s="25" t="s">
        <v>185</v>
      </c>
      <c r="AQ625" s="32" t="s">
        <v>166</v>
      </c>
      <c r="AR625" s="32" t="s">
        <v>166</v>
      </c>
      <c r="AS625" s="28">
        <v>22.5</v>
      </c>
      <c r="AT625" s="29">
        <v>4.5</v>
      </c>
      <c r="AU625" s="32" t="s">
        <v>186</v>
      </c>
      <c r="AV625" s="32" t="s">
        <v>166</v>
      </c>
      <c r="AW625" s="29">
        <v>1.35</v>
      </c>
      <c r="AX625" s="32" t="s">
        <v>166</v>
      </c>
      <c r="AY625" s="25" t="s">
        <v>217</v>
      </c>
      <c r="AZ625" s="25" t="s">
        <v>217</v>
      </c>
      <c r="BA625" s="25" t="s">
        <v>166</v>
      </c>
      <c r="BB625" s="32" t="s">
        <v>166</v>
      </c>
      <c r="BC625" s="25" t="s">
        <v>179</v>
      </c>
      <c r="BD625" s="25" t="s">
        <v>12038</v>
      </c>
      <c r="BE625" s="25" t="s">
        <v>189</v>
      </c>
      <c r="BF625" s="29">
        <v>4.5</v>
      </c>
      <c r="BG625" s="25" t="s">
        <v>190</v>
      </c>
      <c r="BH625" s="25" t="s">
        <v>166</v>
      </c>
      <c r="BI625" s="25" t="s">
        <v>166</v>
      </c>
      <c r="BJ625" s="29" t="s">
        <v>166</v>
      </c>
      <c r="BK625" s="29" t="s">
        <v>166</v>
      </c>
      <c r="BL625" s="25" t="s">
        <v>191</v>
      </c>
      <c r="BM625" s="25" t="s">
        <v>178</v>
      </c>
      <c r="BN625" s="25" t="s">
        <v>177</v>
      </c>
      <c r="BO625" s="33" t="s">
        <v>166</v>
      </c>
      <c r="BP625" s="25" t="s">
        <v>12039</v>
      </c>
      <c r="BQ625" s="32">
        <v>4</v>
      </c>
      <c r="BR625" s="25" t="s">
        <v>166</v>
      </c>
      <c r="BS625" s="32" t="s">
        <v>166</v>
      </c>
      <c r="BT625" s="25" t="s">
        <v>12040</v>
      </c>
      <c r="BU625" s="25" t="s">
        <v>166</v>
      </c>
      <c r="BV625" s="25" t="s">
        <v>7619</v>
      </c>
      <c r="BW625" s="25" t="s">
        <v>166</v>
      </c>
      <c r="BX625" s="25" t="s">
        <v>166</v>
      </c>
      <c r="BY625" s="25" t="s">
        <v>166</v>
      </c>
      <c r="BZ625" s="25" t="s">
        <v>12041</v>
      </c>
      <c r="CA625" s="25" t="s">
        <v>12041</v>
      </c>
      <c r="CB625" s="25" t="s">
        <v>166</v>
      </c>
      <c r="CC625" s="25" t="s">
        <v>166</v>
      </c>
      <c r="CD625" s="25" t="s">
        <v>166</v>
      </c>
      <c r="CE625" s="29" t="s">
        <v>166</v>
      </c>
      <c r="CF625" s="27" t="s">
        <v>166</v>
      </c>
      <c r="CG625" s="28" t="s">
        <v>166</v>
      </c>
      <c r="CH625" s="27" t="s">
        <v>166</v>
      </c>
      <c r="CI625" s="27" t="s">
        <v>166</v>
      </c>
      <c r="CJ625" s="27" t="s">
        <v>166</v>
      </c>
      <c r="CK625" s="27" t="s">
        <v>166</v>
      </c>
      <c r="CL625" s="27" t="s">
        <v>166</v>
      </c>
      <c r="CM625" s="31" t="s">
        <v>166</v>
      </c>
      <c r="CN625" s="27" t="s">
        <v>166</v>
      </c>
      <c r="CO625" s="27" t="s">
        <v>166</v>
      </c>
      <c r="CP625" s="27" t="s">
        <v>166</v>
      </c>
      <c r="CQ625" s="27" t="s">
        <v>166</v>
      </c>
      <c r="CR625" s="27" t="s">
        <v>166</v>
      </c>
      <c r="CS625" s="27" t="s">
        <v>166</v>
      </c>
      <c r="CT625" s="27" t="s">
        <v>166</v>
      </c>
      <c r="CU625" s="27" t="s">
        <v>166</v>
      </c>
      <c r="CV625" s="27" t="s">
        <v>166</v>
      </c>
      <c r="CW625" s="27" t="s">
        <v>166</v>
      </c>
      <c r="CX625" s="27" t="s">
        <v>166</v>
      </c>
      <c r="CY625" s="27" t="s">
        <v>166</v>
      </c>
      <c r="CZ625" s="27" t="s">
        <v>166</v>
      </c>
      <c r="DA625" s="27" t="s">
        <v>166</v>
      </c>
      <c r="DB625" s="27" t="s">
        <v>166</v>
      </c>
      <c r="DC625" s="27" t="s">
        <v>166</v>
      </c>
      <c r="DD625" s="27" t="s">
        <v>166</v>
      </c>
      <c r="DE625" s="28" t="s">
        <v>166</v>
      </c>
      <c r="DF625" s="33">
        <v>30</v>
      </c>
      <c r="DG625" s="25" t="s">
        <v>3138</v>
      </c>
      <c r="DH625" s="25" t="s">
        <v>193</v>
      </c>
      <c r="DI625" s="25" t="s">
        <v>194</v>
      </c>
      <c r="DJ625" s="25" t="s">
        <v>3139</v>
      </c>
      <c r="DK625" s="25" t="s">
        <v>257</v>
      </c>
      <c r="DL625" s="32" t="s">
        <v>3080</v>
      </c>
      <c r="DM625" s="25" t="s">
        <v>198</v>
      </c>
      <c r="DN625" s="24" t="s">
        <v>12042</v>
      </c>
      <c r="DO625" s="31">
        <v>2022</v>
      </c>
      <c r="DP625" s="25" t="s">
        <v>166</v>
      </c>
      <c r="DQ625" s="25" t="s">
        <v>166</v>
      </c>
      <c r="DR625" s="29" t="s">
        <v>166</v>
      </c>
      <c r="DS625" s="27" t="s">
        <v>166</v>
      </c>
      <c r="DT625" s="30" t="s">
        <v>166</v>
      </c>
      <c r="DU625" s="25" t="s">
        <v>166</v>
      </c>
      <c r="DV625" s="29" t="s">
        <v>166</v>
      </c>
      <c r="DW625" s="29" t="s">
        <v>166</v>
      </c>
      <c r="DX625" s="27" t="s">
        <v>166</v>
      </c>
      <c r="DY625" s="27" t="s">
        <v>166</v>
      </c>
      <c r="DZ625" s="28" t="s">
        <v>166</v>
      </c>
      <c r="EA625" s="27" t="s">
        <v>166</v>
      </c>
      <c r="EB625" s="27" t="s">
        <v>166</v>
      </c>
      <c r="EC625" s="27" t="s">
        <v>166</v>
      </c>
      <c r="ED625" s="28" t="s">
        <v>166</v>
      </c>
      <c r="EE625" s="28" t="s">
        <v>166</v>
      </c>
      <c r="EF625" s="28" t="s">
        <v>166</v>
      </c>
      <c r="EG625" s="28" t="s">
        <v>166</v>
      </c>
      <c r="EH625" s="27" t="s">
        <v>166</v>
      </c>
      <c r="EI625" s="27" t="s">
        <v>166</v>
      </c>
      <c r="EJ625" s="27" t="s">
        <v>166</v>
      </c>
      <c r="EK625" s="27" t="s">
        <v>166</v>
      </c>
      <c r="EL625" s="27" t="s">
        <v>166</v>
      </c>
      <c r="EM625" s="27" t="s">
        <v>166</v>
      </c>
      <c r="EN625" s="27" t="s">
        <v>166</v>
      </c>
      <c r="EO625" s="27" t="s">
        <v>166</v>
      </c>
      <c r="EP625" s="27" t="s">
        <v>166</v>
      </c>
      <c r="EQ625" s="27" t="s">
        <v>166</v>
      </c>
      <c r="ER625" s="27" t="s">
        <v>166</v>
      </c>
      <c r="ES625" s="27" t="s">
        <v>166</v>
      </c>
      <c r="ET625" s="25" t="s">
        <v>166</v>
      </c>
      <c r="EU625" s="27" t="s">
        <v>166</v>
      </c>
      <c r="EV625" s="27" t="s">
        <v>166</v>
      </c>
      <c r="EW625" s="27" t="s">
        <v>166</v>
      </c>
      <c r="EX625" s="25" t="s">
        <v>190</v>
      </c>
      <c r="EY625" s="25" t="s">
        <v>166</v>
      </c>
      <c r="EZ625" s="27" t="s">
        <v>166</v>
      </c>
      <c r="FA625" s="26">
        <v>2</v>
      </c>
      <c r="FB625" s="26">
        <v>1</v>
      </c>
      <c r="FC625" s="26">
        <v>1</v>
      </c>
      <c r="FD625" s="26">
        <v>1</v>
      </c>
      <c r="FE625" s="26" t="s">
        <v>166</v>
      </c>
      <c r="FF625" s="26" t="s">
        <v>166</v>
      </c>
      <c r="FG625" s="25" t="s">
        <v>457</v>
      </c>
      <c r="FH625" s="4">
        <f>HYPERLINK("https://my.pitchbook.com?c=204559-57T","View Company Online")</f>
      </c>
    </row>
    <row r="626">
      <c r="A626" s="14" t="s">
        <v>12043</v>
      </c>
      <c r="B626" s="14" t="s">
        <v>12044</v>
      </c>
      <c r="C626" s="14" t="s">
        <v>12045</v>
      </c>
      <c r="D626" s="14" t="s">
        <v>166</v>
      </c>
      <c r="E626" s="23" t="s">
        <v>12046</v>
      </c>
      <c r="F626" s="21">
        <v>13</v>
      </c>
      <c r="G626" s="14" t="s">
        <v>12047</v>
      </c>
      <c r="H626" s="14" t="s">
        <v>166</v>
      </c>
      <c r="I626" s="14" t="s">
        <v>12048</v>
      </c>
      <c r="J626" s="14" t="s">
        <v>12049</v>
      </c>
      <c r="K626" s="14" t="s">
        <v>207</v>
      </c>
      <c r="L626" s="14" t="s">
        <v>208</v>
      </c>
      <c r="M626" s="14" t="s">
        <v>296</v>
      </c>
      <c r="N626" s="14" t="s">
        <v>1052</v>
      </c>
      <c r="O626" s="14" t="s">
        <v>1318</v>
      </c>
      <c r="P626" s="14" t="s">
        <v>12050</v>
      </c>
      <c r="Q626" s="14" t="s">
        <v>166</v>
      </c>
      <c r="R626" s="14" t="s">
        <v>177</v>
      </c>
      <c r="S626" s="14" t="s">
        <v>178</v>
      </c>
      <c r="T626" s="14" t="s">
        <v>179</v>
      </c>
      <c r="U626" s="14" t="s">
        <v>12051</v>
      </c>
      <c r="V626" s="14" t="s">
        <v>12052</v>
      </c>
      <c r="W626" s="21" t="s">
        <v>166</v>
      </c>
      <c r="X626" s="14" t="s">
        <v>12053</v>
      </c>
      <c r="Y626" s="14" t="s">
        <v>12054</v>
      </c>
      <c r="Z626" s="14" t="s">
        <v>12055</v>
      </c>
      <c r="AA626" s="14" t="s">
        <v>242</v>
      </c>
      <c r="AB626" s="14" t="s">
        <v>243</v>
      </c>
      <c r="AC626" s="14" t="s">
        <v>244</v>
      </c>
      <c r="AD626" s="14" t="s">
        <v>243</v>
      </c>
      <c r="AE626" s="14" t="s">
        <v>243</v>
      </c>
      <c r="AF626" s="14" t="s">
        <v>166</v>
      </c>
      <c r="AG626" s="14" t="s">
        <v>246</v>
      </c>
      <c r="AH626" s="21">
        <v>1</v>
      </c>
      <c r="AI626" s="3">
        <f>HYPERLINK("https://my.pitchbook.com/?d=141122-71T","141122-71T")</f>
      </c>
      <c r="AJ626" s="19" t="s">
        <v>166</v>
      </c>
      <c r="AK626" s="19">
        <v>44000</v>
      </c>
      <c r="AL626" s="18">
        <v>5.2</v>
      </c>
      <c r="AM626" s="14" t="s">
        <v>185</v>
      </c>
      <c r="AN626" s="18">
        <v>9.5</v>
      </c>
      <c r="AO626" s="18">
        <v>13.63</v>
      </c>
      <c r="AP626" s="14" t="s">
        <v>185</v>
      </c>
      <c r="AQ626" s="21" t="s">
        <v>166</v>
      </c>
      <c r="AR626" s="21" t="s">
        <v>166</v>
      </c>
      <c r="AS626" s="17">
        <v>31.81</v>
      </c>
      <c r="AT626" s="18">
        <v>5.2</v>
      </c>
      <c r="AU626" s="21" t="s">
        <v>186</v>
      </c>
      <c r="AV626" s="21" t="s">
        <v>166</v>
      </c>
      <c r="AW626" s="18">
        <v>0.94</v>
      </c>
      <c r="AX626" s="21" t="s">
        <v>166</v>
      </c>
      <c r="AY626" s="14" t="s">
        <v>217</v>
      </c>
      <c r="AZ626" s="14" t="s">
        <v>217</v>
      </c>
      <c r="BA626" s="14" t="s">
        <v>166</v>
      </c>
      <c r="BB626" s="21" t="s">
        <v>166</v>
      </c>
      <c r="BC626" s="14" t="s">
        <v>179</v>
      </c>
      <c r="BD626" s="14" t="s">
        <v>12056</v>
      </c>
      <c r="BE626" s="14" t="s">
        <v>189</v>
      </c>
      <c r="BF626" s="18">
        <v>4.13</v>
      </c>
      <c r="BG626" s="14" t="s">
        <v>190</v>
      </c>
      <c r="BH626" s="14" t="s">
        <v>166</v>
      </c>
      <c r="BI626" s="14" t="s">
        <v>166</v>
      </c>
      <c r="BJ626" s="18">
        <v>1.07</v>
      </c>
      <c r="BK626" s="18" t="s">
        <v>166</v>
      </c>
      <c r="BL626" s="14" t="s">
        <v>191</v>
      </c>
      <c r="BM626" s="14" t="s">
        <v>178</v>
      </c>
      <c r="BN626" s="14" t="s">
        <v>177</v>
      </c>
      <c r="BO626" s="22" t="s">
        <v>166</v>
      </c>
      <c r="BP626" s="14" t="s">
        <v>12057</v>
      </c>
      <c r="BQ626" s="21">
        <v>13</v>
      </c>
      <c r="BR626" s="14" t="s">
        <v>166</v>
      </c>
      <c r="BS626" s="21" t="s">
        <v>166</v>
      </c>
      <c r="BT626" s="14" t="s">
        <v>12058</v>
      </c>
      <c r="BU626" s="14" t="s">
        <v>166</v>
      </c>
      <c r="BV626" s="14" t="s">
        <v>12059</v>
      </c>
      <c r="BW626" s="14" t="s">
        <v>166</v>
      </c>
      <c r="BX626" s="14" t="s">
        <v>166</v>
      </c>
      <c r="BY626" s="14" t="s">
        <v>166</v>
      </c>
      <c r="BZ626" s="14" t="s">
        <v>166</v>
      </c>
      <c r="CA626" s="14" t="s">
        <v>166</v>
      </c>
      <c r="CB626" s="14" t="s">
        <v>166</v>
      </c>
      <c r="CC626" s="14" t="s">
        <v>166</v>
      </c>
      <c r="CD626" s="14" t="s">
        <v>166</v>
      </c>
      <c r="CE626" s="18" t="s">
        <v>166</v>
      </c>
      <c r="CF626" s="16" t="s">
        <v>166</v>
      </c>
      <c r="CG626" s="17" t="s">
        <v>166</v>
      </c>
      <c r="CH626" s="16" t="s">
        <v>166</v>
      </c>
      <c r="CI626" s="16" t="s">
        <v>166</v>
      </c>
      <c r="CJ626" s="16" t="s">
        <v>166</v>
      </c>
      <c r="CK626" s="16" t="s">
        <v>166</v>
      </c>
      <c r="CL626" s="16" t="s">
        <v>166</v>
      </c>
      <c r="CM626" s="20" t="s">
        <v>166</v>
      </c>
      <c r="CN626" s="16" t="s">
        <v>166</v>
      </c>
      <c r="CO626" s="16" t="s">
        <v>166</v>
      </c>
      <c r="CP626" s="16" t="s">
        <v>166</v>
      </c>
      <c r="CQ626" s="16" t="s">
        <v>166</v>
      </c>
      <c r="CR626" s="16" t="s">
        <v>166</v>
      </c>
      <c r="CS626" s="16" t="s">
        <v>166</v>
      </c>
      <c r="CT626" s="16" t="s">
        <v>166</v>
      </c>
      <c r="CU626" s="16" t="s">
        <v>166</v>
      </c>
      <c r="CV626" s="16" t="s">
        <v>166</v>
      </c>
      <c r="CW626" s="16" t="s">
        <v>166</v>
      </c>
      <c r="CX626" s="16" t="s">
        <v>166</v>
      </c>
      <c r="CY626" s="16">
        <v>0.26</v>
      </c>
      <c r="CZ626" s="16" t="s">
        <v>166</v>
      </c>
      <c r="DA626" s="16" t="s">
        <v>166</v>
      </c>
      <c r="DB626" s="16" t="s">
        <v>166</v>
      </c>
      <c r="DC626" s="16" t="s">
        <v>166</v>
      </c>
      <c r="DD626" s="16" t="s">
        <v>166</v>
      </c>
      <c r="DE626" s="17" t="s">
        <v>166</v>
      </c>
      <c r="DF626" s="22">
        <v>40</v>
      </c>
      <c r="DG626" s="14" t="s">
        <v>309</v>
      </c>
      <c r="DH626" s="14" t="s">
        <v>193</v>
      </c>
      <c r="DI626" s="14" t="s">
        <v>194</v>
      </c>
      <c r="DJ626" s="14" t="s">
        <v>310</v>
      </c>
      <c r="DK626" s="14" t="s">
        <v>310</v>
      </c>
      <c r="DL626" s="21" t="s">
        <v>3037</v>
      </c>
      <c r="DM626" s="14" t="s">
        <v>198</v>
      </c>
      <c r="DN626" s="13" t="s">
        <v>12060</v>
      </c>
      <c r="DO626" s="20">
        <v>2019</v>
      </c>
      <c r="DP626" s="14" t="s">
        <v>166</v>
      </c>
      <c r="DQ626" s="14" t="s">
        <v>12061</v>
      </c>
      <c r="DR626" s="18">
        <v>1.07</v>
      </c>
      <c r="DS626" s="16" t="s">
        <v>166</v>
      </c>
      <c r="DT626" s="19" t="s">
        <v>166</v>
      </c>
      <c r="DU626" s="14" t="s">
        <v>166</v>
      </c>
      <c r="DV626" s="18" t="s">
        <v>166</v>
      </c>
      <c r="DW626" s="18" t="s">
        <v>166</v>
      </c>
      <c r="DX626" s="16" t="s">
        <v>166</v>
      </c>
      <c r="DY626" s="16" t="s">
        <v>166</v>
      </c>
      <c r="DZ626" s="17" t="s">
        <v>166</v>
      </c>
      <c r="EA626" s="16" t="s">
        <v>166</v>
      </c>
      <c r="EB626" s="16" t="s">
        <v>166</v>
      </c>
      <c r="EC626" s="16" t="s">
        <v>166</v>
      </c>
      <c r="ED626" s="17" t="s">
        <v>166</v>
      </c>
      <c r="EE626" s="17" t="s">
        <v>166</v>
      </c>
      <c r="EF626" s="17" t="s">
        <v>166</v>
      </c>
      <c r="EG626" s="17" t="s">
        <v>166</v>
      </c>
      <c r="EH626" s="16" t="s">
        <v>166</v>
      </c>
      <c r="EI626" s="16" t="s">
        <v>166</v>
      </c>
      <c r="EJ626" s="16" t="s">
        <v>166</v>
      </c>
      <c r="EK626" s="16" t="s">
        <v>166</v>
      </c>
      <c r="EL626" s="16" t="s">
        <v>166</v>
      </c>
      <c r="EM626" s="16" t="s">
        <v>166</v>
      </c>
      <c r="EN626" s="16" t="s">
        <v>166</v>
      </c>
      <c r="EO626" s="16" t="s">
        <v>166</v>
      </c>
      <c r="EP626" s="16" t="s">
        <v>166</v>
      </c>
      <c r="EQ626" s="16" t="s">
        <v>166</v>
      </c>
      <c r="ER626" s="16" t="s">
        <v>166</v>
      </c>
      <c r="ES626" s="16" t="s">
        <v>166</v>
      </c>
      <c r="ET626" s="14" t="s">
        <v>166</v>
      </c>
      <c r="EU626" s="16" t="s">
        <v>166</v>
      </c>
      <c r="EV626" s="16" t="s">
        <v>166</v>
      </c>
      <c r="EW626" s="16" t="s">
        <v>166</v>
      </c>
      <c r="EX626" s="14" t="s">
        <v>190</v>
      </c>
      <c r="EY626" s="14" t="s">
        <v>190</v>
      </c>
      <c r="EZ626" s="16" t="s">
        <v>166</v>
      </c>
      <c r="FA626" s="15" t="s">
        <v>166</v>
      </c>
      <c r="FB626" s="15" t="s">
        <v>166</v>
      </c>
      <c r="FC626" s="15" t="s">
        <v>166</v>
      </c>
      <c r="FD626" s="15" t="s">
        <v>166</v>
      </c>
      <c r="FE626" s="15" t="s">
        <v>166</v>
      </c>
      <c r="FF626" s="15" t="s">
        <v>166</v>
      </c>
      <c r="FG626" s="14" t="s">
        <v>166</v>
      </c>
      <c r="FH626" s="3">
        <f>HYPERLINK("https://my.pitchbook.com?c=141122-71T","View Company Online")</f>
      </c>
    </row>
    <row r="627">
      <c r="A627" s="25" t="s">
        <v>12062</v>
      </c>
      <c r="B627" s="25" t="s">
        <v>12063</v>
      </c>
      <c r="C627" s="25" t="s">
        <v>12064</v>
      </c>
      <c r="D627" s="25" t="s">
        <v>166</v>
      </c>
      <c r="E627" s="34" t="s">
        <v>12065</v>
      </c>
      <c r="F627" s="32">
        <v>5</v>
      </c>
      <c r="G627" s="25" t="s">
        <v>12066</v>
      </c>
      <c r="H627" s="25" t="s">
        <v>166</v>
      </c>
      <c r="I627" s="25" t="s">
        <v>12067</v>
      </c>
      <c r="J627" s="25" t="s">
        <v>12068</v>
      </c>
      <c r="K627" s="25" t="s">
        <v>207</v>
      </c>
      <c r="L627" s="25" t="s">
        <v>208</v>
      </c>
      <c r="M627" s="25" t="s">
        <v>1766</v>
      </c>
      <c r="N627" s="25" t="s">
        <v>2089</v>
      </c>
      <c r="O627" s="25" t="s">
        <v>2394</v>
      </c>
      <c r="P627" s="25" t="s">
        <v>12069</v>
      </c>
      <c r="Q627" s="25" t="s">
        <v>166</v>
      </c>
      <c r="R627" s="25" t="s">
        <v>177</v>
      </c>
      <c r="S627" s="25" t="s">
        <v>178</v>
      </c>
      <c r="T627" s="25" t="s">
        <v>179</v>
      </c>
      <c r="U627" s="25" t="s">
        <v>12070</v>
      </c>
      <c r="V627" s="25" t="s">
        <v>12071</v>
      </c>
      <c r="W627" s="32" t="s">
        <v>12072</v>
      </c>
      <c r="X627" s="25" t="s">
        <v>12073</v>
      </c>
      <c r="Y627" s="25" t="s">
        <v>12074</v>
      </c>
      <c r="Z627" s="25" t="s">
        <v>166</v>
      </c>
      <c r="AA627" s="25" t="s">
        <v>166</v>
      </c>
      <c r="AB627" s="25" t="s">
        <v>166</v>
      </c>
      <c r="AC627" s="25" t="s">
        <v>166</v>
      </c>
      <c r="AD627" s="25" t="s">
        <v>166</v>
      </c>
      <c r="AE627" s="25" t="s">
        <v>166</v>
      </c>
      <c r="AF627" s="25" t="s">
        <v>166</v>
      </c>
      <c r="AG627" s="25" t="s">
        <v>166</v>
      </c>
      <c r="AH627" s="32">
        <v>1</v>
      </c>
      <c r="AI627" s="4">
        <f>HYPERLINK("https://my.pitchbook.com/?d=203449-24T","203449-24T")</f>
      </c>
      <c r="AJ627" s="30" t="s">
        <v>166</v>
      </c>
      <c r="AK627" s="30">
        <v>44804</v>
      </c>
      <c r="AL627" s="29">
        <v>0.05</v>
      </c>
      <c r="AM627" s="25" t="s">
        <v>185</v>
      </c>
      <c r="AN627" s="29" t="s">
        <v>166</v>
      </c>
      <c r="AO627" s="29" t="s">
        <v>166</v>
      </c>
      <c r="AP627" s="25" t="s">
        <v>166</v>
      </c>
      <c r="AQ627" s="32" t="s">
        <v>166</v>
      </c>
      <c r="AR627" s="32" t="s">
        <v>166</v>
      </c>
      <c r="AS627" s="28" t="s">
        <v>166</v>
      </c>
      <c r="AT627" s="29">
        <v>0.05</v>
      </c>
      <c r="AU627" s="32" t="s">
        <v>186</v>
      </c>
      <c r="AV627" s="32" t="s">
        <v>166</v>
      </c>
      <c r="AW627" s="29" t="s">
        <v>166</v>
      </c>
      <c r="AX627" s="32" t="s">
        <v>166</v>
      </c>
      <c r="AY627" s="25" t="s">
        <v>217</v>
      </c>
      <c r="AZ627" s="25" t="s">
        <v>217</v>
      </c>
      <c r="BA627" s="25" t="s">
        <v>166</v>
      </c>
      <c r="BB627" s="32" t="s">
        <v>166</v>
      </c>
      <c r="BC627" s="25" t="s">
        <v>179</v>
      </c>
      <c r="BD627" s="25" t="s">
        <v>12075</v>
      </c>
      <c r="BE627" s="25" t="s">
        <v>189</v>
      </c>
      <c r="BF627" s="29">
        <v>0.05</v>
      </c>
      <c r="BG627" s="25" t="s">
        <v>190</v>
      </c>
      <c r="BH627" s="25" t="s">
        <v>166</v>
      </c>
      <c r="BI627" s="25" t="s">
        <v>166</v>
      </c>
      <c r="BJ627" s="29" t="s">
        <v>166</v>
      </c>
      <c r="BK627" s="29" t="s">
        <v>166</v>
      </c>
      <c r="BL627" s="25" t="s">
        <v>191</v>
      </c>
      <c r="BM627" s="25" t="s">
        <v>178</v>
      </c>
      <c r="BN627" s="25" t="s">
        <v>177</v>
      </c>
      <c r="BO627" s="33" t="s">
        <v>166</v>
      </c>
      <c r="BP627" s="25" t="s">
        <v>12065</v>
      </c>
      <c r="BQ627" s="32">
        <v>5</v>
      </c>
      <c r="BR627" s="25" t="s">
        <v>166</v>
      </c>
      <c r="BS627" s="32" t="s">
        <v>166</v>
      </c>
      <c r="BT627" s="25" t="s">
        <v>166</v>
      </c>
      <c r="BU627" s="25" t="s">
        <v>166</v>
      </c>
      <c r="BV627" s="25" t="s">
        <v>166</v>
      </c>
      <c r="BW627" s="25" t="s">
        <v>166</v>
      </c>
      <c r="BX627" s="25" t="s">
        <v>166</v>
      </c>
      <c r="BY627" s="25" t="s">
        <v>166</v>
      </c>
      <c r="BZ627" s="25" t="s">
        <v>166</v>
      </c>
      <c r="CA627" s="25" t="s">
        <v>166</v>
      </c>
      <c r="CB627" s="25" t="s">
        <v>166</v>
      </c>
      <c r="CC627" s="25" t="s">
        <v>166</v>
      </c>
      <c r="CD627" s="25" t="s">
        <v>166</v>
      </c>
      <c r="CE627" s="29" t="s">
        <v>166</v>
      </c>
      <c r="CF627" s="27" t="s">
        <v>166</v>
      </c>
      <c r="CG627" s="28" t="s">
        <v>166</v>
      </c>
      <c r="CH627" s="27" t="s">
        <v>166</v>
      </c>
      <c r="CI627" s="27" t="s">
        <v>166</v>
      </c>
      <c r="CJ627" s="27" t="s">
        <v>166</v>
      </c>
      <c r="CK627" s="27" t="s">
        <v>166</v>
      </c>
      <c r="CL627" s="27" t="s">
        <v>166</v>
      </c>
      <c r="CM627" s="31" t="s">
        <v>166</v>
      </c>
      <c r="CN627" s="27" t="s">
        <v>166</v>
      </c>
      <c r="CO627" s="27" t="s">
        <v>166</v>
      </c>
      <c r="CP627" s="27" t="s">
        <v>166</v>
      </c>
      <c r="CQ627" s="27" t="s">
        <v>166</v>
      </c>
      <c r="CR627" s="27" t="s">
        <v>166</v>
      </c>
      <c r="CS627" s="27" t="s">
        <v>166</v>
      </c>
      <c r="CT627" s="27" t="s">
        <v>166</v>
      </c>
      <c r="CU627" s="27" t="s">
        <v>166</v>
      </c>
      <c r="CV627" s="27" t="s">
        <v>166</v>
      </c>
      <c r="CW627" s="27" t="s">
        <v>166</v>
      </c>
      <c r="CX627" s="27" t="s">
        <v>166</v>
      </c>
      <c r="CY627" s="27" t="s">
        <v>166</v>
      </c>
      <c r="CZ627" s="27" t="s">
        <v>166</v>
      </c>
      <c r="DA627" s="27" t="s">
        <v>166</v>
      </c>
      <c r="DB627" s="27" t="s">
        <v>166</v>
      </c>
      <c r="DC627" s="27" t="s">
        <v>166</v>
      </c>
      <c r="DD627" s="27" t="s">
        <v>166</v>
      </c>
      <c r="DE627" s="28" t="s">
        <v>166</v>
      </c>
      <c r="DF627" s="33" t="s">
        <v>166</v>
      </c>
      <c r="DG627" s="25" t="s">
        <v>2212</v>
      </c>
      <c r="DH627" s="25" t="s">
        <v>193</v>
      </c>
      <c r="DI627" s="25" t="s">
        <v>194</v>
      </c>
      <c r="DJ627" s="25" t="s">
        <v>2213</v>
      </c>
      <c r="DK627" s="25" t="s">
        <v>1000</v>
      </c>
      <c r="DL627" s="32" t="s">
        <v>2214</v>
      </c>
      <c r="DM627" s="25" t="s">
        <v>198</v>
      </c>
      <c r="DN627" s="24" t="s">
        <v>12076</v>
      </c>
      <c r="DO627" s="31">
        <v>2022</v>
      </c>
      <c r="DP627" s="25" t="s">
        <v>166</v>
      </c>
      <c r="DQ627" s="25" t="s">
        <v>166</v>
      </c>
      <c r="DR627" s="29" t="s">
        <v>166</v>
      </c>
      <c r="DS627" s="27" t="s">
        <v>166</v>
      </c>
      <c r="DT627" s="30" t="s">
        <v>166</v>
      </c>
      <c r="DU627" s="25" t="s">
        <v>166</v>
      </c>
      <c r="DV627" s="29" t="s">
        <v>166</v>
      </c>
      <c r="DW627" s="29" t="s">
        <v>166</v>
      </c>
      <c r="DX627" s="27" t="s">
        <v>166</v>
      </c>
      <c r="DY627" s="27" t="s">
        <v>166</v>
      </c>
      <c r="DZ627" s="28" t="s">
        <v>166</v>
      </c>
      <c r="EA627" s="27" t="s">
        <v>166</v>
      </c>
      <c r="EB627" s="27" t="s">
        <v>166</v>
      </c>
      <c r="EC627" s="27" t="s">
        <v>166</v>
      </c>
      <c r="ED627" s="28" t="s">
        <v>166</v>
      </c>
      <c r="EE627" s="28" t="s">
        <v>166</v>
      </c>
      <c r="EF627" s="28" t="s">
        <v>166</v>
      </c>
      <c r="EG627" s="28" t="s">
        <v>166</v>
      </c>
      <c r="EH627" s="27" t="s">
        <v>166</v>
      </c>
      <c r="EI627" s="27" t="s">
        <v>166</v>
      </c>
      <c r="EJ627" s="27" t="s">
        <v>166</v>
      </c>
      <c r="EK627" s="27" t="s">
        <v>166</v>
      </c>
      <c r="EL627" s="27" t="s">
        <v>166</v>
      </c>
      <c r="EM627" s="27" t="s">
        <v>166</v>
      </c>
      <c r="EN627" s="27" t="s">
        <v>166</v>
      </c>
      <c r="EO627" s="27" t="s">
        <v>166</v>
      </c>
      <c r="EP627" s="27" t="s">
        <v>166</v>
      </c>
      <c r="EQ627" s="27" t="s">
        <v>166</v>
      </c>
      <c r="ER627" s="27" t="s">
        <v>166</v>
      </c>
      <c r="ES627" s="27" t="s">
        <v>166</v>
      </c>
      <c r="ET627" s="25" t="s">
        <v>166</v>
      </c>
      <c r="EU627" s="27" t="s">
        <v>166</v>
      </c>
      <c r="EV627" s="27" t="s">
        <v>166</v>
      </c>
      <c r="EW627" s="27" t="s">
        <v>166</v>
      </c>
      <c r="EX627" s="25" t="s">
        <v>190</v>
      </c>
      <c r="EY627" s="25" t="s">
        <v>166</v>
      </c>
      <c r="EZ627" s="27" t="s">
        <v>166</v>
      </c>
      <c r="FA627" s="26">
        <v>3</v>
      </c>
      <c r="FB627" s="26">
        <v>1</v>
      </c>
      <c r="FC627" s="26">
        <v>2</v>
      </c>
      <c r="FD627" s="26">
        <v>1</v>
      </c>
      <c r="FE627" s="26" t="s">
        <v>166</v>
      </c>
      <c r="FF627" s="26" t="s">
        <v>166</v>
      </c>
      <c r="FG627" s="25" t="s">
        <v>457</v>
      </c>
      <c r="FH627" s="4">
        <f>HYPERLINK("https://my.pitchbook.com?c=203449-24T","View Company Online")</f>
      </c>
    </row>
    <row r="628">
      <c r="A628" s="14" t="s">
        <v>12077</v>
      </c>
      <c r="B628" s="14" t="s">
        <v>12078</v>
      </c>
      <c r="C628" s="14" t="s">
        <v>12079</v>
      </c>
      <c r="D628" s="14" t="s">
        <v>166</v>
      </c>
      <c r="E628" s="23" t="s">
        <v>12080</v>
      </c>
      <c r="F628" s="21">
        <v>4</v>
      </c>
      <c r="G628" s="14" t="s">
        <v>12081</v>
      </c>
      <c r="H628" s="14" t="s">
        <v>166</v>
      </c>
      <c r="I628" s="14" t="s">
        <v>12082</v>
      </c>
      <c r="J628" s="14" t="s">
        <v>12083</v>
      </c>
      <c r="K628" s="14" t="s">
        <v>207</v>
      </c>
      <c r="L628" s="14" t="s">
        <v>208</v>
      </c>
      <c r="M628" s="14" t="s">
        <v>1766</v>
      </c>
      <c r="N628" s="14" t="s">
        <v>2089</v>
      </c>
      <c r="O628" s="14" t="s">
        <v>3984</v>
      </c>
      <c r="P628" s="14" t="s">
        <v>12084</v>
      </c>
      <c r="Q628" s="14" t="s">
        <v>166</v>
      </c>
      <c r="R628" s="14" t="s">
        <v>177</v>
      </c>
      <c r="S628" s="14" t="s">
        <v>178</v>
      </c>
      <c r="T628" s="14" t="s">
        <v>179</v>
      </c>
      <c r="U628" s="14" t="s">
        <v>12085</v>
      </c>
      <c r="V628" s="14" t="s">
        <v>12086</v>
      </c>
      <c r="W628" s="21" t="s">
        <v>12087</v>
      </c>
      <c r="X628" s="14" t="s">
        <v>12088</v>
      </c>
      <c r="Y628" s="14" t="s">
        <v>12089</v>
      </c>
      <c r="Z628" s="14" t="s">
        <v>166</v>
      </c>
      <c r="AA628" s="14" t="s">
        <v>166</v>
      </c>
      <c r="AB628" s="14" t="s">
        <v>166</v>
      </c>
      <c r="AC628" s="14" t="s">
        <v>166</v>
      </c>
      <c r="AD628" s="14" t="s">
        <v>166</v>
      </c>
      <c r="AE628" s="14" t="s">
        <v>166</v>
      </c>
      <c r="AF628" s="14" t="s">
        <v>166</v>
      </c>
      <c r="AG628" s="14" t="s">
        <v>166</v>
      </c>
      <c r="AH628" s="21">
        <v>3</v>
      </c>
      <c r="AI628" s="3">
        <f>HYPERLINK("https://my.pitchbook.com/?d=249272-47T","249272-47T")</f>
      </c>
      <c r="AJ628" s="19" t="s">
        <v>166</v>
      </c>
      <c r="AK628" s="19">
        <v>45413</v>
      </c>
      <c r="AL628" s="18">
        <v>2.35</v>
      </c>
      <c r="AM628" s="14" t="s">
        <v>185</v>
      </c>
      <c r="AN628" s="18" t="s">
        <v>166</v>
      </c>
      <c r="AO628" s="18" t="s">
        <v>166</v>
      </c>
      <c r="AP628" s="14" t="s">
        <v>166</v>
      </c>
      <c r="AQ628" s="21" t="s">
        <v>166</v>
      </c>
      <c r="AR628" s="21" t="s">
        <v>166</v>
      </c>
      <c r="AS628" s="17" t="s">
        <v>166</v>
      </c>
      <c r="AT628" s="18">
        <v>2.35</v>
      </c>
      <c r="AU628" s="21" t="s">
        <v>186</v>
      </c>
      <c r="AV628" s="21" t="s">
        <v>166</v>
      </c>
      <c r="AW628" s="18" t="s">
        <v>166</v>
      </c>
      <c r="AX628" s="21" t="s">
        <v>166</v>
      </c>
      <c r="AY628" s="14" t="s">
        <v>217</v>
      </c>
      <c r="AZ628" s="14" t="s">
        <v>217</v>
      </c>
      <c r="BA628" s="14" t="s">
        <v>166</v>
      </c>
      <c r="BB628" s="21" t="s">
        <v>166</v>
      </c>
      <c r="BC628" s="14" t="s">
        <v>179</v>
      </c>
      <c r="BD628" s="14" t="s">
        <v>12083</v>
      </c>
      <c r="BE628" s="14" t="s">
        <v>189</v>
      </c>
      <c r="BF628" s="18">
        <v>2.35</v>
      </c>
      <c r="BG628" s="14" t="s">
        <v>190</v>
      </c>
      <c r="BH628" s="14" t="s">
        <v>166</v>
      </c>
      <c r="BI628" s="14" t="s">
        <v>166</v>
      </c>
      <c r="BJ628" s="18" t="s">
        <v>166</v>
      </c>
      <c r="BK628" s="18" t="s">
        <v>166</v>
      </c>
      <c r="BL628" s="14" t="s">
        <v>191</v>
      </c>
      <c r="BM628" s="14" t="s">
        <v>178</v>
      </c>
      <c r="BN628" s="14" t="s">
        <v>177</v>
      </c>
      <c r="BO628" s="22" t="s">
        <v>166</v>
      </c>
      <c r="BP628" s="14" t="s">
        <v>12080</v>
      </c>
      <c r="BQ628" s="21">
        <v>4</v>
      </c>
      <c r="BR628" s="14" t="s">
        <v>166</v>
      </c>
      <c r="BS628" s="21" t="s">
        <v>166</v>
      </c>
      <c r="BT628" s="14" t="s">
        <v>166</v>
      </c>
      <c r="BU628" s="14" t="s">
        <v>166</v>
      </c>
      <c r="BV628" s="14" t="s">
        <v>12090</v>
      </c>
      <c r="BW628" s="14" t="s">
        <v>166</v>
      </c>
      <c r="BX628" s="14" t="s">
        <v>166</v>
      </c>
      <c r="BY628" s="14" t="s">
        <v>166</v>
      </c>
      <c r="BZ628" s="14" t="s">
        <v>166</v>
      </c>
      <c r="CA628" s="14" t="s">
        <v>166</v>
      </c>
      <c r="CB628" s="14" t="s">
        <v>166</v>
      </c>
      <c r="CC628" s="14" t="s">
        <v>166</v>
      </c>
      <c r="CD628" s="14" t="s">
        <v>166</v>
      </c>
      <c r="CE628" s="18" t="s">
        <v>166</v>
      </c>
      <c r="CF628" s="16" t="s">
        <v>166</v>
      </c>
      <c r="CG628" s="17" t="s">
        <v>166</v>
      </c>
      <c r="CH628" s="16" t="s">
        <v>166</v>
      </c>
      <c r="CI628" s="16" t="s">
        <v>166</v>
      </c>
      <c r="CJ628" s="16" t="s">
        <v>166</v>
      </c>
      <c r="CK628" s="16" t="s">
        <v>166</v>
      </c>
      <c r="CL628" s="16" t="s">
        <v>166</v>
      </c>
      <c r="CM628" s="20" t="s">
        <v>166</v>
      </c>
      <c r="CN628" s="16" t="s">
        <v>166</v>
      </c>
      <c r="CO628" s="16" t="s">
        <v>166</v>
      </c>
      <c r="CP628" s="16" t="s">
        <v>166</v>
      </c>
      <c r="CQ628" s="16" t="s">
        <v>166</v>
      </c>
      <c r="CR628" s="16" t="s">
        <v>166</v>
      </c>
      <c r="CS628" s="16" t="s">
        <v>166</v>
      </c>
      <c r="CT628" s="16" t="s">
        <v>166</v>
      </c>
      <c r="CU628" s="16" t="s">
        <v>166</v>
      </c>
      <c r="CV628" s="16" t="s">
        <v>166</v>
      </c>
      <c r="CW628" s="16" t="s">
        <v>166</v>
      </c>
      <c r="CX628" s="16" t="s">
        <v>166</v>
      </c>
      <c r="CY628" s="16" t="s">
        <v>166</v>
      </c>
      <c r="CZ628" s="16" t="s">
        <v>166</v>
      </c>
      <c r="DA628" s="16" t="s">
        <v>166</v>
      </c>
      <c r="DB628" s="16" t="s">
        <v>166</v>
      </c>
      <c r="DC628" s="16" t="s">
        <v>166</v>
      </c>
      <c r="DD628" s="16" t="s">
        <v>166</v>
      </c>
      <c r="DE628" s="17" t="s">
        <v>166</v>
      </c>
      <c r="DF628" s="22">
        <v>7</v>
      </c>
      <c r="DG628" s="14" t="s">
        <v>1191</v>
      </c>
      <c r="DH628" s="14" t="s">
        <v>193</v>
      </c>
      <c r="DI628" s="14" t="s">
        <v>194</v>
      </c>
      <c r="DJ628" s="14" t="s">
        <v>1192</v>
      </c>
      <c r="DK628" s="14" t="s">
        <v>1023</v>
      </c>
      <c r="DL628" s="21" t="s">
        <v>166</v>
      </c>
      <c r="DM628" s="14" t="s">
        <v>198</v>
      </c>
      <c r="DN628" s="13" t="s">
        <v>12091</v>
      </c>
      <c r="DO628" s="20">
        <v>2022</v>
      </c>
      <c r="DP628" s="14" t="s">
        <v>166</v>
      </c>
      <c r="DQ628" s="14" t="s">
        <v>166</v>
      </c>
      <c r="DR628" s="18" t="s">
        <v>166</v>
      </c>
      <c r="DS628" s="16" t="s">
        <v>166</v>
      </c>
      <c r="DT628" s="19" t="s">
        <v>166</v>
      </c>
      <c r="DU628" s="14" t="s">
        <v>166</v>
      </c>
      <c r="DV628" s="18" t="s">
        <v>166</v>
      </c>
      <c r="DW628" s="18" t="s">
        <v>166</v>
      </c>
      <c r="DX628" s="16" t="s">
        <v>166</v>
      </c>
      <c r="DY628" s="16" t="s">
        <v>166</v>
      </c>
      <c r="DZ628" s="17" t="s">
        <v>166</v>
      </c>
      <c r="EA628" s="16" t="s">
        <v>166</v>
      </c>
      <c r="EB628" s="16" t="s">
        <v>166</v>
      </c>
      <c r="EC628" s="16" t="s">
        <v>166</v>
      </c>
      <c r="ED628" s="17" t="s">
        <v>166</v>
      </c>
      <c r="EE628" s="17" t="s">
        <v>166</v>
      </c>
      <c r="EF628" s="17" t="s">
        <v>166</v>
      </c>
      <c r="EG628" s="17" t="s">
        <v>166</v>
      </c>
      <c r="EH628" s="16" t="s">
        <v>166</v>
      </c>
      <c r="EI628" s="16" t="s">
        <v>166</v>
      </c>
      <c r="EJ628" s="16" t="s">
        <v>166</v>
      </c>
      <c r="EK628" s="16" t="s">
        <v>166</v>
      </c>
      <c r="EL628" s="16" t="s">
        <v>166</v>
      </c>
      <c r="EM628" s="16" t="s">
        <v>166</v>
      </c>
      <c r="EN628" s="16" t="s">
        <v>166</v>
      </c>
      <c r="EO628" s="16" t="s">
        <v>166</v>
      </c>
      <c r="EP628" s="16" t="s">
        <v>166</v>
      </c>
      <c r="EQ628" s="16" t="s">
        <v>166</v>
      </c>
      <c r="ER628" s="16" t="s">
        <v>166</v>
      </c>
      <c r="ES628" s="16" t="s">
        <v>166</v>
      </c>
      <c r="ET628" s="14" t="s">
        <v>166</v>
      </c>
      <c r="EU628" s="16" t="s">
        <v>166</v>
      </c>
      <c r="EV628" s="16" t="s">
        <v>166</v>
      </c>
      <c r="EW628" s="16" t="s">
        <v>166</v>
      </c>
      <c r="EX628" s="14" t="s">
        <v>190</v>
      </c>
      <c r="EY628" s="14" t="s">
        <v>166</v>
      </c>
      <c r="EZ628" s="16" t="s">
        <v>166</v>
      </c>
      <c r="FA628" s="15" t="s">
        <v>166</v>
      </c>
      <c r="FB628" s="15" t="s">
        <v>166</v>
      </c>
      <c r="FC628" s="15" t="s">
        <v>166</v>
      </c>
      <c r="FD628" s="15" t="s">
        <v>166</v>
      </c>
      <c r="FE628" s="15" t="s">
        <v>166</v>
      </c>
      <c r="FF628" s="15" t="s">
        <v>166</v>
      </c>
      <c r="FG628" s="14" t="s">
        <v>166</v>
      </c>
      <c r="FH628" s="3">
        <f>HYPERLINK("https://my.pitchbook.com?c=249272-47T","View Company Online")</f>
      </c>
    </row>
    <row r="629">
      <c r="A629" s="25" t="s">
        <v>12092</v>
      </c>
      <c r="B629" s="25" t="s">
        <v>12093</v>
      </c>
      <c r="C629" s="25" t="s">
        <v>12094</v>
      </c>
      <c r="D629" s="25" t="s">
        <v>166</v>
      </c>
      <c r="E629" s="34" t="s">
        <v>12095</v>
      </c>
      <c r="F629" s="32">
        <v>5</v>
      </c>
      <c r="G629" s="25" t="s">
        <v>12096</v>
      </c>
      <c r="H629" s="25" t="s">
        <v>166</v>
      </c>
      <c r="I629" s="25" t="s">
        <v>12097</v>
      </c>
      <c r="J629" s="25" t="s">
        <v>12098</v>
      </c>
      <c r="K629" s="25" t="s">
        <v>1455</v>
      </c>
      <c r="L629" s="25" t="s">
        <v>1984</v>
      </c>
      <c r="M629" s="25" t="s">
        <v>2112</v>
      </c>
      <c r="N629" s="25" t="s">
        <v>6453</v>
      </c>
      <c r="O629" s="25" t="s">
        <v>1553</v>
      </c>
      <c r="P629" s="25" t="s">
        <v>12099</v>
      </c>
      <c r="Q629" s="25" t="s">
        <v>166</v>
      </c>
      <c r="R629" s="25" t="s">
        <v>177</v>
      </c>
      <c r="S629" s="25" t="s">
        <v>178</v>
      </c>
      <c r="T629" s="25" t="s">
        <v>179</v>
      </c>
      <c r="U629" s="25" t="s">
        <v>12100</v>
      </c>
      <c r="V629" s="25" t="s">
        <v>12101</v>
      </c>
      <c r="W629" s="32" t="s">
        <v>12102</v>
      </c>
      <c r="X629" s="25" t="s">
        <v>12103</v>
      </c>
      <c r="Y629" s="25" t="s">
        <v>12104</v>
      </c>
      <c r="Z629" s="25" t="s">
        <v>166</v>
      </c>
      <c r="AA629" s="25" t="s">
        <v>242</v>
      </c>
      <c r="AB629" s="25" t="s">
        <v>243</v>
      </c>
      <c r="AC629" s="25" t="s">
        <v>244</v>
      </c>
      <c r="AD629" s="25" t="s">
        <v>243</v>
      </c>
      <c r="AE629" s="25" t="s">
        <v>243</v>
      </c>
      <c r="AF629" s="25" t="s">
        <v>166</v>
      </c>
      <c r="AG629" s="25" t="s">
        <v>246</v>
      </c>
      <c r="AH629" s="32">
        <v>2</v>
      </c>
      <c r="AI629" s="4">
        <f>HYPERLINK("https://my.pitchbook.com/?d=167644-54T","167644-54T")</f>
      </c>
      <c r="AJ629" s="30">
        <v>44253</v>
      </c>
      <c r="AK629" s="30">
        <v>44370</v>
      </c>
      <c r="AL629" s="29">
        <v>2.25</v>
      </c>
      <c r="AM629" s="25" t="s">
        <v>185</v>
      </c>
      <c r="AN629" s="29">
        <v>5</v>
      </c>
      <c r="AO629" s="29">
        <v>7.25</v>
      </c>
      <c r="AP629" s="25" t="s">
        <v>185</v>
      </c>
      <c r="AQ629" s="32" t="s">
        <v>166</v>
      </c>
      <c r="AR629" s="32" t="s">
        <v>166</v>
      </c>
      <c r="AS629" s="28">
        <v>33.1</v>
      </c>
      <c r="AT629" s="29">
        <v>2.27</v>
      </c>
      <c r="AU629" s="32" t="s">
        <v>186</v>
      </c>
      <c r="AV629" s="32" t="s">
        <v>166</v>
      </c>
      <c r="AW629" s="29">
        <v>2.36</v>
      </c>
      <c r="AX629" s="32" t="s">
        <v>166</v>
      </c>
      <c r="AY629" s="25" t="s">
        <v>217</v>
      </c>
      <c r="AZ629" s="25" t="s">
        <v>217</v>
      </c>
      <c r="BA629" s="25" t="s">
        <v>166</v>
      </c>
      <c r="BB629" s="32" t="s">
        <v>166</v>
      </c>
      <c r="BC629" s="25" t="s">
        <v>179</v>
      </c>
      <c r="BD629" s="25" t="s">
        <v>12105</v>
      </c>
      <c r="BE629" s="25" t="s">
        <v>189</v>
      </c>
      <c r="BF629" s="29">
        <v>2.25</v>
      </c>
      <c r="BG629" s="25" t="s">
        <v>190</v>
      </c>
      <c r="BH629" s="25" t="s">
        <v>166</v>
      </c>
      <c r="BI629" s="25" t="s">
        <v>166</v>
      </c>
      <c r="BJ629" s="29" t="s">
        <v>166</v>
      </c>
      <c r="BK629" s="29" t="s">
        <v>166</v>
      </c>
      <c r="BL629" s="25" t="s">
        <v>191</v>
      </c>
      <c r="BM629" s="25" t="s">
        <v>178</v>
      </c>
      <c r="BN629" s="25" t="s">
        <v>177</v>
      </c>
      <c r="BO629" s="33">
        <v>3</v>
      </c>
      <c r="BP629" s="25" t="s">
        <v>12106</v>
      </c>
      <c r="BQ629" s="32">
        <v>4</v>
      </c>
      <c r="BR629" s="25" t="s">
        <v>252</v>
      </c>
      <c r="BS629" s="32">
        <v>1</v>
      </c>
      <c r="BT629" s="25" t="s">
        <v>3099</v>
      </c>
      <c r="BU629" s="25" t="s">
        <v>166</v>
      </c>
      <c r="BV629" s="25" t="s">
        <v>12107</v>
      </c>
      <c r="BW629" s="25" t="s">
        <v>166</v>
      </c>
      <c r="BX629" s="25" t="s">
        <v>166</v>
      </c>
      <c r="BY629" s="25" t="s">
        <v>166</v>
      </c>
      <c r="BZ629" s="25" t="s">
        <v>1232</v>
      </c>
      <c r="CA629" s="25" t="s">
        <v>1232</v>
      </c>
      <c r="CB629" s="25" t="s">
        <v>166</v>
      </c>
      <c r="CC629" s="25" t="s">
        <v>166</v>
      </c>
      <c r="CD629" s="25" t="s">
        <v>166</v>
      </c>
      <c r="CE629" s="29" t="s">
        <v>166</v>
      </c>
      <c r="CF629" s="27" t="s">
        <v>166</v>
      </c>
      <c r="CG629" s="28" t="s">
        <v>166</v>
      </c>
      <c r="CH629" s="27" t="s">
        <v>166</v>
      </c>
      <c r="CI629" s="27" t="s">
        <v>166</v>
      </c>
      <c r="CJ629" s="27" t="s">
        <v>166</v>
      </c>
      <c r="CK629" s="27" t="s">
        <v>166</v>
      </c>
      <c r="CL629" s="27" t="s">
        <v>166</v>
      </c>
      <c r="CM629" s="31" t="s">
        <v>166</v>
      </c>
      <c r="CN629" s="27" t="s">
        <v>166</v>
      </c>
      <c r="CO629" s="27" t="s">
        <v>166</v>
      </c>
      <c r="CP629" s="27" t="s">
        <v>166</v>
      </c>
      <c r="CQ629" s="27" t="s">
        <v>166</v>
      </c>
      <c r="CR629" s="27" t="s">
        <v>166</v>
      </c>
      <c r="CS629" s="27" t="s">
        <v>166</v>
      </c>
      <c r="CT629" s="27" t="s">
        <v>166</v>
      </c>
      <c r="CU629" s="27" t="s">
        <v>166</v>
      </c>
      <c r="CV629" s="27" t="s">
        <v>166</v>
      </c>
      <c r="CW629" s="27" t="s">
        <v>166</v>
      </c>
      <c r="CX629" s="27" t="s">
        <v>166</v>
      </c>
      <c r="CY629" s="27" t="s">
        <v>166</v>
      </c>
      <c r="CZ629" s="27" t="s">
        <v>166</v>
      </c>
      <c r="DA629" s="27" t="s">
        <v>166</v>
      </c>
      <c r="DB629" s="27" t="s">
        <v>166</v>
      </c>
      <c r="DC629" s="27" t="s">
        <v>166</v>
      </c>
      <c r="DD629" s="27" t="s">
        <v>166</v>
      </c>
      <c r="DE629" s="28" t="s">
        <v>166</v>
      </c>
      <c r="DF629" s="33">
        <v>13</v>
      </c>
      <c r="DG629" s="25" t="s">
        <v>12108</v>
      </c>
      <c r="DH629" s="25" t="s">
        <v>193</v>
      </c>
      <c r="DI629" s="25" t="s">
        <v>194</v>
      </c>
      <c r="DJ629" s="25" t="s">
        <v>12109</v>
      </c>
      <c r="DK629" s="25" t="s">
        <v>408</v>
      </c>
      <c r="DL629" s="32" t="s">
        <v>12110</v>
      </c>
      <c r="DM629" s="25" t="s">
        <v>198</v>
      </c>
      <c r="DN629" s="24" t="s">
        <v>12111</v>
      </c>
      <c r="DO629" s="31">
        <v>2020</v>
      </c>
      <c r="DP629" s="25" t="s">
        <v>166</v>
      </c>
      <c r="DQ629" s="25" t="s">
        <v>166</v>
      </c>
      <c r="DR629" s="29" t="s">
        <v>166</v>
      </c>
      <c r="DS629" s="27" t="s">
        <v>166</v>
      </c>
      <c r="DT629" s="30" t="s">
        <v>166</v>
      </c>
      <c r="DU629" s="25" t="s">
        <v>166</v>
      </c>
      <c r="DV629" s="29" t="s">
        <v>166</v>
      </c>
      <c r="DW629" s="29" t="s">
        <v>166</v>
      </c>
      <c r="DX629" s="27" t="s">
        <v>166</v>
      </c>
      <c r="DY629" s="27" t="s">
        <v>166</v>
      </c>
      <c r="DZ629" s="28" t="s">
        <v>166</v>
      </c>
      <c r="EA629" s="27" t="s">
        <v>166</v>
      </c>
      <c r="EB629" s="27" t="s">
        <v>166</v>
      </c>
      <c r="EC629" s="27" t="s">
        <v>166</v>
      </c>
      <c r="ED629" s="28" t="s">
        <v>166</v>
      </c>
      <c r="EE629" s="28" t="s">
        <v>166</v>
      </c>
      <c r="EF629" s="28" t="s">
        <v>166</v>
      </c>
      <c r="EG629" s="28" t="s">
        <v>166</v>
      </c>
      <c r="EH629" s="27" t="s">
        <v>166</v>
      </c>
      <c r="EI629" s="27" t="s">
        <v>166</v>
      </c>
      <c r="EJ629" s="27" t="s">
        <v>166</v>
      </c>
      <c r="EK629" s="27" t="s">
        <v>166</v>
      </c>
      <c r="EL629" s="27" t="s">
        <v>166</v>
      </c>
      <c r="EM629" s="27" t="s">
        <v>166</v>
      </c>
      <c r="EN629" s="27" t="s">
        <v>166</v>
      </c>
      <c r="EO629" s="27" t="s">
        <v>166</v>
      </c>
      <c r="EP629" s="27" t="s">
        <v>166</v>
      </c>
      <c r="EQ629" s="27" t="s">
        <v>166</v>
      </c>
      <c r="ER629" s="27" t="s">
        <v>166</v>
      </c>
      <c r="ES629" s="27" t="s">
        <v>166</v>
      </c>
      <c r="ET629" s="25" t="s">
        <v>166</v>
      </c>
      <c r="EU629" s="27" t="s">
        <v>166</v>
      </c>
      <c r="EV629" s="27" t="s">
        <v>166</v>
      </c>
      <c r="EW629" s="27" t="s">
        <v>166</v>
      </c>
      <c r="EX629" s="25" t="s">
        <v>190</v>
      </c>
      <c r="EY629" s="25" t="s">
        <v>166</v>
      </c>
      <c r="EZ629" s="27" t="s">
        <v>166</v>
      </c>
      <c r="FA629" s="26" t="s">
        <v>166</v>
      </c>
      <c r="FB629" s="26" t="s">
        <v>166</v>
      </c>
      <c r="FC629" s="26" t="s">
        <v>166</v>
      </c>
      <c r="FD629" s="26" t="s">
        <v>166</v>
      </c>
      <c r="FE629" s="26" t="s">
        <v>166</v>
      </c>
      <c r="FF629" s="26" t="s">
        <v>166</v>
      </c>
      <c r="FG629" s="25" t="s">
        <v>166</v>
      </c>
      <c r="FH629" s="4">
        <f>HYPERLINK("https://my.pitchbook.com?c=167644-54T","View Company Online")</f>
      </c>
    </row>
    <row r="630">
      <c r="A630" s="14" t="s">
        <v>12112</v>
      </c>
      <c r="B630" s="14" t="s">
        <v>12113</v>
      </c>
      <c r="C630" s="14" t="s">
        <v>12114</v>
      </c>
      <c r="D630" s="14" t="s">
        <v>166</v>
      </c>
      <c r="E630" s="23" t="s">
        <v>12115</v>
      </c>
      <c r="F630" s="21">
        <v>7</v>
      </c>
      <c r="G630" s="14" t="s">
        <v>12116</v>
      </c>
      <c r="H630" s="14" t="s">
        <v>166</v>
      </c>
      <c r="I630" s="14" t="s">
        <v>12117</v>
      </c>
      <c r="J630" s="14" t="s">
        <v>12118</v>
      </c>
      <c r="K630" s="14" t="s">
        <v>207</v>
      </c>
      <c r="L630" s="14" t="s">
        <v>208</v>
      </c>
      <c r="M630" s="14" t="s">
        <v>209</v>
      </c>
      <c r="N630" s="14" t="s">
        <v>12119</v>
      </c>
      <c r="O630" s="14" t="s">
        <v>1127</v>
      </c>
      <c r="P630" s="14" t="s">
        <v>12120</v>
      </c>
      <c r="Q630" s="14" t="s">
        <v>166</v>
      </c>
      <c r="R630" s="14" t="s">
        <v>177</v>
      </c>
      <c r="S630" s="14" t="s">
        <v>178</v>
      </c>
      <c r="T630" s="14" t="s">
        <v>179</v>
      </c>
      <c r="U630" s="14" t="s">
        <v>12121</v>
      </c>
      <c r="V630" s="14" t="s">
        <v>12122</v>
      </c>
      <c r="W630" s="21" t="s">
        <v>12123</v>
      </c>
      <c r="X630" s="14" t="s">
        <v>12124</v>
      </c>
      <c r="Y630" s="14" t="s">
        <v>12125</v>
      </c>
      <c r="Z630" s="14" t="s">
        <v>12126</v>
      </c>
      <c r="AA630" s="14" t="s">
        <v>166</v>
      </c>
      <c r="AB630" s="14" t="s">
        <v>166</v>
      </c>
      <c r="AC630" s="14" t="s">
        <v>166</v>
      </c>
      <c r="AD630" s="14" t="s">
        <v>166</v>
      </c>
      <c r="AE630" s="14" t="s">
        <v>166</v>
      </c>
      <c r="AF630" s="14" t="s">
        <v>166</v>
      </c>
      <c r="AG630" s="14" t="s">
        <v>166</v>
      </c>
      <c r="AH630" s="21">
        <v>2</v>
      </c>
      <c r="AI630" s="3">
        <f>HYPERLINK("https://my.pitchbook.com/?d=194225-14T","194225-14T")</f>
      </c>
      <c r="AJ630" s="19">
        <v>45212</v>
      </c>
      <c r="AK630" s="19">
        <v>45490</v>
      </c>
      <c r="AL630" s="18">
        <v>2.8</v>
      </c>
      <c r="AM630" s="14" t="s">
        <v>185</v>
      </c>
      <c r="AN630" s="18" t="s">
        <v>166</v>
      </c>
      <c r="AO630" s="18" t="s">
        <v>166</v>
      </c>
      <c r="AP630" s="14" t="s">
        <v>166</v>
      </c>
      <c r="AQ630" s="21" t="s">
        <v>166</v>
      </c>
      <c r="AR630" s="21" t="s">
        <v>166</v>
      </c>
      <c r="AS630" s="17" t="s">
        <v>166</v>
      </c>
      <c r="AT630" s="18">
        <v>2.8</v>
      </c>
      <c r="AU630" s="21" t="s">
        <v>186</v>
      </c>
      <c r="AV630" s="21" t="s">
        <v>166</v>
      </c>
      <c r="AW630" s="18" t="s">
        <v>166</v>
      </c>
      <c r="AX630" s="21" t="s">
        <v>166</v>
      </c>
      <c r="AY630" s="14" t="s">
        <v>217</v>
      </c>
      <c r="AZ630" s="14" t="s">
        <v>217</v>
      </c>
      <c r="BA630" s="14" t="s">
        <v>166</v>
      </c>
      <c r="BB630" s="21" t="s">
        <v>166</v>
      </c>
      <c r="BC630" s="14" t="s">
        <v>179</v>
      </c>
      <c r="BD630" s="14" t="s">
        <v>12127</v>
      </c>
      <c r="BE630" s="14" t="s">
        <v>189</v>
      </c>
      <c r="BF630" s="18">
        <v>2.8</v>
      </c>
      <c r="BG630" s="14" t="s">
        <v>190</v>
      </c>
      <c r="BH630" s="14" t="s">
        <v>166</v>
      </c>
      <c r="BI630" s="14" t="s">
        <v>166</v>
      </c>
      <c r="BJ630" s="18" t="s">
        <v>166</v>
      </c>
      <c r="BK630" s="18" t="s">
        <v>166</v>
      </c>
      <c r="BL630" s="14" t="s">
        <v>191</v>
      </c>
      <c r="BM630" s="14" t="s">
        <v>178</v>
      </c>
      <c r="BN630" s="14" t="s">
        <v>177</v>
      </c>
      <c r="BO630" s="22" t="s">
        <v>166</v>
      </c>
      <c r="BP630" s="14" t="s">
        <v>12115</v>
      </c>
      <c r="BQ630" s="21">
        <v>7</v>
      </c>
      <c r="BR630" s="14" t="s">
        <v>166</v>
      </c>
      <c r="BS630" s="21" t="s">
        <v>166</v>
      </c>
      <c r="BT630" s="14" t="s">
        <v>12128</v>
      </c>
      <c r="BU630" s="14" t="s">
        <v>166</v>
      </c>
      <c r="BV630" s="14" t="s">
        <v>12129</v>
      </c>
      <c r="BW630" s="14" t="s">
        <v>166</v>
      </c>
      <c r="BX630" s="14" t="s">
        <v>166</v>
      </c>
      <c r="BY630" s="14" t="s">
        <v>166</v>
      </c>
      <c r="BZ630" s="14" t="s">
        <v>166</v>
      </c>
      <c r="CA630" s="14" t="s">
        <v>166</v>
      </c>
      <c r="CB630" s="14" t="s">
        <v>166</v>
      </c>
      <c r="CC630" s="14" t="s">
        <v>166</v>
      </c>
      <c r="CD630" s="14" t="s">
        <v>166</v>
      </c>
      <c r="CE630" s="18" t="s">
        <v>166</v>
      </c>
      <c r="CF630" s="16" t="s">
        <v>166</v>
      </c>
      <c r="CG630" s="17" t="s">
        <v>166</v>
      </c>
      <c r="CH630" s="16" t="s">
        <v>166</v>
      </c>
      <c r="CI630" s="16" t="s">
        <v>166</v>
      </c>
      <c r="CJ630" s="16" t="s">
        <v>166</v>
      </c>
      <c r="CK630" s="16" t="s">
        <v>166</v>
      </c>
      <c r="CL630" s="16" t="s">
        <v>166</v>
      </c>
      <c r="CM630" s="20" t="s">
        <v>166</v>
      </c>
      <c r="CN630" s="16" t="s">
        <v>166</v>
      </c>
      <c r="CO630" s="16" t="s">
        <v>166</v>
      </c>
      <c r="CP630" s="16" t="s">
        <v>166</v>
      </c>
      <c r="CQ630" s="16" t="s">
        <v>166</v>
      </c>
      <c r="CR630" s="16" t="s">
        <v>166</v>
      </c>
      <c r="CS630" s="16" t="s">
        <v>166</v>
      </c>
      <c r="CT630" s="16" t="s">
        <v>166</v>
      </c>
      <c r="CU630" s="16" t="s">
        <v>166</v>
      </c>
      <c r="CV630" s="16" t="s">
        <v>166</v>
      </c>
      <c r="CW630" s="16" t="s">
        <v>166</v>
      </c>
      <c r="CX630" s="16" t="s">
        <v>166</v>
      </c>
      <c r="CY630" s="16" t="s">
        <v>166</v>
      </c>
      <c r="CZ630" s="16" t="s">
        <v>166</v>
      </c>
      <c r="DA630" s="16" t="s">
        <v>166</v>
      </c>
      <c r="DB630" s="16" t="s">
        <v>166</v>
      </c>
      <c r="DC630" s="16" t="s">
        <v>166</v>
      </c>
      <c r="DD630" s="16" t="s">
        <v>166</v>
      </c>
      <c r="DE630" s="17" t="s">
        <v>166</v>
      </c>
      <c r="DF630" s="22">
        <v>10</v>
      </c>
      <c r="DG630" s="14" t="s">
        <v>429</v>
      </c>
      <c r="DH630" s="14" t="s">
        <v>193</v>
      </c>
      <c r="DI630" s="14" t="s">
        <v>194</v>
      </c>
      <c r="DJ630" s="14" t="s">
        <v>430</v>
      </c>
      <c r="DK630" s="14" t="s">
        <v>431</v>
      </c>
      <c r="DL630" s="21" t="s">
        <v>12130</v>
      </c>
      <c r="DM630" s="14" t="s">
        <v>198</v>
      </c>
      <c r="DN630" s="13" t="s">
        <v>12131</v>
      </c>
      <c r="DO630" s="20">
        <v>2020</v>
      </c>
      <c r="DP630" s="14" t="s">
        <v>166</v>
      </c>
      <c r="DQ630" s="14" t="s">
        <v>166</v>
      </c>
      <c r="DR630" s="18" t="s">
        <v>166</v>
      </c>
      <c r="DS630" s="16" t="s">
        <v>166</v>
      </c>
      <c r="DT630" s="19" t="s">
        <v>166</v>
      </c>
      <c r="DU630" s="14" t="s">
        <v>166</v>
      </c>
      <c r="DV630" s="18" t="s">
        <v>166</v>
      </c>
      <c r="DW630" s="18" t="s">
        <v>166</v>
      </c>
      <c r="DX630" s="16" t="s">
        <v>166</v>
      </c>
      <c r="DY630" s="16" t="s">
        <v>166</v>
      </c>
      <c r="DZ630" s="17" t="s">
        <v>166</v>
      </c>
      <c r="EA630" s="16" t="s">
        <v>166</v>
      </c>
      <c r="EB630" s="16" t="s">
        <v>166</v>
      </c>
      <c r="EC630" s="16" t="s">
        <v>166</v>
      </c>
      <c r="ED630" s="17" t="s">
        <v>166</v>
      </c>
      <c r="EE630" s="17" t="s">
        <v>166</v>
      </c>
      <c r="EF630" s="17" t="s">
        <v>166</v>
      </c>
      <c r="EG630" s="17" t="s">
        <v>166</v>
      </c>
      <c r="EH630" s="16" t="s">
        <v>166</v>
      </c>
      <c r="EI630" s="16" t="s">
        <v>166</v>
      </c>
      <c r="EJ630" s="16" t="s">
        <v>166</v>
      </c>
      <c r="EK630" s="16" t="s">
        <v>166</v>
      </c>
      <c r="EL630" s="16" t="s">
        <v>166</v>
      </c>
      <c r="EM630" s="16" t="s">
        <v>166</v>
      </c>
      <c r="EN630" s="16" t="s">
        <v>166</v>
      </c>
      <c r="EO630" s="16" t="s">
        <v>166</v>
      </c>
      <c r="EP630" s="16" t="s">
        <v>166</v>
      </c>
      <c r="EQ630" s="16" t="s">
        <v>166</v>
      </c>
      <c r="ER630" s="16" t="s">
        <v>166</v>
      </c>
      <c r="ES630" s="16" t="s">
        <v>166</v>
      </c>
      <c r="ET630" s="14" t="s">
        <v>166</v>
      </c>
      <c r="EU630" s="16" t="s">
        <v>166</v>
      </c>
      <c r="EV630" s="16" t="s">
        <v>166</v>
      </c>
      <c r="EW630" s="16" t="s">
        <v>166</v>
      </c>
      <c r="EX630" s="14" t="s">
        <v>190</v>
      </c>
      <c r="EY630" s="14" t="s">
        <v>166</v>
      </c>
      <c r="EZ630" s="16" t="s">
        <v>166</v>
      </c>
      <c r="FA630" s="15" t="s">
        <v>166</v>
      </c>
      <c r="FB630" s="15" t="s">
        <v>166</v>
      </c>
      <c r="FC630" s="15" t="s">
        <v>166</v>
      </c>
      <c r="FD630" s="15" t="s">
        <v>166</v>
      </c>
      <c r="FE630" s="15" t="s">
        <v>166</v>
      </c>
      <c r="FF630" s="15" t="s">
        <v>166</v>
      </c>
      <c r="FG630" s="14" t="s">
        <v>166</v>
      </c>
      <c r="FH630" s="3">
        <f>HYPERLINK("https://my.pitchbook.com?c=194225-14T","View Company Online")</f>
      </c>
    </row>
    <row r="631">
      <c r="A631" s="25" t="s">
        <v>12132</v>
      </c>
      <c r="B631" s="25" t="s">
        <v>12133</v>
      </c>
      <c r="C631" s="25" t="s">
        <v>12134</v>
      </c>
      <c r="D631" s="25" t="s">
        <v>166</v>
      </c>
      <c r="E631" s="34" t="s">
        <v>12135</v>
      </c>
      <c r="F631" s="32">
        <v>8</v>
      </c>
      <c r="G631" s="25" t="s">
        <v>12136</v>
      </c>
      <c r="H631" s="25" t="s">
        <v>166</v>
      </c>
      <c r="I631" s="25" t="s">
        <v>12137</v>
      </c>
      <c r="J631" s="25" t="s">
        <v>12138</v>
      </c>
      <c r="K631" s="25" t="s">
        <v>207</v>
      </c>
      <c r="L631" s="25" t="s">
        <v>208</v>
      </c>
      <c r="M631" s="25" t="s">
        <v>209</v>
      </c>
      <c r="N631" s="25" t="s">
        <v>269</v>
      </c>
      <c r="O631" s="25" t="s">
        <v>1691</v>
      </c>
      <c r="P631" s="25" t="s">
        <v>12139</v>
      </c>
      <c r="Q631" s="25" t="s">
        <v>166</v>
      </c>
      <c r="R631" s="25" t="s">
        <v>177</v>
      </c>
      <c r="S631" s="25" t="s">
        <v>178</v>
      </c>
      <c r="T631" s="25" t="s">
        <v>179</v>
      </c>
      <c r="U631" s="25" t="s">
        <v>12140</v>
      </c>
      <c r="V631" s="25" t="s">
        <v>12141</v>
      </c>
      <c r="W631" s="32" t="s">
        <v>166</v>
      </c>
      <c r="X631" s="25" t="s">
        <v>12142</v>
      </c>
      <c r="Y631" s="25" t="s">
        <v>12143</v>
      </c>
      <c r="Z631" s="25" t="s">
        <v>166</v>
      </c>
      <c r="AA631" s="25" t="s">
        <v>242</v>
      </c>
      <c r="AB631" s="25" t="s">
        <v>243</v>
      </c>
      <c r="AC631" s="25" t="s">
        <v>244</v>
      </c>
      <c r="AD631" s="25" t="s">
        <v>243</v>
      </c>
      <c r="AE631" s="25" t="s">
        <v>243</v>
      </c>
      <c r="AF631" s="25" t="s">
        <v>166</v>
      </c>
      <c r="AG631" s="25" t="s">
        <v>807</v>
      </c>
      <c r="AH631" s="32">
        <v>1</v>
      </c>
      <c r="AI631" s="4">
        <f>HYPERLINK("https://my.pitchbook.com/?d=214434-19T","214434-19T")</f>
      </c>
      <c r="AJ631" s="30" t="s">
        <v>166</v>
      </c>
      <c r="AK631" s="30">
        <v>45008</v>
      </c>
      <c r="AL631" s="29">
        <v>2.58</v>
      </c>
      <c r="AM631" s="25" t="s">
        <v>185</v>
      </c>
      <c r="AN631" s="29">
        <v>6.26</v>
      </c>
      <c r="AO631" s="29">
        <v>8.57</v>
      </c>
      <c r="AP631" s="25" t="s">
        <v>185</v>
      </c>
      <c r="AQ631" s="32" t="s">
        <v>166</v>
      </c>
      <c r="AR631" s="32" t="s">
        <v>166</v>
      </c>
      <c r="AS631" s="28">
        <v>27.06</v>
      </c>
      <c r="AT631" s="29">
        <v>2.58</v>
      </c>
      <c r="AU631" s="32" t="s">
        <v>186</v>
      </c>
      <c r="AV631" s="32" t="s">
        <v>166</v>
      </c>
      <c r="AW631" s="29">
        <v>0.54</v>
      </c>
      <c r="AX631" s="32" t="s">
        <v>166</v>
      </c>
      <c r="AY631" s="25" t="s">
        <v>217</v>
      </c>
      <c r="AZ631" s="25" t="s">
        <v>217</v>
      </c>
      <c r="BA631" s="25" t="s">
        <v>166</v>
      </c>
      <c r="BB631" s="32" t="s">
        <v>166</v>
      </c>
      <c r="BC631" s="25" t="s">
        <v>179</v>
      </c>
      <c r="BD631" s="25" t="s">
        <v>12144</v>
      </c>
      <c r="BE631" s="25" t="s">
        <v>189</v>
      </c>
      <c r="BF631" s="29">
        <v>2.32</v>
      </c>
      <c r="BG631" s="25" t="s">
        <v>190</v>
      </c>
      <c r="BH631" s="25" t="s">
        <v>166</v>
      </c>
      <c r="BI631" s="25" t="s">
        <v>166</v>
      </c>
      <c r="BJ631" s="29">
        <v>0.26</v>
      </c>
      <c r="BK631" s="29" t="s">
        <v>166</v>
      </c>
      <c r="BL631" s="25" t="s">
        <v>191</v>
      </c>
      <c r="BM631" s="25" t="s">
        <v>178</v>
      </c>
      <c r="BN631" s="25" t="s">
        <v>177</v>
      </c>
      <c r="BO631" s="33">
        <v>20</v>
      </c>
      <c r="BP631" s="25" t="s">
        <v>12145</v>
      </c>
      <c r="BQ631" s="32">
        <v>8</v>
      </c>
      <c r="BR631" s="25" t="s">
        <v>166</v>
      </c>
      <c r="BS631" s="32" t="s">
        <v>166</v>
      </c>
      <c r="BT631" s="25" t="s">
        <v>12146</v>
      </c>
      <c r="BU631" s="25" t="s">
        <v>166</v>
      </c>
      <c r="BV631" s="25" t="s">
        <v>12147</v>
      </c>
      <c r="BW631" s="25" t="s">
        <v>166</v>
      </c>
      <c r="BX631" s="25" t="s">
        <v>166</v>
      </c>
      <c r="BY631" s="25" t="s">
        <v>166</v>
      </c>
      <c r="BZ631" s="25" t="s">
        <v>166</v>
      </c>
      <c r="CA631" s="25" t="s">
        <v>166</v>
      </c>
      <c r="CB631" s="25" t="s">
        <v>166</v>
      </c>
      <c r="CC631" s="25" t="s">
        <v>166</v>
      </c>
      <c r="CD631" s="25" t="s">
        <v>166</v>
      </c>
      <c r="CE631" s="29" t="s">
        <v>166</v>
      </c>
      <c r="CF631" s="27" t="s">
        <v>166</v>
      </c>
      <c r="CG631" s="28" t="s">
        <v>166</v>
      </c>
      <c r="CH631" s="27" t="s">
        <v>166</v>
      </c>
      <c r="CI631" s="27" t="s">
        <v>166</v>
      </c>
      <c r="CJ631" s="27" t="s">
        <v>166</v>
      </c>
      <c r="CK631" s="27" t="s">
        <v>166</v>
      </c>
      <c r="CL631" s="27" t="s">
        <v>166</v>
      </c>
      <c r="CM631" s="31" t="s">
        <v>166</v>
      </c>
      <c r="CN631" s="27" t="s">
        <v>166</v>
      </c>
      <c r="CO631" s="27" t="s">
        <v>166</v>
      </c>
      <c r="CP631" s="27" t="s">
        <v>166</v>
      </c>
      <c r="CQ631" s="27" t="s">
        <v>166</v>
      </c>
      <c r="CR631" s="27" t="s">
        <v>166</v>
      </c>
      <c r="CS631" s="27" t="s">
        <v>166</v>
      </c>
      <c r="CT631" s="27" t="s">
        <v>166</v>
      </c>
      <c r="CU631" s="27" t="s">
        <v>166</v>
      </c>
      <c r="CV631" s="27" t="s">
        <v>166</v>
      </c>
      <c r="CW631" s="27" t="s">
        <v>166</v>
      </c>
      <c r="CX631" s="27" t="s">
        <v>166</v>
      </c>
      <c r="CY631" s="27">
        <v>0.11</v>
      </c>
      <c r="CZ631" s="27" t="s">
        <v>166</v>
      </c>
      <c r="DA631" s="27" t="s">
        <v>166</v>
      </c>
      <c r="DB631" s="27" t="s">
        <v>166</v>
      </c>
      <c r="DC631" s="27" t="s">
        <v>166</v>
      </c>
      <c r="DD631" s="27" t="s">
        <v>166</v>
      </c>
      <c r="DE631" s="28" t="s">
        <v>166</v>
      </c>
      <c r="DF631" s="33">
        <v>25</v>
      </c>
      <c r="DG631" s="25" t="s">
        <v>12148</v>
      </c>
      <c r="DH631" s="25" t="s">
        <v>193</v>
      </c>
      <c r="DI631" s="25" t="s">
        <v>194</v>
      </c>
      <c r="DJ631" s="25" t="s">
        <v>12149</v>
      </c>
      <c r="DK631" s="25" t="s">
        <v>5508</v>
      </c>
      <c r="DL631" s="32" t="s">
        <v>12150</v>
      </c>
      <c r="DM631" s="25" t="s">
        <v>198</v>
      </c>
      <c r="DN631" s="24" t="s">
        <v>12151</v>
      </c>
      <c r="DO631" s="31">
        <v>2020</v>
      </c>
      <c r="DP631" s="25" t="s">
        <v>166</v>
      </c>
      <c r="DQ631" s="25" t="s">
        <v>12152</v>
      </c>
      <c r="DR631" s="29">
        <v>0.26</v>
      </c>
      <c r="DS631" s="27" t="s">
        <v>166</v>
      </c>
      <c r="DT631" s="30" t="s">
        <v>166</v>
      </c>
      <c r="DU631" s="25" t="s">
        <v>166</v>
      </c>
      <c r="DV631" s="29" t="s">
        <v>166</v>
      </c>
      <c r="DW631" s="29" t="s">
        <v>166</v>
      </c>
      <c r="DX631" s="27" t="s">
        <v>166</v>
      </c>
      <c r="DY631" s="27" t="s">
        <v>166</v>
      </c>
      <c r="DZ631" s="28" t="s">
        <v>166</v>
      </c>
      <c r="EA631" s="27" t="s">
        <v>166</v>
      </c>
      <c r="EB631" s="27" t="s">
        <v>166</v>
      </c>
      <c r="EC631" s="27" t="s">
        <v>166</v>
      </c>
      <c r="ED631" s="28" t="s">
        <v>166</v>
      </c>
      <c r="EE631" s="28" t="s">
        <v>166</v>
      </c>
      <c r="EF631" s="28" t="s">
        <v>166</v>
      </c>
      <c r="EG631" s="28" t="s">
        <v>166</v>
      </c>
      <c r="EH631" s="27" t="s">
        <v>166</v>
      </c>
      <c r="EI631" s="27" t="s">
        <v>166</v>
      </c>
      <c r="EJ631" s="27" t="s">
        <v>166</v>
      </c>
      <c r="EK631" s="27" t="s">
        <v>166</v>
      </c>
      <c r="EL631" s="27" t="s">
        <v>166</v>
      </c>
      <c r="EM631" s="27" t="s">
        <v>166</v>
      </c>
      <c r="EN631" s="27" t="s">
        <v>166</v>
      </c>
      <c r="EO631" s="27" t="s">
        <v>166</v>
      </c>
      <c r="EP631" s="27" t="s">
        <v>166</v>
      </c>
      <c r="EQ631" s="27" t="s">
        <v>166</v>
      </c>
      <c r="ER631" s="27" t="s">
        <v>166</v>
      </c>
      <c r="ES631" s="27" t="s">
        <v>166</v>
      </c>
      <c r="ET631" s="25" t="s">
        <v>166</v>
      </c>
      <c r="EU631" s="27" t="s">
        <v>166</v>
      </c>
      <c r="EV631" s="27" t="s">
        <v>166</v>
      </c>
      <c r="EW631" s="27" t="s">
        <v>166</v>
      </c>
      <c r="EX631" s="25" t="s">
        <v>190</v>
      </c>
      <c r="EY631" s="25" t="s">
        <v>190</v>
      </c>
      <c r="EZ631" s="27" t="s">
        <v>166</v>
      </c>
      <c r="FA631" s="26" t="s">
        <v>166</v>
      </c>
      <c r="FB631" s="26" t="s">
        <v>166</v>
      </c>
      <c r="FC631" s="26" t="s">
        <v>166</v>
      </c>
      <c r="FD631" s="26" t="s">
        <v>166</v>
      </c>
      <c r="FE631" s="26" t="s">
        <v>166</v>
      </c>
      <c r="FF631" s="26" t="s">
        <v>166</v>
      </c>
      <c r="FG631" s="25" t="s">
        <v>166</v>
      </c>
      <c r="FH631" s="4">
        <f>HYPERLINK("https://my.pitchbook.com?c=214434-19T","View Company Online")</f>
      </c>
    </row>
    <row r="632">
      <c r="A632" s="14" t="s">
        <v>12153</v>
      </c>
      <c r="B632" s="14" t="s">
        <v>12154</v>
      </c>
      <c r="C632" s="14" t="s">
        <v>12155</v>
      </c>
      <c r="D632" s="14" t="s">
        <v>166</v>
      </c>
      <c r="E632" s="23" t="s">
        <v>12156</v>
      </c>
      <c r="F632" s="21">
        <v>4</v>
      </c>
      <c r="G632" s="14" t="s">
        <v>12157</v>
      </c>
      <c r="H632" s="14" t="s">
        <v>166</v>
      </c>
      <c r="I632" s="14" t="s">
        <v>12158</v>
      </c>
      <c r="J632" s="14" t="s">
        <v>12159</v>
      </c>
      <c r="K632" s="14" t="s">
        <v>207</v>
      </c>
      <c r="L632" s="14" t="s">
        <v>208</v>
      </c>
      <c r="M632" s="14" t="s">
        <v>209</v>
      </c>
      <c r="N632" s="14" t="s">
        <v>3221</v>
      </c>
      <c r="O632" s="14" t="s">
        <v>2702</v>
      </c>
      <c r="P632" s="14" t="s">
        <v>12160</v>
      </c>
      <c r="Q632" s="14" t="s">
        <v>166</v>
      </c>
      <c r="R632" s="14" t="s">
        <v>177</v>
      </c>
      <c r="S632" s="14" t="s">
        <v>178</v>
      </c>
      <c r="T632" s="14" t="s">
        <v>179</v>
      </c>
      <c r="U632" s="14" t="s">
        <v>12161</v>
      </c>
      <c r="V632" s="14" t="s">
        <v>12162</v>
      </c>
      <c r="W632" s="21" t="s">
        <v>166</v>
      </c>
      <c r="X632" s="14" t="s">
        <v>12163</v>
      </c>
      <c r="Y632" s="14" t="s">
        <v>12164</v>
      </c>
      <c r="Z632" s="14" t="s">
        <v>166</v>
      </c>
      <c r="AA632" s="14" t="s">
        <v>242</v>
      </c>
      <c r="AB632" s="14" t="s">
        <v>243</v>
      </c>
      <c r="AC632" s="14" t="s">
        <v>244</v>
      </c>
      <c r="AD632" s="14" t="s">
        <v>243</v>
      </c>
      <c r="AE632" s="14" t="s">
        <v>243</v>
      </c>
      <c r="AF632" s="14" t="s">
        <v>166</v>
      </c>
      <c r="AG632" s="14" t="s">
        <v>246</v>
      </c>
      <c r="AH632" s="21">
        <v>1</v>
      </c>
      <c r="AI632" s="3">
        <f>HYPERLINK("https://my.pitchbook.com/?d=191668-24T","191668-24T")</f>
      </c>
      <c r="AJ632" s="19" t="s">
        <v>166</v>
      </c>
      <c r="AK632" s="19">
        <v>44545</v>
      </c>
      <c r="AL632" s="18">
        <v>5</v>
      </c>
      <c r="AM632" s="14" t="s">
        <v>247</v>
      </c>
      <c r="AN632" s="18">
        <v>25</v>
      </c>
      <c r="AO632" s="18">
        <v>30</v>
      </c>
      <c r="AP632" s="14" t="s">
        <v>185</v>
      </c>
      <c r="AQ632" s="21" t="s">
        <v>166</v>
      </c>
      <c r="AR632" s="21" t="s">
        <v>166</v>
      </c>
      <c r="AS632" s="17">
        <v>16.67</v>
      </c>
      <c r="AT632" s="18">
        <v>5</v>
      </c>
      <c r="AU632" s="21" t="s">
        <v>186</v>
      </c>
      <c r="AV632" s="21" t="s">
        <v>166</v>
      </c>
      <c r="AW632" s="18">
        <v>1.95</v>
      </c>
      <c r="AX632" s="21" t="s">
        <v>166</v>
      </c>
      <c r="AY632" s="14" t="s">
        <v>217</v>
      </c>
      <c r="AZ632" s="14" t="s">
        <v>217</v>
      </c>
      <c r="BA632" s="14" t="s">
        <v>166</v>
      </c>
      <c r="BB632" s="21" t="s">
        <v>166</v>
      </c>
      <c r="BC632" s="14" t="s">
        <v>179</v>
      </c>
      <c r="BD632" s="14" t="s">
        <v>12165</v>
      </c>
      <c r="BE632" s="14" t="s">
        <v>189</v>
      </c>
      <c r="BF632" s="18">
        <v>5</v>
      </c>
      <c r="BG632" s="14" t="s">
        <v>190</v>
      </c>
      <c r="BH632" s="14" t="s">
        <v>166</v>
      </c>
      <c r="BI632" s="14" t="s">
        <v>166</v>
      </c>
      <c r="BJ632" s="18" t="s">
        <v>166</v>
      </c>
      <c r="BK632" s="18" t="s">
        <v>166</v>
      </c>
      <c r="BL632" s="14" t="s">
        <v>191</v>
      </c>
      <c r="BM632" s="14" t="s">
        <v>178</v>
      </c>
      <c r="BN632" s="14" t="s">
        <v>177</v>
      </c>
      <c r="BO632" s="22" t="s">
        <v>166</v>
      </c>
      <c r="BP632" s="14" t="s">
        <v>12156</v>
      </c>
      <c r="BQ632" s="21">
        <v>4</v>
      </c>
      <c r="BR632" s="14" t="s">
        <v>166</v>
      </c>
      <c r="BS632" s="21" t="s">
        <v>166</v>
      </c>
      <c r="BT632" s="14" t="s">
        <v>12166</v>
      </c>
      <c r="BU632" s="14" t="s">
        <v>166</v>
      </c>
      <c r="BV632" s="14" t="s">
        <v>12167</v>
      </c>
      <c r="BW632" s="14" t="s">
        <v>166</v>
      </c>
      <c r="BX632" s="14" t="s">
        <v>166</v>
      </c>
      <c r="BY632" s="14" t="s">
        <v>166</v>
      </c>
      <c r="BZ632" s="14" t="s">
        <v>12168</v>
      </c>
      <c r="CA632" s="14" t="s">
        <v>12168</v>
      </c>
      <c r="CB632" s="14" t="s">
        <v>166</v>
      </c>
      <c r="CC632" s="14" t="s">
        <v>166</v>
      </c>
      <c r="CD632" s="14" t="s">
        <v>166</v>
      </c>
      <c r="CE632" s="18" t="s">
        <v>166</v>
      </c>
      <c r="CF632" s="16" t="s">
        <v>166</v>
      </c>
      <c r="CG632" s="17" t="s">
        <v>166</v>
      </c>
      <c r="CH632" s="16" t="s">
        <v>166</v>
      </c>
      <c r="CI632" s="16" t="s">
        <v>166</v>
      </c>
      <c r="CJ632" s="16" t="s">
        <v>166</v>
      </c>
      <c r="CK632" s="16" t="s">
        <v>166</v>
      </c>
      <c r="CL632" s="16" t="s">
        <v>166</v>
      </c>
      <c r="CM632" s="20" t="s">
        <v>166</v>
      </c>
      <c r="CN632" s="16" t="s">
        <v>166</v>
      </c>
      <c r="CO632" s="16" t="s">
        <v>166</v>
      </c>
      <c r="CP632" s="16" t="s">
        <v>166</v>
      </c>
      <c r="CQ632" s="16" t="s">
        <v>166</v>
      </c>
      <c r="CR632" s="16" t="s">
        <v>166</v>
      </c>
      <c r="CS632" s="16" t="s">
        <v>166</v>
      </c>
      <c r="CT632" s="16" t="s">
        <v>166</v>
      </c>
      <c r="CU632" s="16" t="s">
        <v>166</v>
      </c>
      <c r="CV632" s="16" t="s">
        <v>166</v>
      </c>
      <c r="CW632" s="16" t="s">
        <v>166</v>
      </c>
      <c r="CX632" s="16" t="s">
        <v>166</v>
      </c>
      <c r="CY632" s="16" t="s">
        <v>166</v>
      </c>
      <c r="CZ632" s="16" t="s">
        <v>166</v>
      </c>
      <c r="DA632" s="16" t="s">
        <v>166</v>
      </c>
      <c r="DB632" s="16" t="s">
        <v>166</v>
      </c>
      <c r="DC632" s="16" t="s">
        <v>166</v>
      </c>
      <c r="DD632" s="16" t="s">
        <v>166</v>
      </c>
      <c r="DE632" s="17" t="s">
        <v>166</v>
      </c>
      <c r="DF632" s="22">
        <v>17</v>
      </c>
      <c r="DG632" s="14" t="s">
        <v>5878</v>
      </c>
      <c r="DH632" s="14" t="s">
        <v>193</v>
      </c>
      <c r="DI632" s="14" t="s">
        <v>194</v>
      </c>
      <c r="DJ632" s="14" t="s">
        <v>5879</v>
      </c>
      <c r="DK632" s="14" t="s">
        <v>257</v>
      </c>
      <c r="DL632" s="21" t="s">
        <v>12169</v>
      </c>
      <c r="DM632" s="14" t="s">
        <v>198</v>
      </c>
      <c r="DN632" s="13" t="s">
        <v>12170</v>
      </c>
      <c r="DO632" s="20">
        <v>2020</v>
      </c>
      <c r="DP632" s="14" t="s">
        <v>166</v>
      </c>
      <c r="DQ632" s="14" t="s">
        <v>166</v>
      </c>
      <c r="DR632" s="18" t="s">
        <v>166</v>
      </c>
      <c r="DS632" s="16" t="s">
        <v>166</v>
      </c>
      <c r="DT632" s="19" t="s">
        <v>166</v>
      </c>
      <c r="DU632" s="14" t="s">
        <v>166</v>
      </c>
      <c r="DV632" s="18" t="s">
        <v>166</v>
      </c>
      <c r="DW632" s="18" t="s">
        <v>166</v>
      </c>
      <c r="DX632" s="16" t="s">
        <v>166</v>
      </c>
      <c r="DY632" s="16" t="s">
        <v>166</v>
      </c>
      <c r="DZ632" s="17" t="s">
        <v>166</v>
      </c>
      <c r="EA632" s="16" t="s">
        <v>166</v>
      </c>
      <c r="EB632" s="16" t="s">
        <v>166</v>
      </c>
      <c r="EC632" s="16" t="s">
        <v>166</v>
      </c>
      <c r="ED632" s="17" t="s">
        <v>166</v>
      </c>
      <c r="EE632" s="17" t="s">
        <v>166</v>
      </c>
      <c r="EF632" s="17" t="s">
        <v>166</v>
      </c>
      <c r="EG632" s="17" t="s">
        <v>166</v>
      </c>
      <c r="EH632" s="16" t="s">
        <v>166</v>
      </c>
      <c r="EI632" s="16" t="s">
        <v>166</v>
      </c>
      <c r="EJ632" s="16" t="s">
        <v>166</v>
      </c>
      <c r="EK632" s="16" t="s">
        <v>166</v>
      </c>
      <c r="EL632" s="16" t="s">
        <v>166</v>
      </c>
      <c r="EM632" s="16" t="s">
        <v>166</v>
      </c>
      <c r="EN632" s="16" t="s">
        <v>166</v>
      </c>
      <c r="EO632" s="16" t="s">
        <v>166</v>
      </c>
      <c r="EP632" s="16" t="s">
        <v>166</v>
      </c>
      <c r="EQ632" s="16" t="s">
        <v>166</v>
      </c>
      <c r="ER632" s="16" t="s">
        <v>166</v>
      </c>
      <c r="ES632" s="16" t="s">
        <v>166</v>
      </c>
      <c r="ET632" s="14" t="s">
        <v>166</v>
      </c>
      <c r="EU632" s="16" t="s">
        <v>166</v>
      </c>
      <c r="EV632" s="16" t="s">
        <v>166</v>
      </c>
      <c r="EW632" s="16" t="s">
        <v>166</v>
      </c>
      <c r="EX632" s="14" t="s">
        <v>190</v>
      </c>
      <c r="EY632" s="14" t="s">
        <v>166</v>
      </c>
      <c r="EZ632" s="16" t="s">
        <v>166</v>
      </c>
      <c r="FA632" s="15" t="s">
        <v>166</v>
      </c>
      <c r="FB632" s="15" t="s">
        <v>166</v>
      </c>
      <c r="FC632" s="15" t="s">
        <v>166</v>
      </c>
      <c r="FD632" s="15" t="s">
        <v>166</v>
      </c>
      <c r="FE632" s="15" t="s">
        <v>166</v>
      </c>
      <c r="FF632" s="15" t="s">
        <v>166</v>
      </c>
      <c r="FG632" s="14" t="s">
        <v>166</v>
      </c>
      <c r="FH632" s="3">
        <f>HYPERLINK("https://my.pitchbook.com?c=191668-24T","View Company Online")</f>
      </c>
    </row>
    <row r="633">
      <c r="A633" s="25" t="s">
        <v>12171</v>
      </c>
      <c r="B633" s="25" t="s">
        <v>12172</v>
      </c>
      <c r="C633" s="25" t="s">
        <v>12173</v>
      </c>
      <c r="D633" s="25" t="s">
        <v>166</v>
      </c>
      <c r="E633" s="34" t="s">
        <v>12174</v>
      </c>
      <c r="F633" s="32">
        <v>5</v>
      </c>
      <c r="G633" s="25" t="s">
        <v>12175</v>
      </c>
      <c r="H633" s="25" t="s">
        <v>166</v>
      </c>
      <c r="I633" s="25" t="s">
        <v>12176</v>
      </c>
      <c r="J633" s="25" t="s">
        <v>12177</v>
      </c>
      <c r="K633" s="25" t="s">
        <v>1455</v>
      </c>
      <c r="L633" s="25" t="s">
        <v>1984</v>
      </c>
      <c r="M633" s="25" t="s">
        <v>1985</v>
      </c>
      <c r="N633" s="25" t="s">
        <v>2661</v>
      </c>
      <c r="O633" s="25" t="s">
        <v>1035</v>
      </c>
      <c r="P633" s="25" t="s">
        <v>12178</v>
      </c>
      <c r="Q633" s="25" t="s">
        <v>166</v>
      </c>
      <c r="R633" s="25" t="s">
        <v>177</v>
      </c>
      <c r="S633" s="25" t="s">
        <v>178</v>
      </c>
      <c r="T633" s="25" t="s">
        <v>179</v>
      </c>
      <c r="U633" s="25" t="s">
        <v>12179</v>
      </c>
      <c r="V633" s="25" t="s">
        <v>12180</v>
      </c>
      <c r="W633" s="32" t="s">
        <v>12181</v>
      </c>
      <c r="X633" s="25" t="s">
        <v>12182</v>
      </c>
      <c r="Y633" s="25" t="s">
        <v>12183</v>
      </c>
      <c r="Z633" s="25" t="s">
        <v>166</v>
      </c>
      <c r="AA633" s="25" t="s">
        <v>242</v>
      </c>
      <c r="AB633" s="25" t="s">
        <v>243</v>
      </c>
      <c r="AC633" s="25" t="s">
        <v>244</v>
      </c>
      <c r="AD633" s="25" t="s">
        <v>243</v>
      </c>
      <c r="AE633" s="25" t="s">
        <v>243</v>
      </c>
      <c r="AF633" s="25" t="s">
        <v>166</v>
      </c>
      <c r="AG633" s="25" t="s">
        <v>807</v>
      </c>
      <c r="AH633" s="32">
        <v>1</v>
      </c>
      <c r="AI633" s="4">
        <f>HYPERLINK("https://my.pitchbook.com/?d=212094-01T","212094-01T")</f>
      </c>
      <c r="AJ633" s="30" t="s">
        <v>166</v>
      </c>
      <c r="AK633" s="30">
        <v>44914</v>
      </c>
      <c r="AL633" s="29">
        <v>2.25</v>
      </c>
      <c r="AM633" s="25" t="s">
        <v>247</v>
      </c>
      <c r="AN633" s="29">
        <v>4</v>
      </c>
      <c r="AO633" s="29">
        <v>6.25</v>
      </c>
      <c r="AP633" s="25" t="s">
        <v>185</v>
      </c>
      <c r="AQ633" s="32" t="s">
        <v>166</v>
      </c>
      <c r="AR633" s="32" t="s">
        <v>166</v>
      </c>
      <c r="AS633" s="28">
        <v>36</v>
      </c>
      <c r="AT633" s="29">
        <v>2.25</v>
      </c>
      <c r="AU633" s="32" t="s">
        <v>186</v>
      </c>
      <c r="AV633" s="32" t="s">
        <v>166</v>
      </c>
      <c r="AW633" s="29">
        <v>0.66</v>
      </c>
      <c r="AX633" s="32" t="s">
        <v>166</v>
      </c>
      <c r="AY633" s="25" t="s">
        <v>217</v>
      </c>
      <c r="AZ633" s="25" t="s">
        <v>217</v>
      </c>
      <c r="BA633" s="25" t="s">
        <v>166</v>
      </c>
      <c r="BB633" s="32" t="s">
        <v>166</v>
      </c>
      <c r="BC633" s="25" t="s">
        <v>179</v>
      </c>
      <c r="BD633" s="25" t="s">
        <v>12177</v>
      </c>
      <c r="BE633" s="25" t="s">
        <v>189</v>
      </c>
      <c r="BF633" s="29">
        <v>2.25</v>
      </c>
      <c r="BG633" s="25" t="s">
        <v>190</v>
      </c>
      <c r="BH633" s="25" t="s">
        <v>166</v>
      </c>
      <c r="BI633" s="25" t="s">
        <v>166</v>
      </c>
      <c r="BJ633" s="29" t="s">
        <v>166</v>
      </c>
      <c r="BK633" s="29" t="s">
        <v>166</v>
      </c>
      <c r="BL633" s="25" t="s">
        <v>191</v>
      </c>
      <c r="BM633" s="25" t="s">
        <v>178</v>
      </c>
      <c r="BN633" s="25" t="s">
        <v>177</v>
      </c>
      <c r="BO633" s="33" t="s">
        <v>166</v>
      </c>
      <c r="BP633" s="25" t="s">
        <v>12174</v>
      </c>
      <c r="BQ633" s="32">
        <v>5</v>
      </c>
      <c r="BR633" s="25" t="s">
        <v>166</v>
      </c>
      <c r="BS633" s="32" t="s">
        <v>166</v>
      </c>
      <c r="BT633" s="25" t="s">
        <v>166</v>
      </c>
      <c r="BU633" s="25" t="s">
        <v>166</v>
      </c>
      <c r="BV633" s="25" t="s">
        <v>166</v>
      </c>
      <c r="BW633" s="25" t="s">
        <v>166</v>
      </c>
      <c r="BX633" s="25" t="s">
        <v>166</v>
      </c>
      <c r="BY633" s="25" t="s">
        <v>166</v>
      </c>
      <c r="BZ633" s="25" t="s">
        <v>166</v>
      </c>
      <c r="CA633" s="25" t="s">
        <v>166</v>
      </c>
      <c r="CB633" s="25" t="s">
        <v>166</v>
      </c>
      <c r="CC633" s="25" t="s">
        <v>166</v>
      </c>
      <c r="CD633" s="25" t="s">
        <v>166</v>
      </c>
      <c r="CE633" s="29" t="s">
        <v>166</v>
      </c>
      <c r="CF633" s="27" t="s">
        <v>166</v>
      </c>
      <c r="CG633" s="28" t="s">
        <v>166</v>
      </c>
      <c r="CH633" s="27" t="s">
        <v>166</v>
      </c>
      <c r="CI633" s="27" t="s">
        <v>166</v>
      </c>
      <c r="CJ633" s="27" t="s">
        <v>166</v>
      </c>
      <c r="CK633" s="27" t="s">
        <v>166</v>
      </c>
      <c r="CL633" s="27" t="s">
        <v>166</v>
      </c>
      <c r="CM633" s="31" t="s">
        <v>166</v>
      </c>
      <c r="CN633" s="27" t="s">
        <v>166</v>
      </c>
      <c r="CO633" s="27" t="s">
        <v>166</v>
      </c>
      <c r="CP633" s="27" t="s">
        <v>166</v>
      </c>
      <c r="CQ633" s="27" t="s">
        <v>166</v>
      </c>
      <c r="CR633" s="27" t="s">
        <v>166</v>
      </c>
      <c r="CS633" s="27" t="s">
        <v>166</v>
      </c>
      <c r="CT633" s="27" t="s">
        <v>166</v>
      </c>
      <c r="CU633" s="27" t="s">
        <v>166</v>
      </c>
      <c r="CV633" s="27" t="s">
        <v>166</v>
      </c>
      <c r="CW633" s="27" t="s">
        <v>166</v>
      </c>
      <c r="CX633" s="27" t="s">
        <v>166</v>
      </c>
      <c r="CY633" s="27" t="s">
        <v>166</v>
      </c>
      <c r="CZ633" s="27" t="s">
        <v>166</v>
      </c>
      <c r="DA633" s="27" t="s">
        <v>166</v>
      </c>
      <c r="DB633" s="27" t="s">
        <v>166</v>
      </c>
      <c r="DC633" s="27" t="s">
        <v>166</v>
      </c>
      <c r="DD633" s="27" t="s">
        <v>166</v>
      </c>
      <c r="DE633" s="28" t="s">
        <v>166</v>
      </c>
      <c r="DF633" s="33" t="s">
        <v>166</v>
      </c>
      <c r="DG633" s="25" t="s">
        <v>12184</v>
      </c>
      <c r="DH633" s="25" t="s">
        <v>193</v>
      </c>
      <c r="DI633" s="25" t="s">
        <v>194</v>
      </c>
      <c r="DJ633" s="25" t="s">
        <v>12185</v>
      </c>
      <c r="DK633" s="25" t="s">
        <v>196</v>
      </c>
      <c r="DL633" s="32" t="s">
        <v>12186</v>
      </c>
      <c r="DM633" s="25" t="s">
        <v>198</v>
      </c>
      <c r="DN633" s="24" t="s">
        <v>12187</v>
      </c>
      <c r="DO633" s="31">
        <v>2021</v>
      </c>
      <c r="DP633" s="25" t="s">
        <v>166</v>
      </c>
      <c r="DQ633" s="25" t="s">
        <v>166</v>
      </c>
      <c r="DR633" s="29" t="s">
        <v>166</v>
      </c>
      <c r="DS633" s="27" t="s">
        <v>166</v>
      </c>
      <c r="DT633" s="30" t="s">
        <v>166</v>
      </c>
      <c r="DU633" s="25" t="s">
        <v>166</v>
      </c>
      <c r="DV633" s="29" t="s">
        <v>166</v>
      </c>
      <c r="DW633" s="29" t="s">
        <v>166</v>
      </c>
      <c r="DX633" s="27" t="s">
        <v>166</v>
      </c>
      <c r="DY633" s="27" t="s">
        <v>166</v>
      </c>
      <c r="DZ633" s="28" t="s">
        <v>166</v>
      </c>
      <c r="EA633" s="27" t="s">
        <v>166</v>
      </c>
      <c r="EB633" s="27" t="s">
        <v>166</v>
      </c>
      <c r="EC633" s="27" t="s">
        <v>166</v>
      </c>
      <c r="ED633" s="28" t="s">
        <v>166</v>
      </c>
      <c r="EE633" s="28" t="s">
        <v>166</v>
      </c>
      <c r="EF633" s="28" t="s">
        <v>166</v>
      </c>
      <c r="EG633" s="28" t="s">
        <v>166</v>
      </c>
      <c r="EH633" s="27" t="s">
        <v>166</v>
      </c>
      <c r="EI633" s="27" t="s">
        <v>166</v>
      </c>
      <c r="EJ633" s="27" t="s">
        <v>166</v>
      </c>
      <c r="EK633" s="27" t="s">
        <v>166</v>
      </c>
      <c r="EL633" s="27" t="s">
        <v>166</v>
      </c>
      <c r="EM633" s="27" t="s">
        <v>166</v>
      </c>
      <c r="EN633" s="27" t="s">
        <v>166</v>
      </c>
      <c r="EO633" s="27" t="s">
        <v>166</v>
      </c>
      <c r="EP633" s="27" t="s">
        <v>166</v>
      </c>
      <c r="EQ633" s="27" t="s">
        <v>166</v>
      </c>
      <c r="ER633" s="27" t="s">
        <v>166</v>
      </c>
      <c r="ES633" s="27" t="s">
        <v>166</v>
      </c>
      <c r="ET633" s="25" t="s">
        <v>166</v>
      </c>
      <c r="EU633" s="27" t="s">
        <v>166</v>
      </c>
      <c r="EV633" s="27" t="s">
        <v>166</v>
      </c>
      <c r="EW633" s="27" t="s">
        <v>166</v>
      </c>
      <c r="EX633" s="25" t="s">
        <v>190</v>
      </c>
      <c r="EY633" s="25" t="s">
        <v>166</v>
      </c>
      <c r="EZ633" s="27" t="s">
        <v>166</v>
      </c>
      <c r="FA633" s="26" t="s">
        <v>166</v>
      </c>
      <c r="FB633" s="26" t="s">
        <v>166</v>
      </c>
      <c r="FC633" s="26" t="s">
        <v>166</v>
      </c>
      <c r="FD633" s="26" t="s">
        <v>166</v>
      </c>
      <c r="FE633" s="26" t="s">
        <v>166</v>
      </c>
      <c r="FF633" s="26" t="s">
        <v>166</v>
      </c>
      <c r="FG633" s="25" t="s">
        <v>166</v>
      </c>
      <c r="FH633" s="4">
        <f>HYPERLINK("https://my.pitchbook.com?c=212094-01T","View Company Online")</f>
      </c>
    </row>
    <row r="634">
      <c r="A634" s="14" t="s">
        <v>12188</v>
      </c>
      <c r="B634" s="14" t="s">
        <v>12189</v>
      </c>
      <c r="C634" s="14" t="s">
        <v>12190</v>
      </c>
      <c r="D634" s="14" t="s">
        <v>166</v>
      </c>
      <c r="E634" s="23" t="s">
        <v>12191</v>
      </c>
      <c r="F634" s="21">
        <v>10</v>
      </c>
      <c r="G634" s="14" t="s">
        <v>12192</v>
      </c>
      <c r="H634" s="14" t="s">
        <v>166</v>
      </c>
      <c r="I634" s="14" t="s">
        <v>12193</v>
      </c>
      <c r="J634" s="14" t="s">
        <v>12194</v>
      </c>
      <c r="K634" s="14" t="s">
        <v>207</v>
      </c>
      <c r="L634" s="14" t="s">
        <v>208</v>
      </c>
      <c r="M634" s="14" t="s">
        <v>209</v>
      </c>
      <c r="N634" s="14" t="s">
        <v>269</v>
      </c>
      <c r="O634" s="14" t="s">
        <v>580</v>
      </c>
      <c r="P634" s="14" t="s">
        <v>12195</v>
      </c>
      <c r="Q634" s="14" t="s">
        <v>166</v>
      </c>
      <c r="R634" s="14" t="s">
        <v>177</v>
      </c>
      <c r="S634" s="14" t="s">
        <v>178</v>
      </c>
      <c r="T634" s="14" t="s">
        <v>179</v>
      </c>
      <c r="U634" s="14" t="s">
        <v>12196</v>
      </c>
      <c r="V634" s="14" t="s">
        <v>12197</v>
      </c>
      <c r="W634" s="21" t="s">
        <v>166</v>
      </c>
      <c r="X634" s="14" t="s">
        <v>12198</v>
      </c>
      <c r="Y634" s="14" t="s">
        <v>12199</v>
      </c>
      <c r="Z634" s="14" t="s">
        <v>166</v>
      </c>
      <c r="AA634" s="14" t="s">
        <v>166</v>
      </c>
      <c r="AB634" s="14" t="s">
        <v>166</v>
      </c>
      <c r="AC634" s="14" t="s">
        <v>166</v>
      </c>
      <c r="AD634" s="14" t="s">
        <v>166</v>
      </c>
      <c r="AE634" s="14" t="s">
        <v>166</v>
      </c>
      <c r="AF634" s="14" t="s">
        <v>166</v>
      </c>
      <c r="AG634" s="14" t="s">
        <v>166</v>
      </c>
      <c r="AH634" s="21">
        <v>2</v>
      </c>
      <c r="AI634" s="3">
        <f>HYPERLINK("https://my.pitchbook.com/?d=256537-18T","256537-18T")</f>
      </c>
      <c r="AJ634" s="19" t="s">
        <v>166</v>
      </c>
      <c r="AK634" s="19">
        <v>45375</v>
      </c>
      <c r="AL634" s="18">
        <v>2</v>
      </c>
      <c r="AM634" s="14" t="s">
        <v>185</v>
      </c>
      <c r="AN634" s="18" t="s">
        <v>166</v>
      </c>
      <c r="AO634" s="18" t="s">
        <v>166</v>
      </c>
      <c r="AP634" s="14" t="s">
        <v>166</v>
      </c>
      <c r="AQ634" s="21" t="s">
        <v>166</v>
      </c>
      <c r="AR634" s="21" t="s">
        <v>166</v>
      </c>
      <c r="AS634" s="17" t="s">
        <v>166</v>
      </c>
      <c r="AT634" s="18">
        <v>2.5</v>
      </c>
      <c r="AU634" s="21" t="s">
        <v>186</v>
      </c>
      <c r="AV634" s="21" t="s">
        <v>166</v>
      </c>
      <c r="AW634" s="18" t="s">
        <v>166</v>
      </c>
      <c r="AX634" s="21" t="s">
        <v>166</v>
      </c>
      <c r="AY634" s="14" t="s">
        <v>217</v>
      </c>
      <c r="AZ634" s="14" t="s">
        <v>217</v>
      </c>
      <c r="BA634" s="14" t="s">
        <v>166</v>
      </c>
      <c r="BB634" s="21" t="s">
        <v>166</v>
      </c>
      <c r="BC634" s="14" t="s">
        <v>179</v>
      </c>
      <c r="BD634" s="14" t="s">
        <v>12194</v>
      </c>
      <c r="BE634" s="14" t="s">
        <v>189</v>
      </c>
      <c r="BF634" s="18">
        <v>2</v>
      </c>
      <c r="BG634" s="14" t="s">
        <v>190</v>
      </c>
      <c r="BH634" s="14" t="s">
        <v>166</v>
      </c>
      <c r="BI634" s="14" t="s">
        <v>166</v>
      </c>
      <c r="BJ634" s="18" t="s">
        <v>166</v>
      </c>
      <c r="BK634" s="18" t="s">
        <v>166</v>
      </c>
      <c r="BL634" s="14" t="s">
        <v>191</v>
      </c>
      <c r="BM634" s="14" t="s">
        <v>178</v>
      </c>
      <c r="BN634" s="14" t="s">
        <v>177</v>
      </c>
      <c r="BO634" s="22" t="s">
        <v>166</v>
      </c>
      <c r="BP634" s="14" t="s">
        <v>12200</v>
      </c>
      <c r="BQ634" s="21">
        <v>9</v>
      </c>
      <c r="BR634" s="14" t="s">
        <v>914</v>
      </c>
      <c r="BS634" s="21">
        <v>1</v>
      </c>
      <c r="BT634" s="14" t="s">
        <v>166</v>
      </c>
      <c r="BU634" s="14" t="s">
        <v>166</v>
      </c>
      <c r="BV634" s="14" t="s">
        <v>12201</v>
      </c>
      <c r="BW634" s="14" t="s">
        <v>166</v>
      </c>
      <c r="BX634" s="14" t="s">
        <v>166</v>
      </c>
      <c r="BY634" s="14" t="s">
        <v>166</v>
      </c>
      <c r="BZ634" s="14" t="s">
        <v>166</v>
      </c>
      <c r="CA634" s="14" t="s">
        <v>166</v>
      </c>
      <c r="CB634" s="14" t="s">
        <v>166</v>
      </c>
      <c r="CC634" s="14" t="s">
        <v>166</v>
      </c>
      <c r="CD634" s="14" t="s">
        <v>166</v>
      </c>
      <c r="CE634" s="18" t="s">
        <v>166</v>
      </c>
      <c r="CF634" s="16" t="s">
        <v>166</v>
      </c>
      <c r="CG634" s="17" t="s">
        <v>166</v>
      </c>
      <c r="CH634" s="16" t="s">
        <v>166</v>
      </c>
      <c r="CI634" s="16" t="s">
        <v>166</v>
      </c>
      <c r="CJ634" s="16" t="s">
        <v>166</v>
      </c>
      <c r="CK634" s="16" t="s">
        <v>166</v>
      </c>
      <c r="CL634" s="16" t="s">
        <v>166</v>
      </c>
      <c r="CM634" s="20" t="s">
        <v>166</v>
      </c>
      <c r="CN634" s="16" t="s">
        <v>166</v>
      </c>
      <c r="CO634" s="16" t="s">
        <v>166</v>
      </c>
      <c r="CP634" s="16" t="s">
        <v>166</v>
      </c>
      <c r="CQ634" s="16" t="s">
        <v>166</v>
      </c>
      <c r="CR634" s="16" t="s">
        <v>166</v>
      </c>
      <c r="CS634" s="16" t="s">
        <v>166</v>
      </c>
      <c r="CT634" s="16" t="s">
        <v>166</v>
      </c>
      <c r="CU634" s="16" t="s">
        <v>166</v>
      </c>
      <c r="CV634" s="16" t="s">
        <v>166</v>
      </c>
      <c r="CW634" s="16" t="s">
        <v>166</v>
      </c>
      <c r="CX634" s="16" t="s">
        <v>166</v>
      </c>
      <c r="CY634" s="16" t="s">
        <v>166</v>
      </c>
      <c r="CZ634" s="16" t="s">
        <v>166</v>
      </c>
      <c r="DA634" s="16" t="s">
        <v>166</v>
      </c>
      <c r="DB634" s="16" t="s">
        <v>166</v>
      </c>
      <c r="DC634" s="16" t="s">
        <v>166</v>
      </c>
      <c r="DD634" s="16" t="s">
        <v>166</v>
      </c>
      <c r="DE634" s="17" t="s">
        <v>166</v>
      </c>
      <c r="DF634" s="22">
        <v>4</v>
      </c>
      <c r="DG634" s="14" t="s">
        <v>673</v>
      </c>
      <c r="DH634" s="14" t="s">
        <v>193</v>
      </c>
      <c r="DI634" s="14" t="s">
        <v>194</v>
      </c>
      <c r="DJ634" s="14" t="s">
        <v>674</v>
      </c>
      <c r="DK634" s="14" t="s">
        <v>257</v>
      </c>
      <c r="DL634" s="21" t="s">
        <v>166</v>
      </c>
      <c r="DM634" s="14" t="s">
        <v>198</v>
      </c>
      <c r="DN634" s="13" t="s">
        <v>12202</v>
      </c>
      <c r="DO634" s="20">
        <v>2023</v>
      </c>
      <c r="DP634" s="14" t="s">
        <v>166</v>
      </c>
      <c r="DQ634" s="14" t="s">
        <v>166</v>
      </c>
      <c r="DR634" s="18" t="s">
        <v>166</v>
      </c>
      <c r="DS634" s="16" t="s">
        <v>166</v>
      </c>
      <c r="DT634" s="19" t="s">
        <v>166</v>
      </c>
      <c r="DU634" s="14" t="s">
        <v>166</v>
      </c>
      <c r="DV634" s="18" t="s">
        <v>166</v>
      </c>
      <c r="DW634" s="18" t="s">
        <v>166</v>
      </c>
      <c r="DX634" s="16" t="s">
        <v>166</v>
      </c>
      <c r="DY634" s="16" t="s">
        <v>166</v>
      </c>
      <c r="DZ634" s="17" t="s">
        <v>166</v>
      </c>
      <c r="EA634" s="16" t="s">
        <v>166</v>
      </c>
      <c r="EB634" s="16" t="s">
        <v>166</v>
      </c>
      <c r="EC634" s="16" t="s">
        <v>166</v>
      </c>
      <c r="ED634" s="17" t="s">
        <v>166</v>
      </c>
      <c r="EE634" s="17" t="s">
        <v>166</v>
      </c>
      <c r="EF634" s="17" t="s">
        <v>166</v>
      </c>
      <c r="EG634" s="17" t="s">
        <v>166</v>
      </c>
      <c r="EH634" s="16" t="s">
        <v>166</v>
      </c>
      <c r="EI634" s="16" t="s">
        <v>166</v>
      </c>
      <c r="EJ634" s="16" t="s">
        <v>166</v>
      </c>
      <c r="EK634" s="16" t="s">
        <v>166</v>
      </c>
      <c r="EL634" s="16" t="s">
        <v>166</v>
      </c>
      <c r="EM634" s="16" t="s">
        <v>166</v>
      </c>
      <c r="EN634" s="16" t="s">
        <v>166</v>
      </c>
      <c r="EO634" s="16" t="s">
        <v>166</v>
      </c>
      <c r="EP634" s="16" t="s">
        <v>166</v>
      </c>
      <c r="EQ634" s="16" t="s">
        <v>166</v>
      </c>
      <c r="ER634" s="16" t="s">
        <v>166</v>
      </c>
      <c r="ES634" s="16" t="s">
        <v>166</v>
      </c>
      <c r="ET634" s="14" t="s">
        <v>166</v>
      </c>
      <c r="EU634" s="16" t="s">
        <v>166</v>
      </c>
      <c r="EV634" s="16" t="s">
        <v>166</v>
      </c>
      <c r="EW634" s="16" t="s">
        <v>166</v>
      </c>
      <c r="EX634" s="14" t="s">
        <v>190</v>
      </c>
      <c r="EY634" s="14" t="s">
        <v>166</v>
      </c>
      <c r="EZ634" s="16" t="s">
        <v>166</v>
      </c>
      <c r="FA634" s="15" t="s">
        <v>166</v>
      </c>
      <c r="FB634" s="15" t="s">
        <v>166</v>
      </c>
      <c r="FC634" s="15" t="s">
        <v>166</v>
      </c>
      <c r="FD634" s="15" t="s">
        <v>166</v>
      </c>
      <c r="FE634" s="15" t="s">
        <v>166</v>
      </c>
      <c r="FF634" s="15" t="s">
        <v>166</v>
      </c>
      <c r="FG634" s="14" t="s">
        <v>166</v>
      </c>
      <c r="FH634" s="3">
        <f>HYPERLINK("https://my.pitchbook.com?c=256537-18T","View Company Online")</f>
      </c>
    </row>
    <row r="635">
      <c r="A635" s="25" t="s">
        <v>12203</v>
      </c>
      <c r="B635" s="25" t="s">
        <v>12204</v>
      </c>
      <c r="C635" s="25" t="s">
        <v>12205</v>
      </c>
      <c r="D635" s="25" t="s">
        <v>166</v>
      </c>
      <c r="E635" s="34" t="s">
        <v>12206</v>
      </c>
      <c r="F635" s="32">
        <v>5</v>
      </c>
      <c r="G635" s="25" t="s">
        <v>12207</v>
      </c>
      <c r="H635" s="25" t="s">
        <v>166</v>
      </c>
      <c r="I635" s="25" t="s">
        <v>12208</v>
      </c>
      <c r="J635" s="25" t="s">
        <v>12209</v>
      </c>
      <c r="K635" s="25" t="s">
        <v>1455</v>
      </c>
      <c r="L635" s="25" t="s">
        <v>1984</v>
      </c>
      <c r="M635" s="25" t="s">
        <v>1985</v>
      </c>
      <c r="N635" s="25" t="s">
        <v>12210</v>
      </c>
      <c r="O635" s="25" t="s">
        <v>1035</v>
      </c>
      <c r="P635" s="25" t="s">
        <v>12211</v>
      </c>
      <c r="Q635" s="25" t="s">
        <v>166</v>
      </c>
      <c r="R635" s="25" t="s">
        <v>177</v>
      </c>
      <c r="S635" s="25" t="s">
        <v>178</v>
      </c>
      <c r="T635" s="25" t="s">
        <v>179</v>
      </c>
      <c r="U635" s="25" t="s">
        <v>12212</v>
      </c>
      <c r="V635" s="25" t="s">
        <v>12213</v>
      </c>
      <c r="W635" s="32" t="s">
        <v>12214</v>
      </c>
      <c r="X635" s="25" t="s">
        <v>12215</v>
      </c>
      <c r="Y635" s="25" t="s">
        <v>12216</v>
      </c>
      <c r="Z635" s="25" t="s">
        <v>12217</v>
      </c>
      <c r="AA635" s="25" t="s">
        <v>242</v>
      </c>
      <c r="AB635" s="25" t="s">
        <v>243</v>
      </c>
      <c r="AC635" s="25" t="s">
        <v>244</v>
      </c>
      <c r="AD635" s="25" t="s">
        <v>243</v>
      </c>
      <c r="AE635" s="25" t="s">
        <v>243</v>
      </c>
      <c r="AF635" s="25" t="s">
        <v>166</v>
      </c>
      <c r="AG635" s="25" t="s">
        <v>246</v>
      </c>
      <c r="AH635" s="32">
        <v>1</v>
      </c>
      <c r="AI635" s="4">
        <f>HYPERLINK("https://my.pitchbook.com/?d=168923-80T","168923-80T")</f>
      </c>
      <c r="AJ635" s="30">
        <v>44274</v>
      </c>
      <c r="AK635" s="30">
        <v>44348</v>
      </c>
      <c r="AL635" s="29">
        <v>3</v>
      </c>
      <c r="AM635" s="25" t="s">
        <v>185</v>
      </c>
      <c r="AN635" s="29">
        <v>18</v>
      </c>
      <c r="AO635" s="29">
        <v>20.74</v>
      </c>
      <c r="AP635" s="25" t="s">
        <v>185</v>
      </c>
      <c r="AQ635" s="32" t="s">
        <v>166</v>
      </c>
      <c r="AR635" s="32" t="s">
        <v>166</v>
      </c>
      <c r="AS635" s="28">
        <v>22.59</v>
      </c>
      <c r="AT635" s="29">
        <v>3</v>
      </c>
      <c r="AU635" s="32" t="s">
        <v>186</v>
      </c>
      <c r="AV635" s="32" t="s">
        <v>166</v>
      </c>
      <c r="AW635" s="29">
        <v>1.67</v>
      </c>
      <c r="AX635" s="32" t="s">
        <v>166</v>
      </c>
      <c r="AY635" s="25" t="s">
        <v>217</v>
      </c>
      <c r="AZ635" s="25" t="s">
        <v>217</v>
      </c>
      <c r="BA635" s="25" t="s">
        <v>166</v>
      </c>
      <c r="BB635" s="32" t="s">
        <v>166</v>
      </c>
      <c r="BC635" s="25" t="s">
        <v>179</v>
      </c>
      <c r="BD635" s="25" t="s">
        <v>12218</v>
      </c>
      <c r="BE635" s="25" t="s">
        <v>189</v>
      </c>
      <c r="BF635" s="29">
        <v>2.74</v>
      </c>
      <c r="BG635" s="25" t="s">
        <v>190</v>
      </c>
      <c r="BH635" s="25" t="s">
        <v>166</v>
      </c>
      <c r="BI635" s="25" t="s">
        <v>166</v>
      </c>
      <c r="BJ635" s="29">
        <v>0.26</v>
      </c>
      <c r="BK635" s="29" t="s">
        <v>166</v>
      </c>
      <c r="BL635" s="25" t="s">
        <v>191</v>
      </c>
      <c r="BM635" s="25" t="s">
        <v>178</v>
      </c>
      <c r="BN635" s="25" t="s">
        <v>177</v>
      </c>
      <c r="BO635" s="33">
        <v>3</v>
      </c>
      <c r="BP635" s="25" t="s">
        <v>12219</v>
      </c>
      <c r="BQ635" s="32">
        <v>5</v>
      </c>
      <c r="BR635" s="25" t="s">
        <v>166</v>
      </c>
      <c r="BS635" s="32" t="s">
        <v>166</v>
      </c>
      <c r="BT635" s="25" t="s">
        <v>12220</v>
      </c>
      <c r="BU635" s="25" t="s">
        <v>166</v>
      </c>
      <c r="BV635" s="25" t="s">
        <v>12221</v>
      </c>
      <c r="BW635" s="25" t="s">
        <v>166</v>
      </c>
      <c r="BX635" s="25" t="s">
        <v>166</v>
      </c>
      <c r="BY635" s="25" t="s">
        <v>166</v>
      </c>
      <c r="BZ635" s="25" t="s">
        <v>12222</v>
      </c>
      <c r="CA635" s="25" t="s">
        <v>166</v>
      </c>
      <c r="CB635" s="25" t="s">
        <v>166</v>
      </c>
      <c r="CC635" s="25" t="s">
        <v>12222</v>
      </c>
      <c r="CD635" s="25" t="s">
        <v>166</v>
      </c>
      <c r="CE635" s="29" t="s">
        <v>166</v>
      </c>
      <c r="CF635" s="27" t="s">
        <v>166</v>
      </c>
      <c r="CG635" s="28" t="s">
        <v>166</v>
      </c>
      <c r="CH635" s="27" t="s">
        <v>166</v>
      </c>
      <c r="CI635" s="27" t="s">
        <v>166</v>
      </c>
      <c r="CJ635" s="27" t="s">
        <v>166</v>
      </c>
      <c r="CK635" s="27" t="s">
        <v>166</v>
      </c>
      <c r="CL635" s="27" t="s">
        <v>166</v>
      </c>
      <c r="CM635" s="31" t="s">
        <v>166</v>
      </c>
      <c r="CN635" s="27" t="s">
        <v>166</v>
      </c>
      <c r="CO635" s="27" t="s">
        <v>166</v>
      </c>
      <c r="CP635" s="27" t="s">
        <v>166</v>
      </c>
      <c r="CQ635" s="27" t="s">
        <v>166</v>
      </c>
      <c r="CR635" s="27" t="s">
        <v>166</v>
      </c>
      <c r="CS635" s="27" t="s">
        <v>166</v>
      </c>
      <c r="CT635" s="27" t="s">
        <v>166</v>
      </c>
      <c r="CU635" s="27" t="s">
        <v>166</v>
      </c>
      <c r="CV635" s="27" t="s">
        <v>166</v>
      </c>
      <c r="CW635" s="27" t="s">
        <v>166</v>
      </c>
      <c r="CX635" s="27" t="s">
        <v>166</v>
      </c>
      <c r="CY635" s="27">
        <v>0.09</v>
      </c>
      <c r="CZ635" s="27" t="s">
        <v>166</v>
      </c>
      <c r="DA635" s="27" t="s">
        <v>166</v>
      </c>
      <c r="DB635" s="27" t="s">
        <v>166</v>
      </c>
      <c r="DC635" s="27" t="s">
        <v>166</v>
      </c>
      <c r="DD635" s="27" t="s">
        <v>166</v>
      </c>
      <c r="DE635" s="28" t="s">
        <v>166</v>
      </c>
      <c r="DF635" s="33">
        <v>135</v>
      </c>
      <c r="DG635" s="25" t="s">
        <v>309</v>
      </c>
      <c r="DH635" s="25" t="s">
        <v>193</v>
      </c>
      <c r="DI635" s="25" t="s">
        <v>194</v>
      </c>
      <c r="DJ635" s="25" t="s">
        <v>310</v>
      </c>
      <c r="DK635" s="25" t="s">
        <v>310</v>
      </c>
      <c r="DL635" s="32" t="s">
        <v>4265</v>
      </c>
      <c r="DM635" s="25" t="s">
        <v>198</v>
      </c>
      <c r="DN635" s="24" t="s">
        <v>12223</v>
      </c>
      <c r="DO635" s="31">
        <v>2020</v>
      </c>
      <c r="DP635" s="25" t="s">
        <v>166</v>
      </c>
      <c r="DQ635" s="25" t="s">
        <v>12152</v>
      </c>
      <c r="DR635" s="29">
        <v>0.26</v>
      </c>
      <c r="DS635" s="27" t="s">
        <v>166</v>
      </c>
      <c r="DT635" s="30" t="s">
        <v>166</v>
      </c>
      <c r="DU635" s="25" t="s">
        <v>166</v>
      </c>
      <c r="DV635" s="29" t="s">
        <v>166</v>
      </c>
      <c r="DW635" s="29" t="s">
        <v>166</v>
      </c>
      <c r="DX635" s="27" t="s">
        <v>166</v>
      </c>
      <c r="DY635" s="27" t="s">
        <v>166</v>
      </c>
      <c r="DZ635" s="28" t="s">
        <v>166</v>
      </c>
      <c r="EA635" s="27" t="s">
        <v>166</v>
      </c>
      <c r="EB635" s="27" t="s">
        <v>166</v>
      </c>
      <c r="EC635" s="27" t="s">
        <v>166</v>
      </c>
      <c r="ED635" s="28" t="s">
        <v>166</v>
      </c>
      <c r="EE635" s="28" t="s">
        <v>166</v>
      </c>
      <c r="EF635" s="28" t="s">
        <v>166</v>
      </c>
      <c r="EG635" s="28" t="s">
        <v>166</v>
      </c>
      <c r="EH635" s="27" t="s">
        <v>166</v>
      </c>
      <c r="EI635" s="27" t="s">
        <v>166</v>
      </c>
      <c r="EJ635" s="27" t="s">
        <v>166</v>
      </c>
      <c r="EK635" s="27" t="s">
        <v>166</v>
      </c>
      <c r="EL635" s="27" t="s">
        <v>166</v>
      </c>
      <c r="EM635" s="27" t="s">
        <v>166</v>
      </c>
      <c r="EN635" s="27" t="s">
        <v>166</v>
      </c>
      <c r="EO635" s="27" t="s">
        <v>166</v>
      </c>
      <c r="EP635" s="27" t="s">
        <v>166</v>
      </c>
      <c r="EQ635" s="27" t="s">
        <v>166</v>
      </c>
      <c r="ER635" s="27" t="s">
        <v>166</v>
      </c>
      <c r="ES635" s="27" t="s">
        <v>166</v>
      </c>
      <c r="ET635" s="25" t="s">
        <v>166</v>
      </c>
      <c r="EU635" s="27" t="s">
        <v>166</v>
      </c>
      <c r="EV635" s="27" t="s">
        <v>166</v>
      </c>
      <c r="EW635" s="27" t="s">
        <v>166</v>
      </c>
      <c r="EX635" s="25" t="s">
        <v>190</v>
      </c>
      <c r="EY635" s="25" t="s">
        <v>190</v>
      </c>
      <c r="EZ635" s="27" t="s">
        <v>166</v>
      </c>
      <c r="FA635" s="26" t="s">
        <v>166</v>
      </c>
      <c r="FB635" s="26" t="s">
        <v>166</v>
      </c>
      <c r="FC635" s="26" t="s">
        <v>166</v>
      </c>
      <c r="FD635" s="26" t="s">
        <v>166</v>
      </c>
      <c r="FE635" s="26" t="s">
        <v>166</v>
      </c>
      <c r="FF635" s="26" t="s">
        <v>166</v>
      </c>
      <c r="FG635" s="25" t="s">
        <v>166</v>
      </c>
      <c r="FH635" s="4">
        <f>HYPERLINK("https://my.pitchbook.com?c=168923-80T","View Company Online")</f>
      </c>
    </row>
    <row r="636">
      <c r="A636" s="14" t="s">
        <v>12224</v>
      </c>
      <c r="B636" s="14" t="s">
        <v>12225</v>
      </c>
      <c r="C636" s="14" t="s">
        <v>12226</v>
      </c>
      <c r="D636" s="14" t="s">
        <v>166</v>
      </c>
      <c r="E636" s="23" t="s">
        <v>12227</v>
      </c>
      <c r="F636" s="21">
        <v>10</v>
      </c>
      <c r="G636" s="14" t="s">
        <v>12228</v>
      </c>
      <c r="H636" s="14" t="s">
        <v>166</v>
      </c>
      <c r="I636" s="14" t="s">
        <v>12229</v>
      </c>
      <c r="J636" s="14" t="s">
        <v>12230</v>
      </c>
      <c r="K636" s="14" t="s">
        <v>207</v>
      </c>
      <c r="L636" s="14" t="s">
        <v>208</v>
      </c>
      <c r="M636" s="14" t="s">
        <v>209</v>
      </c>
      <c r="N636" s="14" t="s">
        <v>396</v>
      </c>
      <c r="O636" s="14" t="s">
        <v>665</v>
      </c>
      <c r="P636" s="14" t="s">
        <v>12231</v>
      </c>
      <c r="Q636" s="14" t="s">
        <v>926</v>
      </c>
      <c r="R636" s="14" t="s">
        <v>177</v>
      </c>
      <c r="S636" s="14" t="s">
        <v>178</v>
      </c>
      <c r="T636" s="14" t="s">
        <v>179</v>
      </c>
      <c r="U636" s="14" t="s">
        <v>12232</v>
      </c>
      <c r="V636" s="14" t="s">
        <v>12233</v>
      </c>
      <c r="W636" s="21" t="s">
        <v>166</v>
      </c>
      <c r="X636" s="14" t="s">
        <v>12234</v>
      </c>
      <c r="Y636" s="14" t="s">
        <v>12235</v>
      </c>
      <c r="Z636" s="14" t="s">
        <v>3192</v>
      </c>
      <c r="AA636" s="14" t="s">
        <v>166</v>
      </c>
      <c r="AB636" s="14" t="s">
        <v>166</v>
      </c>
      <c r="AC636" s="14" t="s">
        <v>166</v>
      </c>
      <c r="AD636" s="14" t="s">
        <v>166</v>
      </c>
      <c r="AE636" s="14" t="s">
        <v>166</v>
      </c>
      <c r="AF636" s="14" t="s">
        <v>166</v>
      </c>
      <c r="AG636" s="14" t="s">
        <v>166</v>
      </c>
      <c r="AH636" s="21">
        <v>1</v>
      </c>
      <c r="AI636" s="3">
        <f>HYPERLINK("https://my.pitchbook.com/?d=170759-62T","170759-62T")</f>
      </c>
      <c r="AJ636" s="19" t="s">
        <v>166</v>
      </c>
      <c r="AK636" s="19">
        <v>43831</v>
      </c>
      <c r="AL636" s="18">
        <v>0.6</v>
      </c>
      <c r="AM636" s="14" t="s">
        <v>185</v>
      </c>
      <c r="AN636" s="18" t="s">
        <v>166</v>
      </c>
      <c r="AO636" s="18" t="s">
        <v>166</v>
      </c>
      <c r="AP636" s="14" t="s">
        <v>166</v>
      </c>
      <c r="AQ636" s="21" t="s">
        <v>166</v>
      </c>
      <c r="AR636" s="21" t="s">
        <v>166</v>
      </c>
      <c r="AS636" s="17" t="s">
        <v>166</v>
      </c>
      <c r="AT636" s="18">
        <v>0.6</v>
      </c>
      <c r="AU636" s="21" t="s">
        <v>186</v>
      </c>
      <c r="AV636" s="21" t="s">
        <v>166</v>
      </c>
      <c r="AW636" s="18" t="s">
        <v>166</v>
      </c>
      <c r="AX636" s="21" t="s">
        <v>166</v>
      </c>
      <c r="AY636" s="14" t="s">
        <v>217</v>
      </c>
      <c r="AZ636" s="14" t="s">
        <v>217</v>
      </c>
      <c r="BA636" s="14" t="s">
        <v>166</v>
      </c>
      <c r="BB636" s="21" t="s">
        <v>166</v>
      </c>
      <c r="BC636" s="14" t="s">
        <v>179</v>
      </c>
      <c r="BD636" s="14" t="s">
        <v>12236</v>
      </c>
      <c r="BE636" s="14" t="s">
        <v>189</v>
      </c>
      <c r="BF636" s="18">
        <v>0.6</v>
      </c>
      <c r="BG636" s="14" t="s">
        <v>190</v>
      </c>
      <c r="BH636" s="14" t="s">
        <v>166</v>
      </c>
      <c r="BI636" s="14" t="s">
        <v>166</v>
      </c>
      <c r="BJ636" s="18" t="s">
        <v>166</v>
      </c>
      <c r="BK636" s="18" t="s">
        <v>166</v>
      </c>
      <c r="BL636" s="14" t="s">
        <v>191</v>
      </c>
      <c r="BM636" s="14" t="s">
        <v>178</v>
      </c>
      <c r="BN636" s="14" t="s">
        <v>177</v>
      </c>
      <c r="BO636" s="22" t="s">
        <v>166</v>
      </c>
      <c r="BP636" s="14" t="s">
        <v>12237</v>
      </c>
      <c r="BQ636" s="21">
        <v>10</v>
      </c>
      <c r="BR636" s="14" t="s">
        <v>166</v>
      </c>
      <c r="BS636" s="21" t="s">
        <v>166</v>
      </c>
      <c r="BT636" s="14" t="s">
        <v>166</v>
      </c>
      <c r="BU636" s="14" t="s">
        <v>166</v>
      </c>
      <c r="BV636" s="14" t="s">
        <v>12238</v>
      </c>
      <c r="BW636" s="14" t="s">
        <v>166</v>
      </c>
      <c r="BX636" s="14" t="s">
        <v>166</v>
      </c>
      <c r="BY636" s="14" t="s">
        <v>166</v>
      </c>
      <c r="BZ636" s="14" t="s">
        <v>166</v>
      </c>
      <c r="CA636" s="14" t="s">
        <v>166</v>
      </c>
      <c r="CB636" s="14" t="s">
        <v>166</v>
      </c>
      <c r="CC636" s="14" t="s">
        <v>166</v>
      </c>
      <c r="CD636" s="14" t="s">
        <v>166</v>
      </c>
      <c r="CE636" s="18" t="s">
        <v>166</v>
      </c>
      <c r="CF636" s="16" t="s">
        <v>166</v>
      </c>
      <c r="CG636" s="17" t="s">
        <v>166</v>
      </c>
      <c r="CH636" s="16" t="s">
        <v>166</v>
      </c>
      <c r="CI636" s="16" t="s">
        <v>166</v>
      </c>
      <c r="CJ636" s="16" t="s">
        <v>166</v>
      </c>
      <c r="CK636" s="16" t="s">
        <v>166</v>
      </c>
      <c r="CL636" s="16" t="s">
        <v>166</v>
      </c>
      <c r="CM636" s="20" t="s">
        <v>166</v>
      </c>
      <c r="CN636" s="16" t="s">
        <v>166</v>
      </c>
      <c r="CO636" s="16" t="s">
        <v>166</v>
      </c>
      <c r="CP636" s="16" t="s">
        <v>166</v>
      </c>
      <c r="CQ636" s="16" t="s">
        <v>166</v>
      </c>
      <c r="CR636" s="16" t="s">
        <v>166</v>
      </c>
      <c r="CS636" s="16" t="s">
        <v>166</v>
      </c>
      <c r="CT636" s="16" t="s">
        <v>166</v>
      </c>
      <c r="CU636" s="16" t="s">
        <v>166</v>
      </c>
      <c r="CV636" s="16" t="s">
        <v>166</v>
      </c>
      <c r="CW636" s="16" t="s">
        <v>166</v>
      </c>
      <c r="CX636" s="16" t="s">
        <v>166</v>
      </c>
      <c r="CY636" s="16" t="s">
        <v>166</v>
      </c>
      <c r="CZ636" s="16" t="s">
        <v>166</v>
      </c>
      <c r="DA636" s="16" t="s">
        <v>166</v>
      </c>
      <c r="DB636" s="16" t="s">
        <v>166</v>
      </c>
      <c r="DC636" s="16" t="s">
        <v>166</v>
      </c>
      <c r="DD636" s="16" t="s">
        <v>166</v>
      </c>
      <c r="DE636" s="17" t="s">
        <v>166</v>
      </c>
      <c r="DF636" s="22">
        <v>178</v>
      </c>
      <c r="DG636" s="14" t="s">
        <v>3174</v>
      </c>
      <c r="DH636" s="14" t="s">
        <v>193</v>
      </c>
      <c r="DI636" s="14" t="s">
        <v>194</v>
      </c>
      <c r="DJ636" s="14" t="s">
        <v>3175</v>
      </c>
      <c r="DK636" s="14" t="s">
        <v>1063</v>
      </c>
      <c r="DL636" s="21" t="s">
        <v>3176</v>
      </c>
      <c r="DM636" s="14" t="s">
        <v>198</v>
      </c>
      <c r="DN636" s="13" t="s">
        <v>12239</v>
      </c>
      <c r="DO636" s="20">
        <v>2020</v>
      </c>
      <c r="DP636" s="14" t="s">
        <v>166</v>
      </c>
      <c r="DQ636" s="14" t="s">
        <v>166</v>
      </c>
      <c r="DR636" s="18" t="s">
        <v>166</v>
      </c>
      <c r="DS636" s="16" t="s">
        <v>166</v>
      </c>
      <c r="DT636" s="19" t="s">
        <v>166</v>
      </c>
      <c r="DU636" s="14" t="s">
        <v>166</v>
      </c>
      <c r="DV636" s="18" t="s">
        <v>166</v>
      </c>
      <c r="DW636" s="18" t="s">
        <v>166</v>
      </c>
      <c r="DX636" s="16" t="s">
        <v>166</v>
      </c>
      <c r="DY636" s="16" t="s">
        <v>166</v>
      </c>
      <c r="DZ636" s="17" t="s">
        <v>166</v>
      </c>
      <c r="EA636" s="16" t="s">
        <v>166</v>
      </c>
      <c r="EB636" s="16" t="s">
        <v>166</v>
      </c>
      <c r="EC636" s="16" t="s">
        <v>166</v>
      </c>
      <c r="ED636" s="17" t="s">
        <v>166</v>
      </c>
      <c r="EE636" s="17" t="s">
        <v>166</v>
      </c>
      <c r="EF636" s="17" t="s">
        <v>166</v>
      </c>
      <c r="EG636" s="17" t="s">
        <v>166</v>
      </c>
      <c r="EH636" s="16" t="s">
        <v>166</v>
      </c>
      <c r="EI636" s="16" t="s">
        <v>166</v>
      </c>
      <c r="EJ636" s="16" t="s">
        <v>166</v>
      </c>
      <c r="EK636" s="16" t="s">
        <v>166</v>
      </c>
      <c r="EL636" s="16" t="s">
        <v>166</v>
      </c>
      <c r="EM636" s="16" t="s">
        <v>166</v>
      </c>
      <c r="EN636" s="16" t="s">
        <v>166</v>
      </c>
      <c r="EO636" s="16" t="s">
        <v>166</v>
      </c>
      <c r="EP636" s="16" t="s">
        <v>166</v>
      </c>
      <c r="EQ636" s="16" t="s">
        <v>166</v>
      </c>
      <c r="ER636" s="16" t="s">
        <v>166</v>
      </c>
      <c r="ES636" s="16" t="s">
        <v>166</v>
      </c>
      <c r="ET636" s="14" t="s">
        <v>166</v>
      </c>
      <c r="EU636" s="16" t="s">
        <v>166</v>
      </c>
      <c r="EV636" s="16" t="s">
        <v>166</v>
      </c>
      <c r="EW636" s="16" t="s">
        <v>166</v>
      </c>
      <c r="EX636" s="14" t="s">
        <v>190</v>
      </c>
      <c r="EY636" s="14" t="s">
        <v>166</v>
      </c>
      <c r="EZ636" s="16" t="s">
        <v>166</v>
      </c>
      <c r="FA636" s="15" t="s">
        <v>166</v>
      </c>
      <c r="FB636" s="15" t="s">
        <v>166</v>
      </c>
      <c r="FC636" s="15" t="s">
        <v>166</v>
      </c>
      <c r="FD636" s="15" t="s">
        <v>166</v>
      </c>
      <c r="FE636" s="15" t="s">
        <v>166</v>
      </c>
      <c r="FF636" s="15" t="s">
        <v>166</v>
      </c>
      <c r="FG636" s="14" t="s">
        <v>166</v>
      </c>
      <c r="FH636" s="3">
        <f>HYPERLINK("https://my.pitchbook.com?c=170759-62T","View Company Online")</f>
      </c>
    </row>
    <row r="637">
      <c r="A637" s="25" t="s">
        <v>12240</v>
      </c>
      <c r="B637" s="25" t="s">
        <v>12241</v>
      </c>
      <c r="C637" s="25" t="s">
        <v>12242</v>
      </c>
      <c r="D637" s="25" t="s">
        <v>166</v>
      </c>
      <c r="E637" s="34" t="s">
        <v>12243</v>
      </c>
      <c r="F637" s="32">
        <v>2</v>
      </c>
      <c r="G637" s="25" t="s">
        <v>12244</v>
      </c>
      <c r="H637" s="25" t="s">
        <v>166</v>
      </c>
      <c r="I637" s="25" t="s">
        <v>12245</v>
      </c>
      <c r="J637" s="25" t="s">
        <v>12246</v>
      </c>
      <c r="K637" s="25" t="s">
        <v>1500</v>
      </c>
      <c r="L637" s="25" t="s">
        <v>2200</v>
      </c>
      <c r="M637" s="25" t="s">
        <v>3655</v>
      </c>
      <c r="N637" s="25" t="s">
        <v>12247</v>
      </c>
      <c r="O637" s="25" t="s">
        <v>7860</v>
      </c>
      <c r="P637" s="25" t="s">
        <v>12248</v>
      </c>
      <c r="Q637" s="25" t="s">
        <v>166</v>
      </c>
      <c r="R637" s="25" t="s">
        <v>177</v>
      </c>
      <c r="S637" s="25" t="s">
        <v>178</v>
      </c>
      <c r="T637" s="25" t="s">
        <v>179</v>
      </c>
      <c r="U637" s="25" t="s">
        <v>12249</v>
      </c>
      <c r="V637" s="25" t="s">
        <v>12250</v>
      </c>
      <c r="W637" s="32" t="s">
        <v>12251</v>
      </c>
      <c r="X637" s="25" t="s">
        <v>12252</v>
      </c>
      <c r="Y637" s="25" t="s">
        <v>12253</v>
      </c>
      <c r="Z637" s="25" t="s">
        <v>166</v>
      </c>
      <c r="AA637" s="25" t="s">
        <v>166</v>
      </c>
      <c r="AB637" s="25" t="s">
        <v>166</v>
      </c>
      <c r="AC637" s="25" t="s">
        <v>166</v>
      </c>
      <c r="AD637" s="25" t="s">
        <v>166</v>
      </c>
      <c r="AE637" s="25" t="s">
        <v>166</v>
      </c>
      <c r="AF637" s="25" t="s">
        <v>166</v>
      </c>
      <c r="AG637" s="25" t="s">
        <v>166</v>
      </c>
      <c r="AH637" s="32">
        <v>1</v>
      </c>
      <c r="AI637" s="4">
        <f>HYPERLINK("https://my.pitchbook.com/?d=258897-88T","258897-88T")</f>
      </c>
      <c r="AJ637" s="30">
        <v>45400</v>
      </c>
      <c r="AK637" s="30">
        <v>45586</v>
      </c>
      <c r="AL637" s="29">
        <v>4</v>
      </c>
      <c r="AM637" s="25" t="s">
        <v>185</v>
      </c>
      <c r="AN637" s="29" t="s">
        <v>166</v>
      </c>
      <c r="AO637" s="29" t="s">
        <v>166</v>
      </c>
      <c r="AP637" s="25" t="s">
        <v>166</v>
      </c>
      <c r="AQ637" s="32" t="s">
        <v>166</v>
      </c>
      <c r="AR637" s="32" t="s">
        <v>166</v>
      </c>
      <c r="AS637" s="28">
        <v>33.33</v>
      </c>
      <c r="AT637" s="29">
        <v>4</v>
      </c>
      <c r="AU637" s="32" t="s">
        <v>186</v>
      </c>
      <c r="AV637" s="32" t="s">
        <v>166</v>
      </c>
      <c r="AW637" s="29" t="s">
        <v>166</v>
      </c>
      <c r="AX637" s="32" t="s">
        <v>166</v>
      </c>
      <c r="AY637" s="25" t="s">
        <v>187</v>
      </c>
      <c r="AZ637" s="25" t="s">
        <v>166</v>
      </c>
      <c r="BA637" s="25" t="s">
        <v>166</v>
      </c>
      <c r="BB637" s="32" t="s">
        <v>166</v>
      </c>
      <c r="BC637" s="25" t="s">
        <v>179</v>
      </c>
      <c r="BD637" s="25" t="s">
        <v>12246</v>
      </c>
      <c r="BE637" s="25" t="s">
        <v>189</v>
      </c>
      <c r="BF637" s="29">
        <v>4</v>
      </c>
      <c r="BG637" s="25" t="s">
        <v>190</v>
      </c>
      <c r="BH637" s="25" t="s">
        <v>166</v>
      </c>
      <c r="BI637" s="25" t="s">
        <v>166</v>
      </c>
      <c r="BJ637" s="29" t="s">
        <v>166</v>
      </c>
      <c r="BK637" s="29" t="s">
        <v>166</v>
      </c>
      <c r="BL637" s="25" t="s">
        <v>191</v>
      </c>
      <c r="BM637" s="25" t="s">
        <v>178</v>
      </c>
      <c r="BN637" s="25" t="s">
        <v>177</v>
      </c>
      <c r="BO637" s="33" t="s">
        <v>166</v>
      </c>
      <c r="BP637" s="25" t="s">
        <v>12243</v>
      </c>
      <c r="BQ637" s="32">
        <v>2</v>
      </c>
      <c r="BR637" s="25" t="s">
        <v>166</v>
      </c>
      <c r="BS637" s="32" t="s">
        <v>166</v>
      </c>
      <c r="BT637" s="25" t="s">
        <v>166</v>
      </c>
      <c r="BU637" s="25" t="s">
        <v>166</v>
      </c>
      <c r="BV637" s="25" t="s">
        <v>166</v>
      </c>
      <c r="BW637" s="25" t="s">
        <v>166</v>
      </c>
      <c r="BX637" s="25" t="s">
        <v>166</v>
      </c>
      <c r="BY637" s="25" t="s">
        <v>166</v>
      </c>
      <c r="BZ637" s="25" t="s">
        <v>166</v>
      </c>
      <c r="CA637" s="25" t="s">
        <v>166</v>
      </c>
      <c r="CB637" s="25" t="s">
        <v>166</v>
      </c>
      <c r="CC637" s="25" t="s">
        <v>166</v>
      </c>
      <c r="CD637" s="25" t="s">
        <v>166</v>
      </c>
      <c r="CE637" s="29" t="s">
        <v>166</v>
      </c>
      <c r="CF637" s="27" t="s">
        <v>166</v>
      </c>
      <c r="CG637" s="28" t="s">
        <v>166</v>
      </c>
      <c r="CH637" s="27" t="s">
        <v>166</v>
      </c>
      <c r="CI637" s="27" t="s">
        <v>166</v>
      </c>
      <c r="CJ637" s="27" t="s">
        <v>166</v>
      </c>
      <c r="CK637" s="27" t="s">
        <v>166</v>
      </c>
      <c r="CL637" s="27" t="s">
        <v>166</v>
      </c>
      <c r="CM637" s="31" t="s">
        <v>166</v>
      </c>
      <c r="CN637" s="27" t="s">
        <v>166</v>
      </c>
      <c r="CO637" s="27" t="s">
        <v>166</v>
      </c>
      <c r="CP637" s="27" t="s">
        <v>166</v>
      </c>
      <c r="CQ637" s="27" t="s">
        <v>166</v>
      </c>
      <c r="CR637" s="27" t="s">
        <v>166</v>
      </c>
      <c r="CS637" s="27" t="s">
        <v>166</v>
      </c>
      <c r="CT637" s="27" t="s">
        <v>166</v>
      </c>
      <c r="CU637" s="27" t="s">
        <v>166</v>
      </c>
      <c r="CV637" s="27" t="s">
        <v>166</v>
      </c>
      <c r="CW637" s="27" t="s">
        <v>166</v>
      </c>
      <c r="CX637" s="27" t="s">
        <v>166</v>
      </c>
      <c r="CY637" s="27" t="s">
        <v>166</v>
      </c>
      <c r="CZ637" s="27" t="s">
        <v>166</v>
      </c>
      <c r="DA637" s="27" t="s">
        <v>166</v>
      </c>
      <c r="DB637" s="27" t="s">
        <v>166</v>
      </c>
      <c r="DC637" s="27" t="s">
        <v>166</v>
      </c>
      <c r="DD637" s="27" t="s">
        <v>166</v>
      </c>
      <c r="DE637" s="28" t="s">
        <v>166</v>
      </c>
      <c r="DF637" s="33">
        <v>6</v>
      </c>
      <c r="DG637" s="25" t="s">
        <v>309</v>
      </c>
      <c r="DH637" s="25" t="s">
        <v>193</v>
      </c>
      <c r="DI637" s="25" t="s">
        <v>194</v>
      </c>
      <c r="DJ637" s="25" t="s">
        <v>310</v>
      </c>
      <c r="DK637" s="25" t="s">
        <v>310</v>
      </c>
      <c r="DL637" s="32" t="s">
        <v>6722</v>
      </c>
      <c r="DM637" s="25" t="s">
        <v>198</v>
      </c>
      <c r="DN637" s="24" t="s">
        <v>12254</v>
      </c>
      <c r="DO637" s="31">
        <v>2023</v>
      </c>
      <c r="DP637" s="25" t="s">
        <v>166</v>
      </c>
      <c r="DQ637" s="25" t="s">
        <v>166</v>
      </c>
      <c r="DR637" s="29" t="s">
        <v>166</v>
      </c>
      <c r="DS637" s="27" t="s">
        <v>166</v>
      </c>
      <c r="DT637" s="30" t="s">
        <v>166</v>
      </c>
      <c r="DU637" s="25" t="s">
        <v>166</v>
      </c>
      <c r="DV637" s="29" t="s">
        <v>166</v>
      </c>
      <c r="DW637" s="29" t="s">
        <v>166</v>
      </c>
      <c r="DX637" s="27" t="s">
        <v>166</v>
      </c>
      <c r="DY637" s="27" t="s">
        <v>166</v>
      </c>
      <c r="DZ637" s="28" t="s">
        <v>166</v>
      </c>
      <c r="EA637" s="27" t="s">
        <v>166</v>
      </c>
      <c r="EB637" s="27" t="s">
        <v>166</v>
      </c>
      <c r="EC637" s="27" t="s">
        <v>166</v>
      </c>
      <c r="ED637" s="28" t="s">
        <v>166</v>
      </c>
      <c r="EE637" s="28" t="s">
        <v>166</v>
      </c>
      <c r="EF637" s="28" t="s">
        <v>166</v>
      </c>
      <c r="EG637" s="28" t="s">
        <v>166</v>
      </c>
      <c r="EH637" s="27" t="s">
        <v>166</v>
      </c>
      <c r="EI637" s="27" t="s">
        <v>166</v>
      </c>
      <c r="EJ637" s="27" t="s">
        <v>166</v>
      </c>
      <c r="EK637" s="27" t="s">
        <v>166</v>
      </c>
      <c r="EL637" s="27" t="s">
        <v>166</v>
      </c>
      <c r="EM637" s="27" t="s">
        <v>166</v>
      </c>
      <c r="EN637" s="27" t="s">
        <v>166</v>
      </c>
      <c r="EO637" s="27" t="s">
        <v>166</v>
      </c>
      <c r="EP637" s="27" t="s">
        <v>166</v>
      </c>
      <c r="EQ637" s="27" t="s">
        <v>166</v>
      </c>
      <c r="ER637" s="27" t="s">
        <v>166</v>
      </c>
      <c r="ES637" s="27" t="s">
        <v>166</v>
      </c>
      <c r="ET637" s="25" t="s">
        <v>166</v>
      </c>
      <c r="EU637" s="27" t="s">
        <v>166</v>
      </c>
      <c r="EV637" s="27" t="s">
        <v>166</v>
      </c>
      <c r="EW637" s="27" t="s">
        <v>166</v>
      </c>
      <c r="EX637" s="25" t="s">
        <v>190</v>
      </c>
      <c r="EY637" s="25" t="s">
        <v>166</v>
      </c>
      <c r="EZ637" s="27" t="s">
        <v>166</v>
      </c>
      <c r="FA637" s="26" t="s">
        <v>166</v>
      </c>
      <c r="FB637" s="26" t="s">
        <v>166</v>
      </c>
      <c r="FC637" s="26" t="s">
        <v>166</v>
      </c>
      <c r="FD637" s="26" t="s">
        <v>166</v>
      </c>
      <c r="FE637" s="26" t="s">
        <v>166</v>
      </c>
      <c r="FF637" s="26" t="s">
        <v>166</v>
      </c>
      <c r="FG637" s="25" t="s">
        <v>166</v>
      </c>
      <c r="FH637" s="4">
        <f>HYPERLINK("https://my.pitchbook.com?c=258897-88T","View Company Online")</f>
      </c>
    </row>
    <row r="638">
      <c r="A638" s="14" t="s">
        <v>12255</v>
      </c>
      <c r="B638" s="14" t="s">
        <v>12256</v>
      </c>
      <c r="C638" s="14" t="s">
        <v>12257</v>
      </c>
      <c r="D638" s="14" t="s">
        <v>166</v>
      </c>
      <c r="E638" s="23" t="s">
        <v>12258</v>
      </c>
      <c r="F638" s="21">
        <v>2</v>
      </c>
      <c r="G638" s="14" t="s">
        <v>12259</v>
      </c>
      <c r="H638" s="14" t="s">
        <v>166</v>
      </c>
      <c r="I638" s="14" t="s">
        <v>12260</v>
      </c>
      <c r="J638" s="14" t="s">
        <v>12261</v>
      </c>
      <c r="K638" s="14" t="s">
        <v>207</v>
      </c>
      <c r="L638" s="14" t="s">
        <v>208</v>
      </c>
      <c r="M638" s="14" t="s">
        <v>621</v>
      </c>
      <c r="N638" s="14" t="s">
        <v>5442</v>
      </c>
      <c r="O638" s="14" t="s">
        <v>1842</v>
      </c>
      <c r="P638" s="14" t="s">
        <v>12262</v>
      </c>
      <c r="Q638" s="14" t="s">
        <v>166</v>
      </c>
      <c r="R638" s="14" t="s">
        <v>177</v>
      </c>
      <c r="S638" s="14" t="s">
        <v>178</v>
      </c>
      <c r="T638" s="14" t="s">
        <v>179</v>
      </c>
      <c r="U638" s="14" t="s">
        <v>12263</v>
      </c>
      <c r="V638" s="14" t="s">
        <v>12264</v>
      </c>
      <c r="W638" s="21" t="s">
        <v>12265</v>
      </c>
      <c r="X638" s="14" t="s">
        <v>12266</v>
      </c>
      <c r="Y638" s="14" t="s">
        <v>12267</v>
      </c>
      <c r="Z638" s="14" t="s">
        <v>166</v>
      </c>
      <c r="AA638" s="14" t="s">
        <v>166</v>
      </c>
      <c r="AB638" s="14" t="s">
        <v>166</v>
      </c>
      <c r="AC638" s="14" t="s">
        <v>166</v>
      </c>
      <c r="AD638" s="14" t="s">
        <v>166</v>
      </c>
      <c r="AE638" s="14" t="s">
        <v>166</v>
      </c>
      <c r="AF638" s="14" t="s">
        <v>166</v>
      </c>
      <c r="AG638" s="14" t="s">
        <v>166</v>
      </c>
      <c r="AH638" s="21">
        <v>1</v>
      </c>
      <c r="AI638" s="3">
        <f>HYPERLINK("https://my.pitchbook.com/?d=186689-62T","186689-62T")</f>
      </c>
      <c r="AJ638" s="19" t="s">
        <v>166</v>
      </c>
      <c r="AK638" s="19">
        <v>44572</v>
      </c>
      <c r="AL638" s="18">
        <v>0.1</v>
      </c>
      <c r="AM638" s="14" t="s">
        <v>185</v>
      </c>
      <c r="AN638" s="18" t="s">
        <v>166</v>
      </c>
      <c r="AO638" s="18" t="s">
        <v>166</v>
      </c>
      <c r="AP638" s="14" t="s">
        <v>166</v>
      </c>
      <c r="AQ638" s="21" t="s">
        <v>166</v>
      </c>
      <c r="AR638" s="21" t="s">
        <v>166</v>
      </c>
      <c r="AS638" s="17" t="s">
        <v>166</v>
      </c>
      <c r="AT638" s="18">
        <v>0.1</v>
      </c>
      <c r="AU638" s="21" t="s">
        <v>186</v>
      </c>
      <c r="AV638" s="21" t="s">
        <v>166</v>
      </c>
      <c r="AW638" s="18" t="s">
        <v>166</v>
      </c>
      <c r="AX638" s="21" t="s">
        <v>166</v>
      </c>
      <c r="AY638" s="14" t="s">
        <v>217</v>
      </c>
      <c r="AZ638" s="14" t="s">
        <v>217</v>
      </c>
      <c r="BA638" s="14" t="s">
        <v>166</v>
      </c>
      <c r="BB638" s="21" t="s">
        <v>166</v>
      </c>
      <c r="BC638" s="14" t="s">
        <v>179</v>
      </c>
      <c r="BD638" s="14" t="s">
        <v>12261</v>
      </c>
      <c r="BE638" s="14" t="s">
        <v>189</v>
      </c>
      <c r="BF638" s="18">
        <v>0.1</v>
      </c>
      <c r="BG638" s="14" t="s">
        <v>190</v>
      </c>
      <c r="BH638" s="14" t="s">
        <v>166</v>
      </c>
      <c r="BI638" s="14" t="s">
        <v>166</v>
      </c>
      <c r="BJ638" s="18" t="s">
        <v>166</v>
      </c>
      <c r="BK638" s="18" t="s">
        <v>166</v>
      </c>
      <c r="BL638" s="14" t="s">
        <v>191</v>
      </c>
      <c r="BM638" s="14" t="s">
        <v>178</v>
      </c>
      <c r="BN638" s="14" t="s">
        <v>177</v>
      </c>
      <c r="BO638" s="22" t="s">
        <v>166</v>
      </c>
      <c r="BP638" s="14" t="s">
        <v>12258</v>
      </c>
      <c r="BQ638" s="21">
        <v>2</v>
      </c>
      <c r="BR638" s="14" t="s">
        <v>166</v>
      </c>
      <c r="BS638" s="21" t="s">
        <v>166</v>
      </c>
      <c r="BT638" s="14" t="s">
        <v>166</v>
      </c>
      <c r="BU638" s="14" t="s">
        <v>166</v>
      </c>
      <c r="BV638" s="14" t="s">
        <v>12268</v>
      </c>
      <c r="BW638" s="14" t="s">
        <v>166</v>
      </c>
      <c r="BX638" s="14" t="s">
        <v>166</v>
      </c>
      <c r="BY638" s="14" t="s">
        <v>166</v>
      </c>
      <c r="BZ638" s="14" t="s">
        <v>166</v>
      </c>
      <c r="CA638" s="14" t="s">
        <v>166</v>
      </c>
      <c r="CB638" s="14" t="s">
        <v>166</v>
      </c>
      <c r="CC638" s="14" t="s">
        <v>166</v>
      </c>
      <c r="CD638" s="14" t="s">
        <v>166</v>
      </c>
      <c r="CE638" s="18" t="s">
        <v>166</v>
      </c>
      <c r="CF638" s="16" t="s">
        <v>166</v>
      </c>
      <c r="CG638" s="17" t="s">
        <v>166</v>
      </c>
      <c r="CH638" s="16" t="s">
        <v>166</v>
      </c>
      <c r="CI638" s="16" t="s">
        <v>166</v>
      </c>
      <c r="CJ638" s="16" t="s">
        <v>166</v>
      </c>
      <c r="CK638" s="16" t="s">
        <v>166</v>
      </c>
      <c r="CL638" s="16" t="s">
        <v>166</v>
      </c>
      <c r="CM638" s="20" t="s">
        <v>166</v>
      </c>
      <c r="CN638" s="16" t="s">
        <v>166</v>
      </c>
      <c r="CO638" s="16" t="s">
        <v>166</v>
      </c>
      <c r="CP638" s="16" t="s">
        <v>166</v>
      </c>
      <c r="CQ638" s="16" t="s">
        <v>166</v>
      </c>
      <c r="CR638" s="16" t="s">
        <v>166</v>
      </c>
      <c r="CS638" s="16" t="s">
        <v>166</v>
      </c>
      <c r="CT638" s="16" t="s">
        <v>166</v>
      </c>
      <c r="CU638" s="16" t="s">
        <v>166</v>
      </c>
      <c r="CV638" s="16" t="s">
        <v>166</v>
      </c>
      <c r="CW638" s="16" t="s">
        <v>166</v>
      </c>
      <c r="CX638" s="16" t="s">
        <v>166</v>
      </c>
      <c r="CY638" s="16" t="s">
        <v>166</v>
      </c>
      <c r="CZ638" s="16" t="s">
        <v>166</v>
      </c>
      <c r="DA638" s="16" t="s">
        <v>166</v>
      </c>
      <c r="DB638" s="16" t="s">
        <v>166</v>
      </c>
      <c r="DC638" s="16" t="s">
        <v>166</v>
      </c>
      <c r="DD638" s="16" t="s">
        <v>166</v>
      </c>
      <c r="DE638" s="17" t="s">
        <v>166</v>
      </c>
      <c r="DF638" s="22">
        <v>10</v>
      </c>
      <c r="DG638" s="14" t="s">
        <v>309</v>
      </c>
      <c r="DH638" s="14" t="s">
        <v>193</v>
      </c>
      <c r="DI638" s="14" t="s">
        <v>194</v>
      </c>
      <c r="DJ638" s="14" t="s">
        <v>310</v>
      </c>
      <c r="DK638" s="14" t="s">
        <v>310</v>
      </c>
      <c r="DL638" s="21" t="s">
        <v>166</v>
      </c>
      <c r="DM638" s="14" t="s">
        <v>198</v>
      </c>
      <c r="DN638" s="13" t="s">
        <v>12269</v>
      </c>
      <c r="DO638" s="20">
        <v>2020</v>
      </c>
      <c r="DP638" s="14" t="s">
        <v>166</v>
      </c>
      <c r="DQ638" s="14" t="s">
        <v>166</v>
      </c>
      <c r="DR638" s="18" t="s">
        <v>166</v>
      </c>
      <c r="DS638" s="16" t="s">
        <v>166</v>
      </c>
      <c r="DT638" s="19" t="s">
        <v>166</v>
      </c>
      <c r="DU638" s="14" t="s">
        <v>166</v>
      </c>
      <c r="DV638" s="18" t="s">
        <v>166</v>
      </c>
      <c r="DW638" s="18" t="s">
        <v>166</v>
      </c>
      <c r="DX638" s="16" t="s">
        <v>166</v>
      </c>
      <c r="DY638" s="16" t="s">
        <v>166</v>
      </c>
      <c r="DZ638" s="17" t="s">
        <v>166</v>
      </c>
      <c r="EA638" s="16" t="s">
        <v>166</v>
      </c>
      <c r="EB638" s="16" t="s">
        <v>166</v>
      </c>
      <c r="EC638" s="16" t="s">
        <v>166</v>
      </c>
      <c r="ED638" s="17" t="s">
        <v>166</v>
      </c>
      <c r="EE638" s="17" t="s">
        <v>166</v>
      </c>
      <c r="EF638" s="17" t="s">
        <v>166</v>
      </c>
      <c r="EG638" s="17" t="s">
        <v>166</v>
      </c>
      <c r="EH638" s="16" t="s">
        <v>166</v>
      </c>
      <c r="EI638" s="16" t="s">
        <v>166</v>
      </c>
      <c r="EJ638" s="16" t="s">
        <v>166</v>
      </c>
      <c r="EK638" s="16" t="s">
        <v>166</v>
      </c>
      <c r="EL638" s="16" t="s">
        <v>166</v>
      </c>
      <c r="EM638" s="16" t="s">
        <v>166</v>
      </c>
      <c r="EN638" s="16" t="s">
        <v>166</v>
      </c>
      <c r="EO638" s="16" t="s">
        <v>166</v>
      </c>
      <c r="EP638" s="16" t="s">
        <v>166</v>
      </c>
      <c r="EQ638" s="16" t="s">
        <v>166</v>
      </c>
      <c r="ER638" s="16" t="s">
        <v>166</v>
      </c>
      <c r="ES638" s="16" t="s">
        <v>166</v>
      </c>
      <c r="ET638" s="14" t="s">
        <v>166</v>
      </c>
      <c r="EU638" s="16" t="s">
        <v>166</v>
      </c>
      <c r="EV638" s="16" t="s">
        <v>166</v>
      </c>
      <c r="EW638" s="16" t="s">
        <v>166</v>
      </c>
      <c r="EX638" s="14" t="s">
        <v>190</v>
      </c>
      <c r="EY638" s="14" t="s">
        <v>166</v>
      </c>
      <c r="EZ638" s="16" t="s">
        <v>166</v>
      </c>
      <c r="FA638" s="15" t="s">
        <v>166</v>
      </c>
      <c r="FB638" s="15" t="s">
        <v>166</v>
      </c>
      <c r="FC638" s="15" t="s">
        <v>166</v>
      </c>
      <c r="FD638" s="15" t="s">
        <v>166</v>
      </c>
      <c r="FE638" s="15" t="s">
        <v>166</v>
      </c>
      <c r="FF638" s="15" t="s">
        <v>166</v>
      </c>
      <c r="FG638" s="14" t="s">
        <v>166</v>
      </c>
      <c r="FH638" s="3">
        <f>HYPERLINK("https://my.pitchbook.com?c=186689-62T","View Company Online")</f>
      </c>
    </row>
    <row r="639">
      <c r="A639" s="25" t="s">
        <v>12270</v>
      </c>
      <c r="B639" s="25" t="s">
        <v>12271</v>
      </c>
      <c r="C639" s="25" t="s">
        <v>12272</v>
      </c>
      <c r="D639" s="25" t="s">
        <v>166</v>
      </c>
      <c r="E639" s="34" t="s">
        <v>12273</v>
      </c>
      <c r="F639" s="32">
        <v>13</v>
      </c>
      <c r="G639" s="25" t="s">
        <v>12274</v>
      </c>
      <c r="H639" s="25" t="s">
        <v>166</v>
      </c>
      <c r="I639" s="25" t="s">
        <v>12275</v>
      </c>
      <c r="J639" s="25" t="s">
        <v>12276</v>
      </c>
      <c r="K639" s="25" t="s">
        <v>171</v>
      </c>
      <c r="L639" s="25" t="s">
        <v>172</v>
      </c>
      <c r="M639" s="25" t="s">
        <v>173</v>
      </c>
      <c r="N639" s="25" t="s">
        <v>12277</v>
      </c>
      <c r="O639" s="25" t="s">
        <v>580</v>
      </c>
      <c r="P639" s="25" t="s">
        <v>12278</v>
      </c>
      <c r="Q639" s="25" t="s">
        <v>166</v>
      </c>
      <c r="R639" s="25" t="s">
        <v>177</v>
      </c>
      <c r="S639" s="25" t="s">
        <v>178</v>
      </c>
      <c r="T639" s="25" t="s">
        <v>179</v>
      </c>
      <c r="U639" s="25" t="s">
        <v>12279</v>
      </c>
      <c r="V639" s="25" t="s">
        <v>5242</v>
      </c>
      <c r="W639" s="32" t="s">
        <v>166</v>
      </c>
      <c r="X639" s="25" t="s">
        <v>12280</v>
      </c>
      <c r="Y639" s="25" t="s">
        <v>12281</v>
      </c>
      <c r="Z639" s="25" t="s">
        <v>12282</v>
      </c>
      <c r="AA639" s="25" t="s">
        <v>242</v>
      </c>
      <c r="AB639" s="25" t="s">
        <v>243</v>
      </c>
      <c r="AC639" s="25" t="s">
        <v>244</v>
      </c>
      <c r="AD639" s="25" t="s">
        <v>243</v>
      </c>
      <c r="AE639" s="25" t="s">
        <v>243</v>
      </c>
      <c r="AF639" s="25" t="s">
        <v>166</v>
      </c>
      <c r="AG639" s="25" t="s">
        <v>246</v>
      </c>
      <c r="AH639" s="32">
        <v>1</v>
      </c>
      <c r="AI639" s="4">
        <f>HYPERLINK("https://my.pitchbook.com/?d=204826-06T","204826-06T")</f>
      </c>
      <c r="AJ639" s="30">
        <v>44690</v>
      </c>
      <c r="AK639" s="30">
        <v>44827</v>
      </c>
      <c r="AL639" s="29">
        <v>8.97</v>
      </c>
      <c r="AM639" s="25" t="s">
        <v>185</v>
      </c>
      <c r="AN639" s="29">
        <v>31.03</v>
      </c>
      <c r="AO639" s="29">
        <v>40</v>
      </c>
      <c r="AP639" s="25" t="s">
        <v>185</v>
      </c>
      <c r="AQ639" s="32" t="s">
        <v>166</v>
      </c>
      <c r="AR639" s="32" t="s">
        <v>166</v>
      </c>
      <c r="AS639" s="28">
        <v>43.04</v>
      </c>
      <c r="AT639" s="29">
        <v>8.97</v>
      </c>
      <c r="AU639" s="32" t="s">
        <v>186</v>
      </c>
      <c r="AV639" s="32" t="s">
        <v>166</v>
      </c>
      <c r="AW639" s="29">
        <v>4.15</v>
      </c>
      <c r="AX639" s="32" t="s">
        <v>248</v>
      </c>
      <c r="AY639" s="25" t="s">
        <v>187</v>
      </c>
      <c r="AZ639" s="25" t="s">
        <v>248</v>
      </c>
      <c r="BA639" s="25" t="s">
        <v>166</v>
      </c>
      <c r="BB639" s="32" t="s">
        <v>166</v>
      </c>
      <c r="BC639" s="25" t="s">
        <v>179</v>
      </c>
      <c r="BD639" s="25" t="s">
        <v>12283</v>
      </c>
      <c r="BE639" s="25" t="s">
        <v>189</v>
      </c>
      <c r="BF639" s="29">
        <v>8.97</v>
      </c>
      <c r="BG639" s="25" t="s">
        <v>190</v>
      </c>
      <c r="BH639" s="25" t="s">
        <v>166</v>
      </c>
      <c r="BI639" s="25" t="s">
        <v>166</v>
      </c>
      <c r="BJ639" s="29" t="s">
        <v>166</v>
      </c>
      <c r="BK639" s="29" t="s">
        <v>166</v>
      </c>
      <c r="BL639" s="25" t="s">
        <v>191</v>
      </c>
      <c r="BM639" s="25" t="s">
        <v>178</v>
      </c>
      <c r="BN639" s="25" t="s">
        <v>177</v>
      </c>
      <c r="BO639" s="33" t="s">
        <v>166</v>
      </c>
      <c r="BP639" s="25" t="s">
        <v>12284</v>
      </c>
      <c r="BQ639" s="32">
        <v>13</v>
      </c>
      <c r="BR639" s="25" t="s">
        <v>166</v>
      </c>
      <c r="BS639" s="32" t="s">
        <v>166</v>
      </c>
      <c r="BT639" s="25" t="s">
        <v>12285</v>
      </c>
      <c r="BU639" s="25" t="s">
        <v>166</v>
      </c>
      <c r="BV639" s="25" t="s">
        <v>12286</v>
      </c>
      <c r="BW639" s="25" t="s">
        <v>166</v>
      </c>
      <c r="BX639" s="25" t="s">
        <v>166</v>
      </c>
      <c r="BY639" s="25" t="s">
        <v>166</v>
      </c>
      <c r="BZ639" s="25" t="s">
        <v>12287</v>
      </c>
      <c r="CA639" s="25" t="s">
        <v>166</v>
      </c>
      <c r="CB639" s="25" t="s">
        <v>166</v>
      </c>
      <c r="CC639" s="25" t="s">
        <v>12287</v>
      </c>
      <c r="CD639" s="25" t="s">
        <v>166</v>
      </c>
      <c r="CE639" s="29" t="s">
        <v>166</v>
      </c>
      <c r="CF639" s="27" t="s">
        <v>166</v>
      </c>
      <c r="CG639" s="28" t="s">
        <v>166</v>
      </c>
      <c r="CH639" s="27" t="s">
        <v>166</v>
      </c>
      <c r="CI639" s="27" t="s">
        <v>166</v>
      </c>
      <c r="CJ639" s="27" t="s">
        <v>166</v>
      </c>
      <c r="CK639" s="27" t="s">
        <v>166</v>
      </c>
      <c r="CL639" s="27" t="s">
        <v>166</v>
      </c>
      <c r="CM639" s="31" t="s">
        <v>166</v>
      </c>
      <c r="CN639" s="27" t="s">
        <v>166</v>
      </c>
      <c r="CO639" s="27" t="s">
        <v>166</v>
      </c>
      <c r="CP639" s="27" t="s">
        <v>166</v>
      </c>
      <c r="CQ639" s="27" t="s">
        <v>166</v>
      </c>
      <c r="CR639" s="27" t="s">
        <v>166</v>
      </c>
      <c r="CS639" s="27" t="s">
        <v>166</v>
      </c>
      <c r="CT639" s="27" t="s">
        <v>166</v>
      </c>
      <c r="CU639" s="27" t="s">
        <v>166</v>
      </c>
      <c r="CV639" s="27" t="s">
        <v>166</v>
      </c>
      <c r="CW639" s="27" t="s">
        <v>166</v>
      </c>
      <c r="CX639" s="27" t="s">
        <v>166</v>
      </c>
      <c r="CY639" s="27" t="s">
        <v>166</v>
      </c>
      <c r="CZ639" s="27" t="s">
        <v>166</v>
      </c>
      <c r="DA639" s="27" t="s">
        <v>166</v>
      </c>
      <c r="DB639" s="27" t="s">
        <v>166</v>
      </c>
      <c r="DC639" s="27" t="s">
        <v>166</v>
      </c>
      <c r="DD639" s="27" t="s">
        <v>166</v>
      </c>
      <c r="DE639" s="28" t="s">
        <v>166</v>
      </c>
      <c r="DF639" s="33">
        <v>44</v>
      </c>
      <c r="DG639" s="25" t="s">
        <v>360</v>
      </c>
      <c r="DH639" s="25" t="s">
        <v>193</v>
      </c>
      <c r="DI639" s="25" t="s">
        <v>194</v>
      </c>
      <c r="DJ639" s="25" t="s">
        <v>361</v>
      </c>
      <c r="DK639" s="25" t="s">
        <v>196</v>
      </c>
      <c r="DL639" s="32" t="s">
        <v>809</v>
      </c>
      <c r="DM639" s="25" t="s">
        <v>198</v>
      </c>
      <c r="DN639" s="24" t="s">
        <v>12288</v>
      </c>
      <c r="DO639" s="31">
        <v>2022</v>
      </c>
      <c r="DP639" s="25" t="s">
        <v>166</v>
      </c>
      <c r="DQ639" s="25" t="s">
        <v>166</v>
      </c>
      <c r="DR639" s="29" t="s">
        <v>166</v>
      </c>
      <c r="DS639" s="27" t="s">
        <v>166</v>
      </c>
      <c r="DT639" s="30" t="s">
        <v>166</v>
      </c>
      <c r="DU639" s="25" t="s">
        <v>166</v>
      </c>
      <c r="DV639" s="29" t="s">
        <v>166</v>
      </c>
      <c r="DW639" s="29" t="s">
        <v>166</v>
      </c>
      <c r="DX639" s="27" t="s">
        <v>166</v>
      </c>
      <c r="DY639" s="27" t="s">
        <v>166</v>
      </c>
      <c r="DZ639" s="28" t="s">
        <v>166</v>
      </c>
      <c r="EA639" s="27" t="s">
        <v>166</v>
      </c>
      <c r="EB639" s="27" t="s">
        <v>166</v>
      </c>
      <c r="EC639" s="27" t="s">
        <v>166</v>
      </c>
      <c r="ED639" s="28" t="s">
        <v>166</v>
      </c>
      <c r="EE639" s="28" t="s">
        <v>166</v>
      </c>
      <c r="EF639" s="28" t="s">
        <v>166</v>
      </c>
      <c r="EG639" s="28" t="s">
        <v>166</v>
      </c>
      <c r="EH639" s="27" t="s">
        <v>166</v>
      </c>
      <c r="EI639" s="27" t="s">
        <v>166</v>
      </c>
      <c r="EJ639" s="27" t="s">
        <v>166</v>
      </c>
      <c r="EK639" s="27" t="s">
        <v>166</v>
      </c>
      <c r="EL639" s="27" t="s">
        <v>166</v>
      </c>
      <c r="EM639" s="27" t="s">
        <v>166</v>
      </c>
      <c r="EN639" s="27" t="s">
        <v>166</v>
      </c>
      <c r="EO639" s="27" t="s">
        <v>166</v>
      </c>
      <c r="EP639" s="27" t="s">
        <v>166</v>
      </c>
      <c r="EQ639" s="27" t="s">
        <v>166</v>
      </c>
      <c r="ER639" s="27" t="s">
        <v>166</v>
      </c>
      <c r="ES639" s="27" t="s">
        <v>166</v>
      </c>
      <c r="ET639" s="25" t="s">
        <v>166</v>
      </c>
      <c r="EU639" s="27" t="s">
        <v>166</v>
      </c>
      <c r="EV639" s="27" t="s">
        <v>166</v>
      </c>
      <c r="EW639" s="27" t="s">
        <v>166</v>
      </c>
      <c r="EX639" s="25" t="s">
        <v>190</v>
      </c>
      <c r="EY639" s="25" t="s">
        <v>166</v>
      </c>
      <c r="EZ639" s="27" t="s">
        <v>166</v>
      </c>
      <c r="FA639" s="26" t="s">
        <v>166</v>
      </c>
      <c r="FB639" s="26" t="s">
        <v>166</v>
      </c>
      <c r="FC639" s="26" t="s">
        <v>166</v>
      </c>
      <c r="FD639" s="26" t="s">
        <v>166</v>
      </c>
      <c r="FE639" s="26" t="s">
        <v>166</v>
      </c>
      <c r="FF639" s="26" t="s">
        <v>166</v>
      </c>
      <c r="FG639" s="25" t="s">
        <v>166</v>
      </c>
      <c r="FH639" s="4">
        <f>HYPERLINK("https://my.pitchbook.com?c=204826-06T","View Company Online")</f>
      </c>
    </row>
    <row r="640">
      <c r="A640" s="14" t="s">
        <v>12289</v>
      </c>
      <c r="B640" s="14" t="s">
        <v>12290</v>
      </c>
      <c r="C640" s="14" t="s">
        <v>12291</v>
      </c>
      <c r="D640" s="14" t="s">
        <v>166</v>
      </c>
      <c r="E640" s="23" t="s">
        <v>12292</v>
      </c>
      <c r="F640" s="21">
        <v>12</v>
      </c>
      <c r="G640" s="14" t="s">
        <v>12293</v>
      </c>
      <c r="H640" s="14" t="s">
        <v>166</v>
      </c>
      <c r="I640" s="14" t="s">
        <v>12294</v>
      </c>
      <c r="J640" s="14" t="s">
        <v>12295</v>
      </c>
      <c r="K640" s="14" t="s">
        <v>207</v>
      </c>
      <c r="L640" s="14" t="s">
        <v>208</v>
      </c>
      <c r="M640" s="14" t="s">
        <v>1766</v>
      </c>
      <c r="N640" s="14" t="s">
        <v>12296</v>
      </c>
      <c r="O640" s="14" t="s">
        <v>12297</v>
      </c>
      <c r="P640" s="14" t="s">
        <v>12298</v>
      </c>
      <c r="Q640" s="14" t="s">
        <v>166</v>
      </c>
      <c r="R640" s="14" t="s">
        <v>177</v>
      </c>
      <c r="S640" s="14" t="s">
        <v>178</v>
      </c>
      <c r="T640" s="14" t="s">
        <v>179</v>
      </c>
      <c r="U640" s="14" t="s">
        <v>12299</v>
      </c>
      <c r="V640" s="14" t="s">
        <v>12300</v>
      </c>
      <c r="W640" s="21" t="s">
        <v>166</v>
      </c>
      <c r="X640" s="14" t="s">
        <v>166</v>
      </c>
      <c r="Y640" s="14" t="s">
        <v>12301</v>
      </c>
      <c r="Z640" s="14" t="s">
        <v>12302</v>
      </c>
      <c r="AA640" s="14" t="s">
        <v>166</v>
      </c>
      <c r="AB640" s="14" t="s">
        <v>166</v>
      </c>
      <c r="AC640" s="14" t="s">
        <v>166</v>
      </c>
      <c r="AD640" s="14" t="s">
        <v>166</v>
      </c>
      <c r="AE640" s="14" t="s">
        <v>166</v>
      </c>
      <c r="AF640" s="14" t="s">
        <v>166</v>
      </c>
      <c r="AG640" s="14" t="s">
        <v>166</v>
      </c>
      <c r="AH640" s="21">
        <v>1</v>
      </c>
      <c r="AI640" s="3">
        <f>HYPERLINK("https://my.pitchbook.com/?d=173020-87T","173020-87T")</f>
      </c>
      <c r="AJ640" s="19">
        <v>44720</v>
      </c>
      <c r="AK640" s="19">
        <v>44987</v>
      </c>
      <c r="AL640" s="18">
        <v>1.8</v>
      </c>
      <c r="AM640" s="14" t="s">
        <v>185</v>
      </c>
      <c r="AN640" s="18">
        <v>8.2</v>
      </c>
      <c r="AO640" s="18">
        <v>10</v>
      </c>
      <c r="AP640" s="14" t="s">
        <v>185</v>
      </c>
      <c r="AQ640" s="21" t="s">
        <v>166</v>
      </c>
      <c r="AR640" s="21" t="s">
        <v>166</v>
      </c>
      <c r="AS640" s="17">
        <v>18</v>
      </c>
      <c r="AT640" s="18">
        <v>1.8</v>
      </c>
      <c r="AU640" s="21" t="s">
        <v>186</v>
      </c>
      <c r="AV640" s="21" t="s">
        <v>166</v>
      </c>
      <c r="AW640" s="18" t="s">
        <v>166</v>
      </c>
      <c r="AX640" s="21" t="s">
        <v>166</v>
      </c>
      <c r="AY640" s="14" t="s">
        <v>217</v>
      </c>
      <c r="AZ640" s="14" t="s">
        <v>217</v>
      </c>
      <c r="BA640" s="14" t="s">
        <v>166</v>
      </c>
      <c r="BB640" s="21" t="s">
        <v>166</v>
      </c>
      <c r="BC640" s="14" t="s">
        <v>179</v>
      </c>
      <c r="BD640" s="14" t="s">
        <v>12303</v>
      </c>
      <c r="BE640" s="14" t="s">
        <v>189</v>
      </c>
      <c r="BF640" s="18">
        <v>1.8</v>
      </c>
      <c r="BG640" s="14" t="s">
        <v>190</v>
      </c>
      <c r="BH640" s="14" t="s">
        <v>166</v>
      </c>
      <c r="BI640" s="14" t="s">
        <v>166</v>
      </c>
      <c r="BJ640" s="18" t="s">
        <v>166</v>
      </c>
      <c r="BK640" s="18" t="s">
        <v>166</v>
      </c>
      <c r="BL640" s="14" t="s">
        <v>191</v>
      </c>
      <c r="BM640" s="14" t="s">
        <v>178</v>
      </c>
      <c r="BN640" s="14" t="s">
        <v>177</v>
      </c>
      <c r="BO640" s="22" t="s">
        <v>166</v>
      </c>
      <c r="BP640" s="14" t="s">
        <v>12304</v>
      </c>
      <c r="BQ640" s="21">
        <v>12</v>
      </c>
      <c r="BR640" s="14" t="s">
        <v>166</v>
      </c>
      <c r="BS640" s="21" t="s">
        <v>166</v>
      </c>
      <c r="BT640" s="14" t="s">
        <v>166</v>
      </c>
      <c r="BU640" s="14" t="s">
        <v>166</v>
      </c>
      <c r="BV640" s="14" t="s">
        <v>12305</v>
      </c>
      <c r="BW640" s="14" t="s">
        <v>166</v>
      </c>
      <c r="BX640" s="14" t="s">
        <v>166</v>
      </c>
      <c r="BY640" s="14" t="s">
        <v>166</v>
      </c>
      <c r="BZ640" s="14" t="s">
        <v>166</v>
      </c>
      <c r="CA640" s="14" t="s">
        <v>166</v>
      </c>
      <c r="CB640" s="14" t="s">
        <v>166</v>
      </c>
      <c r="CC640" s="14" t="s">
        <v>166</v>
      </c>
      <c r="CD640" s="14" t="s">
        <v>166</v>
      </c>
      <c r="CE640" s="18" t="s">
        <v>166</v>
      </c>
      <c r="CF640" s="16" t="s">
        <v>166</v>
      </c>
      <c r="CG640" s="17" t="s">
        <v>166</v>
      </c>
      <c r="CH640" s="16" t="s">
        <v>166</v>
      </c>
      <c r="CI640" s="16" t="s">
        <v>166</v>
      </c>
      <c r="CJ640" s="16" t="s">
        <v>166</v>
      </c>
      <c r="CK640" s="16" t="s">
        <v>166</v>
      </c>
      <c r="CL640" s="16" t="s">
        <v>166</v>
      </c>
      <c r="CM640" s="20" t="s">
        <v>166</v>
      </c>
      <c r="CN640" s="16" t="s">
        <v>166</v>
      </c>
      <c r="CO640" s="16" t="s">
        <v>166</v>
      </c>
      <c r="CP640" s="16" t="s">
        <v>166</v>
      </c>
      <c r="CQ640" s="16" t="s">
        <v>166</v>
      </c>
      <c r="CR640" s="16" t="s">
        <v>166</v>
      </c>
      <c r="CS640" s="16" t="s">
        <v>166</v>
      </c>
      <c r="CT640" s="16" t="s">
        <v>166</v>
      </c>
      <c r="CU640" s="16" t="s">
        <v>166</v>
      </c>
      <c r="CV640" s="16" t="s">
        <v>166</v>
      </c>
      <c r="CW640" s="16" t="s">
        <v>166</v>
      </c>
      <c r="CX640" s="16" t="s">
        <v>166</v>
      </c>
      <c r="CY640" s="16" t="s">
        <v>166</v>
      </c>
      <c r="CZ640" s="16" t="s">
        <v>166</v>
      </c>
      <c r="DA640" s="16" t="s">
        <v>166</v>
      </c>
      <c r="DB640" s="16" t="s">
        <v>166</v>
      </c>
      <c r="DC640" s="16" t="s">
        <v>166</v>
      </c>
      <c r="DD640" s="16" t="s">
        <v>166</v>
      </c>
      <c r="DE640" s="17" t="s">
        <v>166</v>
      </c>
      <c r="DF640" s="22">
        <v>6</v>
      </c>
      <c r="DG640" s="14" t="s">
        <v>12306</v>
      </c>
      <c r="DH640" s="14" t="s">
        <v>193</v>
      </c>
      <c r="DI640" s="14" t="s">
        <v>194</v>
      </c>
      <c r="DJ640" s="14" t="s">
        <v>12307</v>
      </c>
      <c r="DK640" s="14" t="s">
        <v>257</v>
      </c>
      <c r="DL640" s="21" t="s">
        <v>12308</v>
      </c>
      <c r="DM640" s="14" t="s">
        <v>198</v>
      </c>
      <c r="DN640" s="13" t="s">
        <v>12309</v>
      </c>
      <c r="DO640" s="20">
        <v>2019</v>
      </c>
      <c r="DP640" s="14" t="s">
        <v>166</v>
      </c>
      <c r="DQ640" s="14" t="s">
        <v>166</v>
      </c>
      <c r="DR640" s="18" t="s">
        <v>166</v>
      </c>
      <c r="DS640" s="16" t="s">
        <v>166</v>
      </c>
      <c r="DT640" s="19" t="s">
        <v>166</v>
      </c>
      <c r="DU640" s="14" t="s">
        <v>166</v>
      </c>
      <c r="DV640" s="18" t="s">
        <v>166</v>
      </c>
      <c r="DW640" s="18" t="s">
        <v>166</v>
      </c>
      <c r="DX640" s="16" t="s">
        <v>166</v>
      </c>
      <c r="DY640" s="16" t="s">
        <v>166</v>
      </c>
      <c r="DZ640" s="17" t="s">
        <v>166</v>
      </c>
      <c r="EA640" s="16" t="s">
        <v>166</v>
      </c>
      <c r="EB640" s="16" t="s">
        <v>166</v>
      </c>
      <c r="EC640" s="16" t="s">
        <v>166</v>
      </c>
      <c r="ED640" s="17" t="s">
        <v>166</v>
      </c>
      <c r="EE640" s="17" t="s">
        <v>166</v>
      </c>
      <c r="EF640" s="17" t="s">
        <v>166</v>
      </c>
      <c r="EG640" s="17" t="s">
        <v>166</v>
      </c>
      <c r="EH640" s="16" t="s">
        <v>166</v>
      </c>
      <c r="EI640" s="16" t="s">
        <v>166</v>
      </c>
      <c r="EJ640" s="16" t="s">
        <v>166</v>
      </c>
      <c r="EK640" s="16" t="s">
        <v>166</v>
      </c>
      <c r="EL640" s="16" t="s">
        <v>166</v>
      </c>
      <c r="EM640" s="16" t="s">
        <v>166</v>
      </c>
      <c r="EN640" s="16" t="s">
        <v>166</v>
      </c>
      <c r="EO640" s="16" t="s">
        <v>166</v>
      </c>
      <c r="EP640" s="16" t="s">
        <v>166</v>
      </c>
      <c r="EQ640" s="16" t="s">
        <v>166</v>
      </c>
      <c r="ER640" s="16" t="s">
        <v>166</v>
      </c>
      <c r="ES640" s="16" t="s">
        <v>166</v>
      </c>
      <c r="ET640" s="14" t="s">
        <v>166</v>
      </c>
      <c r="EU640" s="16" t="s">
        <v>166</v>
      </c>
      <c r="EV640" s="16" t="s">
        <v>166</v>
      </c>
      <c r="EW640" s="16" t="s">
        <v>166</v>
      </c>
      <c r="EX640" s="14" t="s">
        <v>190</v>
      </c>
      <c r="EY640" s="14" t="s">
        <v>166</v>
      </c>
      <c r="EZ640" s="16" t="s">
        <v>166</v>
      </c>
      <c r="FA640" s="15" t="s">
        <v>166</v>
      </c>
      <c r="FB640" s="15" t="s">
        <v>166</v>
      </c>
      <c r="FC640" s="15" t="s">
        <v>166</v>
      </c>
      <c r="FD640" s="15" t="s">
        <v>166</v>
      </c>
      <c r="FE640" s="15" t="s">
        <v>166</v>
      </c>
      <c r="FF640" s="15" t="s">
        <v>166</v>
      </c>
      <c r="FG640" s="14" t="s">
        <v>166</v>
      </c>
      <c r="FH640" s="3">
        <f>HYPERLINK("https://my.pitchbook.com?c=173020-87T","View Company Online")</f>
      </c>
    </row>
    <row r="641">
      <c r="A641" s="25" t="s">
        <v>12310</v>
      </c>
      <c r="B641" s="25" t="s">
        <v>12311</v>
      </c>
      <c r="C641" s="25" t="s">
        <v>12312</v>
      </c>
      <c r="D641" s="25" t="s">
        <v>166</v>
      </c>
      <c r="E641" s="34" t="s">
        <v>12313</v>
      </c>
      <c r="F641" s="32">
        <v>11</v>
      </c>
      <c r="G641" s="25" t="s">
        <v>12314</v>
      </c>
      <c r="H641" s="25" t="s">
        <v>166</v>
      </c>
      <c r="I641" s="25" t="s">
        <v>12315</v>
      </c>
      <c r="J641" s="25" t="s">
        <v>12316</v>
      </c>
      <c r="K641" s="25" t="s">
        <v>207</v>
      </c>
      <c r="L641" s="25" t="s">
        <v>208</v>
      </c>
      <c r="M641" s="25" t="s">
        <v>296</v>
      </c>
      <c r="N641" s="25" t="s">
        <v>1052</v>
      </c>
      <c r="O641" s="25" t="s">
        <v>12317</v>
      </c>
      <c r="P641" s="25" t="s">
        <v>12318</v>
      </c>
      <c r="Q641" s="25" t="s">
        <v>166</v>
      </c>
      <c r="R641" s="25" t="s">
        <v>177</v>
      </c>
      <c r="S641" s="25" t="s">
        <v>785</v>
      </c>
      <c r="T641" s="25" t="s">
        <v>179</v>
      </c>
      <c r="U641" s="25" t="s">
        <v>12319</v>
      </c>
      <c r="V641" s="25" t="s">
        <v>12320</v>
      </c>
      <c r="W641" s="32" t="s">
        <v>12321</v>
      </c>
      <c r="X641" s="25" t="s">
        <v>12322</v>
      </c>
      <c r="Y641" s="25" t="s">
        <v>12323</v>
      </c>
      <c r="Z641" s="25" t="s">
        <v>166</v>
      </c>
      <c r="AA641" s="25" t="s">
        <v>166</v>
      </c>
      <c r="AB641" s="25" t="s">
        <v>166</v>
      </c>
      <c r="AC641" s="25" t="s">
        <v>166</v>
      </c>
      <c r="AD641" s="25" t="s">
        <v>166</v>
      </c>
      <c r="AE641" s="25" t="s">
        <v>166</v>
      </c>
      <c r="AF641" s="25" t="s">
        <v>166</v>
      </c>
      <c r="AG641" s="25" t="s">
        <v>166</v>
      </c>
      <c r="AH641" s="32">
        <v>1</v>
      </c>
      <c r="AI641" s="4">
        <f>HYPERLINK("https://my.pitchbook.com/?d=213616-72T","213616-72T")</f>
      </c>
      <c r="AJ641" s="30">
        <v>44466</v>
      </c>
      <c r="AK641" s="30">
        <v>44621</v>
      </c>
      <c r="AL641" s="29">
        <v>2</v>
      </c>
      <c r="AM641" s="25" t="s">
        <v>185</v>
      </c>
      <c r="AN641" s="29" t="s">
        <v>166</v>
      </c>
      <c r="AO641" s="29" t="s">
        <v>166</v>
      </c>
      <c r="AP641" s="25" t="s">
        <v>166</v>
      </c>
      <c r="AQ641" s="32" t="s">
        <v>166</v>
      </c>
      <c r="AR641" s="32" t="s">
        <v>166</v>
      </c>
      <c r="AS641" s="28" t="s">
        <v>166</v>
      </c>
      <c r="AT641" s="29">
        <v>2</v>
      </c>
      <c r="AU641" s="32" t="s">
        <v>186</v>
      </c>
      <c r="AV641" s="32" t="s">
        <v>166</v>
      </c>
      <c r="AW641" s="29" t="s">
        <v>166</v>
      </c>
      <c r="AX641" s="32" t="s">
        <v>166</v>
      </c>
      <c r="AY641" s="25" t="s">
        <v>217</v>
      </c>
      <c r="AZ641" s="25" t="s">
        <v>217</v>
      </c>
      <c r="BA641" s="25" t="s">
        <v>166</v>
      </c>
      <c r="BB641" s="32" t="s">
        <v>166</v>
      </c>
      <c r="BC641" s="25" t="s">
        <v>179</v>
      </c>
      <c r="BD641" s="25" t="s">
        <v>12324</v>
      </c>
      <c r="BE641" s="25" t="s">
        <v>189</v>
      </c>
      <c r="BF641" s="29" t="s">
        <v>166</v>
      </c>
      <c r="BG641" s="25" t="s">
        <v>190</v>
      </c>
      <c r="BH641" s="25" t="s">
        <v>166</v>
      </c>
      <c r="BI641" s="25" t="s">
        <v>166</v>
      </c>
      <c r="BJ641" s="29" t="s">
        <v>166</v>
      </c>
      <c r="BK641" s="29" t="s">
        <v>166</v>
      </c>
      <c r="BL641" s="25" t="s">
        <v>191</v>
      </c>
      <c r="BM641" s="25" t="s">
        <v>358</v>
      </c>
      <c r="BN641" s="25" t="s">
        <v>177</v>
      </c>
      <c r="BO641" s="33">
        <v>4</v>
      </c>
      <c r="BP641" s="25" t="s">
        <v>12313</v>
      </c>
      <c r="BQ641" s="32">
        <v>11</v>
      </c>
      <c r="BR641" s="25" t="s">
        <v>166</v>
      </c>
      <c r="BS641" s="32" t="s">
        <v>166</v>
      </c>
      <c r="BT641" s="25" t="s">
        <v>166</v>
      </c>
      <c r="BU641" s="25" t="s">
        <v>166</v>
      </c>
      <c r="BV641" s="25" t="s">
        <v>166</v>
      </c>
      <c r="BW641" s="25" t="s">
        <v>166</v>
      </c>
      <c r="BX641" s="25" t="s">
        <v>166</v>
      </c>
      <c r="BY641" s="25" t="s">
        <v>166</v>
      </c>
      <c r="BZ641" s="25" t="s">
        <v>166</v>
      </c>
      <c r="CA641" s="25" t="s">
        <v>166</v>
      </c>
      <c r="CB641" s="25" t="s">
        <v>166</v>
      </c>
      <c r="CC641" s="25" t="s">
        <v>166</v>
      </c>
      <c r="CD641" s="25" t="s">
        <v>166</v>
      </c>
      <c r="CE641" s="29" t="s">
        <v>166</v>
      </c>
      <c r="CF641" s="27" t="s">
        <v>166</v>
      </c>
      <c r="CG641" s="28" t="s">
        <v>166</v>
      </c>
      <c r="CH641" s="27" t="s">
        <v>166</v>
      </c>
      <c r="CI641" s="27" t="s">
        <v>166</v>
      </c>
      <c r="CJ641" s="27" t="s">
        <v>166</v>
      </c>
      <c r="CK641" s="27" t="s">
        <v>166</v>
      </c>
      <c r="CL641" s="27" t="s">
        <v>166</v>
      </c>
      <c r="CM641" s="31" t="s">
        <v>166</v>
      </c>
      <c r="CN641" s="27" t="s">
        <v>166</v>
      </c>
      <c r="CO641" s="27" t="s">
        <v>166</v>
      </c>
      <c r="CP641" s="27" t="s">
        <v>166</v>
      </c>
      <c r="CQ641" s="27" t="s">
        <v>166</v>
      </c>
      <c r="CR641" s="27" t="s">
        <v>166</v>
      </c>
      <c r="CS641" s="27" t="s">
        <v>166</v>
      </c>
      <c r="CT641" s="27" t="s">
        <v>166</v>
      </c>
      <c r="CU641" s="27" t="s">
        <v>166</v>
      </c>
      <c r="CV641" s="27" t="s">
        <v>166</v>
      </c>
      <c r="CW641" s="27" t="s">
        <v>166</v>
      </c>
      <c r="CX641" s="27" t="s">
        <v>166</v>
      </c>
      <c r="CY641" s="27" t="s">
        <v>166</v>
      </c>
      <c r="CZ641" s="27" t="s">
        <v>166</v>
      </c>
      <c r="DA641" s="27" t="s">
        <v>166</v>
      </c>
      <c r="DB641" s="27" t="s">
        <v>166</v>
      </c>
      <c r="DC641" s="27" t="s">
        <v>166</v>
      </c>
      <c r="DD641" s="27" t="s">
        <v>166</v>
      </c>
      <c r="DE641" s="28" t="s">
        <v>166</v>
      </c>
      <c r="DF641" s="33">
        <v>10</v>
      </c>
      <c r="DG641" s="25" t="s">
        <v>8034</v>
      </c>
      <c r="DH641" s="25" t="s">
        <v>193</v>
      </c>
      <c r="DI641" s="25" t="s">
        <v>194</v>
      </c>
      <c r="DJ641" s="25" t="s">
        <v>8035</v>
      </c>
      <c r="DK641" s="25" t="s">
        <v>6539</v>
      </c>
      <c r="DL641" s="32" t="s">
        <v>12325</v>
      </c>
      <c r="DM641" s="25" t="s">
        <v>198</v>
      </c>
      <c r="DN641" s="24" t="s">
        <v>12326</v>
      </c>
      <c r="DO641" s="31">
        <v>2020</v>
      </c>
      <c r="DP641" s="25" t="s">
        <v>166</v>
      </c>
      <c r="DQ641" s="25" t="s">
        <v>166</v>
      </c>
      <c r="DR641" s="29" t="s">
        <v>166</v>
      </c>
      <c r="DS641" s="27" t="s">
        <v>166</v>
      </c>
      <c r="DT641" s="30" t="s">
        <v>166</v>
      </c>
      <c r="DU641" s="25" t="s">
        <v>166</v>
      </c>
      <c r="DV641" s="29" t="s">
        <v>166</v>
      </c>
      <c r="DW641" s="29" t="s">
        <v>166</v>
      </c>
      <c r="DX641" s="27" t="s">
        <v>166</v>
      </c>
      <c r="DY641" s="27" t="s">
        <v>166</v>
      </c>
      <c r="DZ641" s="28" t="s">
        <v>166</v>
      </c>
      <c r="EA641" s="27" t="s">
        <v>166</v>
      </c>
      <c r="EB641" s="27" t="s">
        <v>166</v>
      </c>
      <c r="EC641" s="27" t="s">
        <v>166</v>
      </c>
      <c r="ED641" s="28" t="s">
        <v>166</v>
      </c>
      <c r="EE641" s="28" t="s">
        <v>166</v>
      </c>
      <c r="EF641" s="28" t="s">
        <v>166</v>
      </c>
      <c r="EG641" s="28" t="s">
        <v>166</v>
      </c>
      <c r="EH641" s="27" t="s">
        <v>166</v>
      </c>
      <c r="EI641" s="27" t="s">
        <v>166</v>
      </c>
      <c r="EJ641" s="27" t="s">
        <v>166</v>
      </c>
      <c r="EK641" s="27" t="s">
        <v>166</v>
      </c>
      <c r="EL641" s="27" t="s">
        <v>166</v>
      </c>
      <c r="EM641" s="27" t="s">
        <v>166</v>
      </c>
      <c r="EN641" s="27" t="s">
        <v>166</v>
      </c>
      <c r="EO641" s="27" t="s">
        <v>166</v>
      </c>
      <c r="EP641" s="27" t="s">
        <v>166</v>
      </c>
      <c r="EQ641" s="27" t="s">
        <v>166</v>
      </c>
      <c r="ER641" s="27" t="s">
        <v>166</v>
      </c>
      <c r="ES641" s="27" t="s">
        <v>166</v>
      </c>
      <c r="ET641" s="25" t="s">
        <v>166</v>
      </c>
      <c r="EU641" s="27" t="s">
        <v>166</v>
      </c>
      <c r="EV641" s="27" t="s">
        <v>166</v>
      </c>
      <c r="EW641" s="27" t="s">
        <v>166</v>
      </c>
      <c r="EX641" s="25" t="s">
        <v>190</v>
      </c>
      <c r="EY641" s="25" t="s">
        <v>166</v>
      </c>
      <c r="EZ641" s="27" t="s">
        <v>166</v>
      </c>
      <c r="FA641" s="26" t="s">
        <v>166</v>
      </c>
      <c r="FB641" s="26" t="s">
        <v>166</v>
      </c>
      <c r="FC641" s="26" t="s">
        <v>166</v>
      </c>
      <c r="FD641" s="26" t="s">
        <v>166</v>
      </c>
      <c r="FE641" s="26" t="s">
        <v>166</v>
      </c>
      <c r="FF641" s="26" t="s">
        <v>166</v>
      </c>
      <c r="FG641" s="25" t="s">
        <v>166</v>
      </c>
      <c r="FH641" s="4">
        <f>HYPERLINK("https://my.pitchbook.com?c=213616-72T","View Company Online")</f>
      </c>
    </row>
    <row r="642">
      <c r="A642" s="14" t="s">
        <v>12327</v>
      </c>
      <c r="B642" s="14" t="s">
        <v>12328</v>
      </c>
      <c r="C642" s="14" t="s">
        <v>12329</v>
      </c>
      <c r="D642" s="14" t="s">
        <v>166</v>
      </c>
      <c r="E642" s="23" t="s">
        <v>12330</v>
      </c>
      <c r="F642" s="21">
        <v>5</v>
      </c>
      <c r="G642" s="14" t="s">
        <v>12331</v>
      </c>
      <c r="H642" s="14" t="s">
        <v>166</v>
      </c>
      <c r="I642" s="14" t="s">
        <v>12332</v>
      </c>
      <c r="J642" s="14" t="s">
        <v>12333</v>
      </c>
      <c r="K642" s="14" t="s">
        <v>207</v>
      </c>
      <c r="L642" s="14" t="s">
        <v>208</v>
      </c>
      <c r="M642" s="14" t="s">
        <v>209</v>
      </c>
      <c r="N642" s="14" t="s">
        <v>1966</v>
      </c>
      <c r="O642" s="14" t="s">
        <v>641</v>
      </c>
      <c r="P642" s="14" t="s">
        <v>12334</v>
      </c>
      <c r="Q642" s="14" t="s">
        <v>166</v>
      </c>
      <c r="R642" s="14" t="s">
        <v>177</v>
      </c>
      <c r="S642" s="14" t="s">
        <v>178</v>
      </c>
      <c r="T642" s="14" t="s">
        <v>179</v>
      </c>
      <c r="U642" s="14" t="s">
        <v>12335</v>
      </c>
      <c r="V642" s="14" t="s">
        <v>12336</v>
      </c>
      <c r="W642" s="21" t="s">
        <v>12337</v>
      </c>
      <c r="X642" s="14" t="s">
        <v>12338</v>
      </c>
      <c r="Y642" s="14" t="s">
        <v>12339</v>
      </c>
      <c r="Z642" s="14" t="s">
        <v>166</v>
      </c>
      <c r="AA642" s="14" t="s">
        <v>166</v>
      </c>
      <c r="AB642" s="14" t="s">
        <v>166</v>
      </c>
      <c r="AC642" s="14" t="s">
        <v>166</v>
      </c>
      <c r="AD642" s="14" t="s">
        <v>166</v>
      </c>
      <c r="AE642" s="14" t="s">
        <v>166</v>
      </c>
      <c r="AF642" s="14" t="s">
        <v>166</v>
      </c>
      <c r="AG642" s="14" t="s">
        <v>166</v>
      </c>
      <c r="AH642" s="21">
        <v>1</v>
      </c>
      <c r="AI642" s="3">
        <f>HYPERLINK("https://my.pitchbook.com/?d=188743-78T","188743-78T")</f>
      </c>
      <c r="AJ642" s="19" t="s">
        <v>166</v>
      </c>
      <c r="AK642" s="19">
        <v>44131</v>
      </c>
      <c r="AL642" s="18">
        <v>0.03</v>
      </c>
      <c r="AM642" s="14" t="s">
        <v>185</v>
      </c>
      <c r="AN642" s="18" t="s">
        <v>166</v>
      </c>
      <c r="AO642" s="18" t="s">
        <v>166</v>
      </c>
      <c r="AP642" s="14" t="s">
        <v>166</v>
      </c>
      <c r="AQ642" s="21" t="s">
        <v>166</v>
      </c>
      <c r="AR642" s="21" t="s">
        <v>166</v>
      </c>
      <c r="AS642" s="17" t="s">
        <v>166</v>
      </c>
      <c r="AT642" s="18">
        <v>0.03</v>
      </c>
      <c r="AU642" s="21" t="s">
        <v>186</v>
      </c>
      <c r="AV642" s="21" t="s">
        <v>166</v>
      </c>
      <c r="AW642" s="18" t="s">
        <v>166</v>
      </c>
      <c r="AX642" s="21" t="s">
        <v>166</v>
      </c>
      <c r="AY642" s="14" t="s">
        <v>187</v>
      </c>
      <c r="AZ642" s="14" t="s">
        <v>166</v>
      </c>
      <c r="BA642" s="14" t="s">
        <v>166</v>
      </c>
      <c r="BB642" s="21" t="s">
        <v>166</v>
      </c>
      <c r="BC642" s="14" t="s">
        <v>179</v>
      </c>
      <c r="BD642" s="14" t="s">
        <v>12340</v>
      </c>
      <c r="BE642" s="14" t="s">
        <v>189</v>
      </c>
      <c r="BF642" s="18">
        <v>0.03</v>
      </c>
      <c r="BG642" s="14" t="s">
        <v>190</v>
      </c>
      <c r="BH642" s="14" t="s">
        <v>166</v>
      </c>
      <c r="BI642" s="14" t="s">
        <v>166</v>
      </c>
      <c r="BJ642" s="18" t="s">
        <v>166</v>
      </c>
      <c r="BK642" s="18" t="s">
        <v>166</v>
      </c>
      <c r="BL642" s="14" t="s">
        <v>191</v>
      </c>
      <c r="BM642" s="14" t="s">
        <v>178</v>
      </c>
      <c r="BN642" s="14" t="s">
        <v>177</v>
      </c>
      <c r="BO642" s="22" t="s">
        <v>166</v>
      </c>
      <c r="BP642" s="14" t="s">
        <v>12330</v>
      </c>
      <c r="BQ642" s="21">
        <v>5</v>
      </c>
      <c r="BR642" s="14" t="s">
        <v>166</v>
      </c>
      <c r="BS642" s="21" t="s">
        <v>166</v>
      </c>
      <c r="BT642" s="14" t="s">
        <v>166</v>
      </c>
      <c r="BU642" s="14" t="s">
        <v>166</v>
      </c>
      <c r="BV642" s="14" t="s">
        <v>11224</v>
      </c>
      <c r="BW642" s="14" t="s">
        <v>166</v>
      </c>
      <c r="BX642" s="14" t="s">
        <v>166</v>
      </c>
      <c r="BY642" s="14" t="s">
        <v>166</v>
      </c>
      <c r="BZ642" s="14" t="s">
        <v>166</v>
      </c>
      <c r="CA642" s="14" t="s">
        <v>166</v>
      </c>
      <c r="CB642" s="14" t="s">
        <v>166</v>
      </c>
      <c r="CC642" s="14" t="s">
        <v>166</v>
      </c>
      <c r="CD642" s="14" t="s">
        <v>166</v>
      </c>
      <c r="CE642" s="18" t="s">
        <v>166</v>
      </c>
      <c r="CF642" s="16" t="s">
        <v>166</v>
      </c>
      <c r="CG642" s="17" t="s">
        <v>166</v>
      </c>
      <c r="CH642" s="16" t="s">
        <v>166</v>
      </c>
      <c r="CI642" s="16">
        <v>-0.02</v>
      </c>
      <c r="CJ642" s="16" t="s">
        <v>166</v>
      </c>
      <c r="CK642" s="16" t="s">
        <v>166</v>
      </c>
      <c r="CL642" s="16" t="s">
        <v>166</v>
      </c>
      <c r="CM642" s="20">
        <v>2020</v>
      </c>
      <c r="CN642" s="16" t="s">
        <v>166</v>
      </c>
      <c r="CO642" s="16" t="s">
        <v>166</v>
      </c>
      <c r="CP642" s="16" t="s">
        <v>166</v>
      </c>
      <c r="CQ642" s="16" t="s">
        <v>166</v>
      </c>
      <c r="CR642" s="16" t="s">
        <v>166</v>
      </c>
      <c r="CS642" s="16" t="s">
        <v>166</v>
      </c>
      <c r="CT642" s="16" t="s">
        <v>166</v>
      </c>
      <c r="CU642" s="16">
        <v>-1.6</v>
      </c>
      <c r="CV642" s="16" t="s">
        <v>166</v>
      </c>
      <c r="CW642" s="16" t="s">
        <v>166</v>
      </c>
      <c r="CX642" s="16" t="s">
        <v>166</v>
      </c>
      <c r="CY642" s="16" t="s">
        <v>166</v>
      </c>
      <c r="CZ642" s="16" t="s">
        <v>166</v>
      </c>
      <c r="DA642" s="16" t="s">
        <v>166</v>
      </c>
      <c r="DB642" s="16" t="s">
        <v>166</v>
      </c>
      <c r="DC642" s="16" t="s">
        <v>166</v>
      </c>
      <c r="DD642" s="16" t="s">
        <v>166</v>
      </c>
      <c r="DE642" s="17" t="s">
        <v>166</v>
      </c>
      <c r="DF642" s="22">
        <v>2</v>
      </c>
      <c r="DG642" s="14" t="s">
        <v>7384</v>
      </c>
      <c r="DH642" s="14" t="s">
        <v>193</v>
      </c>
      <c r="DI642" s="14" t="s">
        <v>194</v>
      </c>
      <c r="DJ642" s="14" t="s">
        <v>7385</v>
      </c>
      <c r="DK642" s="14" t="s">
        <v>7386</v>
      </c>
      <c r="DL642" s="21" t="s">
        <v>12341</v>
      </c>
      <c r="DM642" s="14" t="s">
        <v>198</v>
      </c>
      <c r="DN642" s="13" t="s">
        <v>12342</v>
      </c>
      <c r="DO642" s="20">
        <v>2020</v>
      </c>
      <c r="DP642" s="14" t="s">
        <v>166</v>
      </c>
      <c r="DQ642" s="14" t="s">
        <v>166</v>
      </c>
      <c r="DR642" s="18" t="s">
        <v>166</v>
      </c>
      <c r="DS642" s="16" t="s">
        <v>166</v>
      </c>
      <c r="DT642" s="19" t="s">
        <v>166</v>
      </c>
      <c r="DU642" s="14" t="s">
        <v>166</v>
      </c>
      <c r="DV642" s="18" t="s">
        <v>166</v>
      </c>
      <c r="DW642" s="18" t="s">
        <v>166</v>
      </c>
      <c r="DX642" s="16" t="s">
        <v>166</v>
      </c>
      <c r="DY642" s="16" t="s">
        <v>166</v>
      </c>
      <c r="DZ642" s="17" t="s">
        <v>166</v>
      </c>
      <c r="EA642" s="16" t="s">
        <v>166</v>
      </c>
      <c r="EB642" s="16" t="s">
        <v>166</v>
      </c>
      <c r="EC642" s="16" t="s">
        <v>166</v>
      </c>
      <c r="ED642" s="17" t="s">
        <v>166</v>
      </c>
      <c r="EE642" s="17" t="s">
        <v>166</v>
      </c>
      <c r="EF642" s="17" t="s">
        <v>166</v>
      </c>
      <c r="EG642" s="17" t="s">
        <v>166</v>
      </c>
      <c r="EH642" s="16" t="s">
        <v>166</v>
      </c>
      <c r="EI642" s="16" t="s">
        <v>166</v>
      </c>
      <c r="EJ642" s="16" t="s">
        <v>166</v>
      </c>
      <c r="EK642" s="16" t="s">
        <v>166</v>
      </c>
      <c r="EL642" s="16" t="s">
        <v>166</v>
      </c>
      <c r="EM642" s="16" t="s">
        <v>166</v>
      </c>
      <c r="EN642" s="16" t="s">
        <v>166</v>
      </c>
      <c r="EO642" s="16" t="s">
        <v>166</v>
      </c>
      <c r="EP642" s="16" t="s">
        <v>166</v>
      </c>
      <c r="EQ642" s="16" t="s">
        <v>166</v>
      </c>
      <c r="ER642" s="16" t="s">
        <v>166</v>
      </c>
      <c r="ES642" s="16" t="s">
        <v>166</v>
      </c>
      <c r="ET642" s="14" t="s">
        <v>166</v>
      </c>
      <c r="EU642" s="16" t="s">
        <v>166</v>
      </c>
      <c r="EV642" s="16" t="s">
        <v>166</v>
      </c>
      <c r="EW642" s="16" t="s">
        <v>166</v>
      </c>
      <c r="EX642" s="14" t="s">
        <v>190</v>
      </c>
      <c r="EY642" s="14" t="s">
        <v>166</v>
      </c>
      <c r="EZ642" s="16" t="s">
        <v>166</v>
      </c>
      <c r="FA642" s="15" t="s">
        <v>166</v>
      </c>
      <c r="FB642" s="15" t="s">
        <v>166</v>
      </c>
      <c r="FC642" s="15" t="s">
        <v>166</v>
      </c>
      <c r="FD642" s="15" t="s">
        <v>166</v>
      </c>
      <c r="FE642" s="15" t="s">
        <v>166</v>
      </c>
      <c r="FF642" s="15" t="s">
        <v>166</v>
      </c>
      <c r="FG642" s="14" t="s">
        <v>166</v>
      </c>
      <c r="FH642" s="3">
        <f>HYPERLINK("https://my.pitchbook.com?c=188743-78T","View Company Online")</f>
      </c>
    </row>
    <row r="643">
      <c r="A643" s="25" t="s">
        <v>12343</v>
      </c>
      <c r="B643" s="25" t="s">
        <v>12344</v>
      </c>
      <c r="C643" s="25" t="s">
        <v>12345</v>
      </c>
      <c r="D643" s="25" t="s">
        <v>166</v>
      </c>
      <c r="E643" s="34" t="s">
        <v>12346</v>
      </c>
      <c r="F643" s="32">
        <v>2</v>
      </c>
      <c r="G643" s="25" t="s">
        <v>12347</v>
      </c>
      <c r="H643" s="25" t="s">
        <v>166</v>
      </c>
      <c r="I643" s="25" t="s">
        <v>12348</v>
      </c>
      <c r="J643" s="25" t="s">
        <v>12349</v>
      </c>
      <c r="K643" s="25" t="s">
        <v>207</v>
      </c>
      <c r="L643" s="25" t="s">
        <v>208</v>
      </c>
      <c r="M643" s="25" t="s">
        <v>209</v>
      </c>
      <c r="N643" s="25" t="s">
        <v>269</v>
      </c>
      <c r="O643" s="25" t="s">
        <v>12350</v>
      </c>
      <c r="P643" s="25" t="s">
        <v>12351</v>
      </c>
      <c r="Q643" s="25" t="s">
        <v>166</v>
      </c>
      <c r="R643" s="25" t="s">
        <v>177</v>
      </c>
      <c r="S643" s="25" t="s">
        <v>178</v>
      </c>
      <c r="T643" s="25" t="s">
        <v>179</v>
      </c>
      <c r="U643" s="25" t="s">
        <v>12352</v>
      </c>
      <c r="V643" s="25" t="s">
        <v>12353</v>
      </c>
      <c r="W643" s="32" t="s">
        <v>12354</v>
      </c>
      <c r="X643" s="25" t="s">
        <v>12355</v>
      </c>
      <c r="Y643" s="25" t="s">
        <v>12356</v>
      </c>
      <c r="Z643" s="25" t="s">
        <v>166</v>
      </c>
      <c r="AA643" s="25" t="s">
        <v>166</v>
      </c>
      <c r="AB643" s="25" t="s">
        <v>166</v>
      </c>
      <c r="AC643" s="25" t="s">
        <v>166</v>
      </c>
      <c r="AD643" s="25" t="s">
        <v>166</v>
      </c>
      <c r="AE643" s="25" t="s">
        <v>166</v>
      </c>
      <c r="AF643" s="25" t="s">
        <v>166</v>
      </c>
      <c r="AG643" s="25" t="s">
        <v>166</v>
      </c>
      <c r="AH643" s="32">
        <v>3</v>
      </c>
      <c r="AI643" s="4">
        <f>HYPERLINK("https://my.pitchbook.com/?d=159767-83T","159767-83T")</f>
      </c>
      <c r="AJ643" s="30" t="s">
        <v>166</v>
      </c>
      <c r="AK643" s="30">
        <v>44069</v>
      </c>
      <c r="AL643" s="29">
        <v>0.25</v>
      </c>
      <c r="AM643" s="25" t="s">
        <v>185</v>
      </c>
      <c r="AN643" s="29" t="s">
        <v>166</v>
      </c>
      <c r="AO643" s="29" t="s">
        <v>166</v>
      </c>
      <c r="AP643" s="25" t="s">
        <v>166</v>
      </c>
      <c r="AQ643" s="32" t="s">
        <v>166</v>
      </c>
      <c r="AR643" s="32" t="s">
        <v>166</v>
      </c>
      <c r="AS643" s="28" t="s">
        <v>166</v>
      </c>
      <c r="AT643" s="29">
        <v>0.27</v>
      </c>
      <c r="AU643" s="32" t="s">
        <v>186</v>
      </c>
      <c r="AV643" s="32" t="s">
        <v>166</v>
      </c>
      <c r="AW643" s="29" t="s">
        <v>166</v>
      </c>
      <c r="AX643" s="32" t="s">
        <v>166</v>
      </c>
      <c r="AY643" s="25" t="s">
        <v>217</v>
      </c>
      <c r="AZ643" s="25" t="s">
        <v>217</v>
      </c>
      <c r="BA643" s="25" t="s">
        <v>166</v>
      </c>
      <c r="BB643" s="32" t="s">
        <v>166</v>
      </c>
      <c r="BC643" s="25" t="s">
        <v>179</v>
      </c>
      <c r="BD643" s="25" t="s">
        <v>12357</v>
      </c>
      <c r="BE643" s="25" t="s">
        <v>189</v>
      </c>
      <c r="BF643" s="29">
        <v>0.25</v>
      </c>
      <c r="BG643" s="25" t="s">
        <v>190</v>
      </c>
      <c r="BH643" s="25" t="s">
        <v>166</v>
      </c>
      <c r="BI643" s="25" t="s">
        <v>166</v>
      </c>
      <c r="BJ643" s="29" t="s">
        <v>166</v>
      </c>
      <c r="BK643" s="29" t="s">
        <v>166</v>
      </c>
      <c r="BL643" s="25" t="s">
        <v>191</v>
      </c>
      <c r="BM643" s="25" t="s">
        <v>358</v>
      </c>
      <c r="BN643" s="25" t="s">
        <v>177</v>
      </c>
      <c r="BO643" s="33" t="s">
        <v>166</v>
      </c>
      <c r="BP643" s="25" t="s">
        <v>12358</v>
      </c>
      <c r="BQ643" s="32">
        <v>1</v>
      </c>
      <c r="BR643" s="25" t="s">
        <v>5655</v>
      </c>
      <c r="BS643" s="32">
        <v>1</v>
      </c>
      <c r="BT643" s="25" t="s">
        <v>166</v>
      </c>
      <c r="BU643" s="25" t="s">
        <v>166</v>
      </c>
      <c r="BV643" s="25" t="s">
        <v>166</v>
      </c>
      <c r="BW643" s="25" t="s">
        <v>166</v>
      </c>
      <c r="BX643" s="25" t="s">
        <v>166</v>
      </c>
      <c r="BY643" s="25" t="s">
        <v>166</v>
      </c>
      <c r="BZ643" s="25" t="s">
        <v>166</v>
      </c>
      <c r="CA643" s="25" t="s">
        <v>166</v>
      </c>
      <c r="CB643" s="25" t="s">
        <v>166</v>
      </c>
      <c r="CC643" s="25" t="s">
        <v>166</v>
      </c>
      <c r="CD643" s="25" t="s">
        <v>166</v>
      </c>
      <c r="CE643" s="29" t="s">
        <v>166</v>
      </c>
      <c r="CF643" s="27" t="s">
        <v>166</v>
      </c>
      <c r="CG643" s="28" t="s">
        <v>166</v>
      </c>
      <c r="CH643" s="27" t="s">
        <v>166</v>
      </c>
      <c r="CI643" s="27" t="s">
        <v>166</v>
      </c>
      <c r="CJ643" s="27" t="s">
        <v>166</v>
      </c>
      <c r="CK643" s="27" t="s">
        <v>166</v>
      </c>
      <c r="CL643" s="27" t="s">
        <v>166</v>
      </c>
      <c r="CM643" s="31" t="s">
        <v>166</v>
      </c>
      <c r="CN643" s="27" t="s">
        <v>166</v>
      </c>
      <c r="CO643" s="27" t="s">
        <v>166</v>
      </c>
      <c r="CP643" s="27" t="s">
        <v>166</v>
      </c>
      <c r="CQ643" s="27" t="s">
        <v>166</v>
      </c>
      <c r="CR643" s="27" t="s">
        <v>166</v>
      </c>
      <c r="CS643" s="27" t="s">
        <v>166</v>
      </c>
      <c r="CT643" s="27" t="s">
        <v>166</v>
      </c>
      <c r="CU643" s="27" t="s">
        <v>166</v>
      </c>
      <c r="CV643" s="27" t="s">
        <v>166</v>
      </c>
      <c r="CW643" s="27" t="s">
        <v>166</v>
      </c>
      <c r="CX643" s="27" t="s">
        <v>166</v>
      </c>
      <c r="CY643" s="27" t="s">
        <v>166</v>
      </c>
      <c r="CZ643" s="27" t="s">
        <v>166</v>
      </c>
      <c r="DA643" s="27" t="s">
        <v>166</v>
      </c>
      <c r="DB643" s="27" t="s">
        <v>166</v>
      </c>
      <c r="DC643" s="27" t="s">
        <v>166</v>
      </c>
      <c r="DD643" s="27" t="s">
        <v>166</v>
      </c>
      <c r="DE643" s="28" t="s">
        <v>166</v>
      </c>
      <c r="DF643" s="33">
        <v>3</v>
      </c>
      <c r="DG643" s="25" t="s">
        <v>11242</v>
      </c>
      <c r="DH643" s="25" t="s">
        <v>193</v>
      </c>
      <c r="DI643" s="25" t="s">
        <v>194</v>
      </c>
      <c r="DJ643" s="25" t="s">
        <v>11243</v>
      </c>
      <c r="DK643" s="25" t="s">
        <v>5667</v>
      </c>
      <c r="DL643" s="32" t="s">
        <v>12359</v>
      </c>
      <c r="DM643" s="25" t="s">
        <v>198</v>
      </c>
      <c r="DN643" s="24" t="s">
        <v>12360</v>
      </c>
      <c r="DO643" s="31">
        <v>2018</v>
      </c>
      <c r="DP643" s="25" t="s">
        <v>166</v>
      </c>
      <c r="DQ643" s="25" t="s">
        <v>166</v>
      </c>
      <c r="DR643" s="29" t="s">
        <v>166</v>
      </c>
      <c r="DS643" s="27" t="s">
        <v>166</v>
      </c>
      <c r="DT643" s="30" t="s">
        <v>166</v>
      </c>
      <c r="DU643" s="25" t="s">
        <v>166</v>
      </c>
      <c r="DV643" s="29" t="s">
        <v>166</v>
      </c>
      <c r="DW643" s="29" t="s">
        <v>166</v>
      </c>
      <c r="DX643" s="27" t="s">
        <v>166</v>
      </c>
      <c r="DY643" s="27" t="s">
        <v>166</v>
      </c>
      <c r="DZ643" s="28" t="s">
        <v>166</v>
      </c>
      <c r="EA643" s="27" t="s">
        <v>166</v>
      </c>
      <c r="EB643" s="27" t="s">
        <v>166</v>
      </c>
      <c r="EC643" s="27" t="s">
        <v>166</v>
      </c>
      <c r="ED643" s="28" t="s">
        <v>166</v>
      </c>
      <c r="EE643" s="28" t="s">
        <v>166</v>
      </c>
      <c r="EF643" s="28" t="s">
        <v>166</v>
      </c>
      <c r="EG643" s="28" t="s">
        <v>166</v>
      </c>
      <c r="EH643" s="27" t="s">
        <v>166</v>
      </c>
      <c r="EI643" s="27" t="s">
        <v>166</v>
      </c>
      <c r="EJ643" s="27" t="s">
        <v>166</v>
      </c>
      <c r="EK643" s="27" t="s">
        <v>166</v>
      </c>
      <c r="EL643" s="27" t="s">
        <v>166</v>
      </c>
      <c r="EM643" s="27" t="s">
        <v>166</v>
      </c>
      <c r="EN643" s="27" t="s">
        <v>166</v>
      </c>
      <c r="EO643" s="27" t="s">
        <v>166</v>
      </c>
      <c r="EP643" s="27" t="s">
        <v>166</v>
      </c>
      <c r="EQ643" s="27" t="s">
        <v>166</v>
      </c>
      <c r="ER643" s="27" t="s">
        <v>166</v>
      </c>
      <c r="ES643" s="27" t="s">
        <v>166</v>
      </c>
      <c r="ET643" s="25" t="s">
        <v>166</v>
      </c>
      <c r="EU643" s="27" t="s">
        <v>166</v>
      </c>
      <c r="EV643" s="27" t="s">
        <v>166</v>
      </c>
      <c r="EW643" s="27" t="s">
        <v>166</v>
      </c>
      <c r="EX643" s="25" t="s">
        <v>190</v>
      </c>
      <c r="EY643" s="25" t="s">
        <v>166</v>
      </c>
      <c r="EZ643" s="27" t="s">
        <v>166</v>
      </c>
      <c r="FA643" s="26" t="s">
        <v>166</v>
      </c>
      <c r="FB643" s="26" t="s">
        <v>166</v>
      </c>
      <c r="FC643" s="26" t="s">
        <v>166</v>
      </c>
      <c r="FD643" s="26" t="s">
        <v>166</v>
      </c>
      <c r="FE643" s="26" t="s">
        <v>166</v>
      </c>
      <c r="FF643" s="26" t="s">
        <v>166</v>
      </c>
      <c r="FG643" s="25" t="s">
        <v>166</v>
      </c>
      <c r="FH643" s="4">
        <f>HYPERLINK("https://my.pitchbook.com?c=159767-83T","View Company Online")</f>
      </c>
    </row>
    <row r="644">
      <c r="A644" s="14" t="s">
        <v>12361</v>
      </c>
      <c r="B644" s="14" t="s">
        <v>12362</v>
      </c>
      <c r="C644" s="14" t="s">
        <v>12363</v>
      </c>
      <c r="D644" s="14" t="s">
        <v>166</v>
      </c>
      <c r="E644" s="23" t="s">
        <v>12364</v>
      </c>
      <c r="F644" s="21">
        <v>6</v>
      </c>
      <c r="G644" s="14" t="s">
        <v>12365</v>
      </c>
      <c r="H644" s="14" t="s">
        <v>166</v>
      </c>
      <c r="I644" s="14" t="s">
        <v>12366</v>
      </c>
      <c r="J644" s="14" t="s">
        <v>12367</v>
      </c>
      <c r="K644" s="14" t="s">
        <v>207</v>
      </c>
      <c r="L644" s="14" t="s">
        <v>208</v>
      </c>
      <c r="M644" s="14" t="s">
        <v>296</v>
      </c>
      <c r="N644" s="14" t="s">
        <v>1052</v>
      </c>
      <c r="O644" s="14" t="s">
        <v>325</v>
      </c>
      <c r="P644" s="14" t="s">
        <v>12368</v>
      </c>
      <c r="Q644" s="14" t="s">
        <v>166</v>
      </c>
      <c r="R644" s="14" t="s">
        <v>177</v>
      </c>
      <c r="S644" s="14" t="s">
        <v>178</v>
      </c>
      <c r="T644" s="14" t="s">
        <v>179</v>
      </c>
      <c r="U644" s="14" t="s">
        <v>12369</v>
      </c>
      <c r="V644" s="14" t="s">
        <v>12370</v>
      </c>
      <c r="W644" s="21" t="s">
        <v>12371</v>
      </c>
      <c r="X644" s="14" t="s">
        <v>12372</v>
      </c>
      <c r="Y644" s="14" t="s">
        <v>12373</v>
      </c>
      <c r="Z644" s="14" t="s">
        <v>166</v>
      </c>
      <c r="AA644" s="14" t="s">
        <v>242</v>
      </c>
      <c r="AB644" s="14" t="s">
        <v>243</v>
      </c>
      <c r="AC644" s="14" t="s">
        <v>244</v>
      </c>
      <c r="AD644" s="14" t="s">
        <v>243</v>
      </c>
      <c r="AE644" s="14" t="s">
        <v>243</v>
      </c>
      <c r="AF644" s="14" t="s">
        <v>166</v>
      </c>
      <c r="AG644" s="14" t="s">
        <v>246</v>
      </c>
      <c r="AH644" s="21">
        <v>1</v>
      </c>
      <c r="AI644" s="3">
        <f>HYPERLINK("https://my.pitchbook.com/?d=198661-24T","198661-24T")</f>
      </c>
      <c r="AJ644" s="19" t="s">
        <v>166</v>
      </c>
      <c r="AK644" s="19">
        <v>44740</v>
      </c>
      <c r="AL644" s="18">
        <v>3.03</v>
      </c>
      <c r="AM644" s="14" t="s">
        <v>185</v>
      </c>
      <c r="AN644" s="18">
        <v>18</v>
      </c>
      <c r="AO644" s="18">
        <v>21.03</v>
      </c>
      <c r="AP644" s="14" t="s">
        <v>185</v>
      </c>
      <c r="AQ644" s="21" t="s">
        <v>166</v>
      </c>
      <c r="AR644" s="21" t="s">
        <v>166</v>
      </c>
      <c r="AS644" s="17">
        <v>14.39</v>
      </c>
      <c r="AT644" s="18">
        <v>3.03</v>
      </c>
      <c r="AU644" s="21" t="s">
        <v>186</v>
      </c>
      <c r="AV644" s="21" t="s">
        <v>166</v>
      </c>
      <c r="AW644" s="18">
        <v>180</v>
      </c>
      <c r="AX644" s="21" t="s">
        <v>166</v>
      </c>
      <c r="AY644" s="14" t="s">
        <v>217</v>
      </c>
      <c r="AZ644" s="14" t="s">
        <v>217</v>
      </c>
      <c r="BA644" s="14" t="s">
        <v>166</v>
      </c>
      <c r="BB644" s="21" t="s">
        <v>166</v>
      </c>
      <c r="BC644" s="14" t="s">
        <v>179</v>
      </c>
      <c r="BD644" s="14" t="s">
        <v>12374</v>
      </c>
      <c r="BE644" s="14" t="s">
        <v>189</v>
      </c>
      <c r="BF644" s="18">
        <v>3.03</v>
      </c>
      <c r="BG644" s="14" t="s">
        <v>190</v>
      </c>
      <c r="BH644" s="14" t="s">
        <v>166</v>
      </c>
      <c r="BI644" s="14" t="s">
        <v>166</v>
      </c>
      <c r="BJ644" s="18" t="s">
        <v>166</v>
      </c>
      <c r="BK644" s="18" t="s">
        <v>166</v>
      </c>
      <c r="BL644" s="14" t="s">
        <v>191</v>
      </c>
      <c r="BM644" s="14" t="s">
        <v>2947</v>
      </c>
      <c r="BN644" s="14" t="s">
        <v>177</v>
      </c>
      <c r="BO644" s="22">
        <v>9</v>
      </c>
      <c r="BP644" s="14" t="s">
        <v>12375</v>
      </c>
      <c r="BQ644" s="21">
        <v>6</v>
      </c>
      <c r="BR644" s="14" t="s">
        <v>166</v>
      </c>
      <c r="BS644" s="21" t="s">
        <v>166</v>
      </c>
      <c r="BT644" s="14" t="s">
        <v>12376</v>
      </c>
      <c r="BU644" s="14" t="s">
        <v>166</v>
      </c>
      <c r="BV644" s="14" t="s">
        <v>12377</v>
      </c>
      <c r="BW644" s="14" t="s">
        <v>166</v>
      </c>
      <c r="BX644" s="14" t="s">
        <v>166</v>
      </c>
      <c r="BY644" s="14" t="s">
        <v>166</v>
      </c>
      <c r="BZ644" s="14" t="s">
        <v>12378</v>
      </c>
      <c r="CA644" s="14" t="s">
        <v>12379</v>
      </c>
      <c r="CB644" s="14" t="s">
        <v>166</v>
      </c>
      <c r="CC644" s="14" t="s">
        <v>12380</v>
      </c>
      <c r="CD644" s="14" t="s">
        <v>166</v>
      </c>
      <c r="CE644" s="18" t="s">
        <v>166</v>
      </c>
      <c r="CF644" s="16">
        <v>0.25</v>
      </c>
      <c r="CG644" s="17" t="s">
        <v>166</v>
      </c>
      <c r="CH644" s="16" t="s">
        <v>166</v>
      </c>
      <c r="CI644" s="16" t="s">
        <v>166</v>
      </c>
      <c r="CJ644" s="16" t="s">
        <v>166</v>
      </c>
      <c r="CK644" s="16" t="s">
        <v>166</v>
      </c>
      <c r="CL644" s="16" t="s">
        <v>166</v>
      </c>
      <c r="CM644" s="20">
        <v>2022</v>
      </c>
      <c r="CN644" s="16" t="s">
        <v>166</v>
      </c>
      <c r="CO644" s="16" t="s">
        <v>166</v>
      </c>
      <c r="CP644" s="16" t="s">
        <v>166</v>
      </c>
      <c r="CQ644" s="16">
        <v>84.1</v>
      </c>
      <c r="CR644" s="16" t="s">
        <v>166</v>
      </c>
      <c r="CS644" s="16" t="s">
        <v>166</v>
      </c>
      <c r="CT644" s="16" t="s">
        <v>166</v>
      </c>
      <c r="CU644" s="16" t="s">
        <v>166</v>
      </c>
      <c r="CV644" s="16">
        <v>12.1</v>
      </c>
      <c r="CW644" s="16" t="s">
        <v>166</v>
      </c>
      <c r="CX644" s="16" t="s">
        <v>166</v>
      </c>
      <c r="CY644" s="16" t="s">
        <v>166</v>
      </c>
      <c r="CZ644" s="16" t="s">
        <v>166</v>
      </c>
      <c r="DA644" s="16" t="s">
        <v>166</v>
      </c>
      <c r="DB644" s="16" t="s">
        <v>166</v>
      </c>
      <c r="DC644" s="16" t="s">
        <v>166</v>
      </c>
      <c r="DD644" s="16" t="s">
        <v>166</v>
      </c>
      <c r="DE644" s="17" t="s">
        <v>166</v>
      </c>
      <c r="DF644" s="22">
        <v>6</v>
      </c>
      <c r="DG644" s="14" t="s">
        <v>12381</v>
      </c>
      <c r="DH644" s="14" t="s">
        <v>193</v>
      </c>
      <c r="DI644" s="14" t="s">
        <v>194</v>
      </c>
      <c r="DJ644" s="14" t="s">
        <v>12382</v>
      </c>
      <c r="DK644" s="14" t="s">
        <v>257</v>
      </c>
      <c r="DL644" s="21" t="s">
        <v>12383</v>
      </c>
      <c r="DM644" s="14" t="s">
        <v>198</v>
      </c>
      <c r="DN644" s="13" t="s">
        <v>12384</v>
      </c>
      <c r="DO644" s="20">
        <v>2022</v>
      </c>
      <c r="DP644" s="14" t="s">
        <v>166</v>
      </c>
      <c r="DQ644" s="14" t="s">
        <v>166</v>
      </c>
      <c r="DR644" s="18" t="s">
        <v>166</v>
      </c>
      <c r="DS644" s="16" t="s">
        <v>166</v>
      </c>
      <c r="DT644" s="19" t="s">
        <v>166</v>
      </c>
      <c r="DU644" s="14" t="s">
        <v>166</v>
      </c>
      <c r="DV644" s="18" t="s">
        <v>166</v>
      </c>
      <c r="DW644" s="18" t="s">
        <v>166</v>
      </c>
      <c r="DX644" s="16" t="s">
        <v>166</v>
      </c>
      <c r="DY644" s="16" t="s">
        <v>166</v>
      </c>
      <c r="DZ644" s="17" t="s">
        <v>166</v>
      </c>
      <c r="EA644" s="16" t="s">
        <v>166</v>
      </c>
      <c r="EB644" s="16" t="s">
        <v>166</v>
      </c>
      <c r="EC644" s="16" t="s">
        <v>166</v>
      </c>
      <c r="ED644" s="17" t="s">
        <v>166</v>
      </c>
      <c r="EE644" s="17" t="s">
        <v>166</v>
      </c>
      <c r="EF644" s="17" t="s">
        <v>166</v>
      </c>
      <c r="EG644" s="17" t="s">
        <v>166</v>
      </c>
      <c r="EH644" s="16" t="s">
        <v>166</v>
      </c>
      <c r="EI644" s="16" t="s">
        <v>166</v>
      </c>
      <c r="EJ644" s="16" t="s">
        <v>166</v>
      </c>
      <c r="EK644" s="16" t="s">
        <v>166</v>
      </c>
      <c r="EL644" s="16" t="s">
        <v>166</v>
      </c>
      <c r="EM644" s="16" t="s">
        <v>166</v>
      </c>
      <c r="EN644" s="16" t="s">
        <v>166</v>
      </c>
      <c r="EO644" s="16" t="s">
        <v>166</v>
      </c>
      <c r="EP644" s="16" t="s">
        <v>166</v>
      </c>
      <c r="EQ644" s="16" t="s">
        <v>166</v>
      </c>
      <c r="ER644" s="16" t="s">
        <v>166</v>
      </c>
      <c r="ES644" s="16" t="s">
        <v>166</v>
      </c>
      <c r="ET644" s="14" t="s">
        <v>166</v>
      </c>
      <c r="EU644" s="16" t="s">
        <v>166</v>
      </c>
      <c r="EV644" s="16" t="s">
        <v>166</v>
      </c>
      <c r="EW644" s="16" t="s">
        <v>166</v>
      </c>
      <c r="EX644" s="14" t="s">
        <v>190</v>
      </c>
      <c r="EY644" s="14" t="s">
        <v>166</v>
      </c>
      <c r="EZ644" s="16" t="s">
        <v>166</v>
      </c>
      <c r="FA644" s="15" t="s">
        <v>166</v>
      </c>
      <c r="FB644" s="15" t="s">
        <v>166</v>
      </c>
      <c r="FC644" s="15" t="s">
        <v>166</v>
      </c>
      <c r="FD644" s="15" t="s">
        <v>166</v>
      </c>
      <c r="FE644" s="15" t="s">
        <v>166</v>
      </c>
      <c r="FF644" s="15" t="s">
        <v>166</v>
      </c>
      <c r="FG644" s="14" t="s">
        <v>166</v>
      </c>
      <c r="FH644" s="3">
        <f>HYPERLINK("https://my.pitchbook.com?c=198661-24T","View Company Online")</f>
      </c>
    </row>
    <row r="645">
      <c r="A645" s="25" t="s">
        <v>12385</v>
      </c>
      <c r="B645" s="25" t="s">
        <v>12386</v>
      </c>
      <c r="C645" s="25" t="s">
        <v>12387</v>
      </c>
      <c r="D645" s="25" t="s">
        <v>166</v>
      </c>
      <c r="E645" s="34" t="s">
        <v>3565</v>
      </c>
      <c r="F645" s="32">
        <v>1</v>
      </c>
      <c r="G645" s="25" t="s">
        <v>3566</v>
      </c>
      <c r="H645" s="25" t="s">
        <v>166</v>
      </c>
      <c r="I645" s="25" t="s">
        <v>12388</v>
      </c>
      <c r="J645" s="25" t="s">
        <v>12389</v>
      </c>
      <c r="K645" s="25" t="s">
        <v>171</v>
      </c>
      <c r="L645" s="25" t="s">
        <v>172</v>
      </c>
      <c r="M645" s="25" t="s">
        <v>1033</v>
      </c>
      <c r="N645" s="25" t="s">
        <v>3677</v>
      </c>
      <c r="O645" s="25" t="s">
        <v>1530</v>
      </c>
      <c r="P645" s="25" t="s">
        <v>12390</v>
      </c>
      <c r="Q645" s="25" t="s">
        <v>166</v>
      </c>
      <c r="R645" s="25" t="s">
        <v>177</v>
      </c>
      <c r="S645" s="25" t="s">
        <v>178</v>
      </c>
      <c r="T645" s="25" t="s">
        <v>179</v>
      </c>
      <c r="U645" s="25" t="s">
        <v>12391</v>
      </c>
      <c r="V645" s="25" t="s">
        <v>12392</v>
      </c>
      <c r="W645" s="32" t="s">
        <v>12393</v>
      </c>
      <c r="X645" s="25" t="s">
        <v>12394</v>
      </c>
      <c r="Y645" s="25" t="s">
        <v>12395</v>
      </c>
      <c r="Z645" s="25" t="s">
        <v>12396</v>
      </c>
      <c r="AA645" s="25" t="s">
        <v>166</v>
      </c>
      <c r="AB645" s="25" t="s">
        <v>166</v>
      </c>
      <c r="AC645" s="25" t="s">
        <v>166</v>
      </c>
      <c r="AD645" s="25" t="s">
        <v>166</v>
      </c>
      <c r="AE645" s="25" t="s">
        <v>166</v>
      </c>
      <c r="AF645" s="25" t="s">
        <v>166</v>
      </c>
      <c r="AG645" s="25" t="s">
        <v>166</v>
      </c>
      <c r="AH645" s="32">
        <v>1</v>
      </c>
      <c r="AI645" s="4">
        <f>HYPERLINK("https://my.pitchbook.com/?d=188740-27T","188740-27T")</f>
      </c>
      <c r="AJ645" s="30" t="s">
        <v>166</v>
      </c>
      <c r="AK645" s="30">
        <v>44551</v>
      </c>
      <c r="AL645" s="29">
        <v>0.08</v>
      </c>
      <c r="AM645" s="25" t="s">
        <v>185</v>
      </c>
      <c r="AN645" s="29" t="s">
        <v>166</v>
      </c>
      <c r="AO645" s="29" t="s">
        <v>166</v>
      </c>
      <c r="AP645" s="25" t="s">
        <v>166</v>
      </c>
      <c r="AQ645" s="32" t="s">
        <v>166</v>
      </c>
      <c r="AR645" s="32" t="s">
        <v>166</v>
      </c>
      <c r="AS645" s="28" t="s">
        <v>166</v>
      </c>
      <c r="AT645" s="29">
        <v>0.08</v>
      </c>
      <c r="AU645" s="32" t="s">
        <v>186</v>
      </c>
      <c r="AV645" s="32" t="s">
        <v>166</v>
      </c>
      <c r="AW645" s="29" t="s">
        <v>166</v>
      </c>
      <c r="AX645" s="32" t="s">
        <v>166</v>
      </c>
      <c r="AY645" s="25" t="s">
        <v>217</v>
      </c>
      <c r="AZ645" s="25" t="s">
        <v>217</v>
      </c>
      <c r="BA645" s="25" t="s">
        <v>166</v>
      </c>
      <c r="BB645" s="32" t="s">
        <v>166</v>
      </c>
      <c r="BC645" s="25" t="s">
        <v>179</v>
      </c>
      <c r="BD645" s="25" t="s">
        <v>12397</v>
      </c>
      <c r="BE645" s="25" t="s">
        <v>189</v>
      </c>
      <c r="BF645" s="29">
        <v>0.08</v>
      </c>
      <c r="BG645" s="25" t="s">
        <v>190</v>
      </c>
      <c r="BH645" s="25" t="s">
        <v>166</v>
      </c>
      <c r="BI645" s="25" t="s">
        <v>166</v>
      </c>
      <c r="BJ645" s="29" t="s">
        <v>166</v>
      </c>
      <c r="BK645" s="29" t="s">
        <v>166</v>
      </c>
      <c r="BL645" s="25" t="s">
        <v>191</v>
      </c>
      <c r="BM645" s="25" t="s">
        <v>178</v>
      </c>
      <c r="BN645" s="25" t="s">
        <v>177</v>
      </c>
      <c r="BO645" s="33" t="s">
        <v>166</v>
      </c>
      <c r="BP645" s="25" t="s">
        <v>3565</v>
      </c>
      <c r="BQ645" s="32">
        <v>1</v>
      </c>
      <c r="BR645" s="25" t="s">
        <v>166</v>
      </c>
      <c r="BS645" s="32" t="s">
        <v>166</v>
      </c>
      <c r="BT645" s="25" t="s">
        <v>166</v>
      </c>
      <c r="BU645" s="25" t="s">
        <v>166</v>
      </c>
      <c r="BV645" s="25" t="s">
        <v>166</v>
      </c>
      <c r="BW645" s="25" t="s">
        <v>166</v>
      </c>
      <c r="BX645" s="25" t="s">
        <v>166</v>
      </c>
      <c r="BY645" s="25" t="s">
        <v>166</v>
      </c>
      <c r="BZ645" s="25" t="s">
        <v>166</v>
      </c>
      <c r="CA645" s="25" t="s">
        <v>166</v>
      </c>
      <c r="CB645" s="25" t="s">
        <v>166</v>
      </c>
      <c r="CC645" s="25" t="s">
        <v>166</v>
      </c>
      <c r="CD645" s="25" t="s">
        <v>166</v>
      </c>
      <c r="CE645" s="29" t="s">
        <v>166</v>
      </c>
      <c r="CF645" s="27" t="s">
        <v>166</v>
      </c>
      <c r="CG645" s="28" t="s">
        <v>166</v>
      </c>
      <c r="CH645" s="27" t="s">
        <v>166</v>
      </c>
      <c r="CI645" s="27" t="s">
        <v>166</v>
      </c>
      <c r="CJ645" s="27" t="s">
        <v>166</v>
      </c>
      <c r="CK645" s="27" t="s">
        <v>166</v>
      </c>
      <c r="CL645" s="27" t="s">
        <v>166</v>
      </c>
      <c r="CM645" s="31" t="s">
        <v>166</v>
      </c>
      <c r="CN645" s="27" t="s">
        <v>166</v>
      </c>
      <c r="CO645" s="27" t="s">
        <v>166</v>
      </c>
      <c r="CP645" s="27" t="s">
        <v>166</v>
      </c>
      <c r="CQ645" s="27" t="s">
        <v>166</v>
      </c>
      <c r="CR645" s="27" t="s">
        <v>166</v>
      </c>
      <c r="CS645" s="27" t="s">
        <v>166</v>
      </c>
      <c r="CT645" s="27" t="s">
        <v>166</v>
      </c>
      <c r="CU645" s="27" t="s">
        <v>166</v>
      </c>
      <c r="CV645" s="27" t="s">
        <v>166</v>
      </c>
      <c r="CW645" s="27" t="s">
        <v>166</v>
      </c>
      <c r="CX645" s="27" t="s">
        <v>166</v>
      </c>
      <c r="CY645" s="27" t="s">
        <v>166</v>
      </c>
      <c r="CZ645" s="27" t="s">
        <v>166</v>
      </c>
      <c r="DA645" s="27" t="s">
        <v>166</v>
      </c>
      <c r="DB645" s="27" t="s">
        <v>166</v>
      </c>
      <c r="DC645" s="27" t="s">
        <v>166</v>
      </c>
      <c r="DD645" s="27" t="s">
        <v>166</v>
      </c>
      <c r="DE645" s="28" t="s">
        <v>166</v>
      </c>
      <c r="DF645" s="33">
        <v>5</v>
      </c>
      <c r="DG645" s="25" t="s">
        <v>12398</v>
      </c>
      <c r="DH645" s="25" t="s">
        <v>193</v>
      </c>
      <c r="DI645" s="25" t="s">
        <v>194</v>
      </c>
      <c r="DJ645" s="25" t="s">
        <v>12399</v>
      </c>
      <c r="DK645" s="25" t="s">
        <v>1888</v>
      </c>
      <c r="DL645" s="32" t="s">
        <v>12400</v>
      </c>
      <c r="DM645" s="25" t="s">
        <v>198</v>
      </c>
      <c r="DN645" s="24" t="s">
        <v>12401</v>
      </c>
      <c r="DO645" s="31">
        <v>2020</v>
      </c>
      <c r="DP645" s="25" t="s">
        <v>166</v>
      </c>
      <c r="DQ645" s="25" t="s">
        <v>166</v>
      </c>
      <c r="DR645" s="29" t="s">
        <v>166</v>
      </c>
      <c r="DS645" s="27" t="s">
        <v>166</v>
      </c>
      <c r="DT645" s="30" t="s">
        <v>166</v>
      </c>
      <c r="DU645" s="25" t="s">
        <v>166</v>
      </c>
      <c r="DV645" s="29" t="s">
        <v>166</v>
      </c>
      <c r="DW645" s="29" t="s">
        <v>166</v>
      </c>
      <c r="DX645" s="27" t="s">
        <v>166</v>
      </c>
      <c r="DY645" s="27" t="s">
        <v>166</v>
      </c>
      <c r="DZ645" s="28" t="s">
        <v>166</v>
      </c>
      <c r="EA645" s="27" t="s">
        <v>166</v>
      </c>
      <c r="EB645" s="27" t="s">
        <v>166</v>
      </c>
      <c r="EC645" s="27" t="s">
        <v>166</v>
      </c>
      <c r="ED645" s="28" t="s">
        <v>166</v>
      </c>
      <c r="EE645" s="28" t="s">
        <v>166</v>
      </c>
      <c r="EF645" s="28" t="s">
        <v>166</v>
      </c>
      <c r="EG645" s="28" t="s">
        <v>166</v>
      </c>
      <c r="EH645" s="27" t="s">
        <v>166</v>
      </c>
      <c r="EI645" s="27" t="s">
        <v>166</v>
      </c>
      <c r="EJ645" s="27" t="s">
        <v>166</v>
      </c>
      <c r="EK645" s="27" t="s">
        <v>166</v>
      </c>
      <c r="EL645" s="27" t="s">
        <v>166</v>
      </c>
      <c r="EM645" s="27" t="s">
        <v>166</v>
      </c>
      <c r="EN645" s="27" t="s">
        <v>166</v>
      </c>
      <c r="EO645" s="27" t="s">
        <v>166</v>
      </c>
      <c r="EP645" s="27" t="s">
        <v>166</v>
      </c>
      <c r="EQ645" s="27" t="s">
        <v>166</v>
      </c>
      <c r="ER645" s="27" t="s">
        <v>166</v>
      </c>
      <c r="ES645" s="27" t="s">
        <v>166</v>
      </c>
      <c r="ET645" s="25" t="s">
        <v>166</v>
      </c>
      <c r="EU645" s="27" t="s">
        <v>166</v>
      </c>
      <c r="EV645" s="27" t="s">
        <v>166</v>
      </c>
      <c r="EW645" s="27" t="s">
        <v>166</v>
      </c>
      <c r="EX645" s="25" t="s">
        <v>190</v>
      </c>
      <c r="EY645" s="25" t="s">
        <v>166</v>
      </c>
      <c r="EZ645" s="27" t="s">
        <v>166</v>
      </c>
      <c r="FA645" s="26" t="s">
        <v>166</v>
      </c>
      <c r="FB645" s="26" t="s">
        <v>166</v>
      </c>
      <c r="FC645" s="26" t="s">
        <v>166</v>
      </c>
      <c r="FD645" s="26" t="s">
        <v>166</v>
      </c>
      <c r="FE645" s="26" t="s">
        <v>166</v>
      </c>
      <c r="FF645" s="26" t="s">
        <v>166</v>
      </c>
      <c r="FG645" s="25" t="s">
        <v>166</v>
      </c>
      <c r="FH645" s="4">
        <f>HYPERLINK("https://my.pitchbook.com?c=188740-27T","View Company Online")</f>
      </c>
    </row>
    <row r="646">
      <c r="A646" s="14" t="s">
        <v>12402</v>
      </c>
      <c r="B646" s="14" t="s">
        <v>12403</v>
      </c>
      <c r="C646" s="14" t="s">
        <v>12404</v>
      </c>
      <c r="D646" s="14" t="s">
        <v>166</v>
      </c>
      <c r="E646" s="23" t="s">
        <v>12405</v>
      </c>
      <c r="F646" s="21">
        <v>4</v>
      </c>
      <c r="G646" s="14" t="s">
        <v>12406</v>
      </c>
      <c r="H646" s="14" t="s">
        <v>166</v>
      </c>
      <c r="I646" s="14" t="s">
        <v>12407</v>
      </c>
      <c r="J646" s="14" t="s">
        <v>12408</v>
      </c>
      <c r="K646" s="14" t="s">
        <v>207</v>
      </c>
      <c r="L646" s="14" t="s">
        <v>208</v>
      </c>
      <c r="M646" s="14" t="s">
        <v>639</v>
      </c>
      <c r="N646" s="14" t="s">
        <v>2719</v>
      </c>
      <c r="O646" s="14" t="s">
        <v>211</v>
      </c>
      <c r="P646" s="14" t="s">
        <v>12409</v>
      </c>
      <c r="Q646" s="14" t="s">
        <v>166</v>
      </c>
      <c r="R646" s="14" t="s">
        <v>177</v>
      </c>
      <c r="S646" s="14" t="s">
        <v>178</v>
      </c>
      <c r="T646" s="14" t="s">
        <v>179</v>
      </c>
      <c r="U646" s="14" t="s">
        <v>12410</v>
      </c>
      <c r="V646" s="14" t="s">
        <v>12411</v>
      </c>
      <c r="W646" s="21" t="s">
        <v>12412</v>
      </c>
      <c r="X646" s="14" t="s">
        <v>12413</v>
      </c>
      <c r="Y646" s="14" t="s">
        <v>12414</v>
      </c>
      <c r="Z646" s="14" t="s">
        <v>166</v>
      </c>
      <c r="AA646" s="14" t="s">
        <v>166</v>
      </c>
      <c r="AB646" s="14" t="s">
        <v>166</v>
      </c>
      <c r="AC646" s="14" t="s">
        <v>166</v>
      </c>
      <c r="AD646" s="14" t="s">
        <v>166</v>
      </c>
      <c r="AE646" s="14" t="s">
        <v>166</v>
      </c>
      <c r="AF646" s="14" t="s">
        <v>166</v>
      </c>
      <c r="AG646" s="14" t="s">
        <v>166</v>
      </c>
      <c r="AH646" s="21">
        <v>1</v>
      </c>
      <c r="AI646" s="3">
        <f>HYPERLINK("https://my.pitchbook.com/?d=156628-99T","156628-99T")</f>
      </c>
      <c r="AJ646" s="19" t="s">
        <v>166</v>
      </c>
      <c r="AK646" s="19">
        <v>44075</v>
      </c>
      <c r="AL646" s="18">
        <v>6</v>
      </c>
      <c r="AM646" s="14" t="s">
        <v>185</v>
      </c>
      <c r="AN646" s="18" t="s">
        <v>166</v>
      </c>
      <c r="AO646" s="18" t="s">
        <v>166</v>
      </c>
      <c r="AP646" s="14" t="s">
        <v>166</v>
      </c>
      <c r="AQ646" s="21" t="s">
        <v>166</v>
      </c>
      <c r="AR646" s="21" t="s">
        <v>166</v>
      </c>
      <c r="AS646" s="17" t="s">
        <v>166</v>
      </c>
      <c r="AT646" s="18">
        <v>6</v>
      </c>
      <c r="AU646" s="21" t="s">
        <v>186</v>
      </c>
      <c r="AV646" s="21" t="s">
        <v>166</v>
      </c>
      <c r="AW646" s="18" t="s">
        <v>166</v>
      </c>
      <c r="AX646" s="21" t="s">
        <v>166</v>
      </c>
      <c r="AY646" s="14" t="s">
        <v>217</v>
      </c>
      <c r="AZ646" s="14" t="s">
        <v>217</v>
      </c>
      <c r="BA646" s="14" t="s">
        <v>166</v>
      </c>
      <c r="BB646" s="21" t="s">
        <v>166</v>
      </c>
      <c r="BC646" s="14" t="s">
        <v>179</v>
      </c>
      <c r="BD646" s="14" t="s">
        <v>12415</v>
      </c>
      <c r="BE646" s="14" t="s">
        <v>189</v>
      </c>
      <c r="BF646" s="18">
        <v>6</v>
      </c>
      <c r="BG646" s="14" t="s">
        <v>190</v>
      </c>
      <c r="BH646" s="14" t="s">
        <v>166</v>
      </c>
      <c r="BI646" s="14" t="s">
        <v>166</v>
      </c>
      <c r="BJ646" s="18" t="s">
        <v>166</v>
      </c>
      <c r="BK646" s="18" t="s">
        <v>166</v>
      </c>
      <c r="BL646" s="14" t="s">
        <v>191</v>
      </c>
      <c r="BM646" s="14" t="s">
        <v>358</v>
      </c>
      <c r="BN646" s="14" t="s">
        <v>177</v>
      </c>
      <c r="BO646" s="22" t="s">
        <v>166</v>
      </c>
      <c r="BP646" s="14" t="s">
        <v>12405</v>
      </c>
      <c r="BQ646" s="21">
        <v>4</v>
      </c>
      <c r="BR646" s="14" t="s">
        <v>166</v>
      </c>
      <c r="BS646" s="21" t="s">
        <v>166</v>
      </c>
      <c r="BT646" s="14" t="s">
        <v>166</v>
      </c>
      <c r="BU646" s="14" t="s">
        <v>166</v>
      </c>
      <c r="BV646" s="14" t="s">
        <v>12416</v>
      </c>
      <c r="BW646" s="14" t="s">
        <v>166</v>
      </c>
      <c r="BX646" s="14" t="s">
        <v>166</v>
      </c>
      <c r="BY646" s="14" t="s">
        <v>166</v>
      </c>
      <c r="BZ646" s="14" t="s">
        <v>166</v>
      </c>
      <c r="CA646" s="14" t="s">
        <v>166</v>
      </c>
      <c r="CB646" s="14" t="s">
        <v>166</v>
      </c>
      <c r="CC646" s="14" t="s">
        <v>166</v>
      </c>
      <c r="CD646" s="14" t="s">
        <v>166</v>
      </c>
      <c r="CE646" s="18" t="s">
        <v>166</v>
      </c>
      <c r="CF646" s="16" t="s">
        <v>166</v>
      </c>
      <c r="CG646" s="17" t="s">
        <v>166</v>
      </c>
      <c r="CH646" s="16" t="s">
        <v>166</v>
      </c>
      <c r="CI646" s="16" t="s">
        <v>166</v>
      </c>
      <c r="CJ646" s="16" t="s">
        <v>166</v>
      </c>
      <c r="CK646" s="16" t="s">
        <v>166</v>
      </c>
      <c r="CL646" s="16" t="s">
        <v>166</v>
      </c>
      <c r="CM646" s="20" t="s">
        <v>166</v>
      </c>
      <c r="CN646" s="16" t="s">
        <v>166</v>
      </c>
      <c r="CO646" s="16" t="s">
        <v>166</v>
      </c>
      <c r="CP646" s="16" t="s">
        <v>166</v>
      </c>
      <c r="CQ646" s="16" t="s">
        <v>166</v>
      </c>
      <c r="CR646" s="16" t="s">
        <v>166</v>
      </c>
      <c r="CS646" s="16" t="s">
        <v>166</v>
      </c>
      <c r="CT646" s="16" t="s">
        <v>166</v>
      </c>
      <c r="CU646" s="16" t="s">
        <v>166</v>
      </c>
      <c r="CV646" s="16" t="s">
        <v>166</v>
      </c>
      <c r="CW646" s="16" t="s">
        <v>166</v>
      </c>
      <c r="CX646" s="16" t="s">
        <v>166</v>
      </c>
      <c r="CY646" s="16" t="s">
        <v>166</v>
      </c>
      <c r="CZ646" s="16" t="s">
        <v>166</v>
      </c>
      <c r="DA646" s="16" t="s">
        <v>166</v>
      </c>
      <c r="DB646" s="16" t="s">
        <v>166</v>
      </c>
      <c r="DC646" s="16" t="s">
        <v>166</v>
      </c>
      <c r="DD646" s="16" t="s">
        <v>166</v>
      </c>
      <c r="DE646" s="17" t="s">
        <v>166</v>
      </c>
      <c r="DF646" s="22">
        <v>49</v>
      </c>
      <c r="DG646" s="14" t="s">
        <v>1540</v>
      </c>
      <c r="DH646" s="14" t="s">
        <v>193</v>
      </c>
      <c r="DI646" s="14" t="s">
        <v>194</v>
      </c>
      <c r="DJ646" s="14" t="s">
        <v>1541</v>
      </c>
      <c r="DK646" s="14" t="s">
        <v>257</v>
      </c>
      <c r="DL646" s="21" t="s">
        <v>12417</v>
      </c>
      <c r="DM646" s="14" t="s">
        <v>198</v>
      </c>
      <c r="DN646" s="13" t="s">
        <v>12418</v>
      </c>
      <c r="DO646" s="20">
        <v>2020</v>
      </c>
      <c r="DP646" s="14" t="s">
        <v>166</v>
      </c>
      <c r="DQ646" s="14" t="s">
        <v>166</v>
      </c>
      <c r="DR646" s="18" t="s">
        <v>166</v>
      </c>
      <c r="DS646" s="16" t="s">
        <v>166</v>
      </c>
      <c r="DT646" s="19" t="s">
        <v>166</v>
      </c>
      <c r="DU646" s="14" t="s">
        <v>166</v>
      </c>
      <c r="DV646" s="18" t="s">
        <v>166</v>
      </c>
      <c r="DW646" s="18" t="s">
        <v>166</v>
      </c>
      <c r="DX646" s="16" t="s">
        <v>166</v>
      </c>
      <c r="DY646" s="16" t="s">
        <v>166</v>
      </c>
      <c r="DZ646" s="17" t="s">
        <v>166</v>
      </c>
      <c r="EA646" s="16" t="s">
        <v>166</v>
      </c>
      <c r="EB646" s="16" t="s">
        <v>166</v>
      </c>
      <c r="EC646" s="16" t="s">
        <v>166</v>
      </c>
      <c r="ED646" s="17" t="s">
        <v>166</v>
      </c>
      <c r="EE646" s="17" t="s">
        <v>166</v>
      </c>
      <c r="EF646" s="17" t="s">
        <v>166</v>
      </c>
      <c r="EG646" s="17" t="s">
        <v>166</v>
      </c>
      <c r="EH646" s="16" t="s">
        <v>166</v>
      </c>
      <c r="EI646" s="16" t="s">
        <v>166</v>
      </c>
      <c r="EJ646" s="16" t="s">
        <v>166</v>
      </c>
      <c r="EK646" s="16" t="s">
        <v>166</v>
      </c>
      <c r="EL646" s="16" t="s">
        <v>166</v>
      </c>
      <c r="EM646" s="16" t="s">
        <v>166</v>
      </c>
      <c r="EN646" s="16" t="s">
        <v>166</v>
      </c>
      <c r="EO646" s="16" t="s">
        <v>166</v>
      </c>
      <c r="EP646" s="16" t="s">
        <v>166</v>
      </c>
      <c r="EQ646" s="16" t="s">
        <v>166</v>
      </c>
      <c r="ER646" s="16" t="s">
        <v>166</v>
      </c>
      <c r="ES646" s="16" t="s">
        <v>166</v>
      </c>
      <c r="ET646" s="14" t="s">
        <v>166</v>
      </c>
      <c r="EU646" s="16" t="s">
        <v>166</v>
      </c>
      <c r="EV646" s="16" t="s">
        <v>166</v>
      </c>
      <c r="EW646" s="16" t="s">
        <v>166</v>
      </c>
      <c r="EX646" s="14" t="s">
        <v>190</v>
      </c>
      <c r="EY646" s="14" t="s">
        <v>166</v>
      </c>
      <c r="EZ646" s="16" t="s">
        <v>166</v>
      </c>
      <c r="FA646" s="15">
        <v>7</v>
      </c>
      <c r="FB646" s="15">
        <v>2</v>
      </c>
      <c r="FC646" s="15">
        <v>6</v>
      </c>
      <c r="FD646" s="15" t="s">
        <v>166</v>
      </c>
      <c r="FE646" s="15" t="s">
        <v>166</v>
      </c>
      <c r="FF646" s="15">
        <v>1</v>
      </c>
      <c r="FG646" s="14" t="s">
        <v>364</v>
      </c>
      <c r="FH646" s="3">
        <f>HYPERLINK("https://my.pitchbook.com?c=156628-99T","View Company Online")</f>
      </c>
    </row>
    <row r="647">
      <c r="A647" s="25" t="s">
        <v>12419</v>
      </c>
      <c r="B647" s="25" t="s">
        <v>12420</v>
      </c>
      <c r="C647" s="25" t="s">
        <v>12421</v>
      </c>
      <c r="D647" s="25" t="s">
        <v>166</v>
      </c>
      <c r="E647" s="34" t="s">
        <v>12422</v>
      </c>
      <c r="F647" s="32">
        <v>6</v>
      </c>
      <c r="G647" s="25" t="s">
        <v>12423</v>
      </c>
      <c r="H647" s="25" t="s">
        <v>166</v>
      </c>
      <c r="I647" s="25" t="s">
        <v>12424</v>
      </c>
      <c r="J647" s="25" t="s">
        <v>12425</v>
      </c>
      <c r="K647" s="25" t="s">
        <v>171</v>
      </c>
      <c r="L647" s="25" t="s">
        <v>172</v>
      </c>
      <c r="M647" s="25" t="s">
        <v>173</v>
      </c>
      <c r="N647" s="25" t="s">
        <v>12426</v>
      </c>
      <c r="O647" s="25" t="s">
        <v>7860</v>
      </c>
      <c r="P647" s="25" t="s">
        <v>12427</v>
      </c>
      <c r="Q647" s="25" t="s">
        <v>166</v>
      </c>
      <c r="R647" s="25" t="s">
        <v>177</v>
      </c>
      <c r="S647" s="25" t="s">
        <v>178</v>
      </c>
      <c r="T647" s="25" t="s">
        <v>179</v>
      </c>
      <c r="U647" s="25" t="s">
        <v>12428</v>
      </c>
      <c r="V647" s="25" t="s">
        <v>12429</v>
      </c>
      <c r="W647" s="32" t="s">
        <v>12430</v>
      </c>
      <c r="X647" s="25" t="s">
        <v>12431</v>
      </c>
      <c r="Y647" s="25" t="s">
        <v>12432</v>
      </c>
      <c r="Z647" s="25" t="s">
        <v>12433</v>
      </c>
      <c r="AA647" s="25" t="s">
        <v>166</v>
      </c>
      <c r="AB647" s="25" t="s">
        <v>166</v>
      </c>
      <c r="AC647" s="25" t="s">
        <v>166</v>
      </c>
      <c r="AD647" s="25" t="s">
        <v>166</v>
      </c>
      <c r="AE647" s="25" t="s">
        <v>166</v>
      </c>
      <c r="AF647" s="25" t="s">
        <v>166</v>
      </c>
      <c r="AG647" s="25" t="s">
        <v>166</v>
      </c>
      <c r="AH647" s="32">
        <v>1</v>
      </c>
      <c r="AI647" s="4">
        <f>HYPERLINK("https://my.pitchbook.com/?d=234135-01T","234135-01T")</f>
      </c>
      <c r="AJ647" s="30" t="s">
        <v>166</v>
      </c>
      <c r="AK647" s="30">
        <v>45121</v>
      </c>
      <c r="AL647" s="29">
        <v>2.5</v>
      </c>
      <c r="AM647" s="25" t="s">
        <v>185</v>
      </c>
      <c r="AN647" s="29" t="s">
        <v>166</v>
      </c>
      <c r="AO647" s="29" t="s">
        <v>166</v>
      </c>
      <c r="AP647" s="25" t="s">
        <v>166</v>
      </c>
      <c r="AQ647" s="32" t="s">
        <v>166</v>
      </c>
      <c r="AR647" s="32" t="s">
        <v>166</v>
      </c>
      <c r="AS647" s="28" t="s">
        <v>166</v>
      </c>
      <c r="AT647" s="29">
        <v>2.5</v>
      </c>
      <c r="AU647" s="32" t="s">
        <v>186</v>
      </c>
      <c r="AV647" s="32" t="s">
        <v>166</v>
      </c>
      <c r="AW647" s="29" t="s">
        <v>166</v>
      </c>
      <c r="AX647" s="32" t="s">
        <v>166</v>
      </c>
      <c r="AY647" s="25" t="s">
        <v>187</v>
      </c>
      <c r="AZ647" s="25" t="s">
        <v>166</v>
      </c>
      <c r="BA647" s="25" t="s">
        <v>166</v>
      </c>
      <c r="BB647" s="32" t="s">
        <v>166</v>
      </c>
      <c r="BC647" s="25" t="s">
        <v>179</v>
      </c>
      <c r="BD647" s="25" t="s">
        <v>12425</v>
      </c>
      <c r="BE647" s="25" t="s">
        <v>189</v>
      </c>
      <c r="BF647" s="29">
        <v>2.5</v>
      </c>
      <c r="BG647" s="25" t="s">
        <v>190</v>
      </c>
      <c r="BH647" s="25" t="s">
        <v>166</v>
      </c>
      <c r="BI647" s="25" t="s">
        <v>166</v>
      </c>
      <c r="BJ647" s="29" t="s">
        <v>166</v>
      </c>
      <c r="BK647" s="29" t="s">
        <v>166</v>
      </c>
      <c r="BL647" s="25" t="s">
        <v>191</v>
      </c>
      <c r="BM647" s="25" t="s">
        <v>178</v>
      </c>
      <c r="BN647" s="25" t="s">
        <v>177</v>
      </c>
      <c r="BO647" s="33" t="s">
        <v>166</v>
      </c>
      <c r="BP647" s="25" t="s">
        <v>12422</v>
      </c>
      <c r="BQ647" s="32">
        <v>6</v>
      </c>
      <c r="BR647" s="25" t="s">
        <v>166</v>
      </c>
      <c r="BS647" s="32" t="s">
        <v>166</v>
      </c>
      <c r="BT647" s="25" t="s">
        <v>166</v>
      </c>
      <c r="BU647" s="25" t="s">
        <v>166</v>
      </c>
      <c r="BV647" s="25" t="s">
        <v>12434</v>
      </c>
      <c r="BW647" s="25" t="s">
        <v>166</v>
      </c>
      <c r="BX647" s="25" t="s">
        <v>166</v>
      </c>
      <c r="BY647" s="25" t="s">
        <v>166</v>
      </c>
      <c r="BZ647" s="25" t="s">
        <v>166</v>
      </c>
      <c r="CA647" s="25" t="s">
        <v>166</v>
      </c>
      <c r="CB647" s="25" t="s">
        <v>166</v>
      </c>
      <c r="CC647" s="25" t="s">
        <v>166</v>
      </c>
      <c r="CD647" s="25" t="s">
        <v>166</v>
      </c>
      <c r="CE647" s="29" t="s">
        <v>166</v>
      </c>
      <c r="CF647" s="27" t="s">
        <v>166</v>
      </c>
      <c r="CG647" s="28" t="s">
        <v>166</v>
      </c>
      <c r="CH647" s="27" t="s">
        <v>166</v>
      </c>
      <c r="CI647" s="27" t="s">
        <v>166</v>
      </c>
      <c r="CJ647" s="27" t="s">
        <v>166</v>
      </c>
      <c r="CK647" s="27" t="s">
        <v>166</v>
      </c>
      <c r="CL647" s="27" t="s">
        <v>166</v>
      </c>
      <c r="CM647" s="31" t="s">
        <v>166</v>
      </c>
      <c r="CN647" s="27" t="s">
        <v>166</v>
      </c>
      <c r="CO647" s="27" t="s">
        <v>166</v>
      </c>
      <c r="CP647" s="27" t="s">
        <v>166</v>
      </c>
      <c r="CQ647" s="27" t="s">
        <v>166</v>
      </c>
      <c r="CR647" s="27" t="s">
        <v>166</v>
      </c>
      <c r="CS647" s="27" t="s">
        <v>166</v>
      </c>
      <c r="CT647" s="27" t="s">
        <v>166</v>
      </c>
      <c r="CU647" s="27" t="s">
        <v>166</v>
      </c>
      <c r="CV647" s="27" t="s">
        <v>166</v>
      </c>
      <c r="CW647" s="27" t="s">
        <v>166</v>
      </c>
      <c r="CX647" s="27" t="s">
        <v>166</v>
      </c>
      <c r="CY647" s="27" t="s">
        <v>166</v>
      </c>
      <c r="CZ647" s="27" t="s">
        <v>166</v>
      </c>
      <c r="DA647" s="27" t="s">
        <v>166</v>
      </c>
      <c r="DB647" s="27" t="s">
        <v>166</v>
      </c>
      <c r="DC647" s="27" t="s">
        <v>166</v>
      </c>
      <c r="DD647" s="27" t="s">
        <v>166</v>
      </c>
      <c r="DE647" s="28" t="s">
        <v>166</v>
      </c>
      <c r="DF647" s="33">
        <v>10</v>
      </c>
      <c r="DG647" s="25" t="s">
        <v>2859</v>
      </c>
      <c r="DH647" s="25" t="s">
        <v>193</v>
      </c>
      <c r="DI647" s="25" t="s">
        <v>194</v>
      </c>
      <c r="DJ647" s="25" t="s">
        <v>2860</v>
      </c>
      <c r="DK647" s="25" t="s">
        <v>2861</v>
      </c>
      <c r="DL647" s="32" t="s">
        <v>12435</v>
      </c>
      <c r="DM647" s="25" t="s">
        <v>198</v>
      </c>
      <c r="DN647" s="24" t="s">
        <v>12436</v>
      </c>
      <c r="DO647" s="31">
        <v>2021</v>
      </c>
      <c r="DP647" s="25" t="s">
        <v>166</v>
      </c>
      <c r="DQ647" s="25" t="s">
        <v>166</v>
      </c>
      <c r="DR647" s="29" t="s">
        <v>166</v>
      </c>
      <c r="DS647" s="27" t="s">
        <v>166</v>
      </c>
      <c r="DT647" s="30" t="s">
        <v>166</v>
      </c>
      <c r="DU647" s="25" t="s">
        <v>166</v>
      </c>
      <c r="DV647" s="29" t="s">
        <v>166</v>
      </c>
      <c r="DW647" s="29" t="s">
        <v>166</v>
      </c>
      <c r="DX647" s="27" t="s">
        <v>166</v>
      </c>
      <c r="DY647" s="27" t="s">
        <v>166</v>
      </c>
      <c r="DZ647" s="28" t="s">
        <v>166</v>
      </c>
      <c r="EA647" s="27" t="s">
        <v>166</v>
      </c>
      <c r="EB647" s="27" t="s">
        <v>166</v>
      </c>
      <c r="EC647" s="27" t="s">
        <v>166</v>
      </c>
      <c r="ED647" s="28" t="s">
        <v>166</v>
      </c>
      <c r="EE647" s="28" t="s">
        <v>166</v>
      </c>
      <c r="EF647" s="28" t="s">
        <v>166</v>
      </c>
      <c r="EG647" s="28" t="s">
        <v>166</v>
      </c>
      <c r="EH647" s="27" t="s">
        <v>166</v>
      </c>
      <c r="EI647" s="27" t="s">
        <v>166</v>
      </c>
      <c r="EJ647" s="27" t="s">
        <v>166</v>
      </c>
      <c r="EK647" s="27" t="s">
        <v>166</v>
      </c>
      <c r="EL647" s="27" t="s">
        <v>166</v>
      </c>
      <c r="EM647" s="27" t="s">
        <v>166</v>
      </c>
      <c r="EN647" s="27" t="s">
        <v>166</v>
      </c>
      <c r="EO647" s="27" t="s">
        <v>166</v>
      </c>
      <c r="EP647" s="27" t="s">
        <v>166</v>
      </c>
      <c r="EQ647" s="27" t="s">
        <v>166</v>
      </c>
      <c r="ER647" s="27" t="s">
        <v>166</v>
      </c>
      <c r="ES647" s="27" t="s">
        <v>166</v>
      </c>
      <c r="ET647" s="25" t="s">
        <v>166</v>
      </c>
      <c r="EU647" s="27" t="s">
        <v>166</v>
      </c>
      <c r="EV647" s="27" t="s">
        <v>166</v>
      </c>
      <c r="EW647" s="27" t="s">
        <v>166</v>
      </c>
      <c r="EX647" s="25" t="s">
        <v>190</v>
      </c>
      <c r="EY647" s="25" t="s">
        <v>166</v>
      </c>
      <c r="EZ647" s="27" t="s">
        <v>166</v>
      </c>
      <c r="FA647" s="26" t="s">
        <v>166</v>
      </c>
      <c r="FB647" s="26" t="s">
        <v>166</v>
      </c>
      <c r="FC647" s="26" t="s">
        <v>166</v>
      </c>
      <c r="FD647" s="26" t="s">
        <v>166</v>
      </c>
      <c r="FE647" s="26" t="s">
        <v>166</v>
      </c>
      <c r="FF647" s="26" t="s">
        <v>166</v>
      </c>
      <c r="FG647" s="25" t="s">
        <v>166</v>
      </c>
      <c r="FH647" s="4">
        <f>HYPERLINK("https://my.pitchbook.com?c=234135-01T","View Company Online")</f>
      </c>
    </row>
    <row r="648">
      <c r="A648" s="14" t="s">
        <v>12437</v>
      </c>
      <c r="B648" s="14" t="s">
        <v>12438</v>
      </c>
      <c r="C648" s="14" t="s">
        <v>12439</v>
      </c>
      <c r="D648" s="14" t="s">
        <v>166</v>
      </c>
      <c r="E648" s="23" t="s">
        <v>12440</v>
      </c>
      <c r="F648" s="21">
        <v>5</v>
      </c>
      <c r="G648" s="14" t="s">
        <v>12441</v>
      </c>
      <c r="H648" s="14" t="s">
        <v>166</v>
      </c>
      <c r="I648" s="14" t="s">
        <v>12442</v>
      </c>
      <c r="J648" s="14" t="s">
        <v>12443</v>
      </c>
      <c r="K648" s="14" t="s">
        <v>207</v>
      </c>
      <c r="L648" s="14" t="s">
        <v>208</v>
      </c>
      <c r="M648" s="14" t="s">
        <v>296</v>
      </c>
      <c r="N648" s="14" t="s">
        <v>1052</v>
      </c>
      <c r="O648" s="14" t="s">
        <v>1318</v>
      </c>
      <c r="P648" s="14" t="s">
        <v>12444</v>
      </c>
      <c r="Q648" s="14" t="s">
        <v>166</v>
      </c>
      <c r="R648" s="14" t="s">
        <v>177</v>
      </c>
      <c r="S648" s="14" t="s">
        <v>178</v>
      </c>
      <c r="T648" s="14" t="s">
        <v>179</v>
      </c>
      <c r="U648" s="14" t="s">
        <v>12445</v>
      </c>
      <c r="V648" s="14" t="s">
        <v>12446</v>
      </c>
      <c r="W648" s="21" t="s">
        <v>12447</v>
      </c>
      <c r="X648" s="14" t="s">
        <v>12448</v>
      </c>
      <c r="Y648" s="14" t="s">
        <v>12449</v>
      </c>
      <c r="Z648" s="14" t="s">
        <v>12450</v>
      </c>
      <c r="AA648" s="14" t="s">
        <v>242</v>
      </c>
      <c r="AB648" s="14" t="s">
        <v>243</v>
      </c>
      <c r="AC648" s="14" t="s">
        <v>244</v>
      </c>
      <c r="AD648" s="14" t="s">
        <v>243</v>
      </c>
      <c r="AE648" s="14" t="s">
        <v>243</v>
      </c>
      <c r="AF648" s="14" t="s">
        <v>245</v>
      </c>
      <c r="AG648" s="14" t="s">
        <v>246</v>
      </c>
      <c r="AH648" s="21">
        <v>1</v>
      </c>
      <c r="AI648" s="3">
        <f>HYPERLINK("https://my.pitchbook.com/?d=197182-27T","197182-27T")</f>
      </c>
      <c r="AJ648" s="19">
        <v>44636</v>
      </c>
      <c r="AK648" s="19">
        <v>44741</v>
      </c>
      <c r="AL648" s="18">
        <v>5</v>
      </c>
      <c r="AM648" s="14" t="s">
        <v>185</v>
      </c>
      <c r="AN648" s="18">
        <v>15.1</v>
      </c>
      <c r="AO648" s="18">
        <v>20.1</v>
      </c>
      <c r="AP648" s="14" t="s">
        <v>247</v>
      </c>
      <c r="AQ648" s="21" t="s">
        <v>166</v>
      </c>
      <c r="AR648" s="21" t="s">
        <v>166</v>
      </c>
      <c r="AS648" s="17">
        <v>46.1</v>
      </c>
      <c r="AT648" s="18">
        <v>5</v>
      </c>
      <c r="AU648" s="21" t="s">
        <v>186</v>
      </c>
      <c r="AV648" s="21" t="s">
        <v>166</v>
      </c>
      <c r="AW648" s="18">
        <v>1.02</v>
      </c>
      <c r="AX648" s="21" t="s">
        <v>166</v>
      </c>
      <c r="AY648" s="14" t="s">
        <v>217</v>
      </c>
      <c r="AZ648" s="14" t="s">
        <v>217</v>
      </c>
      <c r="BA648" s="14" t="s">
        <v>166</v>
      </c>
      <c r="BB648" s="21" t="s">
        <v>166</v>
      </c>
      <c r="BC648" s="14" t="s">
        <v>179</v>
      </c>
      <c r="BD648" s="14" t="s">
        <v>12451</v>
      </c>
      <c r="BE648" s="14" t="s">
        <v>189</v>
      </c>
      <c r="BF648" s="18">
        <v>5</v>
      </c>
      <c r="BG648" s="14" t="s">
        <v>190</v>
      </c>
      <c r="BH648" s="14" t="s">
        <v>166</v>
      </c>
      <c r="BI648" s="14" t="s">
        <v>166</v>
      </c>
      <c r="BJ648" s="18" t="s">
        <v>166</v>
      </c>
      <c r="BK648" s="18" t="s">
        <v>166</v>
      </c>
      <c r="BL648" s="14" t="s">
        <v>191</v>
      </c>
      <c r="BM648" s="14" t="s">
        <v>178</v>
      </c>
      <c r="BN648" s="14" t="s">
        <v>177</v>
      </c>
      <c r="BO648" s="22" t="s">
        <v>166</v>
      </c>
      <c r="BP648" s="14" t="s">
        <v>12452</v>
      </c>
      <c r="BQ648" s="21">
        <v>5</v>
      </c>
      <c r="BR648" s="14" t="s">
        <v>166</v>
      </c>
      <c r="BS648" s="21" t="s">
        <v>166</v>
      </c>
      <c r="BT648" s="14" t="s">
        <v>12453</v>
      </c>
      <c r="BU648" s="14" t="s">
        <v>166</v>
      </c>
      <c r="BV648" s="14" t="s">
        <v>12454</v>
      </c>
      <c r="BW648" s="14" t="s">
        <v>166</v>
      </c>
      <c r="BX648" s="14" t="s">
        <v>166</v>
      </c>
      <c r="BY648" s="14" t="s">
        <v>166</v>
      </c>
      <c r="BZ648" s="14" t="s">
        <v>1232</v>
      </c>
      <c r="CA648" s="14" t="s">
        <v>1232</v>
      </c>
      <c r="CB648" s="14" t="s">
        <v>166</v>
      </c>
      <c r="CC648" s="14" t="s">
        <v>166</v>
      </c>
      <c r="CD648" s="14" t="s">
        <v>166</v>
      </c>
      <c r="CE648" s="18" t="s">
        <v>166</v>
      </c>
      <c r="CF648" s="16" t="s">
        <v>166</v>
      </c>
      <c r="CG648" s="17" t="s">
        <v>166</v>
      </c>
      <c r="CH648" s="16" t="s">
        <v>166</v>
      </c>
      <c r="CI648" s="16" t="s">
        <v>166</v>
      </c>
      <c r="CJ648" s="16" t="s">
        <v>166</v>
      </c>
      <c r="CK648" s="16" t="s">
        <v>166</v>
      </c>
      <c r="CL648" s="16" t="s">
        <v>166</v>
      </c>
      <c r="CM648" s="20" t="s">
        <v>166</v>
      </c>
      <c r="CN648" s="16" t="s">
        <v>166</v>
      </c>
      <c r="CO648" s="16" t="s">
        <v>166</v>
      </c>
      <c r="CP648" s="16" t="s">
        <v>166</v>
      </c>
      <c r="CQ648" s="16" t="s">
        <v>166</v>
      </c>
      <c r="CR648" s="16" t="s">
        <v>166</v>
      </c>
      <c r="CS648" s="16" t="s">
        <v>166</v>
      </c>
      <c r="CT648" s="16" t="s">
        <v>166</v>
      </c>
      <c r="CU648" s="16" t="s">
        <v>166</v>
      </c>
      <c r="CV648" s="16" t="s">
        <v>166</v>
      </c>
      <c r="CW648" s="16" t="s">
        <v>166</v>
      </c>
      <c r="CX648" s="16" t="s">
        <v>166</v>
      </c>
      <c r="CY648" s="16" t="s">
        <v>166</v>
      </c>
      <c r="CZ648" s="16" t="s">
        <v>166</v>
      </c>
      <c r="DA648" s="16" t="s">
        <v>166</v>
      </c>
      <c r="DB648" s="16" t="s">
        <v>166</v>
      </c>
      <c r="DC648" s="16" t="s">
        <v>166</v>
      </c>
      <c r="DD648" s="16" t="s">
        <v>166</v>
      </c>
      <c r="DE648" s="17" t="s">
        <v>166</v>
      </c>
      <c r="DF648" s="22">
        <v>15</v>
      </c>
      <c r="DG648" s="14" t="s">
        <v>309</v>
      </c>
      <c r="DH648" s="14" t="s">
        <v>193</v>
      </c>
      <c r="DI648" s="14" t="s">
        <v>194</v>
      </c>
      <c r="DJ648" s="14" t="s">
        <v>310</v>
      </c>
      <c r="DK648" s="14" t="s">
        <v>310</v>
      </c>
      <c r="DL648" s="21" t="s">
        <v>1910</v>
      </c>
      <c r="DM648" s="14" t="s">
        <v>198</v>
      </c>
      <c r="DN648" s="13" t="s">
        <v>12455</v>
      </c>
      <c r="DO648" s="20">
        <v>2021</v>
      </c>
      <c r="DP648" s="14" t="s">
        <v>166</v>
      </c>
      <c r="DQ648" s="14" t="s">
        <v>166</v>
      </c>
      <c r="DR648" s="18" t="s">
        <v>166</v>
      </c>
      <c r="DS648" s="16" t="s">
        <v>166</v>
      </c>
      <c r="DT648" s="19" t="s">
        <v>166</v>
      </c>
      <c r="DU648" s="14" t="s">
        <v>166</v>
      </c>
      <c r="DV648" s="18" t="s">
        <v>166</v>
      </c>
      <c r="DW648" s="18" t="s">
        <v>166</v>
      </c>
      <c r="DX648" s="16" t="s">
        <v>166</v>
      </c>
      <c r="DY648" s="16" t="s">
        <v>166</v>
      </c>
      <c r="DZ648" s="17" t="s">
        <v>166</v>
      </c>
      <c r="EA648" s="16" t="s">
        <v>166</v>
      </c>
      <c r="EB648" s="16" t="s">
        <v>166</v>
      </c>
      <c r="EC648" s="16" t="s">
        <v>166</v>
      </c>
      <c r="ED648" s="17" t="s">
        <v>166</v>
      </c>
      <c r="EE648" s="17" t="s">
        <v>166</v>
      </c>
      <c r="EF648" s="17" t="s">
        <v>166</v>
      </c>
      <c r="EG648" s="17" t="s">
        <v>166</v>
      </c>
      <c r="EH648" s="16" t="s">
        <v>166</v>
      </c>
      <c r="EI648" s="16" t="s">
        <v>166</v>
      </c>
      <c r="EJ648" s="16" t="s">
        <v>166</v>
      </c>
      <c r="EK648" s="16" t="s">
        <v>166</v>
      </c>
      <c r="EL648" s="16" t="s">
        <v>166</v>
      </c>
      <c r="EM648" s="16" t="s">
        <v>166</v>
      </c>
      <c r="EN648" s="16" t="s">
        <v>166</v>
      </c>
      <c r="EO648" s="16" t="s">
        <v>166</v>
      </c>
      <c r="EP648" s="16" t="s">
        <v>166</v>
      </c>
      <c r="EQ648" s="16" t="s">
        <v>166</v>
      </c>
      <c r="ER648" s="16" t="s">
        <v>166</v>
      </c>
      <c r="ES648" s="16" t="s">
        <v>166</v>
      </c>
      <c r="ET648" s="14" t="s">
        <v>166</v>
      </c>
      <c r="EU648" s="16" t="s">
        <v>166</v>
      </c>
      <c r="EV648" s="16" t="s">
        <v>166</v>
      </c>
      <c r="EW648" s="16" t="s">
        <v>166</v>
      </c>
      <c r="EX648" s="14" t="s">
        <v>190</v>
      </c>
      <c r="EY648" s="14" t="s">
        <v>166</v>
      </c>
      <c r="EZ648" s="16" t="s">
        <v>166</v>
      </c>
      <c r="FA648" s="15" t="s">
        <v>166</v>
      </c>
      <c r="FB648" s="15" t="s">
        <v>166</v>
      </c>
      <c r="FC648" s="15" t="s">
        <v>166</v>
      </c>
      <c r="FD648" s="15" t="s">
        <v>166</v>
      </c>
      <c r="FE648" s="15" t="s">
        <v>166</v>
      </c>
      <c r="FF648" s="15" t="s">
        <v>166</v>
      </c>
      <c r="FG648" s="14" t="s">
        <v>166</v>
      </c>
      <c r="FH648" s="3">
        <f>HYPERLINK("https://my.pitchbook.com?c=197182-27T","View Company Online")</f>
      </c>
    </row>
    <row r="649">
      <c r="A649" s="25" t="s">
        <v>12456</v>
      </c>
      <c r="B649" s="25" t="s">
        <v>12457</v>
      </c>
      <c r="C649" s="25" t="s">
        <v>12458</v>
      </c>
      <c r="D649" s="25" t="s">
        <v>166</v>
      </c>
      <c r="E649" s="34" t="s">
        <v>12459</v>
      </c>
      <c r="F649" s="32">
        <v>2</v>
      </c>
      <c r="G649" s="25" t="s">
        <v>12460</v>
      </c>
      <c r="H649" s="25" t="s">
        <v>166</v>
      </c>
      <c r="I649" s="25" t="s">
        <v>12461</v>
      </c>
      <c r="J649" s="25" t="s">
        <v>12462</v>
      </c>
      <c r="K649" s="25" t="s">
        <v>1455</v>
      </c>
      <c r="L649" s="25" t="s">
        <v>1456</v>
      </c>
      <c r="M649" s="25" t="s">
        <v>1457</v>
      </c>
      <c r="N649" s="25" t="s">
        <v>12463</v>
      </c>
      <c r="O649" s="25" t="s">
        <v>12464</v>
      </c>
      <c r="P649" s="25" t="s">
        <v>12465</v>
      </c>
      <c r="Q649" s="25" t="s">
        <v>166</v>
      </c>
      <c r="R649" s="25" t="s">
        <v>177</v>
      </c>
      <c r="S649" s="25" t="s">
        <v>178</v>
      </c>
      <c r="T649" s="25" t="s">
        <v>179</v>
      </c>
      <c r="U649" s="25" t="s">
        <v>12466</v>
      </c>
      <c r="V649" s="25" t="s">
        <v>12467</v>
      </c>
      <c r="W649" s="32" t="s">
        <v>12468</v>
      </c>
      <c r="X649" s="25" t="s">
        <v>12469</v>
      </c>
      <c r="Y649" s="25" t="s">
        <v>12470</v>
      </c>
      <c r="Z649" s="25" t="s">
        <v>166</v>
      </c>
      <c r="AA649" s="25" t="s">
        <v>166</v>
      </c>
      <c r="AB649" s="25" t="s">
        <v>166</v>
      </c>
      <c r="AC649" s="25" t="s">
        <v>166</v>
      </c>
      <c r="AD649" s="25" t="s">
        <v>166</v>
      </c>
      <c r="AE649" s="25" t="s">
        <v>166</v>
      </c>
      <c r="AF649" s="25" t="s">
        <v>166</v>
      </c>
      <c r="AG649" s="25" t="s">
        <v>166</v>
      </c>
      <c r="AH649" s="32">
        <v>3</v>
      </c>
      <c r="AI649" s="4">
        <f>HYPERLINK("https://my.pitchbook.com/?d=219863-71T","219863-71T")</f>
      </c>
      <c r="AJ649" s="30" t="s">
        <v>166</v>
      </c>
      <c r="AK649" s="30">
        <v>44986</v>
      </c>
      <c r="AL649" s="29">
        <v>0.5</v>
      </c>
      <c r="AM649" s="25" t="s">
        <v>185</v>
      </c>
      <c r="AN649" s="29">
        <v>4.5</v>
      </c>
      <c r="AO649" s="29">
        <v>5</v>
      </c>
      <c r="AP649" s="25" t="s">
        <v>185</v>
      </c>
      <c r="AQ649" s="32" t="s">
        <v>166</v>
      </c>
      <c r="AR649" s="32" t="s">
        <v>166</v>
      </c>
      <c r="AS649" s="28" t="s">
        <v>166</v>
      </c>
      <c r="AT649" s="29">
        <v>0.6</v>
      </c>
      <c r="AU649" s="32" t="s">
        <v>186</v>
      </c>
      <c r="AV649" s="32" t="s">
        <v>166</v>
      </c>
      <c r="AW649" s="29" t="s">
        <v>166</v>
      </c>
      <c r="AX649" s="32" t="s">
        <v>166</v>
      </c>
      <c r="AY649" s="25" t="s">
        <v>187</v>
      </c>
      <c r="AZ649" s="25" t="s">
        <v>166</v>
      </c>
      <c r="BA649" s="25" t="s">
        <v>166</v>
      </c>
      <c r="BB649" s="32" t="s">
        <v>166</v>
      </c>
      <c r="BC649" s="25" t="s">
        <v>179</v>
      </c>
      <c r="BD649" s="25" t="s">
        <v>12471</v>
      </c>
      <c r="BE649" s="25" t="s">
        <v>189</v>
      </c>
      <c r="BF649" s="29">
        <v>0.5</v>
      </c>
      <c r="BG649" s="25" t="s">
        <v>190</v>
      </c>
      <c r="BH649" s="25" t="s">
        <v>166</v>
      </c>
      <c r="BI649" s="25" t="s">
        <v>166</v>
      </c>
      <c r="BJ649" s="29" t="s">
        <v>166</v>
      </c>
      <c r="BK649" s="29" t="s">
        <v>166</v>
      </c>
      <c r="BL649" s="25" t="s">
        <v>191</v>
      </c>
      <c r="BM649" s="25" t="s">
        <v>178</v>
      </c>
      <c r="BN649" s="25" t="s">
        <v>177</v>
      </c>
      <c r="BO649" s="33" t="s">
        <v>166</v>
      </c>
      <c r="BP649" s="25" t="s">
        <v>12459</v>
      </c>
      <c r="BQ649" s="32">
        <v>2</v>
      </c>
      <c r="BR649" s="25" t="s">
        <v>166</v>
      </c>
      <c r="BS649" s="32" t="s">
        <v>166</v>
      </c>
      <c r="BT649" s="25" t="s">
        <v>166</v>
      </c>
      <c r="BU649" s="25" t="s">
        <v>166</v>
      </c>
      <c r="BV649" s="25" t="s">
        <v>166</v>
      </c>
      <c r="BW649" s="25" t="s">
        <v>166</v>
      </c>
      <c r="BX649" s="25" t="s">
        <v>166</v>
      </c>
      <c r="BY649" s="25" t="s">
        <v>166</v>
      </c>
      <c r="BZ649" s="25" t="s">
        <v>996</v>
      </c>
      <c r="CA649" s="25" t="s">
        <v>996</v>
      </c>
      <c r="CB649" s="25" t="s">
        <v>166</v>
      </c>
      <c r="CC649" s="25" t="s">
        <v>166</v>
      </c>
      <c r="CD649" s="25" t="s">
        <v>166</v>
      </c>
      <c r="CE649" s="29" t="s">
        <v>166</v>
      </c>
      <c r="CF649" s="27" t="s">
        <v>166</v>
      </c>
      <c r="CG649" s="28" t="s">
        <v>166</v>
      </c>
      <c r="CH649" s="27" t="s">
        <v>166</v>
      </c>
      <c r="CI649" s="27" t="s">
        <v>166</v>
      </c>
      <c r="CJ649" s="27" t="s">
        <v>166</v>
      </c>
      <c r="CK649" s="27" t="s">
        <v>166</v>
      </c>
      <c r="CL649" s="27" t="s">
        <v>166</v>
      </c>
      <c r="CM649" s="31" t="s">
        <v>166</v>
      </c>
      <c r="CN649" s="27" t="s">
        <v>166</v>
      </c>
      <c r="CO649" s="27" t="s">
        <v>166</v>
      </c>
      <c r="CP649" s="27" t="s">
        <v>166</v>
      </c>
      <c r="CQ649" s="27" t="s">
        <v>166</v>
      </c>
      <c r="CR649" s="27" t="s">
        <v>166</v>
      </c>
      <c r="CS649" s="27" t="s">
        <v>166</v>
      </c>
      <c r="CT649" s="27" t="s">
        <v>166</v>
      </c>
      <c r="CU649" s="27" t="s">
        <v>166</v>
      </c>
      <c r="CV649" s="27" t="s">
        <v>166</v>
      </c>
      <c r="CW649" s="27" t="s">
        <v>166</v>
      </c>
      <c r="CX649" s="27" t="s">
        <v>166</v>
      </c>
      <c r="CY649" s="27" t="s">
        <v>166</v>
      </c>
      <c r="CZ649" s="27" t="s">
        <v>166</v>
      </c>
      <c r="DA649" s="27" t="s">
        <v>166</v>
      </c>
      <c r="DB649" s="27" t="s">
        <v>166</v>
      </c>
      <c r="DC649" s="27" t="s">
        <v>166</v>
      </c>
      <c r="DD649" s="27" t="s">
        <v>166</v>
      </c>
      <c r="DE649" s="28" t="s">
        <v>166</v>
      </c>
      <c r="DF649" s="33">
        <v>8</v>
      </c>
      <c r="DG649" s="25" t="s">
        <v>12472</v>
      </c>
      <c r="DH649" s="25" t="s">
        <v>193</v>
      </c>
      <c r="DI649" s="25" t="s">
        <v>194</v>
      </c>
      <c r="DJ649" s="25" t="s">
        <v>12473</v>
      </c>
      <c r="DK649" s="25" t="s">
        <v>12474</v>
      </c>
      <c r="DL649" s="32" t="s">
        <v>12475</v>
      </c>
      <c r="DM649" s="25" t="s">
        <v>198</v>
      </c>
      <c r="DN649" s="24" t="s">
        <v>12476</v>
      </c>
      <c r="DO649" s="31">
        <v>2020</v>
      </c>
      <c r="DP649" s="25" t="s">
        <v>166</v>
      </c>
      <c r="DQ649" s="25" t="s">
        <v>166</v>
      </c>
      <c r="DR649" s="29" t="s">
        <v>166</v>
      </c>
      <c r="DS649" s="27" t="s">
        <v>166</v>
      </c>
      <c r="DT649" s="30" t="s">
        <v>166</v>
      </c>
      <c r="DU649" s="25" t="s">
        <v>166</v>
      </c>
      <c r="DV649" s="29" t="s">
        <v>166</v>
      </c>
      <c r="DW649" s="29" t="s">
        <v>166</v>
      </c>
      <c r="DX649" s="27" t="s">
        <v>166</v>
      </c>
      <c r="DY649" s="27" t="s">
        <v>166</v>
      </c>
      <c r="DZ649" s="28" t="s">
        <v>166</v>
      </c>
      <c r="EA649" s="27" t="s">
        <v>166</v>
      </c>
      <c r="EB649" s="27" t="s">
        <v>166</v>
      </c>
      <c r="EC649" s="27" t="s">
        <v>166</v>
      </c>
      <c r="ED649" s="28" t="s">
        <v>166</v>
      </c>
      <c r="EE649" s="28" t="s">
        <v>166</v>
      </c>
      <c r="EF649" s="28" t="s">
        <v>166</v>
      </c>
      <c r="EG649" s="28" t="s">
        <v>166</v>
      </c>
      <c r="EH649" s="27" t="s">
        <v>166</v>
      </c>
      <c r="EI649" s="27" t="s">
        <v>166</v>
      </c>
      <c r="EJ649" s="27" t="s">
        <v>166</v>
      </c>
      <c r="EK649" s="27" t="s">
        <v>166</v>
      </c>
      <c r="EL649" s="27" t="s">
        <v>166</v>
      </c>
      <c r="EM649" s="27" t="s">
        <v>166</v>
      </c>
      <c r="EN649" s="27" t="s">
        <v>166</v>
      </c>
      <c r="EO649" s="27" t="s">
        <v>166</v>
      </c>
      <c r="EP649" s="27" t="s">
        <v>166</v>
      </c>
      <c r="EQ649" s="27" t="s">
        <v>166</v>
      </c>
      <c r="ER649" s="27" t="s">
        <v>166</v>
      </c>
      <c r="ES649" s="27" t="s">
        <v>166</v>
      </c>
      <c r="ET649" s="25" t="s">
        <v>166</v>
      </c>
      <c r="EU649" s="27" t="s">
        <v>166</v>
      </c>
      <c r="EV649" s="27" t="s">
        <v>166</v>
      </c>
      <c r="EW649" s="27" t="s">
        <v>166</v>
      </c>
      <c r="EX649" s="25" t="s">
        <v>190</v>
      </c>
      <c r="EY649" s="25" t="s">
        <v>166</v>
      </c>
      <c r="EZ649" s="27" t="s">
        <v>166</v>
      </c>
      <c r="FA649" s="26" t="s">
        <v>166</v>
      </c>
      <c r="FB649" s="26" t="s">
        <v>166</v>
      </c>
      <c r="FC649" s="26" t="s">
        <v>166</v>
      </c>
      <c r="FD649" s="26" t="s">
        <v>166</v>
      </c>
      <c r="FE649" s="26" t="s">
        <v>166</v>
      </c>
      <c r="FF649" s="26" t="s">
        <v>166</v>
      </c>
      <c r="FG649" s="25" t="s">
        <v>166</v>
      </c>
      <c r="FH649" s="4">
        <f>HYPERLINK("https://my.pitchbook.com?c=219863-71T","View Company Online")</f>
      </c>
    </row>
    <row r="650">
      <c r="A650" s="14" t="s">
        <v>12477</v>
      </c>
      <c r="B650" s="14" t="s">
        <v>12478</v>
      </c>
      <c r="C650" s="14" t="s">
        <v>12479</v>
      </c>
      <c r="D650" s="14" t="s">
        <v>166</v>
      </c>
      <c r="E650" s="23" t="s">
        <v>12480</v>
      </c>
      <c r="F650" s="21">
        <v>3</v>
      </c>
      <c r="G650" s="14" t="s">
        <v>12481</v>
      </c>
      <c r="H650" s="14" t="s">
        <v>166</v>
      </c>
      <c r="I650" s="14" t="s">
        <v>12482</v>
      </c>
      <c r="J650" s="14" t="s">
        <v>12483</v>
      </c>
      <c r="K650" s="14" t="s">
        <v>207</v>
      </c>
      <c r="L650" s="14" t="s">
        <v>208</v>
      </c>
      <c r="M650" s="14" t="s">
        <v>209</v>
      </c>
      <c r="N650" s="14" t="s">
        <v>269</v>
      </c>
      <c r="O650" s="14" t="s">
        <v>4487</v>
      </c>
      <c r="P650" s="14" t="s">
        <v>12484</v>
      </c>
      <c r="Q650" s="14" t="s">
        <v>166</v>
      </c>
      <c r="R650" s="14" t="s">
        <v>177</v>
      </c>
      <c r="S650" s="14" t="s">
        <v>178</v>
      </c>
      <c r="T650" s="14" t="s">
        <v>179</v>
      </c>
      <c r="U650" s="14" t="s">
        <v>12485</v>
      </c>
      <c r="V650" s="14" t="s">
        <v>12486</v>
      </c>
      <c r="W650" s="21" t="s">
        <v>166</v>
      </c>
      <c r="X650" s="14" t="s">
        <v>12487</v>
      </c>
      <c r="Y650" s="14" t="s">
        <v>12488</v>
      </c>
      <c r="Z650" s="14" t="s">
        <v>166</v>
      </c>
      <c r="AA650" s="14" t="s">
        <v>166</v>
      </c>
      <c r="AB650" s="14" t="s">
        <v>166</v>
      </c>
      <c r="AC650" s="14" t="s">
        <v>166</v>
      </c>
      <c r="AD650" s="14" t="s">
        <v>166</v>
      </c>
      <c r="AE650" s="14" t="s">
        <v>166</v>
      </c>
      <c r="AF650" s="14" t="s">
        <v>166</v>
      </c>
      <c r="AG650" s="14" t="s">
        <v>166</v>
      </c>
      <c r="AH650" s="21">
        <v>3</v>
      </c>
      <c r="AI650" s="3">
        <f>HYPERLINK("https://my.pitchbook.com/?d=271332-64T","271332-64T")</f>
      </c>
      <c r="AJ650" s="19">
        <v>45444</v>
      </c>
      <c r="AK650" s="19">
        <v>45498</v>
      </c>
      <c r="AL650" s="18">
        <v>0.6</v>
      </c>
      <c r="AM650" s="14" t="s">
        <v>185</v>
      </c>
      <c r="AN650" s="18" t="s">
        <v>166</v>
      </c>
      <c r="AO650" s="18" t="s">
        <v>166</v>
      </c>
      <c r="AP650" s="14" t="s">
        <v>166</v>
      </c>
      <c r="AQ650" s="21" t="s">
        <v>166</v>
      </c>
      <c r="AR650" s="21" t="s">
        <v>166</v>
      </c>
      <c r="AS650" s="17" t="s">
        <v>166</v>
      </c>
      <c r="AT650" s="18">
        <v>0.6</v>
      </c>
      <c r="AU650" s="21" t="s">
        <v>186</v>
      </c>
      <c r="AV650" s="21" t="s">
        <v>166</v>
      </c>
      <c r="AW650" s="18" t="s">
        <v>166</v>
      </c>
      <c r="AX650" s="21" t="s">
        <v>166</v>
      </c>
      <c r="AY650" s="14" t="s">
        <v>187</v>
      </c>
      <c r="AZ650" s="14" t="s">
        <v>166</v>
      </c>
      <c r="BA650" s="14" t="s">
        <v>166</v>
      </c>
      <c r="BB650" s="21" t="s">
        <v>166</v>
      </c>
      <c r="BC650" s="14" t="s">
        <v>179</v>
      </c>
      <c r="BD650" s="14" t="s">
        <v>12483</v>
      </c>
      <c r="BE650" s="14" t="s">
        <v>189</v>
      </c>
      <c r="BF650" s="18" t="s">
        <v>166</v>
      </c>
      <c r="BG650" s="14" t="s">
        <v>190</v>
      </c>
      <c r="BH650" s="14" t="s">
        <v>166</v>
      </c>
      <c r="BI650" s="14" t="s">
        <v>166</v>
      </c>
      <c r="BJ650" s="18" t="s">
        <v>166</v>
      </c>
      <c r="BK650" s="18" t="s">
        <v>166</v>
      </c>
      <c r="BL650" s="14" t="s">
        <v>191</v>
      </c>
      <c r="BM650" s="14" t="s">
        <v>358</v>
      </c>
      <c r="BN650" s="14" t="s">
        <v>177</v>
      </c>
      <c r="BO650" s="22">
        <v>6</v>
      </c>
      <c r="BP650" s="14" t="s">
        <v>12489</v>
      </c>
      <c r="BQ650" s="21">
        <v>2</v>
      </c>
      <c r="BR650" s="14" t="s">
        <v>10758</v>
      </c>
      <c r="BS650" s="21">
        <v>1</v>
      </c>
      <c r="BT650" s="14" t="s">
        <v>166</v>
      </c>
      <c r="BU650" s="14" t="s">
        <v>166</v>
      </c>
      <c r="BV650" s="14" t="s">
        <v>166</v>
      </c>
      <c r="BW650" s="14" t="s">
        <v>166</v>
      </c>
      <c r="BX650" s="14" t="s">
        <v>166</v>
      </c>
      <c r="BY650" s="14" t="s">
        <v>166</v>
      </c>
      <c r="BZ650" s="14" t="s">
        <v>166</v>
      </c>
      <c r="CA650" s="14" t="s">
        <v>166</v>
      </c>
      <c r="CB650" s="14" t="s">
        <v>166</v>
      </c>
      <c r="CC650" s="14" t="s">
        <v>166</v>
      </c>
      <c r="CD650" s="14" t="s">
        <v>166</v>
      </c>
      <c r="CE650" s="18" t="s">
        <v>166</v>
      </c>
      <c r="CF650" s="16" t="s">
        <v>166</v>
      </c>
      <c r="CG650" s="17" t="s">
        <v>166</v>
      </c>
      <c r="CH650" s="16" t="s">
        <v>166</v>
      </c>
      <c r="CI650" s="16" t="s">
        <v>166</v>
      </c>
      <c r="CJ650" s="16" t="s">
        <v>166</v>
      </c>
      <c r="CK650" s="16" t="s">
        <v>166</v>
      </c>
      <c r="CL650" s="16" t="s">
        <v>166</v>
      </c>
      <c r="CM650" s="20" t="s">
        <v>166</v>
      </c>
      <c r="CN650" s="16" t="s">
        <v>166</v>
      </c>
      <c r="CO650" s="16" t="s">
        <v>166</v>
      </c>
      <c r="CP650" s="16" t="s">
        <v>166</v>
      </c>
      <c r="CQ650" s="16" t="s">
        <v>166</v>
      </c>
      <c r="CR650" s="16" t="s">
        <v>166</v>
      </c>
      <c r="CS650" s="16" t="s">
        <v>166</v>
      </c>
      <c r="CT650" s="16" t="s">
        <v>166</v>
      </c>
      <c r="CU650" s="16" t="s">
        <v>166</v>
      </c>
      <c r="CV650" s="16" t="s">
        <v>166</v>
      </c>
      <c r="CW650" s="16" t="s">
        <v>166</v>
      </c>
      <c r="CX650" s="16" t="s">
        <v>166</v>
      </c>
      <c r="CY650" s="16" t="s">
        <v>166</v>
      </c>
      <c r="CZ650" s="16" t="s">
        <v>166</v>
      </c>
      <c r="DA650" s="16" t="s">
        <v>166</v>
      </c>
      <c r="DB650" s="16" t="s">
        <v>166</v>
      </c>
      <c r="DC650" s="16" t="s">
        <v>166</v>
      </c>
      <c r="DD650" s="16" t="s">
        <v>166</v>
      </c>
      <c r="DE650" s="17" t="s">
        <v>166</v>
      </c>
      <c r="DF650" s="22">
        <v>6</v>
      </c>
      <c r="DG650" s="14" t="s">
        <v>543</v>
      </c>
      <c r="DH650" s="14" t="s">
        <v>193</v>
      </c>
      <c r="DI650" s="14" t="s">
        <v>194</v>
      </c>
      <c r="DJ650" s="14" t="s">
        <v>544</v>
      </c>
      <c r="DK650" s="14" t="s">
        <v>545</v>
      </c>
      <c r="DL650" s="21" t="s">
        <v>166</v>
      </c>
      <c r="DM650" s="14" t="s">
        <v>198</v>
      </c>
      <c r="DN650" s="13" t="s">
        <v>12490</v>
      </c>
      <c r="DO650" s="20">
        <v>2022</v>
      </c>
      <c r="DP650" s="14" t="s">
        <v>166</v>
      </c>
      <c r="DQ650" s="14" t="s">
        <v>166</v>
      </c>
      <c r="DR650" s="18" t="s">
        <v>166</v>
      </c>
      <c r="DS650" s="16" t="s">
        <v>166</v>
      </c>
      <c r="DT650" s="19" t="s">
        <v>166</v>
      </c>
      <c r="DU650" s="14" t="s">
        <v>166</v>
      </c>
      <c r="DV650" s="18" t="s">
        <v>166</v>
      </c>
      <c r="DW650" s="18" t="s">
        <v>166</v>
      </c>
      <c r="DX650" s="16" t="s">
        <v>166</v>
      </c>
      <c r="DY650" s="16" t="s">
        <v>166</v>
      </c>
      <c r="DZ650" s="17" t="s">
        <v>166</v>
      </c>
      <c r="EA650" s="16" t="s">
        <v>166</v>
      </c>
      <c r="EB650" s="16" t="s">
        <v>166</v>
      </c>
      <c r="EC650" s="16" t="s">
        <v>166</v>
      </c>
      <c r="ED650" s="17" t="s">
        <v>166</v>
      </c>
      <c r="EE650" s="17" t="s">
        <v>166</v>
      </c>
      <c r="EF650" s="17" t="s">
        <v>166</v>
      </c>
      <c r="EG650" s="17" t="s">
        <v>166</v>
      </c>
      <c r="EH650" s="16" t="s">
        <v>166</v>
      </c>
      <c r="EI650" s="16" t="s">
        <v>166</v>
      </c>
      <c r="EJ650" s="16" t="s">
        <v>166</v>
      </c>
      <c r="EK650" s="16" t="s">
        <v>166</v>
      </c>
      <c r="EL650" s="16" t="s">
        <v>166</v>
      </c>
      <c r="EM650" s="16" t="s">
        <v>166</v>
      </c>
      <c r="EN650" s="16" t="s">
        <v>166</v>
      </c>
      <c r="EO650" s="16" t="s">
        <v>166</v>
      </c>
      <c r="EP650" s="16" t="s">
        <v>166</v>
      </c>
      <c r="EQ650" s="16" t="s">
        <v>166</v>
      </c>
      <c r="ER650" s="16" t="s">
        <v>166</v>
      </c>
      <c r="ES650" s="16" t="s">
        <v>166</v>
      </c>
      <c r="ET650" s="14" t="s">
        <v>166</v>
      </c>
      <c r="EU650" s="16" t="s">
        <v>166</v>
      </c>
      <c r="EV650" s="16" t="s">
        <v>166</v>
      </c>
      <c r="EW650" s="16" t="s">
        <v>166</v>
      </c>
      <c r="EX650" s="14" t="s">
        <v>190</v>
      </c>
      <c r="EY650" s="14" t="s">
        <v>166</v>
      </c>
      <c r="EZ650" s="16" t="s">
        <v>166</v>
      </c>
      <c r="FA650" s="15" t="s">
        <v>166</v>
      </c>
      <c r="FB650" s="15" t="s">
        <v>166</v>
      </c>
      <c r="FC650" s="15" t="s">
        <v>166</v>
      </c>
      <c r="FD650" s="15" t="s">
        <v>166</v>
      </c>
      <c r="FE650" s="15" t="s">
        <v>166</v>
      </c>
      <c r="FF650" s="15" t="s">
        <v>166</v>
      </c>
      <c r="FG650" s="14" t="s">
        <v>166</v>
      </c>
      <c r="FH650" s="3">
        <f>HYPERLINK("https://my.pitchbook.com?c=271332-64T","View Company Online")</f>
      </c>
    </row>
    <row r="651">
      <c r="A651" s="25" t="s">
        <v>12491</v>
      </c>
      <c r="B651" s="25" t="s">
        <v>12492</v>
      </c>
      <c r="C651" s="25" t="s">
        <v>12493</v>
      </c>
      <c r="D651" s="25" t="s">
        <v>166</v>
      </c>
      <c r="E651" s="34" t="s">
        <v>12494</v>
      </c>
      <c r="F651" s="32">
        <v>2</v>
      </c>
      <c r="G651" s="25" t="s">
        <v>12495</v>
      </c>
      <c r="H651" s="25" t="s">
        <v>166</v>
      </c>
      <c r="I651" s="25" t="s">
        <v>12496</v>
      </c>
      <c r="J651" s="25" t="s">
        <v>12497</v>
      </c>
      <c r="K651" s="25" t="s">
        <v>207</v>
      </c>
      <c r="L651" s="25" t="s">
        <v>208</v>
      </c>
      <c r="M651" s="25" t="s">
        <v>209</v>
      </c>
      <c r="N651" s="25" t="s">
        <v>12498</v>
      </c>
      <c r="O651" s="25" t="s">
        <v>1691</v>
      </c>
      <c r="P651" s="25" t="s">
        <v>12499</v>
      </c>
      <c r="Q651" s="25" t="s">
        <v>166</v>
      </c>
      <c r="R651" s="25" t="s">
        <v>177</v>
      </c>
      <c r="S651" s="25" t="s">
        <v>178</v>
      </c>
      <c r="T651" s="25" t="s">
        <v>179</v>
      </c>
      <c r="U651" s="25" t="s">
        <v>12500</v>
      </c>
      <c r="V651" s="25" t="s">
        <v>12501</v>
      </c>
      <c r="W651" s="32" t="s">
        <v>12502</v>
      </c>
      <c r="X651" s="25" t="s">
        <v>12503</v>
      </c>
      <c r="Y651" s="25" t="s">
        <v>12504</v>
      </c>
      <c r="Z651" s="25" t="s">
        <v>12505</v>
      </c>
      <c r="AA651" s="25" t="s">
        <v>242</v>
      </c>
      <c r="AB651" s="25" t="s">
        <v>243</v>
      </c>
      <c r="AC651" s="25" t="s">
        <v>244</v>
      </c>
      <c r="AD651" s="25" t="s">
        <v>243</v>
      </c>
      <c r="AE651" s="25" t="s">
        <v>243</v>
      </c>
      <c r="AF651" s="25" t="s">
        <v>245</v>
      </c>
      <c r="AG651" s="25" t="s">
        <v>246</v>
      </c>
      <c r="AH651" s="32">
        <v>1</v>
      </c>
      <c r="AI651" s="4">
        <f>HYPERLINK("https://my.pitchbook.com/?d=164256-04T","164256-04T")</f>
      </c>
      <c r="AJ651" s="30">
        <v>44180</v>
      </c>
      <c r="AK651" s="30">
        <v>44195</v>
      </c>
      <c r="AL651" s="29">
        <v>3.5</v>
      </c>
      <c r="AM651" s="25" t="s">
        <v>185</v>
      </c>
      <c r="AN651" s="29">
        <v>10</v>
      </c>
      <c r="AO651" s="29">
        <v>13.5</v>
      </c>
      <c r="AP651" s="25" t="s">
        <v>185</v>
      </c>
      <c r="AQ651" s="32" t="s">
        <v>166</v>
      </c>
      <c r="AR651" s="32" t="s">
        <v>166</v>
      </c>
      <c r="AS651" s="28">
        <v>25.93</v>
      </c>
      <c r="AT651" s="29">
        <v>3.5</v>
      </c>
      <c r="AU651" s="32" t="s">
        <v>186</v>
      </c>
      <c r="AV651" s="32" t="s">
        <v>166</v>
      </c>
      <c r="AW651" s="29">
        <v>1.45</v>
      </c>
      <c r="AX651" s="32" t="s">
        <v>166</v>
      </c>
      <c r="AY651" s="25" t="s">
        <v>217</v>
      </c>
      <c r="AZ651" s="25" t="s">
        <v>217</v>
      </c>
      <c r="BA651" s="25" t="s">
        <v>166</v>
      </c>
      <c r="BB651" s="32" t="s">
        <v>166</v>
      </c>
      <c r="BC651" s="25" t="s">
        <v>179</v>
      </c>
      <c r="BD651" s="25" t="s">
        <v>12506</v>
      </c>
      <c r="BE651" s="25" t="s">
        <v>189</v>
      </c>
      <c r="BF651" s="29">
        <v>3.5</v>
      </c>
      <c r="BG651" s="25" t="s">
        <v>190</v>
      </c>
      <c r="BH651" s="25" t="s">
        <v>166</v>
      </c>
      <c r="BI651" s="25" t="s">
        <v>166</v>
      </c>
      <c r="BJ651" s="29" t="s">
        <v>166</v>
      </c>
      <c r="BK651" s="29" t="s">
        <v>166</v>
      </c>
      <c r="BL651" s="25" t="s">
        <v>191</v>
      </c>
      <c r="BM651" s="25" t="s">
        <v>178</v>
      </c>
      <c r="BN651" s="25" t="s">
        <v>177</v>
      </c>
      <c r="BO651" s="33" t="s">
        <v>166</v>
      </c>
      <c r="BP651" s="25" t="s">
        <v>12494</v>
      </c>
      <c r="BQ651" s="32">
        <v>2</v>
      </c>
      <c r="BR651" s="25" t="s">
        <v>166</v>
      </c>
      <c r="BS651" s="32" t="s">
        <v>166</v>
      </c>
      <c r="BT651" s="25" t="s">
        <v>166</v>
      </c>
      <c r="BU651" s="25" t="s">
        <v>166</v>
      </c>
      <c r="BV651" s="25" t="s">
        <v>12507</v>
      </c>
      <c r="BW651" s="25" t="s">
        <v>166</v>
      </c>
      <c r="BX651" s="25" t="s">
        <v>166</v>
      </c>
      <c r="BY651" s="25" t="s">
        <v>166</v>
      </c>
      <c r="BZ651" s="25" t="s">
        <v>1232</v>
      </c>
      <c r="CA651" s="25" t="s">
        <v>1232</v>
      </c>
      <c r="CB651" s="25" t="s">
        <v>166</v>
      </c>
      <c r="CC651" s="25" t="s">
        <v>166</v>
      </c>
      <c r="CD651" s="25" t="s">
        <v>166</v>
      </c>
      <c r="CE651" s="29" t="s">
        <v>166</v>
      </c>
      <c r="CF651" s="27">
        <v>0.63</v>
      </c>
      <c r="CG651" s="28" t="s">
        <v>166</v>
      </c>
      <c r="CH651" s="27" t="s">
        <v>166</v>
      </c>
      <c r="CI651" s="27" t="s">
        <v>166</v>
      </c>
      <c r="CJ651" s="27" t="s">
        <v>166</v>
      </c>
      <c r="CK651" s="27" t="s">
        <v>166</v>
      </c>
      <c r="CL651" s="27" t="s">
        <v>166</v>
      </c>
      <c r="CM651" s="31">
        <v>2020</v>
      </c>
      <c r="CN651" s="27" t="s">
        <v>166</v>
      </c>
      <c r="CO651" s="27" t="s">
        <v>166</v>
      </c>
      <c r="CP651" s="27" t="s">
        <v>166</v>
      </c>
      <c r="CQ651" s="27">
        <v>21.43</v>
      </c>
      <c r="CR651" s="27" t="s">
        <v>166</v>
      </c>
      <c r="CS651" s="27" t="s">
        <v>166</v>
      </c>
      <c r="CT651" s="27" t="s">
        <v>166</v>
      </c>
      <c r="CU651" s="27" t="s">
        <v>166</v>
      </c>
      <c r="CV651" s="27">
        <v>5.56</v>
      </c>
      <c r="CW651" s="27" t="s">
        <v>166</v>
      </c>
      <c r="CX651" s="27" t="s">
        <v>166</v>
      </c>
      <c r="CY651" s="27" t="s">
        <v>166</v>
      </c>
      <c r="CZ651" s="27" t="s">
        <v>166</v>
      </c>
      <c r="DA651" s="27" t="s">
        <v>166</v>
      </c>
      <c r="DB651" s="27" t="s">
        <v>166</v>
      </c>
      <c r="DC651" s="27" t="s">
        <v>166</v>
      </c>
      <c r="DD651" s="27" t="s">
        <v>166</v>
      </c>
      <c r="DE651" s="28" t="s">
        <v>166</v>
      </c>
      <c r="DF651" s="33">
        <v>46</v>
      </c>
      <c r="DG651" s="25" t="s">
        <v>673</v>
      </c>
      <c r="DH651" s="25" t="s">
        <v>193</v>
      </c>
      <c r="DI651" s="25" t="s">
        <v>194</v>
      </c>
      <c r="DJ651" s="25" t="s">
        <v>674</v>
      </c>
      <c r="DK651" s="25" t="s">
        <v>257</v>
      </c>
      <c r="DL651" s="32" t="s">
        <v>166</v>
      </c>
      <c r="DM651" s="25" t="s">
        <v>198</v>
      </c>
      <c r="DN651" s="24" t="s">
        <v>12508</v>
      </c>
      <c r="DO651" s="31">
        <v>2019</v>
      </c>
      <c r="DP651" s="25" t="s">
        <v>166</v>
      </c>
      <c r="DQ651" s="25" t="s">
        <v>166</v>
      </c>
      <c r="DR651" s="29" t="s">
        <v>166</v>
      </c>
      <c r="DS651" s="27" t="s">
        <v>166</v>
      </c>
      <c r="DT651" s="30" t="s">
        <v>166</v>
      </c>
      <c r="DU651" s="25" t="s">
        <v>166</v>
      </c>
      <c r="DV651" s="29" t="s">
        <v>166</v>
      </c>
      <c r="DW651" s="29" t="s">
        <v>166</v>
      </c>
      <c r="DX651" s="27" t="s">
        <v>166</v>
      </c>
      <c r="DY651" s="27" t="s">
        <v>166</v>
      </c>
      <c r="DZ651" s="28" t="s">
        <v>166</v>
      </c>
      <c r="EA651" s="27" t="s">
        <v>166</v>
      </c>
      <c r="EB651" s="27" t="s">
        <v>166</v>
      </c>
      <c r="EC651" s="27" t="s">
        <v>166</v>
      </c>
      <c r="ED651" s="28" t="s">
        <v>166</v>
      </c>
      <c r="EE651" s="28" t="s">
        <v>166</v>
      </c>
      <c r="EF651" s="28" t="s">
        <v>166</v>
      </c>
      <c r="EG651" s="28" t="s">
        <v>166</v>
      </c>
      <c r="EH651" s="27" t="s">
        <v>166</v>
      </c>
      <c r="EI651" s="27" t="s">
        <v>166</v>
      </c>
      <c r="EJ651" s="27" t="s">
        <v>166</v>
      </c>
      <c r="EK651" s="27" t="s">
        <v>166</v>
      </c>
      <c r="EL651" s="27" t="s">
        <v>166</v>
      </c>
      <c r="EM651" s="27" t="s">
        <v>166</v>
      </c>
      <c r="EN651" s="27" t="s">
        <v>166</v>
      </c>
      <c r="EO651" s="27" t="s">
        <v>166</v>
      </c>
      <c r="EP651" s="27" t="s">
        <v>166</v>
      </c>
      <c r="EQ651" s="27" t="s">
        <v>166</v>
      </c>
      <c r="ER651" s="27" t="s">
        <v>166</v>
      </c>
      <c r="ES651" s="27" t="s">
        <v>166</v>
      </c>
      <c r="ET651" s="25" t="s">
        <v>166</v>
      </c>
      <c r="EU651" s="27" t="s">
        <v>166</v>
      </c>
      <c r="EV651" s="27" t="s">
        <v>166</v>
      </c>
      <c r="EW651" s="27" t="s">
        <v>166</v>
      </c>
      <c r="EX651" s="25" t="s">
        <v>190</v>
      </c>
      <c r="EY651" s="25" t="s">
        <v>166</v>
      </c>
      <c r="EZ651" s="27" t="s">
        <v>166</v>
      </c>
      <c r="FA651" s="26" t="s">
        <v>166</v>
      </c>
      <c r="FB651" s="26" t="s">
        <v>166</v>
      </c>
      <c r="FC651" s="26" t="s">
        <v>166</v>
      </c>
      <c r="FD651" s="26" t="s">
        <v>166</v>
      </c>
      <c r="FE651" s="26" t="s">
        <v>166</v>
      </c>
      <c r="FF651" s="26" t="s">
        <v>166</v>
      </c>
      <c r="FG651" s="25" t="s">
        <v>166</v>
      </c>
      <c r="FH651" s="4">
        <f>HYPERLINK("https://my.pitchbook.com?c=164256-04T","View Company Online")</f>
      </c>
    </row>
    <row r="652">
      <c r="A652" s="14" t="s">
        <v>12509</v>
      </c>
      <c r="B652" s="14" t="s">
        <v>12510</v>
      </c>
      <c r="C652" s="14" t="s">
        <v>12511</v>
      </c>
      <c r="D652" s="14" t="s">
        <v>166</v>
      </c>
      <c r="E652" s="23" t="s">
        <v>12512</v>
      </c>
      <c r="F652" s="21">
        <v>8</v>
      </c>
      <c r="G652" s="14" t="s">
        <v>12513</v>
      </c>
      <c r="H652" s="14" t="s">
        <v>166</v>
      </c>
      <c r="I652" s="14" t="s">
        <v>12514</v>
      </c>
      <c r="J652" s="14" t="s">
        <v>12515</v>
      </c>
      <c r="K652" s="14" t="s">
        <v>207</v>
      </c>
      <c r="L652" s="14" t="s">
        <v>208</v>
      </c>
      <c r="M652" s="14" t="s">
        <v>209</v>
      </c>
      <c r="N652" s="14" t="s">
        <v>12516</v>
      </c>
      <c r="O652" s="14" t="s">
        <v>641</v>
      </c>
      <c r="P652" s="14" t="s">
        <v>12517</v>
      </c>
      <c r="Q652" s="14" t="s">
        <v>166</v>
      </c>
      <c r="R652" s="14" t="s">
        <v>177</v>
      </c>
      <c r="S652" s="14" t="s">
        <v>178</v>
      </c>
      <c r="T652" s="14" t="s">
        <v>179</v>
      </c>
      <c r="U652" s="14" t="s">
        <v>12518</v>
      </c>
      <c r="V652" s="14" t="s">
        <v>12519</v>
      </c>
      <c r="W652" s="21" t="s">
        <v>12520</v>
      </c>
      <c r="X652" s="14" t="s">
        <v>12521</v>
      </c>
      <c r="Y652" s="14" t="s">
        <v>12522</v>
      </c>
      <c r="Z652" s="14" t="s">
        <v>12523</v>
      </c>
      <c r="AA652" s="14" t="s">
        <v>166</v>
      </c>
      <c r="AB652" s="14" t="s">
        <v>166</v>
      </c>
      <c r="AC652" s="14" t="s">
        <v>166</v>
      </c>
      <c r="AD652" s="14" t="s">
        <v>166</v>
      </c>
      <c r="AE652" s="14" t="s">
        <v>166</v>
      </c>
      <c r="AF652" s="14" t="s">
        <v>166</v>
      </c>
      <c r="AG652" s="14" t="s">
        <v>166</v>
      </c>
      <c r="AH652" s="21">
        <v>2</v>
      </c>
      <c r="AI652" s="3">
        <f>HYPERLINK("https://my.pitchbook.com/?d=170212-87T","170212-87T")</f>
      </c>
      <c r="AJ652" s="19" t="s">
        <v>166</v>
      </c>
      <c r="AK652" s="19">
        <v>44291</v>
      </c>
      <c r="AL652" s="18">
        <v>1</v>
      </c>
      <c r="AM652" s="14" t="s">
        <v>185</v>
      </c>
      <c r="AN652" s="18" t="s">
        <v>166</v>
      </c>
      <c r="AO652" s="18" t="s">
        <v>166</v>
      </c>
      <c r="AP652" s="14" t="s">
        <v>166</v>
      </c>
      <c r="AQ652" s="21" t="s">
        <v>166</v>
      </c>
      <c r="AR652" s="21" t="s">
        <v>166</v>
      </c>
      <c r="AS652" s="17" t="s">
        <v>166</v>
      </c>
      <c r="AT652" s="18">
        <v>1.04</v>
      </c>
      <c r="AU652" s="21" t="s">
        <v>186</v>
      </c>
      <c r="AV652" s="21" t="s">
        <v>166</v>
      </c>
      <c r="AW652" s="18" t="s">
        <v>166</v>
      </c>
      <c r="AX652" s="21" t="s">
        <v>166</v>
      </c>
      <c r="AY652" s="14" t="s">
        <v>217</v>
      </c>
      <c r="AZ652" s="14" t="s">
        <v>217</v>
      </c>
      <c r="BA652" s="14" t="s">
        <v>166</v>
      </c>
      <c r="BB652" s="21" t="s">
        <v>166</v>
      </c>
      <c r="BC652" s="14" t="s">
        <v>179</v>
      </c>
      <c r="BD652" s="14" t="s">
        <v>12524</v>
      </c>
      <c r="BE652" s="14" t="s">
        <v>189</v>
      </c>
      <c r="BF652" s="18">
        <v>1</v>
      </c>
      <c r="BG652" s="14" t="s">
        <v>190</v>
      </c>
      <c r="BH652" s="14" t="s">
        <v>166</v>
      </c>
      <c r="BI652" s="14" t="s">
        <v>166</v>
      </c>
      <c r="BJ652" s="18" t="s">
        <v>166</v>
      </c>
      <c r="BK652" s="18" t="s">
        <v>166</v>
      </c>
      <c r="BL652" s="14" t="s">
        <v>191</v>
      </c>
      <c r="BM652" s="14" t="s">
        <v>178</v>
      </c>
      <c r="BN652" s="14" t="s">
        <v>177</v>
      </c>
      <c r="BO652" s="22" t="s">
        <v>166</v>
      </c>
      <c r="BP652" s="14" t="s">
        <v>12525</v>
      </c>
      <c r="BQ652" s="21">
        <v>7</v>
      </c>
      <c r="BR652" s="14" t="s">
        <v>12526</v>
      </c>
      <c r="BS652" s="21">
        <v>1</v>
      </c>
      <c r="BT652" s="14" t="s">
        <v>12527</v>
      </c>
      <c r="BU652" s="14" t="s">
        <v>166</v>
      </c>
      <c r="BV652" s="14" t="s">
        <v>12528</v>
      </c>
      <c r="BW652" s="14" t="s">
        <v>166</v>
      </c>
      <c r="BX652" s="14" t="s">
        <v>166</v>
      </c>
      <c r="BY652" s="14" t="s">
        <v>166</v>
      </c>
      <c r="BZ652" s="14" t="s">
        <v>166</v>
      </c>
      <c r="CA652" s="14" t="s">
        <v>166</v>
      </c>
      <c r="CB652" s="14" t="s">
        <v>166</v>
      </c>
      <c r="CC652" s="14" t="s">
        <v>166</v>
      </c>
      <c r="CD652" s="14" t="s">
        <v>166</v>
      </c>
      <c r="CE652" s="18" t="s">
        <v>166</v>
      </c>
      <c r="CF652" s="16" t="s">
        <v>166</v>
      </c>
      <c r="CG652" s="17" t="s">
        <v>166</v>
      </c>
      <c r="CH652" s="16" t="s">
        <v>166</v>
      </c>
      <c r="CI652" s="16" t="s">
        <v>166</v>
      </c>
      <c r="CJ652" s="16" t="s">
        <v>166</v>
      </c>
      <c r="CK652" s="16" t="s">
        <v>166</v>
      </c>
      <c r="CL652" s="16" t="s">
        <v>166</v>
      </c>
      <c r="CM652" s="20" t="s">
        <v>166</v>
      </c>
      <c r="CN652" s="16" t="s">
        <v>166</v>
      </c>
      <c r="CO652" s="16" t="s">
        <v>166</v>
      </c>
      <c r="CP652" s="16" t="s">
        <v>166</v>
      </c>
      <c r="CQ652" s="16" t="s">
        <v>166</v>
      </c>
      <c r="CR652" s="16" t="s">
        <v>166</v>
      </c>
      <c r="CS652" s="16" t="s">
        <v>166</v>
      </c>
      <c r="CT652" s="16" t="s">
        <v>166</v>
      </c>
      <c r="CU652" s="16" t="s">
        <v>166</v>
      </c>
      <c r="CV652" s="16" t="s">
        <v>166</v>
      </c>
      <c r="CW652" s="16" t="s">
        <v>166</v>
      </c>
      <c r="CX652" s="16" t="s">
        <v>166</v>
      </c>
      <c r="CY652" s="16" t="s">
        <v>166</v>
      </c>
      <c r="CZ652" s="16" t="s">
        <v>166</v>
      </c>
      <c r="DA652" s="16" t="s">
        <v>166</v>
      </c>
      <c r="DB652" s="16" t="s">
        <v>166</v>
      </c>
      <c r="DC652" s="16" t="s">
        <v>166</v>
      </c>
      <c r="DD652" s="16" t="s">
        <v>166</v>
      </c>
      <c r="DE652" s="17" t="s">
        <v>166</v>
      </c>
      <c r="DF652" s="22">
        <v>37</v>
      </c>
      <c r="DG652" s="14" t="s">
        <v>5921</v>
      </c>
      <c r="DH652" s="14" t="s">
        <v>193</v>
      </c>
      <c r="DI652" s="14" t="s">
        <v>194</v>
      </c>
      <c r="DJ652" s="14" t="s">
        <v>5922</v>
      </c>
      <c r="DK652" s="14" t="s">
        <v>257</v>
      </c>
      <c r="DL652" s="21" t="s">
        <v>12529</v>
      </c>
      <c r="DM652" s="14" t="s">
        <v>198</v>
      </c>
      <c r="DN652" s="13" t="s">
        <v>12530</v>
      </c>
      <c r="DO652" s="20">
        <v>2019</v>
      </c>
      <c r="DP652" s="14" t="s">
        <v>166</v>
      </c>
      <c r="DQ652" s="14" t="s">
        <v>166</v>
      </c>
      <c r="DR652" s="18" t="s">
        <v>166</v>
      </c>
      <c r="DS652" s="16" t="s">
        <v>166</v>
      </c>
      <c r="DT652" s="19" t="s">
        <v>166</v>
      </c>
      <c r="DU652" s="14" t="s">
        <v>166</v>
      </c>
      <c r="DV652" s="18" t="s">
        <v>166</v>
      </c>
      <c r="DW652" s="18" t="s">
        <v>166</v>
      </c>
      <c r="DX652" s="16" t="s">
        <v>166</v>
      </c>
      <c r="DY652" s="16" t="s">
        <v>166</v>
      </c>
      <c r="DZ652" s="17" t="s">
        <v>166</v>
      </c>
      <c r="EA652" s="16" t="s">
        <v>166</v>
      </c>
      <c r="EB652" s="16" t="s">
        <v>166</v>
      </c>
      <c r="EC652" s="16" t="s">
        <v>166</v>
      </c>
      <c r="ED652" s="17" t="s">
        <v>166</v>
      </c>
      <c r="EE652" s="17" t="s">
        <v>166</v>
      </c>
      <c r="EF652" s="17" t="s">
        <v>166</v>
      </c>
      <c r="EG652" s="17" t="s">
        <v>166</v>
      </c>
      <c r="EH652" s="16" t="s">
        <v>166</v>
      </c>
      <c r="EI652" s="16" t="s">
        <v>166</v>
      </c>
      <c r="EJ652" s="16" t="s">
        <v>166</v>
      </c>
      <c r="EK652" s="16" t="s">
        <v>166</v>
      </c>
      <c r="EL652" s="16" t="s">
        <v>166</v>
      </c>
      <c r="EM652" s="16" t="s">
        <v>166</v>
      </c>
      <c r="EN652" s="16" t="s">
        <v>166</v>
      </c>
      <c r="EO652" s="16" t="s">
        <v>166</v>
      </c>
      <c r="EP652" s="16" t="s">
        <v>166</v>
      </c>
      <c r="EQ652" s="16" t="s">
        <v>166</v>
      </c>
      <c r="ER652" s="16" t="s">
        <v>166</v>
      </c>
      <c r="ES652" s="16" t="s">
        <v>166</v>
      </c>
      <c r="ET652" s="14" t="s">
        <v>166</v>
      </c>
      <c r="EU652" s="16" t="s">
        <v>166</v>
      </c>
      <c r="EV652" s="16" t="s">
        <v>166</v>
      </c>
      <c r="EW652" s="16" t="s">
        <v>166</v>
      </c>
      <c r="EX652" s="14" t="s">
        <v>190</v>
      </c>
      <c r="EY652" s="14" t="s">
        <v>166</v>
      </c>
      <c r="EZ652" s="16" t="s">
        <v>166</v>
      </c>
      <c r="FA652" s="15" t="s">
        <v>166</v>
      </c>
      <c r="FB652" s="15" t="s">
        <v>166</v>
      </c>
      <c r="FC652" s="15" t="s">
        <v>166</v>
      </c>
      <c r="FD652" s="15" t="s">
        <v>166</v>
      </c>
      <c r="FE652" s="15" t="s">
        <v>166</v>
      </c>
      <c r="FF652" s="15" t="s">
        <v>166</v>
      </c>
      <c r="FG652" s="14" t="s">
        <v>166</v>
      </c>
      <c r="FH652" s="3">
        <f>HYPERLINK("https://my.pitchbook.com?c=170212-87T","View Company Online")</f>
      </c>
    </row>
    <row r="653">
      <c r="A653" s="25" t="s">
        <v>12531</v>
      </c>
      <c r="B653" s="25" t="s">
        <v>12532</v>
      </c>
      <c r="C653" s="25" t="s">
        <v>12533</v>
      </c>
      <c r="D653" s="25" t="s">
        <v>166</v>
      </c>
      <c r="E653" s="34" t="s">
        <v>12534</v>
      </c>
      <c r="F653" s="32">
        <v>11</v>
      </c>
      <c r="G653" s="25" t="s">
        <v>12535</v>
      </c>
      <c r="H653" s="25" t="s">
        <v>166</v>
      </c>
      <c r="I653" s="25" t="s">
        <v>12536</v>
      </c>
      <c r="J653" s="25" t="s">
        <v>12537</v>
      </c>
      <c r="K653" s="25" t="s">
        <v>207</v>
      </c>
      <c r="L653" s="25" t="s">
        <v>208</v>
      </c>
      <c r="M653" s="25" t="s">
        <v>209</v>
      </c>
      <c r="N653" s="25" t="s">
        <v>3089</v>
      </c>
      <c r="O653" s="25" t="s">
        <v>2931</v>
      </c>
      <c r="P653" s="25" t="s">
        <v>12538</v>
      </c>
      <c r="Q653" s="25" t="s">
        <v>2555</v>
      </c>
      <c r="R653" s="25" t="s">
        <v>177</v>
      </c>
      <c r="S653" s="25" t="s">
        <v>178</v>
      </c>
      <c r="T653" s="25" t="s">
        <v>179</v>
      </c>
      <c r="U653" s="25" t="s">
        <v>12539</v>
      </c>
      <c r="V653" s="25" t="s">
        <v>12540</v>
      </c>
      <c r="W653" s="32" t="s">
        <v>166</v>
      </c>
      <c r="X653" s="25" t="s">
        <v>12541</v>
      </c>
      <c r="Y653" s="25" t="s">
        <v>12542</v>
      </c>
      <c r="Z653" s="25" t="s">
        <v>166</v>
      </c>
      <c r="AA653" s="25" t="s">
        <v>242</v>
      </c>
      <c r="AB653" s="25" t="s">
        <v>243</v>
      </c>
      <c r="AC653" s="25" t="s">
        <v>244</v>
      </c>
      <c r="AD653" s="25" t="s">
        <v>243</v>
      </c>
      <c r="AE653" s="25" t="s">
        <v>243</v>
      </c>
      <c r="AF653" s="25" t="s">
        <v>166</v>
      </c>
      <c r="AG653" s="25" t="s">
        <v>807</v>
      </c>
      <c r="AH653" s="32">
        <v>1</v>
      </c>
      <c r="AI653" s="4">
        <f>HYPERLINK("https://my.pitchbook.com/?d=207748-90T","207748-90T")</f>
      </c>
      <c r="AJ653" s="30">
        <v>44743</v>
      </c>
      <c r="AK653" s="30">
        <v>44783</v>
      </c>
      <c r="AL653" s="29">
        <v>3</v>
      </c>
      <c r="AM653" s="25" t="s">
        <v>185</v>
      </c>
      <c r="AN653" s="29">
        <v>9</v>
      </c>
      <c r="AO653" s="29">
        <v>12</v>
      </c>
      <c r="AP653" s="25" t="s">
        <v>185</v>
      </c>
      <c r="AQ653" s="32" t="s">
        <v>166</v>
      </c>
      <c r="AR653" s="32" t="s">
        <v>166</v>
      </c>
      <c r="AS653" s="28">
        <v>25</v>
      </c>
      <c r="AT653" s="29">
        <v>3</v>
      </c>
      <c r="AU653" s="32" t="s">
        <v>186</v>
      </c>
      <c r="AV653" s="32" t="s">
        <v>166</v>
      </c>
      <c r="AW653" s="29">
        <v>1.25</v>
      </c>
      <c r="AX653" s="32" t="s">
        <v>166</v>
      </c>
      <c r="AY653" s="25" t="s">
        <v>217</v>
      </c>
      <c r="AZ653" s="25" t="s">
        <v>217</v>
      </c>
      <c r="BA653" s="25" t="s">
        <v>166</v>
      </c>
      <c r="BB653" s="32" t="s">
        <v>166</v>
      </c>
      <c r="BC653" s="25" t="s">
        <v>179</v>
      </c>
      <c r="BD653" s="25" t="s">
        <v>12537</v>
      </c>
      <c r="BE653" s="25" t="s">
        <v>189</v>
      </c>
      <c r="BF653" s="29">
        <v>3</v>
      </c>
      <c r="BG653" s="25" t="s">
        <v>190</v>
      </c>
      <c r="BH653" s="25" t="s">
        <v>166</v>
      </c>
      <c r="BI653" s="25" t="s">
        <v>166</v>
      </c>
      <c r="BJ653" s="29" t="s">
        <v>166</v>
      </c>
      <c r="BK653" s="29" t="s">
        <v>166</v>
      </c>
      <c r="BL653" s="25" t="s">
        <v>191</v>
      </c>
      <c r="BM653" s="25" t="s">
        <v>178</v>
      </c>
      <c r="BN653" s="25" t="s">
        <v>177</v>
      </c>
      <c r="BO653" s="33" t="s">
        <v>166</v>
      </c>
      <c r="BP653" s="25" t="s">
        <v>12534</v>
      </c>
      <c r="BQ653" s="32">
        <v>11</v>
      </c>
      <c r="BR653" s="25" t="s">
        <v>166</v>
      </c>
      <c r="BS653" s="32" t="s">
        <v>166</v>
      </c>
      <c r="BT653" s="25" t="s">
        <v>166</v>
      </c>
      <c r="BU653" s="25" t="s">
        <v>166</v>
      </c>
      <c r="BV653" s="25" t="s">
        <v>12543</v>
      </c>
      <c r="BW653" s="25" t="s">
        <v>166</v>
      </c>
      <c r="BX653" s="25" t="s">
        <v>166</v>
      </c>
      <c r="BY653" s="25" t="s">
        <v>166</v>
      </c>
      <c r="BZ653" s="25" t="s">
        <v>12544</v>
      </c>
      <c r="CA653" s="25" t="s">
        <v>996</v>
      </c>
      <c r="CB653" s="25" t="s">
        <v>166</v>
      </c>
      <c r="CC653" s="25" t="s">
        <v>12545</v>
      </c>
      <c r="CD653" s="25" t="s">
        <v>166</v>
      </c>
      <c r="CE653" s="29" t="s">
        <v>166</v>
      </c>
      <c r="CF653" s="27" t="s">
        <v>166</v>
      </c>
      <c r="CG653" s="28" t="s">
        <v>166</v>
      </c>
      <c r="CH653" s="27" t="s">
        <v>166</v>
      </c>
      <c r="CI653" s="27" t="s">
        <v>166</v>
      </c>
      <c r="CJ653" s="27" t="s">
        <v>166</v>
      </c>
      <c r="CK653" s="27" t="s">
        <v>166</v>
      </c>
      <c r="CL653" s="27" t="s">
        <v>166</v>
      </c>
      <c r="CM653" s="31" t="s">
        <v>166</v>
      </c>
      <c r="CN653" s="27" t="s">
        <v>166</v>
      </c>
      <c r="CO653" s="27" t="s">
        <v>166</v>
      </c>
      <c r="CP653" s="27" t="s">
        <v>166</v>
      </c>
      <c r="CQ653" s="27" t="s">
        <v>166</v>
      </c>
      <c r="CR653" s="27" t="s">
        <v>166</v>
      </c>
      <c r="CS653" s="27" t="s">
        <v>166</v>
      </c>
      <c r="CT653" s="27" t="s">
        <v>166</v>
      </c>
      <c r="CU653" s="27" t="s">
        <v>166</v>
      </c>
      <c r="CV653" s="27" t="s">
        <v>166</v>
      </c>
      <c r="CW653" s="27" t="s">
        <v>166</v>
      </c>
      <c r="CX653" s="27" t="s">
        <v>166</v>
      </c>
      <c r="CY653" s="27" t="s">
        <v>166</v>
      </c>
      <c r="CZ653" s="27" t="s">
        <v>166</v>
      </c>
      <c r="DA653" s="27" t="s">
        <v>166</v>
      </c>
      <c r="DB653" s="27" t="s">
        <v>166</v>
      </c>
      <c r="DC653" s="27" t="s">
        <v>166</v>
      </c>
      <c r="DD653" s="27" t="s">
        <v>166</v>
      </c>
      <c r="DE653" s="28" t="s">
        <v>166</v>
      </c>
      <c r="DF653" s="33">
        <v>10</v>
      </c>
      <c r="DG653" s="25" t="s">
        <v>673</v>
      </c>
      <c r="DH653" s="25" t="s">
        <v>193</v>
      </c>
      <c r="DI653" s="25" t="s">
        <v>194</v>
      </c>
      <c r="DJ653" s="25" t="s">
        <v>674</v>
      </c>
      <c r="DK653" s="25" t="s">
        <v>257</v>
      </c>
      <c r="DL653" s="32" t="s">
        <v>8507</v>
      </c>
      <c r="DM653" s="25" t="s">
        <v>198</v>
      </c>
      <c r="DN653" s="24" t="s">
        <v>12546</v>
      </c>
      <c r="DO653" s="31" t="s">
        <v>166</v>
      </c>
      <c r="DP653" s="25" t="s">
        <v>166</v>
      </c>
      <c r="DQ653" s="25" t="s">
        <v>166</v>
      </c>
      <c r="DR653" s="29" t="s">
        <v>166</v>
      </c>
      <c r="DS653" s="27" t="s">
        <v>166</v>
      </c>
      <c r="DT653" s="30" t="s">
        <v>166</v>
      </c>
      <c r="DU653" s="25" t="s">
        <v>166</v>
      </c>
      <c r="DV653" s="29" t="s">
        <v>166</v>
      </c>
      <c r="DW653" s="29" t="s">
        <v>166</v>
      </c>
      <c r="DX653" s="27" t="s">
        <v>166</v>
      </c>
      <c r="DY653" s="27" t="s">
        <v>166</v>
      </c>
      <c r="DZ653" s="28" t="s">
        <v>166</v>
      </c>
      <c r="EA653" s="27" t="s">
        <v>166</v>
      </c>
      <c r="EB653" s="27" t="s">
        <v>166</v>
      </c>
      <c r="EC653" s="27" t="s">
        <v>166</v>
      </c>
      <c r="ED653" s="28" t="s">
        <v>166</v>
      </c>
      <c r="EE653" s="28" t="s">
        <v>166</v>
      </c>
      <c r="EF653" s="28" t="s">
        <v>166</v>
      </c>
      <c r="EG653" s="28" t="s">
        <v>166</v>
      </c>
      <c r="EH653" s="27" t="s">
        <v>166</v>
      </c>
      <c r="EI653" s="27" t="s">
        <v>166</v>
      </c>
      <c r="EJ653" s="27" t="s">
        <v>166</v>
      </c>
      <c r="EK653" s="27" t="s">
        <v>166</v>
      </c>
      <c r="EL653" s="27" t="s">
        <v>166</v>
      </c>
      <c r="EM653" s="27" t="s">
        <v>166</v>
      </c>
      <c r="EN653" s="27" t="s">
        <v>166</v>
      </c>
      <c r="EO653" s="27" t="s">
        <v>166</v>
      </c>
      <c r="EP653" s="27" t="s">
        <v>166</v>
      </c>
      <c r="EQ653" s="27" t="s">
        <v>166</v>
      </c>
      <c r="ER653" s="27" t="s">
        <v>166</v>
      </c>
      <c r="ES653" s="27" t="s">
        <v>166</v>
      </c>
      <c r="ET653" s="25" t="s">
        <v>166</v>
      </c>
      <c r="EU653" s="27" t="s">
        <v>166</v>
      </c>
      <c r="EV653" s="27" t="s">
        <v>166</v>
      </c>
      <c r="EW653" s="27" t="s">
        <v>166</v>
      </c>
      <c r="EX653" s="25" t="s">
        <v>190</v>
      </c>
      <c r="EY653" s="25" t="s">
        <v>166</v>
      </c>
      <c r="EZ653" s="27" t="s">
        <v>166</v>
      </c>
      <c r="FA653" s="26" t="s">
        <v>166</v>
      </c>
      <c r="FB653" s="26" t="s">
        <v>166</v>
      </c>
      <c r="FC653" s="26" t="s">
        <v>166</v>
      </c>
      <c r="FD653" s="26" t="s">
        <v>166</v>
      </c>
      <c r="FE653" s="26" t="s">
        <v>166</v>
      </c>
      <c r="FF653" s="26" t="s">
        <v>166</v>
      </c>
      <c r="FG653" s="25" t="s">
        <v>166</v>
      </c>
      <c r="FH653" s="4">
        <f>HYPERLINK("https://my.pitchbook.com?c=207748-90T","View Company Online")</f>
      </c>
    </row>
    <row r="654">
      <c r="A654" s="14" t="s">
        <v>12547</v>
      </c>
      <c r="B654" s="14" t="s">
        <v>12548</v>
      </c>
      <c r="C654" s="14" t="s">
        <v>12549</v>
      </c>
      <c r="D654" s="14" t="s">
        <v>166</v>
      </c>
      <c r="E654" s="23" t="s">
        <v>12550</v>
      </c>
      <c r="F654" s="21">
        <v>7</v>
      </c>
      <c r="G654" s="14" t="s">
        <v>12551</v>
      </c>
      <c r="H654" s="14" t="s">
        <v>166</v>
      </c>
      <c r="I654" s="14" t="s">
        <v>12552</v>
      </c>
      <c r="J654" s="14" t="s">
        <v>12553</v>
      </c>
      <c r="K654" s="14" t="s">
        <v>207</v>
      </c>
      <c r="L654" s="14" t="s">
        <v>208</v>
      </c>
      <c r="M654" s="14" t="s">
        <v>839</v>
      </c>
      <c r="N654" s="14" t="s">
        <v>3730</v>
      </c>
      <c r="O654" s="14" t="s">
        <v>12554</v>
      </c>
      <c r="P654" s="14" t="s">
        <v>12555</v>
      </c>
      <c r="Q654" s="14" t="s">
        <v>166</v>
      </c>
      <c r="R654" s="14" t="s">
        <v>177</v>
      </c>
      <c r="S654" s="14" t="s">
        <v>178</v>
      </c>
      <c r="T654" s="14" t="s">
        <v>179</v>
      </c>
      <c r="U654" s="14" t="s">
        <v>12556</v>
      </c>
      <c r="V654" s="14" t="s">
        <v>12557</v>
      </c>
      <c r="W654" s="21" t="s">
        <v>12558</v>
      </c>
      <c r="X654" s="14" t="s">
        <v>12559</v>
      </c>
      <c r="Y654" s="14" t="s">
        <v>12560</v>
      </c>
      <c r="Z654" s="14" t="s">
        <v>12561</v>
      </c>
      <c r="AA654" s="14" t="s">
        <v>242</v>
      </c>
      <c r="AB654" s="14" t="s">
        <v>243</v>
      </c>
      <c r="AC654" s="14" t="s">
        <v>244</v>
      </c>
      <c r="AD654" s="14" t="s">
        <v>243</v>
      </c>
      <c r="AE654" s="14" t="s">
        <v>243</v>
      </c>
      <c r="AF654" s="14" t="s">
        <v>245</v>
      </c>
      <c r="AG654" s="14" t="s">
        <v>246</v>
      </c>
      <c r="AH654" s="21">
        <v>2</v>
      </c>
      <c r="AI654" s="3">
        <f>HYPERLINK("https://my.pitchbook.com/?d=164294-92T","164294-92T")</f>
      </c>
      <c r="AJ654" s="19" t="s">
        <v>166</v>
      </c>
      <c r="AK654" s="19">
        <v>44182</v>
      </c>
      <c r="AL654" s="18">
        <v>1.6</v>
      </c>
      <c r="AM654" s="14" t="s">
        <v>185</v>
      </c>
      <c r="AN654" s="18" t="s">
        <v>166</v>
      </c>
      <c r="AO654" s="18" t="s">
        <v>166</v>
      </c>
      <c r="AP654" s="14" t="s">
        <v>166</v>
      </c>
      <c r="AQ654" s="21" t="s">
        <v>166</v>
      </c>
      <c r="AR654" s="21" t="s">
        <v>166</v>
      </c>
      <c r="AS654" s="17" t="s">
        <v>166</v>
      </c>
      <c r="AT654" s="18">
        <v>1.73</v>
      </c>
      <c r="AU654" s="21" t="s">
        <v>186</v>
      </c>
      <c r="AV654" s="21" t="s">
        <v>166</v>
      </c>
      <c r="AW654" s="18" t="s">
        <v>166</v>
      </c>
      <c r="AX654" s="21" t="s">
        <v>166</v>
      </c>
      <c r="AY654" s="14" t="s">
        <v>217</v>
      </c>
      <c r="AZ654" s="14" t="s">
        <v>217</v>
      </c>
      <c r="BA654" s="14" t="s">
        <v>166</v>
      </c>
      <c r="BB654" s="21" t="s">
        <v>166</v>
      </c>
      <c r="BC654" s="14" t="s">
        <v>179</v>
      </c>
      <c r="BD654" s="14" t="s">
        <v>12562</v>
      </c>
      <c r="BE654" s="14" t="s">
        <v>189</v>
      </c>
      <c r="BF654" s="18">
        <v>1.6</v>
      </c>
      <c r="BG654" s="14" t="s">
        <v>190</v>
      </c>
      <c r="BH654" s="14" t="s">
        <v>166</v>
      </c>
      <c r="BI654" s="14" t="s">
        <v>166</v>
      </c>
      <c r="BJ654" s="18" t="s">
        <v>166</v>
      </c>
      <c r="BK654" s="18" t="s">
        <v>166</v>
      </c>
      <c r="BL654" s="14" t="s">
        <v>191</v>
      </c>
      <c r="BM654" s="14" t="s">
        <v>178</v>
      </c>
      <c r="BN654" s="14" t="s">
        <v>177</v>
      </c>
      <c r="BO654" s="22">
        <v>1</v>
      </c>
      <c r="BP654" s="14" t="s">
        <v>12563</v>
      </c>
      <c r="BQ654" s="21">
        <v>7</v>
      </c>
      <c r="BR654" s="14" t="s">
        <v>166</v>
      </c>
      <c r="BS654" s="21" t="s">
        <v>166</v>
      </c>
      <c r="BT654" s="14" t="s">
        <v>12564</v>
      </c>
      <c r="BU654" s="14" t="s">
        <v>166</v>
      </c>
      <c r="BV654" s="14" t="s">
        <v>12565</v>
      </c>
      <c r="BW654" s="14" t="s">
        <v>166</v>
      </c>
      <c r="BX654" s="14" t="s">
        <v>166</v>
      </c>
      <c r="BY654" s="14" t="s">
        <v>166</v>
      </c>
      <c r="BZ654" s="14" t="s">
        <v>166</v>
      </c>
      <c r="CA654" s="14" t="s">
        <v>166</v>
      </c>
      <c r="CB654" s="14" t="s">
        <v>166</v>
      </c>
      <c r="CC654" s="14" t="s">
        <v>166</v>
      </c>
      <c r="CD654" s="14" t="s">
        <v>166</v>
      </c>
      <c r="CE654" s="18" t="s">
        <v>166</v>
      </c>
      <c r="CF654" s="16" t="s">
        <v>166</v>
      </c>
      <c r="CG654" s="17" t="s">
        <v>166</v>
      </c>
      <c r="CH654" s="16" t="s">
        <v>166</v>
      </c>
      <c r="CI654" s="16" t="s">
        <v>166</v>
      </c>
      <c r="CJ654" s="16" t="s">
        <v>166</v>
      </c>
      <c r="CK654" s="16" t="s">
        <v>166</v>
      </c>
      <c r="CL654" s="16" t="s">
        <v>166</v>
      </c>
      <c r="CM654" s="20" t="s">
        <v>166</v>
      </c>
      <c r="CN654" s="16" t="s">
        <v>166</v>
      </c>
      <c r="CO654" s="16" t="s">
        <v>166</v>
      </c>
      <c r="CP654" s="16" t="s">
        <v>166</v>
      </c>
      <c r="CQ654" s="16" t="s">
        <v>166</v>
      </c>
      <c r="CR654" s="16" t="s">
        <v>166</v>
      </c>
      <c r="CS654" s="16" t="s">
        <v>166</v>
      </c>
      <c r="CT654" s="16" t="s">
        <v>166</v>
      </c>
      <c r="CU654" s="16" t="s">
        <v>166</v>
      </c>
      <c r="CV654" s="16" t="s">
        <v>166</v>
      </c>
      <c r="CW654" s="16" t="s">
        <v>166</v>
      </c>
      <c r="CX654" s="16" t="s">
        <v>166</v>
      </c>
      <c r="CY654" s="16" t="s">
        <v>166</v>
      </c>
      <c r="CZ654" s="16" t="s">
        <v>166</v>
      </c>
      <c r="DA654" s="16" t="s">
        <v>166</v>
      </c>
      <c r="DB654" s="16" t="s">
        <v>166</v>
      </c>
      <c r="DC654" s="16" t="s">
        <v>166</v>
      </c>
      <c r="DD654" s="16" t="s">
        <v>166</v>
      </c>
      <c r="DE654" s="17" t="s">
        <v>166</v>
      </c>
      <c r="DF654" s="22">
        <v>8</v>
      </c>
      <c r="DG654" s="14" t="s">
        <v>1191</v>
      </c>
      <c r="DH654" s="14" t="s">
        <v>193</v>
      </c>
      <c r="DI654" s="14" t="s">
        <v>194</v>
      </c>
      <c r="DJ654" s="14" t="s">
        <v>1192</v>
      </c>
      <c r="DK654" s="14" t="s">
        <v>1023</v>
      </c>
      <c r="DL654" s="21" t="s">
        <v>8223</v>
      </c>
      <c r="DM654" s="14" t="s">
        <v>198</v>
      </c>
      <c r="DN654" s="13" t="s">
        <v>12566</v>
      </c>
      <c r="DO654" s="20">
        <v>2019</v>
      </c>
      <c r="DP654" s="14" t="s">
        <v>166</v>
      </c>
      <c r="DQ654" s="14" t="s">
        <v>166</v>
      </c>
      <c r="DR654" s="18" t="s">
        <v>166</v>
      </c>
      <c r="DS654" s="16" t="s">
        <v>166</v>
      </c>
      <c r="DT654" s="19" t="s">
        <v>166</v>
      </c>
      <c r="DU654" s="14" t="s">
        <v>166</v>
      </c>
      <c r="DV654" s="18" t="s">
        <v>166</v>
      </c>
      <c r="DW654" s="18" t="s">
        <v>166</v>
      </c>
      <c r="DX654" s="16" t="s">
        <v>166</v>
      </c>
      <c r="DY654" s="16" t="s">
        <v>166</v>
      </c>
      <c r="DZ654" s="17" t="s">
        <v>166</v>
      </c>
      <c r="EA654" s="16" t="s">
        <v>166</v>
      </c>
      <c r="EB654" s="16" t="s">
        <v>166</v>
      </c>
      <c r="EC654" s="16" t="s">
        <v>166</v>
      </c>
      <c r="ED654" s="17" t="s">
        <v>166</v>
      </c>
      <c r="EE654" s="17" t="s">
        <v>166</v>
      </c>
      <c r="EF654" s="17" t="s">
        <v>166</v>
      </c>
      <c r="EG654" s="17" t="s">
        <v>166</v>
      </c>
      <c r="EH654" s="16" t="s">
        <v>166</v>
      </c>
      <c r="EI654" s="16" t="s">
        <v>166</v>
      </c>
      <c r="EJ654" s="16" t="s">
        <v>166</v>
      </c>
      <c r="EK654" s="16" t="s">
        <v>166</v>
      </c>
      <c r="EL654" s="16" t="s">
        <v>166</v>
      </c>
      <c r="EM654" s="16" t="s">
        <v>166</v>
      </c>
      <c r="EN654" s="16" t="s">
        <v>166</v>
      </c>
      <c r="EO654" s="16" t="s">
        <v>166</v>
      </c>
      <c r="EP654" s="16" t="s">
        <v>166</v>
      </c>
      <c r="EQ654" s="16" t="s">
        <v>166</v>
      </c>
      <c r="ER654" s="16" t="s">
        <v>166</v>
      </c>
      <c r="ES654" s="16" t="s">
        <v>166</v>
      </c>
      <c r="ET654" s="14" t="s">
        <v>166</v>
      </c>
      <c r="EU654" s="16" t="s">
        <v>166</v>
      </c>
      <c r="EV654" s="16" t="s">
        <v>166</v>
      </c>
      <c r="EW654" s="16" t="s">
        <v>166</v>
      </c>
      <c r="EX654" s="14" t="s">
        <v>190</v>
      </c>
      <c r="EY654" s="14" t="s">
        <v>166</v>
      </c>
      <c r="EZ654" s="16" t="s">
        <v>166</v>
      </c>
      <c r="FA654" s="15">
        <v>1</v>
      </c>
      <c r="FB654" s="15">
        <v>1</v>
      </c>
      <c r="FC654" s="15" t="s">
        <v>166</v>
      </c>
      <c r="FD654" s="15" t="s">
        <v>166</v>
      </c>
      <c r="FE654" s="15" t="s">
        <v>166</v>
      </c>
      <c r="FF654" s="15">
        <v>1</v>
      </c>
      <c r="FG654" s="14" t="s">
        <v>166</v>
      </c>
      <c r="FH654" s="3">
        <f>HYPERLINK("https://my.pitchbook.com?c=164294-92T","View Company Online")</f>
      </c>
    </row>
    <row r="655">
      <c r="A655" s="25" t="s">
        <v>12567</v>
      </c>
      <c r="B655" s="25" t="s">
        <v>12568</v>
      </c>
      <c r="C655" s="25" t="s">
        <v>12569</v>
      </c>
      <c r="D655" s="25" t="s">
        <v>166</v>
      </c>
      <c r="E655" s="34" t="s">
        <v>12570</v>
      </c>
      <c r="F655" s="32">
        <v>9</v>
      </c>
      <c r="G655" s="25" t="s">
        <v>12571</v>
      </c>
      <c r="H655" s="25" t="s">
        <v>166</v>
      </c>
      <c r="I655" s="25" t="s">
        <v>12572</v>
      </c>
      <c r="J655" s="25" t="s">
        <v>12573</v>
      </c>
      <c r="K655" s="25" t="s">
        <v>207</v>
      </c>
      <c r="L655" s="25" t="s">
        <v>208</v>
      </c>
      <c r="M655" s="25" t="s">
        <v>209</v>
      </c>
      <c r="N655" s="25" t="s">
        <v>12574</v>
      </c>
      <c r="O655" s="25" t="s">
        <v>7860</v>
      </c>
      <c r="P655" s="25" t="s">
        <v>12575</v>
      </c>
      <c r="Q655" s="25" t="s">
        <v>166</v>
      </c>
      <c r="R655" s="25" t="s">
        <v>177</v>
      </c>
      <c r="S655" s="25" t="s">
        <v>178</v>
      </c>
      <c r="T655" s="25" t="s">
        <v>179</v>
      </c>
      <c r="U655" s="25" t="s">
        <v>12576</v>
      </c>
      <c r="V655" s="25" t="s">
        <v>12577</v>
      </c>
      <c r="W655" s="32" t="s">
        <v>12578</v>
      </c>
      <c r="X655" s="25" t="s">
        <v>12579</v>
      </c>
      <c r="Y655" s="25" t="s">
        <v>12580</v>
      </c>
      <c r="Z655" s="25" t="s">
        <v>12581</v>
      </c>
      <c r="AA655" s="25" t="s">
        <v>242</v>
      </c>
      <c r="AB655" s="25" t="s">
        <v>243</v>
      </c>
      <c r="AC655" s="25" t="s">
        <v>244</v>
      </c>
      <c r="AD655" s="25" t="s">
        <v>243</v>
      </c>
      <c r="AE655" s="25" t="s">
        <v>243</v>
      </c>
      <c r="AF655" s="25" t="s">
        <v>245</v>
      </c>
      <c r="AG655" s="25" t="s">
        <v>246</v>
      </c>
      <c r="AH655" s="32">
        <v>1</v>
      </c>
      <c r="AI655" s="4">
        <f>HYPERLINK("https://my.pitchbook.com/?d=165057-13T","165057-13T")</f>
      </c>
      <c r="AJ655" s="30" t="s">
        <v>166</v>
      </c>
      <c r="AK655" s="30">
        <v>44197</v>
      </c>
      <c r="AL655" s="29">
        <v>5</v>
      </c>
      <c r="AM655" s="25" t="s">
        <v>247</v>
      </c>
      <c r="AN655" s="29">
        <v>10</v>
      </c>
      <c r="AO655" s="29">
        <v>15</v>
      </c>
      <c r="AP655" s="25" t="s">
        <v>185</v>
      </c>
      <c r="AQ655" s="32" t="s">
        <v>166</v>
      </c>
      <c r="AR655" s="32" t="s">
        <v>166</v>
      </c>
      <c r="AS655" s="28">
        <v>33.33</v>
      </c>
      <c r="AT655" s="29">
        <v>5</v>
      </c>
      <c r="AU655" s="32" t="s">
        <v>186</v>
      </c>
      <c r="AV655" s="32" t="s">
        <v>166</v>
      </c>
      <c r="AW655" s="29">
        <v>3</v>
      </c>
      <c r="AX655" s="32" t="s">
        <v>166</v>
      </c>
      <c r="AY655" s="25" t="s">
        <v>217</v>
      </c>
      <c r="AZ655" s="25" t="s">
        <v>217</v>
      </c>
      <c r="BA655" s="25" t="s">
        <v>166</v>
      </c>
      <c r="BB655" s="32" t="s">
        <v>166</v>
      </c>
      <c r="BC655" s="25" t="s">
        <v>179</v>
      </c>
      <c r="BD655" s="25" t="s">
        <v>12582</v>
      </c>
      <c r="BE655" s="25" t="s">
        <v>189</v>
      </c>
      <c r="BF655" s="29">
        <v>5</v>
      </c>
      <c r="BG655" s="25" t="s">
        <v>190</v>
      </c>
      <c r="BH655" s="25" t="s">
        <v>166</v>
      </c>
      <c r="BI655" s="25" t="s">
        <v>166</v>
      </c>
      <c r="BJ655" s="29" t="s">
        <v>166</v>
      </c>
      <c r="BK655" s="29" t="s">
        <v>166</v>
      </c>
      <c r="BL655" s="25" t="s">
        <v>191</v>
      </c>
      <c r="BM655" s="25" t="s">
        <v>358</v>
      </c>
      <c r="BN655" s="25" t="s">
        <v>177</v>
      </c>
      <c r="BO655" s="33" t="s">
        <v>166</v>
      </c>
      <c r="BP655" s="25" t="s">
        <v>12583</v>
      </c>
      <c r="BQ655" s="32">
        <v>9</v>
      </c>
      <c r="BR655" s="25" t="s">
        <v>166</v>
      </c>
      <c r="BS655" s="32" t="s">
        <v>166</v>
      </c>
      <c r="BT655" s="25" t="s">
        <v>166</v>
      </c>
      <c r="BU655" s="25" t="s">
        <v>166</v>
      </c>
      <c r="BV655" s="25" t="s">
        <v>166</v>
      </c>
      <c r="BW655" s="25" t="s">
        <v>166</v>
      </c>
      <c r="BX655" s="25" t="s">
        <v>166</v>
      </c>
      <c r="BY655" s="25" t="s">
        <v>166</v>
      </c>
      <c r="BZ655" s="25" t="s">
        <v>166</v>
      </c>
      <c r="CA655" s="25" t="s">
        <v>166</v>
      </c>
      <c r="CB655" s="25" t="s">
        <v>166</v>
      </c>
      <c r="CC655" s="25" t="s">
        <v>166</v>
      </c>
      <c r="CD655" s="25" t="s">
        <v>166</v>
      </c>
      <c r="CE655" s="29" t="s">
        <v>166</v>
      </c>
      <c r="CF655" s="27" t="s">
        <v>166</v>
      </c>
      <c r="CG655" s="28" t="s">
        <v>166</v>
      </c>
      <c r="CH655" s="27" t="s">
        <v>166</v>
      </c>
      <c r="CI655" s="27" t="s">
        <v>166</v>
      </c>
      <c r="CJ655" s="27" t="s">
        <v>166</v>
      </c>
      <c r="CK655" s="27" t="s">
        <v>166</v>
      </c>
      <c r="CL655" s="27" t="s">
        <v>166</v>
      </c>
      <c r="CM655" s="31" t="s">
        <v>166</v>
      </c>
      <c r="CN655" s="27" t="s">
        <v>166</v>
      </c>
      <c r="CO655" s="27" t="s">
        <v>166</v>
      </c>
      <c r="CP655" s="27" t="s">
        <v>166</v>
      </c>
      <c r="CQ655" s="27" t="s">
        <v>166</v>
      </c>
      <c r="CR655" s="27" t="s">
        <v>166</v>
      </c>
      <c r="CS655" s="27" t="s">
        <v>166</v>
      </c>
      <c r="CT655" s="27" t="s">
        <v>166</v>
      </c>
      <c r="CU655" s="27" t="s">
        <v>166</v>
      </c>
      <c r="CV655" s="27" t="s">
        <v>166</v>
      </c>
      <c r="CW655" s="27" t="s">
        <v>166</v>
      </c>
      <c r="CX655" s="27" t="s">
        <v>166</v>
      </c>
      <c r="CY655" s="27" t="s">
        <v>166</v>
      </c>
      <c r="CZ655" s="27" t="s">
        <v>166</v>
      </c>
      <c r="DA655" s="27" t="s">
        <v>166</v>
      </c>
      <c r="DB655" s="27" t="s">
        <v>166</v>
      </c>
      <c r="DC655" s="27" t="s">
        <v>166</v>
      </c>
      <c r="DD655" s="27" t="s">
        <v>166</v>
      </c>
      <c r="DE655" s="28" t="s">
        <v>166</v>
      </c>
      <c r="DF655" s="33">
        <v>57</v>
      </c>
      <c r="DG655" s="25" t="s">
        <v>1077</v>
      </c>
      <c r="DH655" s="25" t="s">
        <v>193</v>
      </c>
      <c r="DI655" s="25" t="s">
        <v>194</v>
      </c>
      <c r="DJ655" s="25" t="s">
        <v>1078</v>
      </c>
      <c r="DK655" s="25" t="s">
        <v>257</v>
      </c>
      <c r="DL655" s="32" t="s">
        <v>3848</v>
      </c>
      <c r="DM655" s="25" t="s">
        <v>198</v>
      </c>
      <c r="DN655" s="24" t="s">
        <v>12584</v>
      </c>
      <c r="DO655" s="31">
        <v>2020</v>
      </c>
      <c r="DP655" s="25" t="s">
        <v>166</v>
      </c>
      <c r="DQ655" s="25" t="s">
        <v>166</v>
      </c>
      <c r="DR655" s="29" t="s">
        <v>166</v>
      </c>
      <c r="DS655" s="27" t="s">
        <v>166</v>
      </c>
      <c r="DT655" s="30" t="s">
        <v>166</v>
      </c>
      <c r="DU655" s="25" t="s">
        <v>166</v>
      </c>
      <c r="DV655" s="29" t="s">
        <v>166</v>
      </c>
      <c r="DW655" s="29" t="s">
        <v>166</v>
      </c>
      <c r="DX655" s="27" t="s">
        <v>166</v>
      </c>
      <c r="DY655" s="27" t="s">
        <v>166</v>
      </c>
      <c r="DZ655" s="28" t="s">
        <v>166</v>
      </c>
      <c r="EA655" s="27" t="s">
        <v>166</v>
      </c>
      <c r="EB655" s="27" t="s">
        <v>166</v>
      </c>
      <c r="EC655" s="27" t="s">
        <v>166</v>
      </c>
      <c r="ED655" s="28" t="s">
        <v>166</v>
      </c>
      <c r="EE655" s="28" t="s">
        <v>166</v>
      </c>
      <c r="EF655" s="28" t="s">
        <v>166</v>
      </c>
      <c r="EG655" s="28" t="s">
        <v>166</v>
      </c>
      <c r="EH655" s="27" t="s">
        <v>166</v>
      </c>
      <c r="EI655" s="27" t="s">
        <v>166</v>
      </c>
      <c r="EJ655" s="27" t="s">
        <v>166</v>
      </c>
      <c r="EK655" s="27" t="s">
        <v>166</v>
      </c>
      <c r="EL655" s="27" t="s">
        <v>166</v>
      </c>
      <c r="EM655" s="27" t="s">
        <v>166</v>
      </c>
      <c r="EN655" s="27" t="s">
        <v>166</v>
      </c>
      <c r="EO655" s="27" t="s">
        <v>166</v>
      </c>
      <c r="EP655" s="27" t="s">
        <v>166</v>
      </c>
      <c r="EQ655" s="27" t="s">
        <v>166</v>
      </c>
      <c r="ER655" s="27" t="s">
        <v>166</v>
      </c>
      <c r="ES655" s="27" t="s">
        <v>166</v>
      </c>
      <c r="ET655" s="25" t="s">
        <v>166</v>
      </c>
      <c r="EU655" s="27" t="s">
        <v>166</v>
      </c>
      <c r="EV655" s="27" t="s">
        <v>166</v>
      </c>
      <c r="EW655" s="27" t="s">
        <v>166</v>
      </c>
      <c r="EX655" s="25" t="s">
        <v>190</v>
      </c>
      <c r="EY655" s="25" t="s">
        <v>166</v>
      </c>
      <c r="EZ655" s="27" t="s">
        <v>166</v>
      </c>
      <c r="FA655" s="26" t="s">
        <v>166</v>
      </c>
      <c r="FB655" s="26" t="s">
        <v>166</v>
      </c>
      <c r="FC655" s="26" t="s">
        <v>166</v>
      </c>
      <c r="FD655" s="26" t="s">
        <v>166</v>
      </c>
      <c r="FE655" s="26" t="s">
        <v>166</v>
      </c>
      <c r="FF655" s="26" t="s">
        <v>166</v>
      </c>
      <c r="FG655" s="25" t="s">
        <v>166</v>
      </c>
      <c r="FH655" s="4">
        <f>HYPERLINK("https://my.pitchbook.com?c=165057-13T","View Company Online")</f>
      </c>
    </row>
    <row r="656">
      <c r="A656" s="14" t="s">
        <v>12585</v>
      </c>
      <c r="B656" s="14" t="s">
        <v>12586</v>
      </c>
      <c r="C656" s="14" t="s">
        <v>12587</v>
      </c>
      <c r="D656" s="14" t="s">
        <v>166</v>
      </c>
      <c r="E656" s="23" t="s">
        <v>12588</v>
      </c>
      <c r="F656" s="21">
        <v>21</v>
      </c>
      <c r="G656" s="14" t="s">
        <v>12589</v>
      </c>
      <c r="H656" s="14" t="s">
        <v>166</v>
      </c>
      <c r="I656" s="14" t="s">
        <v>12590</v>
      </c>
      <c r="J656" s="14" t="s">
        <v>12591</v>
      </c>
      <c r="K656" s="14" t="s">
        <v>1500</v>
      </c>
      <c r="L656" s="14" t="s">
        <v>2334</v>
      </c>
      <c r="M656" s="14" t="s">
        <v>2335</v>
      </c>
      <c r="N656" s="14" t="s">
        <v>12592</v>
      </c>
      <c r="O656" s="14" t="s">
        <v>12593</v>
      </c>
      <c r="P656" s="14" t="s">
        <v>12594</v>
      </c>
      <c r="Q656" s="14" t="s">
        <v>166</v>
      </c>
      <c r="R656" s="14" t="s">
        <v>177</v>
      </c>
      <c r="S656" s="14" t="s">
        <v>178</v>
      </c>
      <c r="T656" s="14" t="s">
        <v>179</v>
      </c>
      <c r="U656" s="14" t="s">
        <v>12595</v>
      </c>
      <c r="V656" s="14" t="s">
        <v>12596</v>
      </c>
      <c r="W656" s="21" t="s">
        <v>12597</v>
      </c>
      <c r="X656" s="14" t="s">
        <v>12598</v>
      </c>
      <c r="Y656" s="14" t="s">
        <v>12599</v>
      </c>
      <c r="Z656" s="14" t="s">
        <v>12600</v>
      </c>
      <c r="AA656" s="14" t="s">
        <v>242</v>
      </c>
      <c r="AB656" s="14" t="s">
        <v>243</v>
      </c>
      <c r="AC656" s="14" t="s">
        <v>244</v>
      </c>
      <c r="AD656" s="14" t="s">
        <v>243</v>
      </c>
      <c r="AE656" s="14" t="s">
        <v>243</v>
      </c>
      <c r="AF656" s="14" t="s">
        <v>166</v>
      </c>
      <c r="AG656" s="14" t="s">
        <v>246</v>
      </c>
      <c r="AH656" s="21">
        <v>5</v>
      </c>
      <c r="AI656" s="3">
        <f>HYPERLINK("https://my.pitchbook.com/?d=139748-23T","139748-23T")</f>
      </c>
      <c r="AJ656" s="19" t="s">
        <v>166</v>
      </c>
      <c r="AK656" s="19">
        <v>44027</v>
      </c>
      <c r="AL656" s="18">
        <v>2.38</v>
      </c>
      <c r="AM656" s="14" t="s">
        <v>185</v>
      </c>
      <c r="AN656" s="18">
        <v>3.5</v>
      </c>
      <c r="AO656" s="18">
        <v>5.88</v>
      </c>
      <c r="AP656" s="14" t="s">
        <v>185</v>
      </c>
      <c r="AQ656" s="21" t="s">
        <v>166</v>
      </c>
      <c r="AR656" s="21" t="s">
        <v>166</v>
      </c>
      <c r="AS656" s="17">
        <v>40.45</v>
      </c>
      <c r="AT656" s="18">
        <v>2.4</v>
      </c>
      <c r="AU656" s="21" t="s">
        <v>186</v>
      </c>
      <c r="AV656" s="21" t="s">
        <v>166</v>
      </c>
      <c r="AW656" s="18">
        <v>0.56</v>
      </c>
      <c r="AX656" s="21" t="s">
        <v>166</v>
      </c>
      <c r="AY656" s="14" t="s">
        <v>217</v>
      </c>
      <c r="AZ656" s="14" t="s">
        <v>217</v>
      </c>
      <c r="BA656" s="14" t="s">
        <v>166</v>
      </c>
      <c r="BB656" s="21" t="s">
        <v>166</v>
      </c>
      <c r="BC656" s="14" t="s">
        <v>179</v>
      </c>
      <c r="BD656" s="14" t="s">
        <v>12601</v>
      </c>
      <c r="BE656" s="14" t="s">
        <v>189</v>
      </c>
      <c r="BF656" s="18">
        <v>2.38</v>
      </c>
      <c r="BG656" s="14" t="s">
        <v>190</v>
      </c>
      <c r="BH656" s="14" t="s">
        <v>166</v>
      </c>
      <c r="BI656" s="14" t="s">
        <v>166</v>
      </c>
      <c r="BJ656" s="18" t="s">
        <v>166</v>
      </c>
      <c r="BK656" s="18" t="s">
        <v>166</v>
      </c>
      <c r="BL656" s="14" t="s">
        <v>191</v>
      </c>
      <c r="BM656" s="14" t="s">
        <v>785</v>
      </c>
      <c r="BN656" s="14" t="s">
        <v>177</v>
      </c>
      <c r="BO656" s="22" t="s">
        <v>166</v>
      </c>
      <c r="BP656" s="14" t="s">
        <v>12602</v>
      </c>
      <c r="BQ656" s="21">
        <v>20</v>
      </c>
      <c r="BR656" s="14" t="s">
        <v>12603</v>
      </c>
      <c r="BS656" s="21">
        <v>1</v>
      </c>
      <c r="BT656" s="14" t="s">
        <v>12604</v>
      </c>
      <c r="BU656" s="14" t="s">
        <v>166</v>
      </c>
      <c r="BV656" s="14" t="s">
        <v>12605</v>
      </c>
      <c r="BW656" s="14" t="s">
        <v>166</v>
      </c>
      <c r="BX656" s="14" t="s">
        <v>166</v>
      </c>
      <c r="BY656" s="14" t="s">
        <v>166</v>
      </c>
      <c r="BZ656" s="14" t="s">
        <v>12606</v>
      </c>
      <c r="CA656" s="14" t="s">
        <v>1232</v>
      </c>
      <c r="CB656" s="14" t="s">
        <v>166</v>
      </c>
      <c r="CC656" s="14" t="s">
        <v>12607</v>
      </c>
      <c r="CD656" s="14" t="s">
        <v>166</v>
      </c>
      <c r="CE656" s="18" t="s">
        <v>166</v>
      </c>
      <c r="CF656" s="16" t="s">
        <v>166</v>
      </c>
      <c r="CG656" s="17" t="s">
        <v>166</v>
      </c>
      <c r="CH656" s="16" t="s">
        <v>166</v>
      </c>
      <c r="CI656" s="16" t="s">
        <v>166</v>
      </c>
      <c r="CJ656" s="16" t="s">
        <v>166</v>
      </c>
      <c r="CK656" s="16" t="s">
        <v>166</v>
      </c>
      <c r="CL656" s="16" t="s">
        <v>166</v>
      </c>
      <c r="CM656" s="20" t="s">
        <v>166</v>
      </c>
      <c r="CN656" s="16" t="s">
        <v>166</v>
      </c>
      <c r="CO656" s="16" t="s">
        <v>166</v>
      </c>
      <c r="CP656" s="16" t="s">
        <v>166</v>
      </c>
      <c r="CQ656" s="16" t="s">
        <v>166</v>
      </c>
      <c r="CR656" s="16" t="s">
        <v>166</v>
      </c>
      <c r="CS656" s="16" t="s">
        <v>166</v>
      </c>
      <c r="CT656" s="16" t="s">
        <v>166</v>
      </c>
      <c r="CU656" s="16" t="s">
        <v>166</v>
      </c>
      <c r="CV656" s="16" t="s">
        <v>166</v>
      </c>
      <c r="CW656" s="16" t="s">
        <v>166</v>
      </c>
      <c r="CX656" s="16" t="s">
        <v>166</v>
      </c>
      <c r="CY656" s="16" t="s">
        <v>166</v>
      </c>
      <c r="CZ656" s="16" t="s">
        <v>166</v>
      </c>
      <c r="DA656" s="16" t="s">
        <v>166</v>
      </c>
      <c r="DB656" s="16" t="s">
        <v>166</v>
      </c>
      <c r="DC656" s="16" t="s">
        <v>166</v>
      </c>
      <c r="DD656" s="16" t="s">
        <v>166</v>
      </c>
      <c r="DE656" s="17" t="s">
        <v>166</v>
      </c>
      <c r="DF656" s="22">
        <v>18</v>
      </c>
      <c r="DG656" s="14" t="s">
        <v>1191</v>
      </c>
      <c r="DH656" s="14" t="s">
        <v>193</v>
      </c>
      <c r="DI656" s="14" t="s">
        <v>194</v>
      </c>
      <c r="DJ656" s="14" t="s">
        <v>1192</v>
      </c>
      <c r="DK656" s="14" t="s">
        <v>1023</v>
      </c>
      <c r="DL656" s="21" t="s">
        <v>8223</v>
      </c>
      <c r="DM656" s="14" t="s">
        <v>198</v>
      </c>
      <c r="DN656" s="13" t="s">
        <v>12608</v>
      </c>
      <c r="DO656" s="20">
        <v>2017</v>
      </c>
      <c r="DP656" s="14" t="s">
        <v>166</v>
      </c>
      <c r="DQ656" s="14" t="s">
        <v>166</v>
      </c>
      <c r="DR656" s="18" t="s">
        <v>166</v>
      </c>
      <c r="DS656" s="16" t="s">
        <v>166</v>
      </c>
      <c r="DT656" s="19" t="s">
        <v>166</v>
      </c>
      <c r="DU656" s="14" t="s">
        <v>166</v>
      </c>
      <c r="DV656" s="18" t="s">
        <v>166</v>
      </c>
      <c r="DW656" s="18" t="s">
        <v>166</v>
      </c>
      <c r="DX656" s="16" t="s">
        <v>166</v>
      </c>
      <c r="DY656" s="16" t="s">
        <v>166</v>
      </c>
      <c r="DZ656" s="17" t="s">
        <v>166</v>
      </c>
      <c r="EA656" s="16" t="s">
        <v>166</v>
      </c>
      <c r="EB656" s="16" t="s">
        <v>166</v>
      </c>
      <c r="EC656" s="16" t="s">
        <v>166</v>
      </c>
      <c r="ED656" s="17" t="s">
        <v>166</v>
      </c>
      <c r="EE656" s="17" t="s">
        <v>166</v>
      </c>
      <c r="EF656" s="17" t="s">
        <v>166</v>
      </c>
      <c r="EG656" s="17" t="s">
        <v>166</v>
      </c>
      <c r="EH656" s="16" t="s">
        <v>166</v>
      </c>
      <c r="EI656" s="16" t="s">
        <v>166</v>
      </c>
      <c r="EJ656" s="16" t="s">
        <v>166</v>
      </c>
      <c r="EK656" s="16" t="s">
        <v>166</v>
      </c>
      <c r="EL656" s="16" t="s">
        <v>166</v>
      </c>
      <c r="EM656" s="16" t="s">
        <v>166</v>
      </c>
      <c r="EN656" s="16" t="s">
        <v>166</v>
      </c>
      <c r="EO656" s="16" t="s">
        <v>166</v>
      </c>
      <c r="EP656" s="16" t="s">
        <v>166</v>
      </c>
      <c r="EQ656" s="16" t="s">
        <v>166</v>
      </c>
      <c r="ER656" s="16" t="s">
        <v>166</v>
      </c>
      <c r="ES656" s="16" t="s">
        <v>166</v>
      </c>
      <c r="ET656" s="14" t="s">
        <v>166</v>
      </c>
      <c r="EU656" s="16" t="s">
        <v>166</v>
      </c>
      <c r="EV656" s="16" t="s">
        <v>166</v>
      </c>
      <c r="EW656" s="16" t="s">
        <v>166</v>
      </c>
      <c r="EX656" s="14" t="s">
        <v>190</v>
      </c>
      <c r="EY656" s="14" t="s">
        <v>166</v>
      </c>
      <c r="EZ656" s="16" t="s">
        <v>166</v>
      </c>
      <c r="FA656" s="15" t="s">
        <v>166</v>
      </c>
      <c r="FB656" s="15" t="s">
        <v>166</v>
      </c>
      <c r="FC656" s="15" t="s">
        <v>166</v>
      </c>
      <c r="FD656" s="15" t="s">
        <v>166</v>
      </c>
      <c r="FE656" s="15" t="s">
        <v>166</v>
      </c>
      <c r="FF656" s="15" t="s">
        <v>166</v>
      </c>
      <c r="FG656" s="14" t="s">
        <v>166</v>
      </c>
      <c r="FH656" s="3">
        <f>HYPERLINK("https://my.pitchbook.com?c=139748-23T","View Company Online")</f>
      </c>
    </row>
    <row r="657">
      <c r="A657" s="25" t="s">
        <v>12609</v>
      </c>
      <c r="B657" s="25" t="s">
        <v>12610</v>
      </c>
      <c r="C657" s="25" t="s">
        <v>12611</v>
      </c>
      <c r="D657" s="25" t="s">
        <v>166</v>
      </c>
      <c r="E657" s="34" t="s">
        <v>12612</v>
      </c>
      <c r="F657" s="32">
        <v>11</v>
      </c>
      <c r="G657" s="25" t="s">
        <v>12613</v>
      </c>
      <c r="H657" s="25" t="s">
        <v>166</v>
      </c>
      <c r="I657" s="25" t="s">
        <v>12614</v>
      </c>
      <c r="J657" s="25" t="s">
        <v>12615</v>
      </c>
      <c r="K657" s="25" t="s">
        <v>207</v>
      </c>
      <c r="L657" s="25" t="s">
        <v>208</v>
      </c>
      <c r="M657" s="25" t="s">
        <v>296</v>
      </c>
      <c r="N657" s="25" t="s">
        <v>1202</v>
      </c>
      <c r="O657" s="25" t="s">
        <v>1318</v>
      </c>
      <c r="P657" s="25" t="s">
        <v>12616</v>
      </c>
      <c r="Q657" s="25" t="s">
        <v>166</v>
      </c>
      <c r="R657" s="25" t="s">
        <v>177</v>
      </c>
      <c r="S657" s="25" t="s">
        <v>178</v>
      </c>
      <c r="T657" s="25" t="s">
        <v>179</v>
      </c>
      <c r="U657" s="25" t="s">
        <v>12617</v>
      </c>
      <c r="V657" s="25" t="s">
        <v>12618</v>
      </c>
      <c r="W657" s="32" t="s">
        <v>166</v>
      </c>
      <c r="X657" s="25" t="s">
        <v>166</v>
      </c>
      <c r="Y657" s="25" t="s">
        <v>12619</v>
      </c>
      <c r="Z657" s="25" t="s">
        <v>12620</v>
      </c>
      <c r="AA657" s="25" t="s">
        <v>166</v>
      </c>
      <c r="AB657" s="25" t="s">
        <v>166</v>
      </c>
      <c r="AC657" s="25" t="s">
        <v>166</v>
      </c>
      <c r="AD657" s="25" t="s">
        <v>166</v>
      </c>
      <c r="AE657" s="25" t="s">
        <v>166</v>
      </c>
      <c r="AF657" s="25" t="s">
        <v>166</v>
      </c>
      <c r="AG657" s="25" t="s">
        <v>166</v>
      </c>
      <c r="AH657" s="32">
        <v>2</v>
      </c>
      <c r="AI657" s="4">
        <f>HYPERLINK("https://my.pitchbook.com/?d=225365-68T","225365-68T")</f>
      </c>
      <c r="AJ657" s="30">
        <v>44927</v>
      </c>
      <c r="AK657" s="30">
        <v>45036</v>
      </c>
      <c r="AL657" s="29">
        <v>2.4</v>
      </c>
      <c r="AM657" s="25" t="s">
        <v>185</v>
      </c>
      <c r="AN657" s="29" t="s">
        <v>166</v>
      </c>
      <c r="AO657" s="29" t="s">
        <v>166</v>
      </c>
      <c r="AP657" s="25" t="s">
        <v>166</v>
      </c>
      <c r="AQ657" s="32" t="s">
        <v>166</v>
      </c>
      <c r="AR657" s="32" t="s">
        <v>166</v>
      </c>
      <c r="AS657" s="28" t="s">
        <v>166</v>
      </c>
      <c r="AT657" s="29">
        <v>2.9</v>
      </c>
      <c r="AU657" s="32" t="s">
        <v>186</v>
      </c>
      <c r="AV657" s="32" t="s">
        <v>166</v>
      </c>
      <c r="AW657" s="29" t="s">
        <v>166</v>
      </c>
      <c r="AX657" s="32" t="s">
        <v>166</v>
      </c>
      <c r="AY657" s="25" t="s">
        <v>217</v>
      </c>
      <c r="AZ657" s="25" t="s">
        <v>217</v>
      </c>
      <c r="BA657" s="25" t="s">
        <v>166</v>
      </c>
      <c r="BB657" s="32" t="s">
        <v>166</v>
      </c>
      <c r="BC657" s="25" t="s">
        <v>179</v>
      </c>
      <c r="BD657" s="25" t="s">
        <v>12621</v>
      </c>
      <c r="BE657" s="25" t="s">
        <v>189</v>
      </c>
      <c r="BF657" s="29">
        <v>2.4</v>
      </c>
      <c r="BG657" s="25" t="s">
        <v>190</v>
      </c>
      <c r="BH657" s="25" t="s">
        <v>166</v>
      </c>
      <c r="BI657" s="25" t="s">
        <v>166</v>
      </c>
      <c r="BJ657" s="29" t="s">
        <v>166</v>
      </c>
      <c r="BK657" s="29" t="s">
        <v>166</v>
      </c>
      <c r="BL657" s="25" t="s">
        <v>191</v>
      </c>
      <c r="BM657" s="25" t="s">
        <v>178</v>
      </c>
      <c r="BN657" s="25" t="s">
        <v>177</v>
      </c>
      <c r="BO657" s="33" t="s">
        <v>166</v>
      </c>
      <c r="BP657" s="25" t="s">
        <v>12622</v>
      </c>
      <c r="BQ657" s="32">
        <v>10</v>
      </c>
      <c r="BR657" s="25" t="s">
        <v>914</v>
      </c>
      <c r="BS657" s="32">
        <v>1</v>
      </c>
      <c r="BT657" s="25" t="s">
        <v>166</v>
      </c>
      <c r="BU657" s="25" t="s">
        <v>166</v>
      </c>
      <c r="BV657" s="25" t="s">
        <v>12623</v>
      </c>
      <c r="BW657" s="25" t="s">
        <v>166</v>
      </c>
      <c r="BX657" s="25" t="s">
        <v>166</v>
      </c>
      <c r="BY657" s="25" t="s">
        <v>166</v>
      </c>
      <c r="BZ657" s="25" t="s">
        <v>166</v>
      </c>
      <c r="CA657" s="25" t="s">
        <v>166</v>
      </c>
      <c r="CB657" s="25" t="s">
        <v>166</v>
      </c>
      <c r="CC657" s="25" t="s">
        <v>166</v>
      </c>
      <c r="CD657" s="25" t="s">
        <v>166</v>
      </c>
      <c r="CE657" s="29" t="s">
        <v>166</v>
      </c>
      <c r="CF657" s="27" t="s">
        <v>166</v>
      </c>
      <c r="CG657" s="28" t="s">
        <v>166</v>
      </c>
      <c r="CH657" s="27" t="s">
        <v>166</v>
      </c>
      <c r="CI657" s="27" t="s">
        <v>166</v>
      </c>
      <c r="CJ657" s="27" t="s">
        <v>166</v>
      </c>
      <c r="CK657" s="27" t="s">
        <v>166</v>
      </c>
      <c r="CL657" s="27" t="s">
        <v>166</v>
      </c>
      <c r="CM657" s="31" t="s">
        <v>166</v>
      </c>
      <c r="CN657" s="27" t="s">
        <v>166</v>
      </c>
      <c r="CO657" s="27" t="s">
        <v>166</v>
      </c>
      <c r="CP657" s="27" t="s">
        <v>166</v>
      </c>
      <c r="CQ657" s="27" t="s">
        <v>166</v>
      </c>
      <c r="CR657" s="27" t="s">
        <v>166</v>
      </c>
      <c r="CS657" s="27" t="s">
        <v>166</v>
      </c>
      <c r="CT657" s="27" t="s">
        <v>166</v>
      </c>
      <c r="CU657" s="27" t="s">
        <v>166</v>
      </c>
      <c r="CV657" s="27" t="s">
        <v>166</v>
      </c>
      <c r="CW657" s="27" t="s">
        <v>166</v>
      </c>
      <c r="CX657" s="27" t="s">
        <v>166</v>
      </c>
      <c r="CY657" s="27" t="s">
        <v>166</v>
      </c>
      <c r="CZ657" s="27" t="s">
        <v>166</v>
      </c>
      <c r="DA657" s="27" t="s">
        <v>166</v>
      </c>
      <c r="DB657" s="27" t="s">
        <v>166</v>
      </c>
      <c r="DC657" s="27" t="s">
        <v>166</v>
      </c>
      <c r="DD657" s="27" t="s">
        <v>166</v>
      </c>
      <c r="DE657" s="28" t="s">
        <v>166</v>
      </c>
      <c r="DF657" s="33">
        <v>8</v>
      </c>
      <c r="DG657" s="25" t="s">
        <v>673</v>
      </c>
      <c r="DH657" s="25" t="s">
        <v>193</v>
      </c>
      <c r="DI657" s="25" t="s">
        <v>194</v>
      </c>
      <c r="DJ657" s="25" t="s">
        <v>674</v>
      </c>
      <c r="DK657" s="25" t="s">
        <v>257</v>
      </c>
      <c r="DL657" s="32" t="s">
        <v>9590</v>
      </c>
      <c r="DM657" s="25" t="s">
        <v>198</v>
      </c>
      <c r="DN657" s="24" t="s">
        <v>12624</v>
      </c>
      <c r="DO657" s="31">
        <v>2022</v>
      </c>
      <c r="DP657" s="25" t="s">
        <v>166</v>
      </c>
      <c r="DQ657" s="25" t="s">
        <v>166</v>
      </c>
      <c r="DR657" s="29" t="s">
        <v>166</v>
      </c>
      <c r="DS657" s="27" t="s">
        <v>166</v>
      </c>
      <c r="DT657" s="30" t="s">
        <v>166</v>
      </c>
      <c r="DU657" s="25" t="s">
        <v>166</v>
      </c>
      <c r="DV657" s="29" t="s">
        <v>166</v>
      </c>
      <c r="DW657" s="29" t="s">
        <v>166</v>
      </c>
      <c r="DX657" s="27" t="s">
        <v>166</v>
      </c>
      <c r="DY657" s="27" t="s">
        <v>166</v>
      </c>
      <c r="DZ657" s="28" t="s">
        <v>166</v>
      </c>
      <c r="EA657" s="27" t="s">
        <v>166</v>
      </c>
      <c r="EB657" s="27" t="s">
        <v>166</v>
      </c>
      <c r="EC657" s="27" t="s">
        <v>166</v>
      </c>
      <c r="ED657" s="28" t="s">
        <v>166</v>
      </c>
      <c r="EE657" s="28" t="s">
        <v>166</v>
      </c>
      <c r="EF657" s="28" t="s">
        <v>166</v>
      </c>
      <c r="EG657" s="28" t="s">
        <v>166</v>
      </c>
      <c r="EH657" s="27" t="s">
        <v>166</v>
      </c>
      <c r="EI657" s="27" t="s">
        <v>166</v>
      </c>
      <c r="EJ657" s="27" t="s">
        <v>166</v>
      </c>
      <c r="EK657" s="27" t="s">
        <v>166</v>
      </c>
      <c r="EL657" s="27" t="s">
        <v>166</v>
      </c>
      <c r="EM657" s="27" t="s">
        <v>166</v>
      </c>
      <c r="EN657" s="27" t="s">
        <v>166</v>
      </c>
      <c r="EO657" s="27" t="s">
        <v>166</v>
      </c>
      <c r="EP657" s="27" t="s">
        <v>166</v>
      </c>
      <c r="EQ657" s="27" t="s">
        <v>166</v>
      </c>
      <c r="ER657" s="27" t="s">
        <v>166</v>
      </c>
      <c r="ES657" s="27" t="s">
        <v>166</v>
      </c>
      <c r="ET657" s="25" t="s">
        <v>166</v>
      </c>
      <c r="EU657" s="27" t="s">
        <v>166</v>
      </c>
      <c r="EV657" s="27" t="s">
        <v>166</v>
      </c>
      <c r="EW657" s="27" t="s">
        <v>166</v>
      </c>
      <c r="EX657" s="25" t="s">
        <v>190</v>
      </c>
      <c r="EY657" s="25" t="s">
        <v>166</v>
      </c>
      <c r="EZ657" s="27" t="s">
        <v>166</v>
      </c>
      <c r="FA657" s="26" t="s">
        <v>166</v>
      </c>
      <c r="FB657" s="26" t="s">
        <v>166</v>
      </c>
      <c r="FC657" s="26" t="s">
        <v>166</v>
      </c>
      <c r="FD657" s="26" t="s">
        <v>166</v>
      </c>
      <c r="FE657" s="26" t="s">
        <v>166</v>
      </c>
      <c r="FF657" s="26" t="s">
        <v>166</v>
      </c>
      <c r="FG657" s="25" t="s">
        <v>166</v>
      </c>
      <c r="FH657" s="4">
        <f>HYPERLINK("https://my.pitchbook.com?c=225365-68T","View Company Online")</f>
      </c>
    </row>
    <row r="658">
      <c r="A658" s="14" t="s">
        <v>12625</v>
      </c>
      <c r="B658" s="14" t="s">
        <v>12626</v>
      </c>
      <c r="C658" s="14" t="s">
        <v>12627</v>
      </c>
      <c r="D658" s="14" t="s">
        <v>166</v>
      </c>
      <c r="E658" s="23" t="s">
        <v>12628</v>
      </c>
      <c r="F658" s="21">
        <v>2</v>
      </c>
      <c r="G658" s="14" t="s">
        <v>166</v>
      </c>
      <c r="H658" s="14" t="s">
        <v>166</v>
      </c>
      <c r="I658" s="14" t="s">
        <v>12629</v>
      </c>
      <c r="J658" s="14" t="s">
        <v>12630</v>
      </c>
      <c r="K658" s="14" t="s">
        <v>207</v>
      </c>
      <c r="L658" s="14" t="s">
        <v>208</v>
      </c>
      <c r="M658" s="14" t="s">
        <v>965</v>
      </c>
      <c r="N658" s="14" t="s">
        <v>12631</v>
      </c>
      <c r="O658" s="14" t="s">
        <v>580</v>
      </c>
      <c r="P658" s="14" t="s">
        <v>12632</v>
      </c>
      <c r="Q658" s="14" t="s">
        <v>166</v>
      </c>
      <c r="R658" s="14" t="s">
        <v>177</v>
      </c>
      <c r="S658" s="14" t="s">
        <v>178</v>
      </c>
      <c r="T658" s="14" t="s">
        <v>179</v>
      </c>
      <c r="U658" s="14" t="s">
        <v>12633</v>
      </c>
      <c r="V658" s="14" t="s">
        <v>12634</v>
      </c>
      <c r="W658" s="21" t="s">
        <v>166</v>
      </c>
      <c r="X658" s="14" t="s">
        <v>12635</v>
      </c>
      <c r="Y658" s="14" t="s">
        <v>12636</v>
      </c>
      <c r="Z658" s="14" t="s">
        <v>12637</v>
      </c>
      <c r="AA658" s="14" t="s">
        <v>166</v>
      </c>
      <c r="AB658" s="14" t="s">
        <v>166</v>
      </c>
      <c r="AC658" s="14" t="s">
        <v>166</v>
      </c>
      <c r="AD658" s="14" t="s">
        <v>166</v>
      </c>
      <c r="AE658" s="14" t="s">
        <v>166</v>
      </c>
      <c r="AF658" s="14" t="s">
        <v>166</v>
      </c>
      <c r="AG658" s="14" t="s">
        <v>166</v>
      </c>
      <c r="AH658" s="21">
        <v>1</v>
      </c>
      <c r="AI658" s="3">
        <f>HYPERLINK("https://my.pitchbook.com/?d=244011-52T","244011-52T")</f>
      </c>
      <c r="AJ658" s="19" t="s">
        <v>166</v>
      </c>
      <c r="AK658" s="19">
        <v>45122</v>
      </c>
      <c r="AL658" s="18">
        <v>20</v>
      </c>
      <c r="AM658" s="14" t="s">
        <v>185</v>
      </c>
      <c r="AN658" s="18">
        <v>105</v>
      </c>
      <c r="AO658" s="18">
        <v>125</v>
      </c>
      <c r="AP658" s="14" t="s">
        <v>185</v>
      </c>
      <c r="AQ658" s="21" t="s">
        <v>166</v>
      </c>
      <c r="AR658" s="21" t="s">
        <v>166</v>
      </c>
      <c r="AS658" s="17">
        <v>16</v>
      </c>
      <c r="AT658" s="18">
        <v>20</v>
      </c>
      <c r="AU658" s="21" t="s">
        <v>186</v>
      </c>
      <c r="AV658" s="21" t="s">
        <v>166</v>
      </c>
      <c r="AW658" s="18" t="s">
        <v>166</v>
      </c>
      <c r="AX658" s="21" t="s">
        <v>166</v>
      </c>
      <c r="AY658" s="14" t="s">
        <v>217</v>
      </c>
      <c r="AZ658" s="14" t="s">
        <v>217</v>
      </c>
      <c r="BA658" s="14" t="s">
        <v>166</v>
      </c>
      <c r="BB658" s="21" t="s">
        <v>166</v>
      </c>
      <c r="BC658" s="14" t="s">
        <v>179</v>
      </c>
      <c r="BD658" s="14" t="s">
        <v>12638</v>
      </c>
      <c r="BE658" s="14" t="s">
        <v>189</v>
      </c>
      <c r="BF658" s="18">
        <v>20</v>
      </c>
      <c r="BG658" s="14" t="s">
        <v>190</v>
      </c>
      <c r="BH658" s="14" t="s">
        <v>166</v>
      </c>
      <c r="BI658" s="14" t="s">
        <v>166</v>
      </c>
      <c r="BJ658" s="18" t="s">
        <v>166</v>
      </c>
      <c r="BK658" s="18" t="s">
        <v>166</v>
      </c>
      <c r="BL658" s="14" t="s">
        <v>191</v>
      </c>
      <c r="BM658" s="14" t="s">
        <v>785</v>
      </c>
      <c r="BN658" s="14" t="s">
        <v>177</v>
      </c>
      <c r="BO658" s="22">
        <v>4</v>
      </c>
      <c r="BP658" s="14" t="s">
        <v>12639</v>
      </c>
      <c r="BQ658" s="21">
        <v>2</v>
      </c>
      <c r="BR658" s="14" t="s">
        <v>166</v>
      </c>
      <c r="BS658" s="21" t="s">
        <v>166</v>
      </c>
      <c r="BT658" s="14" t="s">
        <v>12628</v>
      </c>
      <c r="BU658" s="14" t="s">
        <v>166</v>
      </c>
      <c r="BV658" s="14" t="s">
        <v>166</v>
      </c>
      <c r="BW658" s="14" t="s">
        <v>166</v>
      </c>
      <c r="BX658" s="14" t="s">
        <v>166</v>
      </c>
      <c r="BY658" s="14" t="s">
        <v>166</v>
      </c>
      <c r="BZ658" s="14" t="s">
        <v>166</v>
      </c>
      <c r="CA658" s="14" t="s">
        <v>166</v>
      </c>
      <c r="CB658" s="14" t="s">
        <v>166</v>
      </c>
      <c r="CC658" s="14" t="s">
        <v>166</v>
      </c>
      <c r="CD658" s="14" t="s">
        <v>166</v>
      </c>
      <c r="CE658" s="18" t="s">
        <v>166</v>
      </c>
      <c r="CF658" s="16" t="s">
        <v>166</v>
      </c>
      <c r="CG658" s="17" t="s">
        <v>166</v>
      </c>
      <c r="CH658" s="16" t="s">
        <v>166</v>
      </c>
      <c r="CI658" s="16" t="s">
        <v>166</v>
      </c>
      <c r="CJ658" s="16" t="s">
        <v>166</v>
      </c>
      <c r="CK658" s="16" t="s">
        <v>166</v>
      </c>
      <c r="CL658" s="16" t="s">
        <v>166</v>
      </c>
      <c r="CM658" s="20" t="s">
        <v>166</v>
      </c>
      <c r="CN658" s="16" t="s">
        <v>166</v>
      </c>
      <c r="CO658" s="16" t="s">
        <v>166</v>
      </c>
      <c r="CP658" s="16" t="s">
        <v>166</v>
      </c>
      <c r="CQ658" s="16" t="s">
        <v>166</v>
      </c>
      <c r="CR658" s="16" t="s">
        <v>166</v>
      </c>
      <c r="CS658" s="16" t="s">
        <v>166</v>
      </c>
      <c r="CT658" s="16" t="s">
        <v>166</v>
      </c>
      <c r="CU658" s="16" t="s">
        <v>166</v>
      </c>
      <c r="CV658" s="16" t="s">
        <v>166</v>
      </c>
      <c r="CW658" s="16" t="s">
        <v>166</v>
      </c>
      <c r="CX658" s="16" t="s">
        <v>166</v>
      </c>
      <c r="CY658" s="16" t="s">
        <v>166</v>
      </c>
      <c r="CZ658" s="16" t="s">
        <v>166</v>
      </c>
      <c r="DA658" s="16" t="s">
        <v>166</v>
      </c>
      <c r="DB658" s="16" t="s">
        <v>166</v>
      </c>
      <c r="DC658" s="16" t="s">
        <v>166</v>
      </c>
      <c r="DD658" s="16" t="s">
        <v>166</v>
      </c>
      <c r="DE658" s="17" t="s">
        <v>166</v>
      </c>
      <c r="DF658" s="22">
        <v>13</v>
      </c>
      <c r="DG658" s="14" t="s">
        <v>1077</v>
      </c>
      <c r="DH658" s="14" t="s">
        <v>193</v>
      </c>
      <c r="DI658" s="14" t="s">
        <v>194</v>
      </c>
      <c r="DJ658" s="14" t="s">
        <v>1078</v>
      </c>
      <c r="DK658" s="14" t="s">
        <v>257</v>
      </c>
      <c r="DL658" s="21" t="s">
        <v>1079</v>
      </c>
      <c r="DM658" s="14" t="s">
        <v>198</v>
      </c>
      <c r="DN658" s="13" t="s">
        <v>12640</v>
      </c>
      <c r="DO658" s="20">
        <v>2023</v>
      </c>
      <c r="DP658" s="14" t="s">
        <v>166</v>
      </c>
      <c r="DQ658" s="14" t="s">
        <v>166</v>
      </c>
      <c r="DR658" s="18" t="s">
        <v>166</v>
      </c>
      <c r="DS658" s="16" t="s">
        <v>166</v>
      </c>
      <c r="DT658" s="19" t="s">
        <v>166</v>
      </c>
      <c r="DU658" s="14" t="s">
        <v>166</v>
      </c>
      <c r="DV658" s="18" t="s">
        <v>166</v>
      </c>
      <c r="DW658" s="18" t="s">
        <v>166</v>
      </c>
      <c r="DX658" s="16" t="s">
        <v>166</v>
      </c>
      <c r="DY658" s="16" t="s">
        <v>166</v>
      </c>
      <c r="DZ658" s="17" t="s">
        <v>166</v>
      </c>
      <c r="EA658" s="16" t="s">
        <v>166</v>
      </c>
      <c r="EB658" s="16" t="s">
        <v>166</v>
      </c>
      <c r="EC658" s="16" t="s">
        <v>166</v>
      </c>
      <c r="ED658" s="17" t="s">
        <v>166</v>
      </c>
      <c r="EE658" s="17" t="s">
        <v>166</v>
      </c>
      <c r="EF658" s="17" t="s">
        <v>166</v>
      </c>
      <c r="EG658" s="17" t="s">
        <v>166</v>
      </c>
      <c r="EH658" s="16" t="s">
        <v>166</v>
      </c>
      <c r="EI658" s="16" t="s">
        <v>166</v>
      </c>
      <c r="EJ658" s="16" t="s">
        <v>166</v>
      </c>
      <c r="EK658" s="16" t="s">
        <v>166</v>
      </c>
      <c r="EL658" s="16" t="s">
        <v>166</v>
      </c>
      <c r="EM658" s="16" t="s">
        <v>166</v>
      </c>
      <c r="EN658" s="16" t="s">
        <v>166</v>
      </c>
      <c r="EO658" s="16" t="s">
        <v>166</v>
      </c>
      <c r="EP658" s="16" t="s">
        <v>166</v>
      </c>
      <c r="EQ658" s="16" t="s">
        <v>166</v>
      </c>
      <c r="ER658" s="16" t="s">
        <v>166</v>
      </c>
      <c r="ES658" s="16" t="s">
        <v>166</v>
      </c>
      <c r="ET658" s="14" t="s">
        <v>166</v>
      </c>
      <c r="EU658" s="16" t="s">
        <v>166</v>
      </c>
      <c r="EV658" s="16" t="s">
        <v>166</v>
      </c>
      <c r="EW658" s="16" t="s">
        <v>166</v>
      </c>
      <c r="EX658" s="14" t="s">
        <v>190</v>
      </c>
      <c r="EY658" s="14" t="s">
        <v>166</v>
      </c>
      <c r="EZ658" s="16" t="s">
        <v>166</v>
      </c>
      <c r="FA658" s="15" t="s">
        <v>166</v>
      </c>
      <c r="FB658" s="15" t="s">
        <v>166</v>
      </c>
      <c r="FC658" s="15" t="s">
        <v>166</v>
      </c>
      <c r="FD658" s="15" t="s">
        <v>166</v>
      </c>
      <c r="FE658" s="15" t="s">
        <v>166</v>
      </c>
      <c r="FF658" s="15" t="s">
        <v>166</v>
      </c>
      <c r="FG658" s="14" t="s">
        <v>166</v>
      </c>
      <c r="FH658" s="3">
        <f>HYPERLINK("https://my.pitchbook.com?c=244011-52T","View Company Online")</f>
      </c>
    </row>
    <row r="659">
      <c r="A659" s="25" t="s">
        <v>12641</v>
      </c>
      <c r="B659" s="25" t="s">
        <v>12642</v>
      </c>
      <c r="C659" s="25" t="s">
        <v>12643</v>
      </c>
      <c r="D659" s="25" t="s">
        <v>166</v>
      </c>
      <c r="E659" s="34" t="s">
        <v>12644</v>
      </c>
      <c r="F659" s="32">
        <v>7</v>
      </c>
      <c r="G659" s="25" t="s">
        <v>12645</v>
      </c>
      <c r="H659" s="25" t="s">
        <v>166</v>
      </c>
      <c r="I659" s="25" t="s">
        <v>12646</v>
      </c>
      <c r="J659" s="25" t="s">
        <v>12647</v>
      </c>
      <c r="K659" s="25" t="s">
        <v>207</v>
      </c>
      <c r="L659" s="25" t="s">
        <v>208</v>
      </c>
      <c r="M659" s="25" t="s">
        <v>296</v>
      </c>
      <c r="N659" s="25" t="s">
        <v>12648</v>
      </c>
      <c r="O659" s="25" t="s">
        <v>325</v>
      </c>
      <c r="P659" s="25" t="s">
        <v>12649</v>
      </c>
      <c r="Q659" s="25" t="s">
        <v>166</v>
      </c>
      <c r="R659" s="25" t="s">
        <v>177</v>
      </c>
      <c r="S659" s="25" t="s">
        <v>178</v>
      </c>
      <c r="T659" s="25" t="s">
        <v>179</v>
      </c>
      <c r="U659" s="25" t="s">
        <v>12650</v>
      </c>
      <c r="V659" s="25" t="s">
        <v>12651</v>
      </c>
      <c r="W659" s="32" t="s">
        <v>12652</v>
      </c>
      <c r="X659" s="25" t="s">
        <v>12653</v>
      </c>
      <c r="Y659" s="25" t="s">
        <v>12654</v>
      </c>
      <c r="Z659" s="25" t="s">
        <v>12655</v>
      </c>
      <c r="AA659" s="25" t="s">
        <v>166</v>
      </c>
      <c r="AB659" s="25" t="s">
        <v>166</v>
      </c>
      <c r="AC659" s="25" t="s">
        <v>166</v>
      </c>
      <c r="AD659" s="25" t="s">
        <v>166</v>
      </c>
      <c r="AE659" s="25" t="s">
        <v>166</v>
      </c>
      <c r="AF659" s="25" t="s">
        <v>166</v>
      </c>
      <c r="AG659" s="25" t="s">
        <v>166</v>
      </c>
      <c r="AH659" s="32">
        <v>1</v>
      </c>
      <c r="AI659" s="4">
        <f>HYPERLINK("https://my.pitchbook.com/?d=202505-59T","202505-59T")</f>
      </c>
      <c r="AJ659" s="30" t="s">
        <v>166</v>
      </c>
      <c r="AK659" s="30">
        <v>44798</v>
      </c>
      <c r="AL659" s="29">
        <v>5.6</v>
      </c>
      <c r="AM659" s="25" t="s">
        <v>185</v>
      </c>
      <c r="AN659" s="29" t="s">
        <v>166</v>
      </c>
      <c r="AO659" s="29" t="s">
        <v>166</v>
      </c>
      <c r="AP659" s="25" t="s">
        <v>166</v>
      </c>
      <c r="AQ659" s="32" t="s">
        <v>166</v>
      </c>
      <c r="AR659" s="32" t="s">
        <v>166</v>
      </c>
      <c r="AS659" s="28" t="s">
        <v>166</v>
      </c>
      <c r="AT659" s="29">
        <v>5.6</v>
      </c>
      <c r="AU659" s="32" t="s">
        <v>186</v>
      </c>
      <c r="AV659" s="32" t="s">
        <v>166</v>
      </c>
      <c r="AW659" s="29" t="s">
        <v>166</v>
      </c>
      <c r="AX659" s="32" t="s">
        <v>166</v>
      </c>
      <c r="AY659" s="25" t="s">
        <v>217</v>
      </c>
      <c r="AZ659" s="25" t="s">
        <v>217</v>
      </c>
      <c r="BA659" s="25" t="s">
        <v>166</v>
      </c>
      <c r="BB659" s="32" t="s">
        <v>166</v>
      </c>
      <c r="BC659" s="25" t="s">
        <v>179</v>
      </c>
      <c r="BD659" s="25" t="s">
        <v>12656</v>
      </c>
      <c r="BE659" s="25" t="s">
        <v>189</v>
      </c>
      <c r="BF659" s="29">
        <v>5.6</v>
      </c>
      <c r="BG659" s="25" t="s">
        <v>190</v>
      </c>
      <c r="BH659" s="25" t="s">
        <v>166</v>
      </c>
      <c r="BI659" s="25" t="s">
        <v>166</v>
      </c>
      <c r="BJ659" s="29" t="s">
        <v>166</v>
      </c>
      <c r="BK659" s="29" t="s">
        <v>166</v>
      </c>
      <c r="BL659" s="25" t="s">
        <v>191</v>
      </c>
      <c r="BM659" s="25" t="s">
        <v>358</v>
      </c>
      <c r="BN659" s="25" t="s">
        <v>177</v>
      </c>
      <c r="BO659" s="33" t="s">
        <v>166</v>
      </c>
      <c r="BP659" s="25" t="s">
        <v>12644</v>
      </c>
      <c r="BQ659" s="32">
        <v>7</v>
      </c>
      <c r="BR659" s="25" t="s">
        <v>166</v>
      </c>
      <c r="BS659" s="32" t="s">
        <v>166</v>
      </c>
      <c r="BT659" s="25" t="s">
        <v>952</v>
      </c>
      <c r="BU659" s="25" t="s">
        <v>166</v>
      </c>
      <c r="BV659" s="25" t="s">
        <v>166</v>
      </c>
      <c r="BW659" s="25" t="s">
        <v>166</v>
      </c>
      <c r="BX659" s="25" t="s">
        <v>166</v>
      </c>
      <c r="BY659" s="25" t="s">
        <v>166</v>
      </c>
      <c r="BZ659" s="25" t="s">
        <v>12657</v>
      </c>
      <c r="CA659" s="25" t="s">
        <v>12657</v>
      </c>
      <c r="CB659" s="25" t="s">
        <v>166</v>
      </c>
      <c r="CC659" s="25" t="s">
        <v>166</v>
      </c>
      <c r="CD659" s="25" t="s">
        <v>166</v>
      </c>
      <c r="CE659" s="29" t="s">
        <v>166</v>
      </c>
      <c r="CF659" s="27" t="s">
        <v>166</v>
      </c>
      <c r="CG659" s="28" t="s">
        <v>166</v>
      </c>
      <c r="CH659" s="27" t="s">
        <v>166</v>
      </c>
      <c r="CI659" s="27" t="s">
        <v>166</v>
      </c>
      <c r="CJ659" s="27" t="s">
        <v>166</v>
      </c>
      <c r="CK659" s="27" t="s">
        <v>166</v>
      </c>
      <c r="CL659" s="27" t="s">
        <v>166</v>
      </c>
      <c r="CM659" s="31" t="s">
        <v>166</v>
      </c>
      <c r="CN659" s="27" t="s">
        <v>166</v>
      </c>
      <c r="CO659" s="27" t="s">
        <v>166</v>
      </c>
      <c r="CP659" s="27" t="s">
        <v>166</v>
      </c>
      <c r="CQ659" s="27" t="s">
        <v>166</v>
      </c>
      <c r="CR659" s="27" t="s">
        <v>166</v>
      </c>
      <c r="CS659" s="27" t="s">
        <v>166</v>
      </c>
      <c r="CT659" s="27" t="s">
        <v>166</v>
      </c>
      <c r="CU659" s="27" t="s">
        <v>166</v>
      </c>
      <c r="CV659" s="27" t="s">
        <v>166</v>
      </c>
      <c r="CW659" s="27" t="s">
        <v>166</v>
      </c>
      <c r="CX659" s="27" t="s">
        <v>166</v>
      </c>
      <c r="CY659" s="27" t="s">
        <v>166</v>
      </c>
      <c r="CZ659" s="27" t="s">
        <v>166</v>
      </c>
      <c r="DA659" s="27" t="s">
        <v>166</v>
      </c>
      <c r="DB659" s="27" t="s">
        <v>166</v>
      </c>
      <c r="DC659" s="27" t="s">
        <v>166</v>
      </c>
      <c r="DD659" s="27" t="s">
        <v>166</v>
      </c>
      <c r="DE659" s="28" t="s">
        <v>166</v>
      </c>
      <c r="DF659" s="33">
        <v>8</v>
      </c>
      <c r="DG659" s="25" t="s">
        <v>309</v>
      </c>
      <c r="DH659" s="25" t="s">
        <v>193</v>
      </c>
      <c r="DI659" s="25" t="s">
        <v>194</v>
      </c>
      <c r="DJ659" s="25" t="s">
        <v>310</v>
      </c>
      <c r="DK659" s="25" t="s">
        <v>310</v>
      </c>
      <c r="DL659" s="32" t="s">
        <v>9717</v>
      </c>
      <c r="DM659" s="25" t="s">
        <v>198</v>
      </c>
      <c r="DN659" s="24" t="s">
        <v>12658</v>
      </c>
      <c r="DO659" s="31">
        <v>2022</v>
      </c>
      <c r="DP659" s="25" t="s">
        <v>166</v>
      </c>
      <c r="DQ659" s="25" t="s">
        <v>166</v>
      </c>
      <c r="DR659" s="29" t="s">
        <v>166</v>
      </c>
      <c r="DS659" s="27" t="s">
        <v>166</v>
      </c>
      <c r="DT659" s="30" t="s">
        <v>166</v>
      </c>
      <c r="DU659" s="25" t="s">
        <v>166</v>
      </c>
      <c r="DV659" s="29" t="s">
        <v>166</v>
      </c>
      <c r="DW659" s="29" t="s">
        <v>166</v>
      </c>
      <c r="DX659" s="27" t="s">
        <v>166</v>
      </c>
      <c r="DY659" s="27" t="s">
        <v>166</v>
      </c>
      <c r="DZ659" s="28" t="s">
        <v>166</v>
      </c>
      <c r="EA659" s="27" t="s">
        <v>166</v>
      </c>
      <c r="EB659" s="27" t="s">
        <v>166</v>
      </c>
      <c r="EC659" s="27" t="s">
        <v>166</v>
      </c>
      <c r="ED659" s="28" t="s">
        <v>166</v>
      </c>
      <c r="EE659" s="28" t="s">
        <v>166</v>
      </c>
      <c r="EF659" s="28" t="s">
        <v>166</v>
      </c>
      <c r="EG659" s="28" t="s">
        <v>166</v>
      </c>
      <c r="EH659" s="27" t="s">
        <v>166</v>
      </c>
      <c r="EI659" s="27" t="s">
        <v>166</v>
      </c>
      <c r="EJ659" s="27" t="s">
        <v>166</v>
      </c>
      <c r="EK659" s="27" t="s">
        <v>166</v>
      </c>
      <c r="EL659" s="27" t="s">
        <v>166</v>
      </c>
      <c r="EM659" s="27" t="s">
        <v>166</v>
      </c>
      <c r="EN659" s="27" t="s">
        <v>166</v>
      </c>
      <c r="EO659" s="27" t="s">
        <v>166</v>
      </c>
      <c r="EP659" s="27" t="s">
        <v>166</v>
      </c>
      <c r="EQ659" s="27" t="s">
        <v>166</v>
      </c>
      <c r="ER659" s="27" t="s">
        <v>166</v>
      </c>
      <c r="ES659" s="27" t="s">
        <v>166</v>
      </c>
      <c r="ET659" s="25" t="s">
        <v>166</v>
      </c>
      <c r="EU659" s="27" t="s">
        <v>166</v>
      </c>
      <c r="EV659" s="27" t="s">
        <v>166</v>
      </c>
      <c r="EW659" s="27" t="s">
        <v>166</v>
      </c>
      <c r="EX659" s="25" t="s">
        <v>190</v>
      </c>
      <c r="EY659" s="25" t="s">
        <v>166</v>
      </c>
      <c r="EZ659" s="27" t="s">
        <v>166</v>
      </c>
      <c r="FA659" s="26" t="s">
        <v>166</v>
      </c>
      <c r="FB659" s="26" t="s">
        <v>166</v>
      </c>
      <c r="FC659" s="26" t="s">
        <v>166</v>
      </c>
      <c r="FD659" s="26" t="s">
        <v>166</v>
      </c>
      <c r="FE659" s="26" t="s">
        <v>166</v>
      </c>
      <c r="FF659" s="26" t="s">
        <v>166</v>
      </c>
      <c r="FG659" s="25" t="s">
        <v>166</v>
      </c>
      <c r="FH659" s="4">
        <f>HYPERLINK("https://my.pitchbook.com?c=202505-59T","View Company Online")</f>
      </c>
    </row>
    <row r="660">
      <c r="A660" s="14" t="s">
        <v>12659</v>
      </c>
      <c r="B660" s="14" t="s">
        <v>12660</v>
      </c>
      <c r="C660" s="14" t="s">
        <v>12661</v>
      </c>
      <c r="D660" s="14" t="s">
        <v>166</v>
      </c>
      <c r="E660" s="23" t="s">
        <v>12662</v>
      </c>
      <c r="F660" s="21">
        <v>3</v>
      </c>
      <c r="G660" s="14" t="s">
        <v>12663</v>
      </c>
      <c r="H660" s="14" t="s">
        <v>166</v>
      </c>
      <c r="I660" s="14" t="s">
        <v>12664</v>
      </c>
      <c r="J660" s="14" t="s">
        <v>12665</v>
      </c>
      <c r="K660" s="14" t="s">
        <v>1500</v>
      </c>
      <c r="L660" s="14" t="s">
        <v>2200</v>
      </c>
      <c r="M660" s="14" t="s">
        <v>2201</v>
      </c>
      <c r="N660" s="14" t="s">
        <v>2202</v>
      </c>
      <c r="O660" s="14" t="s">
        <v>7471</v>
      </c>
      <c r="P660" s="14" t="s">
        <v>12666</v>
      </c>
      <c r="Q660" s="14" t="s">
        <v>166</v>
      </c>
      <c r="R660" s="14" t="s">
        <v>177</v>
      </c>
      <c r="S660" s="14" t="s">
        <v>178</v>
      </c>
      <c r="T660" s="14" t="s">
        <v>179</v>
      </c>
      <c r="U660" s="14" t="s">
        <v>12667</v>
      </c>
      <c r="V660" s="14" t="s">
        <v>12668</v>
      </c>
      <c r="W660" s="21" t="s">
        <v>166</v>
      </c>
      <c r="X660" s="14" t="s">
        <v>12669</v>
      </c>
      <c r="Y660" s="14" t="s">
        <v>12670</v>
      </c>
      <c r="Z660" s="14" t="s">
        <v>166</v>
      </c>
      <c r="AA660" s="14" t="s">
        <v>242</v>
      </c>
      <c r="AB660" s="14" t="s">
        <v>243</v>
      </c>
      <c r="AC660" s="14" t="s">
        <v>244</v>
      </c>
      <c r="AD660" s="14" t="s">
        <v>243</v>
      </c>
      <c r="AE660" s="14" t="s">
        <v>243</v>
      </c>
      <c r="AF660" s="14" t="s">
        <v>245</v>
      </c>
      <c r="AG660" s="14" t="s">
        <v>246</v>
      </c>
      <c r="AH660" s="21">
        <v>2</v>
      </c>
      <c r="AI660" s="3">
        <f>HYPERLINK("https://my.pitchbook.com/?d=274942-18T","274942-18T")</f>
      </c>
      <c r="AJ660" s="19">
        <v>45572</v>
      </c>
      <c r="AK660" s="19">
        <v>45586</v>
      </c>
      <c r="AL660" s="18">
        <v>13.11</v>
      </c>
      <c r="AM660" s="14" t="s">
        <v>185</v>
      </c>
      <c r="AN660" s="18">
        <v>5</v>
      </c>
      <c r="AO660" s="18">
        <v>18.11</v>
      </c>
      <c r="AP660" s="14" t="s">
        <v>185</v>
      </c>
      <c r="AQ660" s="21" t="s">
        <v>166</v>
      </c>
      <c r="AR660" s="21" t="s">
        <v>166</v>
      </c>
      <c r="AS660" s="17">
        <v>72.39</v>
      </c>
      <c r="AT660" s="18">
        <v>13.11</v>
      </c>
      <c r="AU660" s="21" t="s">
        <v>186</v>
      </c>
      <c r="AV660" s="21" t="s">
        <v>166</v>
      </c>
      <c r="AW660" s="18">
        <v>12.1</v>
      </c>
      <c r="AX660" s="21" t="s">
        <v>248</v>
      </c>
      <c r="AY660" s="14" t="s">
        <v>187</v>
      </c>
      <c r="AZ660" s="14" t="s">
        <v>248</v>
      </c>
      <c r="BA660" s="14" t="s">
        <v>166</v>
      </c>
      <c r="BB660" s="21" t="s">
        <v>166</v>
      </c>
      <c r="BC660" s="14" t="s">
        <v>179</v>
      </c>
      <c r="BD660" s="14" t="s">
        <v>12671</v>
      </c>
      <c r="BE660" s="14" t="s">
        <v>189</v>
      </c>
      <c r="BF660" s="18">
        <v>13.11</v>
      </c>
      <c r="BG660" s="14" t="s">
        <v>190</v>
      </c>
      <c r="BH660" s="14" t="s">
        <v>166</v>
      </c>
      <c r="BI660" s="14" t="s">
        <v>166</v>
      </c>
      <c r="BJ660" s="18" t="s">
        <v>166</v>
      </c>
      <c r="BK660" s="18" t="s">
        <v>166</v>
      </c>
      <c r="BL660" s="14" t="s">
        <v>191</v>
      </c>
      <c r="BM660" s="14" t="s">
        <v>178</v>
      </c>
      <c r="BN660" s="14" t="s">
        <v>177</v>
      </c>
      <c r="BO660" s="22" t="s">
        <v>166</v>
      </c>
      <c r="BP660" s="14" t="s">
        <v>12662</v>
      </c>
      <c r="BQ660" s="21">
        <v>3</v>
      </c>
      <c r="BR660" s="14" t="s">
        <v>166</v>
      </c>
      <c r="BS660" s="21" t="s">
        <v>166</v>
      </c>
      <c r="BT660" s="14" t="s">
        <v>12672</v>
      </c>
      <c r="BU660" s="14" t="s">
        <v>166</v>
      </c>
      <c r="BV660" s="14" t="s">
        <v>12673</v>
      </c>
      <c r="BW660" s="14" t="s">
        <v>166</v>
      </c>
      <c r="BX660" s="14" t="s">
        <v>166</v>
      </c>
      <c r="BY660" s="14" t="s">
        <v>166</v>
      </c>
      <c r="BZ660" s="14" t="s">
        <v>166</v>
      </c>
      <c r="CA660" s="14" t="s">
        <v>166</v>
      </c>
      <c r="CB660" s="14" t="s">
        <v>166</v>
      </c>
      <c r="CC660" s="14" t="s">
        <v>166</v>
      </c>
      <c r="CD660" s="14" t="s">
        <v>166</v>
      </c>
      <c r="CE660" s="18" t="s">
        <v>166</v>
      </c>
      <c r="CF660" s="16" t="s">
        <v>166</v>
      </c>
      <c r="CG660" s="17" t="s">
        <v>166</v>
      </c>
      <c r="CH660" s="16" t="s">
        <v>166</v>
      </c>
      <c r="CI660" s="16" t="s">
        <v>166</v>
      </c>
      <c r="CJ660" s="16" t="s">
        <v>166</v>
      </c>
      <c r="CK660" s="16" t="s">
        <v>166</v>
      </c>
      <c r="CL660" s="16" t="s">
        <v>166</v>
      </c>
      <c r="CM660" s="20" t="s">
        <v>166</v>
      </c>
      <c r="CN660" s="16" t="s">
        <v>166</v>
      </c>
      <c r="CO660" s="16" t="s">
        <v>166</v>
      </c>
      <c r="CP660" s="16" t="s">
        <v>166</v>
      </c>
      <c r="CQ660" s="16" t="s">
        <v>166</v>
      </c>
      <c r="CR660" s="16" t="s">
        <v>166</v>
      </c>
      <c r="CS660" s="16" t="s">
        <v>166</v>
      </c>
      <c r="CT660" s="16" t="s">
        <v>166</v>
      </c>
      <c r="CU660" s="16" t="s">
        <v>166</v>
      </c>
      <c r="CV660" s="16" t="s">
        <v>166</v>
      </c>
      <c r="CW660" s="16" t="s">
        <v>166</v>
      </c>
      <c r="CX660" s="16" t="s">
        <v>166</v>
      </c>
      <c r="CY660" s="16" t="s">
        <v>166</v>
      </c>
      <c r="CZ660" s="16" t="s">
        <v>166</v>
      </c>
      <c r="DA660" s="16" t="s">
        <v>166</v>
      </c>
      <c r="DB660" s="16" t="s">
        <v>166</v>
      </c>
      <c r="DC660" s="16" t="s">
        <v>166</v>
      </c>
      <c r="DD660" s="16" t="s">
        <v>166</v>
      </c>
      <c r="DE660" s="17" t="s">
        <v>166</v>
      </c>
      <c r="DF660" s="22">
        <v>14</v>
      </c>
      <c r="DG660" s="14" t="s">
        <v>309</v>
      </c>
      <c r="DH660" s="14" t="s">
        <v>193</v>
      </c>
      <c r="DI660" s="14" t="s">
        <v>194</v>
      </c>
      <c r="DJ660" s="14" t="s">
        <v>310</v>
      </c>
      <c r="DK660" s="14" t="s">
        <v>310</v>
      </c>
      <c r="DL660" s="21" t="s">
        <v>166</v>
      </c>
      <c r="DM660" s="14" t="s">
        <v>198</v>
      </c>
      <c r="DN660" s="13" t="s">
        <v>12674</v>
      </c>
      <c r="DO660" s="20">
        <v>2021</v>
      </c>
      <c r="DP660" s="14" t="s">
        <v>166</v>
      </c>
      <c r="DQ660" s="14" t="s">
        <v>166</v>
      </c>
      <c r="DR660" s="18" t="s">
        <v>166</v>
      </c>
      <c r="DS660" s="16" t="s">
        <v>166</v>
      </c>
      <c r="DT660" s="19" t="s">
        <v>166</v>
      </c>
      <c r="DU660" s="14" t="s">
        <v>166</v>
      </c>
      <c r="DV660" s="18" t="s">
        <v>166</v>
      </c>
      <c r="DW660" s="18" t="s">
        <v>166</v>
      </c>
      <c r="DX660" s="16" t="s">
        <v>166</v>
      </c>
      <c r="DY660" s="16" t="s">
        <v>166</v>
      </c>
      <c r="DZ660" s="17" t="s">
        <v>166</v>
      </c>
      <c r="EA660" s="16" t="s">
        <v>166</v>
      </c>
      <c r="EB660" s="16" t="s">
        <v>166</v>
      </c>
      <c r="EC660" s="16" t="s">
        <v>166</v>
      </c>
      <c r="ED660" s="17" t="s">
        <v>166</v>
      </c>
      <c r="EE660" s="17" t="s">
        <v>166</v>
      </c>
      <c r="EF660" s="17" t="s">
        <v>166</v>
      </c>
      <c r="EG660" s="17" t="s">
        <v>166</v>
      </c>
      <c r="EH660" s="16" t="s">
        <v>166</v>
      </c>
      <c r="EI660" s="16" t="s">
        <v>166</v>
      </c>
      <c r="EJ660" s="16" t="s">
        <v>166</v>
      </c>
      <c r="EK660" s="16" t="s">
        <v>166</v>
      </c>
      <c r="EL660" s="16" t="s">
        <v>166</v>
      </c>
      <c r="EM660" s="16" t="s">
        <v>166</v>
      </c>
      <c r="EN660" s="16" t="s">
        <v>166</v>
      </c>
      <c r="EO660" s="16" t="s">
        <v>166</v>
      </c>
      <c r="EP660" s="16" t="s">
        <v>166</v>
      </c>
      <c r="EQ660" s="16" t="s">
        <v>166</v>
      </c>
      <c r="ER660" s="16" t="s">
        <v>166</v>
      </c>
      <c r="ES660" s="16" t="s">
        <v>166</v>
      </c>
      <c r="ET660" s="14" t="s">
        <v>166</v>
      </c>
      <c r="EU660" s="16" t="s">
        <v>166</v>
      </c>
      <c r="EV660" s="16" t="s">
        <v>166</v>
      </c>
      <c r="EW660" s="16" t="s">
        <v>166</v>
      </c>
      <c r="EX660" s="14" t="s">
        <v>190</v>
      </c>
      <c r="EY660" s="14" t="s">
        <v>166</v>
      </c>
      <c r="EZ660" s="16" t="s">
        <v>166</v>
      </c>
      <c r="FA660" s="15" t="s">
        <v>166</v>
      </c>
      <c r="FB660" s="15" t="s">
        <v>166</v>
      </c>
      <c r="FC660" s="15" t="s">
        <v>166</v>
      </c>
      <c r="FD660" s="15" t="s">
        <v>166</v>
      </c>
      <c r="FE660" s="15" t="s">
        <v>166</v>
      </c>
      <c r="FF660" s="15" t="s">
        <v>166</v>
      </c>
      <c r="FG660" s="14" t="s">
        <v>166</v>
      </c>
      <c r="FH660" s="3">
        <f>HYPERLINK("https://my.pitchbook.com?c=274942-18T","View Company Online")</f>
      </c>
    </row>
    <row r="661">
      <c r="A661" s="25" t="s">
        <v>12675</v>
      </c>
      <c r="B661" s="25" t="s">
        <v>12676</v>
      </c>
      <c r="C661" s="25" t="s">
        <v>12677</v>
      </c>
      <c r="D661" s="25" t="s">
        <v>166</v>
      </c>
      <c r="E661" s="34" t="s">
        <v>12678</v>
      </c>
      <c r="F661" s="32">
        <v>8</v>
      </c>
      <c r="G661" s="25" t="s">
        <v>12679</v>
      </c>
      <c r="H661" s="25" t="s">
        <v>166</v>
      </c>
      <c r="I661" s="25" t="s">
        <v>12680</v>
      </c>
      <c r="J661" s="25" t="s">
        <v>12681</v>
      </c>
      <c r="K661" s="25" t="s">
        <v>171</v>
      </c>
      <c r="L661" s="25" t="s">
        <v>172</v>
      </c>
      <c r="M661" s="25" t="s">
        <v>5251</v>
      </c>
      <c r="N661" s="25" t="s">
        <v>12682</v>
      </c>
      <c r="O661" s="25" t="s">
        <v>9141</v>
      </c>
      <c r="P661" s="25" t="s">
        <v>12683</v>
      </c>
      <c r="Q661" s="25" t="s">
        <v>166</v>
      </c>
      <c r="R661" s="25" t="s">
        <v>177</v>
      </c>
      <c r="S661" s="25" t="s">
        <v>178</v>
      </c>
      <c r="T661" s="25" t="s">
        <v>179</v>
      </c>
      <c r="U661" s="25" t="s">
        <v>12684</v>
      </c>
      <c r="V661" s="25" t="s">
        <v>12685</v>
      </c>
      <c r="W661" s="32" t="s">
        <v>12686</v>
      </c>
      <c r="X661" s="25" t="s">
        <v>12687</v>
      </c>
      <c r="Y661" s="25" t="s">
        <v>12688</v>
      </c>
      <c r="Z661" s="25" t="s">
        <v>12689</v>
      </c>
      <c r="AA661" s="25" t="s">
        <v>242</v>
      </c>
      <c r="AB661" s="25" t="s">
        <v>243</v>
      </c>
      <c r="AC661" s="25" t="s">
        <v>244</v>
      </c>
      <c r="AD661" s="25" t="s">
        <v>243</v>
      </c>
      <c r="AE661" s="25" t="s">
        <v>243</v>
      </c>
      <c r="AF661" s="25" t="s">
        <v>166</v>
      </c>
      <c r="AG661" s="25" t="s">
        <v>246</v>
      </c>
      <c r="AH661" s="32">
        <v>1</v>
      </c>
      <c r="AI661" s="4">
        <f>HYPERLINK("https://my.pitchbook.com/?d=133431-94T","133431-94T")</f>
      </c>
      <c r="AJ661" s="30" t="s">
        <v>166</v>
      </c>
      <c r="AK661" s="30">
        <v>43902</v>
      </c>
      <c r="AL661" s="29">
        <v>2.7</v>
      </c>
      <c r="AM661" s="25" t="s">
        <v>185</v>
      </c>
      <c r="AN661" s="29">
        <v>3.8</v>
      </c>
      <c r="AO661" s="29">
        <v>6.5</v>
      </c>
      <c r="AP661" s="25" t="s">
        <v>185</v>
      </c>
      <c r="AQ661" s="32" t="s">
        <v>166</v>
      </c>
      <c r="AR661" s="32" t="s">
        <v>166</v>
      </c>
      <c r="AS661" s="28">
        <v>41.54</v>
      </c>
      <c r="AT661" s="29">
        <v>2.7</v>
      </c>
      <c r="AU661" s="32" t="s">
        <v>186</v>
      </c>
      <c r="AV661" s="32" t="s">
        <v>166</v>
      </c>
      <c r="AW661" s="29">
        <v>2.69</v>
      </c>
      <c r="AX661" s="32" t="s">
        <v>166</v>
      </c>
      <c r="AY661" s="25" t="s">
        <v>217</v>
      </c>
      <c r="AZ661" s="25" t="s">
        <v>217</v>
      </c>
      <c r="BA661" s="25" t="s">
        <v>166</v>
      </c>
      <c r="BB661" s="32" t="s">
        <v>166</v>
      </c>
      <c r="BC661" s="25" t="s">
        <v>179</v>
      </c>
      <c r="BD661" s="25" t="s">
        <v>12690</v>
      </c>
      <c r="BE661" s="25" t="s">
        <v>189</v>
      </c>
      <c r="BF661" s="29">
        <v>2.7</v>
      </c>
      <c r="BG661" s="25" t="s">
        <v>190</v>
      </c>
      <c r="BH661" s="25" t="s">
        <v>166</v>
      </c>
      <c r="BI661" s="25" t="s">
        <v>166</v>
      </c>
      <c r="BJ661" s="29" t="s">
        <v>166</v>
      </c>
      <c r="BK661" s="29" t="s">
        <v>166</v>
      </c>
      <c r="BL661" s="25" t="s">
        <v>191</v>
      </c>
      <c r="BM661" s="25" t="s">
        <v>178</v>
      </c>
      <c r="BN661" s="25" t="s">
        <v>177</v>
      </c>
      <c r="BO661" s="33" t="s">
        <v>166</v>
      </c>
      <c r="BP661" s="25" t="s">
        <v>12678</v>
      </c>
      <c r="BQ661" s="32">
        <v>8</v>
      </c>
      <c r="BR661" s="25" t="s">
        <v>166</v>
      </c>
      <c r="BS661" s="32" t="s">
        <v>166</v>
      </c>
      <c r="BT661" s="25" t="s">
        <v>12691</v>
      </c>
      <c r="BU661" s="25" t="s">
        <v>166</v>
      </c>
      <c r="BV661" s="25" t="s">
        <v>12692</v>
      </c>
      <c r="BW661" s="25" t="s">
        <v>166</v>
      </c>
      <c r="BX661" s="25" t="s">
        <v>166</v>
      </c>
      <c r="BY661" s="25" t="s">
        <v>166</v>
      </c>
      <c r="BZ661" s="25" t="s">
        <v>166</v>
      </c>
      <c r="CA661" s="25" t="s">
        <v>166</v>
      </c>
      <c r="CB661" s="25" t="s">
        <v>166</v>
      </c>
      <c r="CC661" s="25" t="s">
        <v>166</v>
      </c>
      <c r="CD661" s="25" t="s">
        <v>166</v>
      </c>
      <c r="CE661" s="29" t="s">
        <v>166</v>
      </c>
      <c r="CF661" s="27" t="s">
        <v>166</v>
      </c>
      <c r="CG661" s="28" t="s">
        <v>166</v>
      </c>
      <c r="CH661" s="27" t="s">
        <v>166</v>
      </c>
      <c r="CI661" s="27" t="s">
        <v>166</v>
      </c>
      <c r="CJ661" s="27" t="s">
        <v>166</v>
      </c>
      <c r="CK661" s="27" t="s">
        <v>166</v>
      </c>
      <c r="CL661" s="27" t="s">
        <v>166</v>
      </c>
      <c r="CM661" s="31" t="s">
        <v>166</v>
      </c>
      <c r="CN661" s="27" t="s">
        <v>166</v>
      </c>
      <c r="CO661" s="27" t="s">
        <v>166</v>
      </c>
      <c r="CP661" s="27" t="s">
        <v>166</v>
      </c>
      <c r="CQ661" s="27" t="s">
        <v>166</v>
      </c>
      <c r="CR661" s="27" t="s">
        <v>166</v>
      </c>
      <c r="CS661" s="27" t="s">
        <v>166</v>
      </c>
      <c r="CT661" s="27" t="s">
        <v>166</v>
      </c>
      <c r="CU661" s="27" t="s">
        <v>166</v>
      </c>
      <c r="CV661" s="27" t="s">
        <v>166</v>
      </c>
      <c r="CW661" s="27" t="s">
        <v>166</v>
      </c>
      <c r="CX661" s="27" t="s">
        <v>166</v>
      </c>
      <c r="CY661" s="27" t="s">
        <v>166</v>
      </c>
      <c r="CZ661" s="27" t="s">
        <v>166</v>
      </c>
      <c r="DA661" s="27" t="s">
        <v>166</v>
      </c>
      <c r="DB661" s="27" t="s">
        <v>166</v>
      </c>
      <c r="DC661" s="27" t="s">
        <v>166</v>
      </c>
      <c r="DD661" s="27" t="s">
        <v>166</v>
      </c>
      <c r="DE661" s="28" t="s">
        <v>166</v>
      </c>
      <c r="DF661" s="33">
        <v>40</v>
      </c>
      <c r="DG661" s="25" t="s">
        <v>673</v>
      </c>
      <c r="DH661" s="25" t="s">
        <v>193</v>
      </c>
      <c r="DI661" s="25" t="s">
        <v>194</v>
      </c>
      <c r="DJ661" s="25" t="s">
        <v>674</v>
      </c>
      <c r="DK661" s="25" t="s">
        <v>257</v>
      </c>
      <c r="DL661" s="32" t="s">
        <v>7048</v>
      </c>
      <c r="DM661" s="25" t="s">
        <v>198</v>
      </c>
      <c r="DN661" s="24" t="s">
        <v>12693</v>
      </c>
      <c r="DO661" s="31">
        <v>2019</v>
      </c>
      <c r="DP661" s="25" t="s">
        <v>166</v>
      </c>
      <c r="DQ661" s="25" t="s">
        <v>166</v>
      </c>
      <c r="DR661" s="29" t="s">
        <v>166</v>
      </c>
      <c r="DS661" s="27" t="s">
        <v>166</v>
      </c>
      <c r="DT661" s="30" t="s">
        <v>166</v>
      </c>
      <c r="DU661" s="25" t="s">
        <v>166</v>
      </c>
      <c r="DV661" s="29" t="s">
        <v>166</v>
      </c>
      <c r="DW661" s="29" t="s">
        <v>166</v>
      </c>
      <c r="DX661" s="27" t="s">
        <v>166</v>
      </c>
      <c r="DY661" s="27" t="s">
        <v>166</v>
      </c>
      <c r="DZ661" s="28" t="s">
        <v>166</v>
      </c>
      <c r="EA661" s="27" t="s">
        <v>166</v>
      </c>
      <c r="EB661" s="27" t="s">
        <v>166</v>
      </c>
      <c r="EC661" s="27" t="s">
        <v>166</v>
      </c>
      <c r="ED661" s="28" t="s">
        <v>166</v>
      </c>
      <c r="EE661" s="28" t="s">
        <v>166</v>
      </c>
      <c r="EF661" s="28" t="s">
        <v>166</v>
      </c>
      <c r="EG661" s="28" t="s">
        <v>166</v>
      </c>
      <c r="EH661" s="27" t="s">
        <v>166</v>
      </c>
      <c r="EI661" s="27" t="s">
        <v>166</v>
      </c>
      <c r="EJ661" s="27" t="s">
        <v>166</v>
      </c>
      <c r="EK661" s="27" t="s">
        <v>166</v>
      </c>
      <c r="EL661" s="27" t="s">
        <v>166</v>
      </c>
      <c r="EM661" s="27" t="s">
        <v>166</v>
      </c>
      <c r="EN661" s="27" t="s">
        <v>166</v>
      </c>
      <c r="EO661" s="27" t="s">
        <v>166</v>
      </c>
      <c r="EP661" s="27" t="s">
        <v>166</v>
      </c>
      <c r="EQ661" s="27" t="s">
        <v>166</v>
      </c>
      <c r="ER661" s="27" t="s">
        <v>166</v>
      </c>
      <c r="ES661" s="27" t="s">
        <v>166</v>
      </c>
      <c r="ET661" s="25" t="s">
        <v>166</v>
      </c>
      <c r="EU661" s="27" t="s">
        <v>166</v>
      </c>
      <c r="EV661" s="27" t="s">
        <v>166</v>
      </c>
      <c r="EW661" s="27" t="s">
        <v>166</v>
      </c>
      <c r="EX661" s="25" t="s">
        <v>190</v>
      </c>
      <c r="EY661" s="25" t="s">
        <v>166</v>
      </c>
      <c r="EZ661" s="27" t="s">
        <v>166</v>
      </c>
      <c r="FA661" s="26" t="s">
        <v>166</v>
      </c>
      <c r="FB661" s="26" t="s">
        <v>166</v>
      </c>
      <c r="FC661" s="26" t="s">
        <v>166</v>
      </c>
      <c r="FD661" s="26" t="s">
        <v>166</v>
      </c>
      <c r="FE661" s="26" t="s">
        <v>166</v>
      </c>
      <c r="FF661" s="26" t="s">
        <v>166</v>
      </c>
      <c r="FG661" s="25" t="s">
        <v>166</v>
      </c>
      <c r="FH661" s="4">
        <f>HYPERLINK("https://my.pitchbook.com?c=133431-94T","View Company Online")</f>
      </c>
    </row>
    <row r="662">
      <c r="A662" s="14" t="s">
        <v>12694</v>
      </c>
      <c r="B662" s="14" t="s">
        <v>12695</v>
      </c>
      <c r="C662" s="14" t="s">
        <v>12696</v>
      </c>
      <c r="D662" s="14" t="s">
        <v>166</v>
      </c>
      <c r="E662" s="23" t="s">
        <v>12697</v>
      </c>
      <c r="F662" s="21">
        <v>5</v>
      </c>
      <c r="G662" s="14" t="s">
        <v>12698</v>
      </c>
      <c r="H662" s="14" t="s">
        <v>166</v>
      </c>
      <c r="I662" s="14" t="s">
        <v>12699</v>
      </c>
      <c r="J662" s="14" t="s">
        <v>12700</v>
      </c>
      <c r="K662" s="14" t="s">
        <v>207</v>
      </c>
      <c r="L662" s="14" t="s">
        <v>208</v>
      </c>
      <c r="M662" s="14" t="s">
        <v>209</v>
      </c>
      <c r="N662" s="14" t="s">
        <v>12701</v>
      </c>
      <c r="O662" s="14" t="s">
        <v>3583</v>
      </c>
      <c r="P662" s="14" t="s">
        <v>12702</v>
      </c>
      <c r="Q662" s="14" t="s">
        <v>12703</v>
      </c>
      <c r="R662" s="14" t="s">
        <v>177</v>
      </c>
      <c r="S662" s="14" t="s">
        <v>178</v>
      </c>
      <c r="T662" s="14" t="s">
        <v>179</v>
      </c>
      <c r="U662" s="14" t="s">
        <v>12704</v>
      </c>
      <c r="V662" s="14" t="s">
        <v>12705</v>
      </c>
      <c r="W662" s="21" t="s">
        <v>166</v>
      </c>
      <c r="X662" s="14" t="s">
        <v>12706</v>
      </c>
      <c r="Y662" s="14" t="s">
        <v>12707</v>
      </c>
      <c r="Z662" s="14" t="s">
        <v>166</v>
      </c>
      <c r="AA662" s="14" t="s">
        <v>166</v>
      </c>
      <c r="AB662" s="14" t="s">
        <v>166</v>
      </c>
      <c r="AC662" s="14" t="s">
        <v>166</v>
      </c>
      <c r="AD662" s="14" t="s">
        <v>166</v>
      </c>
      <c r="AE662" s="14" t="s">
        <v>166</v>
      </c>
      <c r="AF662" s="14" t="s">
        <v>166</v>
      </c>
      <c r="AG662" s="14" t="s">
        <v>166</v>
      </c>
      <c r="AH662" s="21">
        <v>5</v>
      </c>
      <c r="AI662" s="3">
        <f>HYPERLINK("https://my.pitchbook.com/?d=252114-94T","252114-94T")</f>
      </c>
      <c r="AJ662" s="19">
        <v>45336</v>
      </c>
      <c r="AK662" s="19">
        <v>45344</v>
      </c>
      <c r="AL662" s="18">
        <v>2.4</v>
      </c>
      <c r="AM662" s="14" t="s">
        <v>185</v>
      </c>
      <c r="AN662" s="18" t="s">
        <v>166</v>
      </c>
      <c r="AO662" s="18" t="s">
        <v>166</v>
      </c>
      <c r="AP662" s="14" t="s">
        <v>166</v>
      </c>
      <c r="AQ662" s="21" t="s">
        <v>166</v>
      </c>
      <c r="AR662" s="21" t="s">
        <v>166</v>
      </c>
      <c r="AS662" s="17" t="s">
        <v>166</v>
      </c>
      <c r="AT662" s="18">
        <v>2.52</v>
      </c>
      <c r="AU662" s="21" t="s">
        <v>186</v>
      </c>
      <c r="AV662" s="21" t="s">
        <v>166</v>
      </c>
      <c r="AW662" s="18" t="s">
        <v>166</v>
      </c>
      <c r="AX662" s="21" t="s">
        <v>166</v>
      </c>
      <c r="AY662" s="14" t="s">
        <v>187</v>
      </c>
      <c r="AZ662" s="14" t="s">
        <v>166</v>
      </c>
      <c r="BA662" s="14" t="s">
        <v>166</v>
      </c>
      <c r="BB662" s="21" t="s">
        <v>166</v>
      </c>
      <c r="BC662" s="14" t="s">
        <v>179</v>
      </c>
      <c r="BD662" s="14" t="s">
        <v>12700</v>
      </c>
      <c r="BE662" s="14" t="s">
        <v>189</v>
      </c>
      <c r="BF662" s="18" t="s">
        <v>166</v>
      </c>
      <c r="BG662" s="14" t="s">
        <v>190</v>
      </c>
      <c r="BH662" s="14" t="s">
        <v>166</v>
      </c>
      <c r="BI662" s="14" t="s">
        <v>166</v>
      </c>
      <c r="BJ662" s="18" t="s">
        <v>166</v>
      </c>
      <c r="BK662" s="18" t="s">
        <v>166</v>
      </c>
      <c r="BL662" s="14" t="s">
        <v>191</v>
      </c>
      <c r="BM662" s="14" t="s">
        <v>178</v>
      </c>
      <c r="BN662" s="14" t="s">
        <v>177</v>
      </c>
      <c r="BO662" s="22" t="s">
        <v>166</v>
      </c>
      <c r="BP662" s="14" t="s">
        <v>12708</v>
      </c>
      <c r="BQ662" s="21">
        <v>4</v>
      </c>
      <c r="BR662" s="14" t="s">
        <v>252</v>
      </c>
      <c r="BS662" s="21">
        <v>1</v>
      </c>
      <c r="BT662" s="14" t="s">
        <v>12709</v>
      </c>
      <c r="BU662" s="14" t="s">
        <v>166</v>
      </c>
      <c r="BV662" s="14" t="s">
        <v>166</v>
      </c>
      <c r="BW662" s="14" t="s">
        <v>166</v>
      </c>
      <c r="BX662" s="14" t="s">
        <v>166</v>
      </c>
      <c r="BY662" s="14" t="s">
        <v>166</v>
      </c>
      <c r="BZ662" s="14" t="s">
        <v>12710</v>
      </c>
      <c r="CA662" s="14" t="s">
        <v>770</v>
      </c>
      <c r="CB662" s="14" t="s">
        <v>166</v>
      </c>
      <c r="CC662" s="14" t="s">
        <v>12711</v>
      </c>
      <c r="CD662" s="14" t="s">
        <v>166</v>
      </c>
      <c r="CE662" s="18" t="s">
        <v>166</v>
      </c>
      <c r="CF662" s="16" t="s">
        <v>166</v>
      </c>
      <c r="CG662" s="17" t="s">
        <v>166</v>
      </c>
      <c r="CH662" s="16" t="s">
        <v>166</v>
      </c>
      <c r="CI662" s="16" t="s">
        <v>166</v>
      </c>
      <c r="CJ662" s="16" t="s">
        <v>166</v>
      </c>
      <c r="CK662" s="16" t="s">
        <v>166</v>
      </c>
      <c r="CL662" s="16" t="s">
        <v>166</v>
      </c>
      <c r="CM662" s="20" t="s">
        <v>166</v>
      </c>
      <c r="CN662" s="16" t="s">
        <v>166</v>
      </c>
      <c r="CO662" s="16" t="s">
        <v>166</v>
      </c>
      <c r="CP662" s="16" t="s">
        <v>166</v>
      </c>
      <c r="CQ662" s="16" t="s">
        <v>166</v>
      </c>
      <c r="CR662" s="16" t="s">
        <v>166</v>
      </c>
      <c r="CS662" s="16" t="s">
        <v>166</v>
      </c>
      <c r="CT662" s="16" t="s">
        <v>166</v>
      </c>
      <c r="CU662" s="16" t="s">
        <v>166</v>
      </c>
      <c r="CV662" s="16" t="s">
        <v>166</v>
      </c>
      <c r="CW662" s="16" t="s">
        <v>166</v>
      </c>
      <c r="CX662" s="16" t="s">
        <v>166</v>
      </c>
      <c r="CY662" s="16" t="s">
        <v>166</v>
      </c>
      <c r="CZ662" s="16" t="s">
        <v>166</v>
      </c>
      <c r="DA662" s="16" t="s">
        <v>166</v>
      </c>
      <c r="DB662" s="16" t="s">
        <v>166</v>
      </c>
      <c r="DC662" s="16" t="s">
        <v>166</v>
      </c>
      <c r="DD662" s="16" t="s">
        <v>166</v>
      </c>
      <c r="DE662" s="17" t="s">
        <v>166</v>
      </c>
      <c r="DF662" s="22">
        <v>10</v>
      </c>
      <c r="DG662" s="14" t="s">
        <v>673</v>
      </c>
      <c r="DH662" s="14" t="s">
        <v>193</v>
      </c>
      <c r="DI662" s="14" t="s">
        <v>194</v>
      </c>
      <c r="DJ662" s="14" t="s">
        <v>674</v>
      </c>
      <c r="DK662" s="14" t="s">
        <v>257</v>
      </c>
      <c r="DL662" s="21" t="s">
        <v>1794</v>
      </c>
      <c r="DM662" s="14" t="s">
        <v>198</v>
      </c>
      <c r="DN662" s="13" t="s">
        <v>12712</v>
      </c>
      <c r="DO662" s="20">
        <v>2022</v>
      </c>
      <c r="DP662" s="14" t="s">
        <v>166</v>
      </c>
      <c r="DQ662" s="14" t="s">
        <v>166</v>
      </c>
      <c r="DR662" s="18" t="s">
        <v>166</v>
      </c>
      <c r="DS662" s="16" t="s">
        <v>166</v>
      </c>
      <c r="DT662" s="19" t="s">
        <v>166</v>
      </c>
      <c r="DU662" s="14" t="s">
        <v>166</v>
      </c>
      <c r="DV662" s="18" t="s">
        <v>166</v>
      </c>
      <c r="DW662" s="18" t="s">
        <v>166</v>
      </c>
      <c r="DX662" s="16" t="s">
        <v>166</v>
      </c>
      <c r="DY662" s="16" t="s">
        <v>166</v>
      </c>
      <c r="DZ662" s="17" t="s">
        <v>166</v>
      </c>
      <c r="EA662" s="16" t="s">
        <v>166</v>
      </c>
      <c r="EB662" s="16" t="s">
        <v>166</v>
      </c>
      <c r="EC662" s="16" t="s">
        <v>166</v>
      </c>
      <c r="ED662" s="17" t="s">
        <v>166</v>
      </c>
      <c r="EE662" s="17" t="s">
        <v>166</v>
      </c>
      <c r="EF662" s="17" t="s">
        <v>166</v>
      </c>
      <c r="EG662" s="17" t="s">
        <v>166</v>
      </c>
      <c r="EH662" s="16" t="s">
        <v>166</v>
      </c>
      <c r="EI662" s="16" t="s">
        <v>166</v>
      </c>
      <c r="EJ662" s="16" t="s">
        <v>166</v>
      </c>
      <c r="EK662" s="16" t="s">
        <v>166</v>
      </c>
      <c r="EL662" s="16" t="s">
        <v>166</v>
      </c>
      <c r="EM662" s="16" t="s">
        <v>166</v>
      </c>
      <c r="EN662" s="16" t="s">
        <v>166</v>
      </c>
      <c r="EO662" s="16" t="s">
        <v>166</v>
      </c>
      <c r="EP662" s="16" t="s">
        <v>166</v>
      </c>
      <c r="EQ662" s="16" t="s">
        <v>166</v>
      </c>
      <c r="ER662" s="16" t="s">
        <v>166</v>
      </c>
      <c r="ES662" s="16" t="s">
        <v>166</v>
      </c>
      <c r="ET662" s="14" t="s">
        <v>166</v>
      </c>
      <c r="EU662" s="16" t="s">
        <v>166</v>
      </c>
      <c r="EV662" s="16" t="s">
        <v>166</v>
      </c>
      <c r="EW662" s="16" t="s">
        <v>166</v>
      </c>
      <c r="EX662" s="14" t="s">
        <v>190</v>
      </c>
      <c r="EY662" s="14" t="s">
        <v>166</v>
      </c>
      <c r="EZ662" s="16" t="s">
        <v>166</v>
      </c>
      <c r="FA662" s="15" t="s">
        <v>166</v>
      </c>
      <c r="FB662" s="15" t="s">
        <v>166</v>
      </c>
      <c r="FC662" s="15" t="s">
        <v>166</v>
      </c>
      <c r="FD662" s="15" t="s">
        <v>166</v>
      </c>
      <c r="FE662" s="15" t="s">
        <v>166</v>
      </c>
      <c r="FF662" s="15" t="s">
        <v>166</v>
      </c>
      <c r="FG662" s="14" t="s">
        <v>166</v>
      </c>
      <c r="FH662" s="3">
        <f>HYPERLINK("https://my.pitchbook.com?c=252114-94T","View Company Online")</f>
      </c>
    </row>
    <row r="663">
      <c r="A663" s="25" t="s">
        <v>12713</v>
      </c>
      <c r="B663" s="25" t="s">
        <v>12714</v>
      </c>
      <c r="C663" s="25" t="s">
        <v>12715</v>
      </c>
      <c r="D663" s="25" t="s">
        <v>166</v>
      </c>
      <c r="E663" s="34" t="s">
        <v>12716</v>
      </c>
      <c r="F663" s="32">
        <v>10</v>
      </c>
      <c r="G663" s="25" t="s">
        <v>12717</v>
      </c>
      <c r="H663" s="25" t="s">
        <v>166</v>
      </c>
      <c r="I663" s="25" t="s">
        <v>12718</v>
      </c>
      <c r="J663" s="25" t="s">
        <v>12719</v>
      </c>
      <c r="K663" s="25" t="s">
        <v>207</v>
      </c>
      <c r="L663" s="25" t="s">
        <v>208</v>
      </c>
      <c r="M663" s="25" t="s">
        <v>209</v>
      </c>
      <c r="N663" s="25" t="s">
        <v>210</v>
      </c>
      <c r="O663" s="25" t="s">
        <v>580</v>
      </c>
      <c r="P663" s="25" t="s">
        <v>12720</v>
      </c>
      <c r="Q663" s="25" t="s">
        <v>166</v>
      </c>
      <c r="R663" s="25" t="s">
        <v>177</v>
      </c>
      <c r="S663" s="25" t="s">
        <v>178</v>
      </c>
      <c r="T663" s="25" t="s">
        <v>179</v>
      </c>
      <c r="U663" s="25" t="s">
        <v>12721</v>
      </c>
      <c r="V663" s="25" t="s">
        <v>12722</v>
      </c>
      <c r="W663" s="32" t="s">
        <v>166</v>
      </c>
      <c r="X663" s="25" t="s">
        <v>12723</v>
      </c>
      <c r="Y663" s="25" t="s">
        <v>12724</v>
      </c>
      <c r="Z663" s="25" t="s">
        <v>166</v>
      </c>
      <c r="AA663" s="25" t="s">
        <v>242</v>
      </c>
      <c r="AB663" s="25" t="s">
        <v>243</v>
      </c>
      <c r="AC663" s="25" t="s">
        <v>244</v>
      </c>
      <c r="AD663" s="25" t="s">
        <v>243</v>
      </c>
      <c r="AE663" s="25" t="s">
        <v>243</v>
      </c>
      <c r="AF663" s="25" t="s">
        <v>166</v>
      </c>
      <c r="AG663" s="25" t="s">
        <v>246</v>
      </c>
      <c r="AH663" s="32">
        <v>1</v>
      </c>
      <c r="AI663" s="4">
        <f>HYPERLINK("https://my.pitchbook.com/?d=179054-65T","179054-65T")</f>
      </c>
      <c r="AJ663" s="30" t="s">
        <v>166</v>
      </c>
      <c r="AK663" s="30">
        <v>43902</v>
      </c>
      <c r="AL663" s="29">
        <v>4</v>
      </c>
      <c r="AM663" s="25" t="s">
        <v>185</v>
      </c>
      <c r="AN663" s="29">
        <v>16</v>
      </c>
      <c r="AO663" s="29">
        <v>20</v>
      </c>
      <c r="AP663" s="25" t="s">
        <v>185</v>
      </c>
      <c r="AQ663" s="32" t="s">
        <v>166</v>
      </c>
      <c r="AR663" s="32" t="s">
        <v>166</v>
      </c>
      <c r="AS663" s="28">
        <v>20</v>
      </c>
      <c r="AT663" s="29">
        <v>4</v>
      </c>
      <c r="AU663" s="32" t="s">
        <v>186</v>
      </c>
      <c r="AV663" s="32" t="s">
        <v>166</v>
      </c>
      <c r="AW663" s="29">
        <v>1.44</v>
      </c>
      <c r="AX663" s="32" t="s">
        <v>166</v>
      </c>
      <c r="AY663" s="25" t="s">
        <v>217</v>
      </c>
      <c r="AZ663" s="25" t="s">
        <v>217</v>
      </c>
      <c r="BA663" s="25" t="s">
        <v>166</v>
      </c>
      <c r="BB663" s="32" t="s">
        <v>166</v>
      </c>
      <c r="BC663" s="25" t="s">
        <v>179</v>
      </c>
      <c r="BD663" s="25" t="s">
        <v>12725</v>
      </c>
      <c r="BE663" s="25" t="s">
        <v>189</v>
      </c>
      <c r="BF663" s="29">
        <v>4</v>
      </c>
      <c r="BG663" s="25" t="s">
        <v>190</v>
      </c>
      <c r="BH663" s="25" t="s">
        <v>166</v>
      </c>
      <c r="BI663" s="25" t="s">
        <v>166</v>
      </c>
      <c r="BJ663" s="29" t="s">
        <v>166</v>
      </c>
      <c r="BK663" s="29" t="s">
        <v>166</v>
      </c>
      <c r="BL663" s="25" t="s">
        <v>191</v>
      </c>
      <c r="BM663" s="25" t="s">
        <v>785</v>
      </c>
      <c r="BN663" s="25" t="s">
        <v>177</v>
      </c>
      <c r="BO663" s="33" t="s">
        <v>166</v>
      </c>
      <c r="BP663" s="25" t="s">
        <v>12726</v>
      </c>
      <c r="BQ663" s="32">
        <v>10</v>
      </c>
      <c r="BR663" s="25" t="s">
        <v>166</v>
      </c>
      <c r="BS663" s="32" t="s">
        <v>166</v>
      </c>
      <c r="BT663" s="25" t="s">
        <v>12727</v>
      </c>
      <c r="BU663" s="25" t="s">
        <v>166</v>
      </c>
      <c r="BV663" s="25" t="s">
        <v>12728</v>
      </c>
      <c r="BW663" s="25" t="s">
        <v>166</v>
      </c>
      <c r="BX663" s="25" t="s">
        <v>166</v>
      </c>
      <c r="BY663" s="25" t="s">
        <v>166</v>
      </c>
      <c r="BZ663" s="25" t="s">
        <v>166</v>
      </c>
      <c r="CA663" s="25" t="s">
        <v>166</v>
      </c>
      <c r="CB663" s="25" t="s">
        <v>166</v>
      </c>
      <c r="CC663" s="25" t="s">
        <v>166</v>
      </c>
      <c r="CD663" s="25" t="s">
        <v>166</v>
      </c>
      <c r="CE663" s="29" t="s">
        <v>166</v>
      </c>
      <c r="CF663" s="27" t="s">
        <v>166</v>
      </c>
      <c r="CG663" s="28" t="s">
        <v>166</v>
      </c>
      <c r="CH663" s="27" t="s">
        <v>166</v>
      </c>
      <c r="CI663" s="27" t="s">
        <v>166</v>
      </c>
      <c r="CJ663" s="27" t="s">
        <v>166</v>
      </c>
      <c r="CK663" s="27" t="s">
        <v>166</v>
      </c>
      <c r="CL663" s="27" t="s">
        <v>166</v>
      </c>
      <c r="CM663" s="31" t="s">
        <v>166</v>
      </c>
      <c r="CN663" s="27" t="s">
        <v>166</v>
      </c>
      <c r="CO663" s="27" t="s">
        <v>166</v>
      </c>
      <c r="CP663" s="27" t="s">
        <v>166</v>
      </c>
      <c r="CQ663" s="27" t="s">
        <v>166</v>
      </c>
      <c r="CR663" s="27" t="s">
        <v>166</v>
      </c>
      <c r="CS663" s="27" t="s">
        <v>166</v>
      </c>
      <c r="CT663" s="27" t="s">
        <v>166</v>
      </c>
      <c r="CU663" s="27" t="s">
        <v>166</v>
      </c>
      <c r="CV663" s="27" t="s">
        <v>166</v>
      </c>
      <c r="CW663" s="27" t="s">
        <v>166</v>
      </c>
      <c r="CX663" s="27" t="s">
        <v>166</v>
      </c>
      <c r="CY663" s="27" t="s">
        <v>166</v>
      </c>
      <c r="CZ663" s="27" t="s">
        <v>166</v>
      </c>
      <c r="DA663" s="27" t="s">
        <v>166</v>
      </c>
      <c r="DB663" s="27" t="s">
        <v>166</v>
      </c>
      <c r="DC663" s="27" t="s">
        <v>166</v>
      </c>
      <c r="DD663" s="27" t="s">
        <v>166</v>
      </c>
      <c r="DE663" s="28" t="s">
        <v>166</v>
      </c>
      <c r="DF663" s="33">
        <v>10</v>
      </c>
      <c r="DG663" s="25" t="s">
        <v>673</v>
      </c>
      <c r="DH663" s="25" t="s">
        <v>193</v>
      </c>
      <c r="DI663" s="25" t="s">
        <v>194</v>
      </c>
      <c r="DJ663" s="25" t="s">
        <v>674</v>
      </c>
      <c r="DK663" s="25" t="s">
        <v>257</v>
      </c>
      <c r="DL663" s="32" t="s">
        <v>1350</v>
      </c>
      <c r="DM663" s="25" t="s">
        <v>198</v>
      </c>
      <c r="DN663" s="24" t="s">
        <v>12729</v>
      </c>
      <c r="DO663" s="31">
        <v>2019</v>
      </c>
      <c r="DP663" s="25" t="s">
        <v>166</v>
      </c>
      <c r="DQ663" s="25" t="s">
        <v>166</v>
      </c>
      <c r="DR663" s="29" t="s">
        <v>166</v>
      </c>
      <c r="DS663" s="27" t="s">
        <v>166</v>
      </c>
      <c r="DT663" s="30" t="s">
        <v>166</v>
      </c>
      <c r="DU663" s="25" t="s">
        <v>166</v>
      </c>
      <c r="DV663" s="29" t="s">
        <v>166</v>
      </c>
      <c r="DW663" s="29" t="s">
        <v>166</v>
      </c>
      <c r="DX663" s="27" t="s">
        <v>166</v>
      </c>
      <c r="DY663" s="27" t="s">
        <v>166</v>
      </c>
      <c r="DZ663" s="28" t="s">
        <v>166</v>
      </c>
      <c r="EA663" s="27" t="s">
        <v>166</v>
      </c>
      <c r="EB663" s="27" t="s">
        <v>166</v>
      </c>
      <c r="EC663" s="27" t="s">
        <v>166</v>
      </c>
      <c r="ED663" s="28" t="s">
        <v>166</v>
      </c>
      <c r="EE663" s="28" t="s">
        <v>166</v>
      </c>
      <c r="EF663" s="28" t="s">
        <v>166</v>
      </c>
      <c r="EG663" s="28" t="s">
        <v>166</v>
      </c>
      <c r="EH663" s="27" t="s">
        <v>166</v>
      </c>
      <c r="EI663" s="27" t="s">
        <v>166</v>
      </c>
      <c r="EJ663" s="27" t="s">
        <v>166</v>
      </c>
      <c r="EK663" s="27" t="s">
        <v>166</v>
      </c>
      <c r="EL663" s="27" t="s">
        <v>166</v>
      </c>
      <c r="EM663" s="27" t="s">
        <v>166</v>
      </c>
      <c r="EN663" s="27" t="s">
        <v>166</v>
      </c>
      <c r="EO663" s="27" t="s">
        <v>166</v>
      </c>
      <c r="EP663" s="27" t="s">
        <v>166</v>
      </c>
      <c r="EQ663" s="27" t="s">
        <v>166</v>
      </c>
      <c r="ER663" s="27" t="s">
        <v>166</v>
      </c>
      <c r="ES663" s="27" t="s">
        <v>166</v>
      </c>
      <c r="ET663" s="25" t="s">
        <v>166</v>
      </c>
      <c r="EU663" s="27" t="s">
        <v>166</v>
      </c>
      <c r="EV663" s="27" t="s">
        <v>166</v>
      </c>
      <c r="EW663" s="27" t="s">
        <v>166</v>
      </c>
      <c r="EX663" s="25" t="s">
        <v>190</v>
      </c>
      <c r="EY663" s="25" t="s">
        <v>166</v>
      </c>
      <c r="EZ663" s="27" t="s">
        <v>166</v>
      </c>
      <c r="FA663" s="26" t="s">
        <v>166</v>
      </c>
      <c r="FB663" s="26" t="s">
        <v>166</v>
      </c>
      <c r="FC663" s="26" t="s">
        <v>166</v>
      </c>
      <c r="FD663" s="26" t="s">
        <v>166</v>
      </c>
      <c r="FE663" s="26" t="s">
        <v>166</v>
      </c>
      <c r="FF663" s="26" t="s">
        <v>166</v>
      </c>
      <c r="FG663" s="25" t="s">
        <v>166</v>
      </c>
      <c r="FH663" s="4">
        <f>HYPERLINK("https://my.pitchbook.com?c=179054-65T","View Company Online")</f>
      </c>
    </row>
    <row r="664">
      <c r="A664" s="14" t="s">
        <v>12730</v>
      </c>
      <c r="B664" s="14" t="s">
        <v>12731</v>
      </c>
      <c r="C664" s="14" t="s">
        <v>12732</v>
      </c>
      <c r="D664" s="14" t="s">
        <v>166</v>
      </c>
      <c r="E664" s="23" t="s">
        <v>12733</v>
      </c>
      <c r="F664" s="21">
        <v>4</v>
      </c>
      <c r="G664" s="14" t="s">
        <v>12734</v>
      </c>
      <c r="H664" s="14" t="s">
        <v>166</v>
      </c>
      <c r="I664" s="14" t="s">
        <v>12735</v>
      </c>
      <c r="J664" s="14" t="s">
        <v>12736</v>
      </c>
      <c r="K664" s="14" t="s">
        <v>207</v>
      </c>
      <c r="L664" s="14" t="s">
        <v>208</v>
      </c>
      <c r="M664" s="14" t="s">
        <v>296</v>
      </c>
      <c r="N664" s="14" t="s">
        <v>1052</v>
      </c>
      <c r="O664" s="14" t="s">
        <v>1318</v>
      </c>
      <c r="P664" s="14" t="s">
        <v>12737</v>
      </c>
      <c r="Q664" s="14" t="s">
        <v>166</v>
      </c>
      <c r="R664" s="14" t="s">
        <v>177</v>
      </c>
      <c r="S664" s="14" t="s">
        <v>178</v>
      </c>
      <c r="T664" s="14" t="s">
        <v>179</v>
      </c>
      <c r="U664" s="14" t="s">
        <v>12738</v>
      </c>
      <c r="V664" s="14" t="s">
        <v>12739</v>
      </c>
      <c r="W664" s="21" t="s">
        <v>12740</v>
      </c>
      <c r="X664" s="14" t="s">
        <v>12741</v>
      </c>
      <c r="Y664" s="14" t="s">
        <v>12742</v>
      </c>
      <c r="Z664" s="14" t="s">
        <v>166</v>
      </c>
      <c r="AA664" s="14" t="s">
        <v>242</v>
      </c>
      <c r="AB664" s="14" t="s">
        <v>243</v>
      </c>
      <c r="AC664" s="14" t="s">
        <v>244</v>
      </c>
      <c r="AD664" s="14" t="s">
        <v>243</v>
      </c>
      <c r="AE664" s="14" t="s">
        <v>243</v>
      </c>
      <c r="AF664" s="14" t="s">
        <v>166</v>
      </c>
      <c r="AG664" s="14" t="s">
        <v>246</v>
      </c>
      <c r="AH664" s="21">
        <v>1</v>
      </c>
      <c r="AI664" s="3">
        <f>HYPERLINK("https://my.pitchbook.com/?d=201189-52T","201189-52T")</f>
      </c>
      <c r="AJ664" s="19">
        <v>44593</v>
      </c>
      <c r="AK664" s="19">
        <v>44593</v>
      </c>
      <c r="AL664" s="18">
        <v>2.6</v>
      </c>
      <c r="AM664" s="14" t="s">
        <v>185</v>
      </c>
      <c r="AN664" s="18">
        <v>4.65</v>
      </c>
      <c r="AO664" s="18">
        <v>7.25</v>
      </c>
      <c r="AP664" s="14" t="s">
        <v>185</v>
      </c>
      <c r="AQ664" s="21" t="s">
        <v>166</v>
      </c>
      <c r="AR664" s="21" t="s">
        <v>166</v>
      </c>
      <c r="AS664" s="17">
        <v>35.86</v>
      </c>
      <c r="AT664" s="18">
        <v>2.6</v>
      </c>
      <c r="AU664" s="21" t="s">
        <v>186</v>
      </c>
      <c r="AV664" s="21" t="s">
        <v>166</v>
      </c>
      <c r="AW664" s="18">
        <v>0.93</v>
      </c>
      <c r="AX664" s="21" t="s">
        <v>166</v>
      </c>
      <c r="AY664" s="14" t="s">
        <v>217</v>
      </c>
      <c r="AZ664" s="14" t="s">
        <v>217</v>
      </c>
      <c r="BA664" s="14" t="s">
        <v>166</v>
      </c>
      <c r="BB664" s="21" t="s">
        <v>166</v>
      </c>
      <c r="BC664" s="14" t="s">
        <v>179</v>
      </c>
      <c r="BD664" s="14" t="s">
        <v>12743</v>
      </c>
      <c r="BE664" s="14" t="s">
        <v>189</v>
      </c>
      <c r="BF664" s="18">
        <v>2.6</v>
      </c>
      <c r="BG664" s="14" t="s">
        <v>190</v>
      </c>
      <c r="BH664" s="14" t="s">
        <v>166</v>
      </c>
      <c r="BI664" s="14" t="s">
        <v>166</v>
      </c>
      <c r="BJ664" s="18" t="s">
        <v>166</v>
      </c>
      <c r="BK664" s="18" t="s">
        <v>166</v>
      </c>
      <c r="BL664" s="14" t="s">
        <v>191</v>
      </c>
      <c r="BM664" s="14" t="s">
        <v>178</v>
      </c>
      <c r="BN664" s="14" t="s">
        <v>177</v>
      </c>
      <c r="BO664" s="22" t="s">
        <v>166</v>
      </c>
      <c r="BP664" s="14" t="s">
        <v>12744</v>
      </c>
      <c r="BQ664" s="21">
        <v>4</v>
      </c>
      <c r="BR664" s="14" t="s">
        <v>166</v>
      </c>
      <c r="BS664" s="21" t="s">
        <v>166</v>
      </c>
      <c r="BT664" s="14" t="s">
        <v>166</v>
      </c>
      <c r="BU664" s="14" t="s">
        <v>166</v>
      </c>
      <c r="BV664" s="14" t="s">
        <v>166</v>
      </c>
      <c r="BW664" s="14" t="s">
        <v>166</v>
      </c>
      <c r="BX664" s="14" t="s">
        <v>166</v>
      </c>
      <c r="BY664" s="14" t="s">
        <v>166</v>
      </c>
      <c r="BZ664" s="14" t="s">
        <v>996</v>
      </c>
      <c r="CA664" s="14" t="s">
        <v>996</v>
      </c>
      <c r="CB664" s="14" t="s">
        <v>166</v>
      </c>
      <c r="CC664" s="14" t="s">
        <v>166</v>
      </c>
      <c r="CD664" s="14" t="s">
        <v>166</v>
      </c>
      <c r="CE664" s="18" t="s">
        <v>166</v>
      </c>
      <c r="CF664" s="16" t="s">
        <v>166</v>
      </c>
      <c r="CG664" s="17" t="s">
        <v>166</v>
      </c>
      <c r="CH664" s="16" t="s">
        <v>166</v>
      </c>
      <c r="CI664" s="16" t="s">
        <v>166</v>
      </c>
      <c r="CJ664" s="16" t="s">
        <v>166</v>
      </c>
      <c r="CK664" s="16" t="s">
        <v>166</v>
      </c>
      <c r="CL664" s="16" t="s">
        <v>166</v>
      </c>
      <c r="CM664" s="20" t="s">
        <v>166</v>
      </c>
      <c r="CN664" s="16" t="s">
        <v>166</v>
      </c>
      <c r="CO664" s="16" t="s">
        <v>166</v>
      </c>
      <c r="CP664" s="16" t="s">
        <v>166</v>
      </c>
      <c r="CQ664" s="16" t="s">
        <v>166</v>
      </c>
      <c r="CR664" s="16" t="s">
        <v>166</v>
      </c>
      <c r="CS664" s="16" t="s">
        <v>166</v>
      </c>
      <c r="CT664" s="16" t="s">
        <v>166</v>
      </c>
      <c r="CU664" s="16" t="s">
        <v>166</v>
      </c>
      <c r="CV664" s="16" t="s">
        <v>166</v>
      </c>
      <c r="CW664" s="16" t="s">
        <v>166</v>
      </c>
      <c r="CX664" s="16" t="s">
        <v>166</v>
      </c>
      <c r="CY664" s="16" t="s">
        <v>166</v>
      </c>
      <c r="CZ664" s="16" t="s">
        <v>166</v>
      </c>
      <c r="DA664" s="16" t="s">
        <v>166</v>
      </c>
      <c r="DB664" s="16" t="s">
        <v>166</v>
      </c>
      <c r="DC664" s="16" t="s">
        <v>166</v>
      </c>
      <c r="DD664" s="16" t="s">
        <v>166</v>
      </c>
      <c r="DE664" s="17" t="s">
        <v>166</v>
      </c>
      <c r="DF664" s="22">
        <v>9</v>
      </c>
      <c r="DG664" s="14" t="s">
        <v>673</v>
      </c>
      <c r="DH664" s="14" t="s">
        <v>193</v>
      </c>
      <c r="DI664" s="14" t="s">
        <v>194</v>
      </c>
      <c r="DJ664" s="14" t="s">
        <v>674</v>
      </c>
      <c r="DK664" s="14" t="s">
        <v>257</v>
      </c>
      <c r="DL664" s="21" t="s">
        <v>8507</v>
      </c>
      <c r="DM664" s="14" t="s">
        <v>198</v>
      </c>
      <c r="DN664" s="13" t="s">
        <v>12745</v>
      </c>
      <c r="DO664" s="20">
        <v>2022</v>
      </c>
      <c r="DP664" s="14" t="s">
        <v>166</v>
      </c>
      <c r="DQ664" s="14" t="s">
        <v>166</v>
      </c>
      <c r="DR664" s="18" t="s">
        <v>166</v>
      </c>
      <c r="DS664" s="16" t="s">
        <v>166</v>
      </c>
      <c r="DT664" s="19" t="s">
        <v>166</v>
      </c>
      <c r="DU664" s="14" t="s">
        <v>166</v>
      </c>
      <c r="DV664" s="18" t="s">
        <v>166</v>
      </c>
      <c r="DW664" s="18" t="s">
        <v>166</v>
      </c>
      <c r="DX664" s="16" t="s">
        <v>166</v>
      </c>
      <c r="DY664" s="16" t="s">
        <v>166</v>
      </c>
      <c r="DZ664" s="17" t="s">
        <v>166</v>
      </c>
      <c r="EA664" s="16" t="s">
        <v>166</v>
      </c>
      <c r="EB664" s="16" t="s">
        <v>166</v>
      </c>
      <c r="EC664" s="16" t="s">
        <v>166</v>
      </c>
      <c r="ED664" s="17" t="s">
        <v>166</v>
      </c>
      <c r="EE664" s="17" t="s">
        <v>166</v>
      </c>
      <c r="EF664" s="17" t="s">
        <v>166</v>
      </c>
      <c r="EG664" s="17" t="s">
        <v>166</v>
      </c>
      <c r="EH664" s="16" t="s">
        <v>166</v>
      </c>
      <c r="EI664" s="16" t="s">
        <v>166</v>
      </c>
      <c r="EJ664" s="16" t="s">
        <v>166</v>
      </c>
      <c r="EK664" s="16" t="s">
        <v>166</v>
      </c>
      <c r="EL664" s="16" t="s">
        <v>166</v>
      </c>
      <c r="EM664" s="16" t="s">
        <v>166</v>
      </c>
      <c r="EN664" s="16" t="s">
        <v>166</v>
      </c>
      <c r="EO664" s="16" t="s">
        <v>166</v>
      </c>
      <c r="EP664" s="16" t="s">
        <v>166</v>
      </c>
      <c r="EQ664" s="16" t="s">
        <v>166</v>
      </c>
      <c r="ER664" s="16" t="s">
        <v>166</v>
      </c>
      <c r="ES664" s="16" t="s">
        <v>166</v>
      </c>
      <c r="ET664" s="14" t="s">
        <v>166</v>
      </c>
      <c r="EU664" s="16" t="s">
        <v>166</v>
      </c>
      <c r="EV664" s="16" t="s">
        <v>166</v>
      </c>
      <c r="EW664" s="16" t="s">
        <v>166</v>
      </c>
      <c r="EX664" s="14" t="s">
        <v>190</v>
      </c>
      <c r="EY664" s="14" t="s">
        <v>166</v>
      </c>
      <c r="EZ664" s="16" t="s">
        <v>166</v>
      </c>
      <c r="FA664" s="15" t="s">
        <v>166</v>
      </c>
      <c r="FB664" s="15" t="s">
        <v>166</v>
      </c>
      <c r="FC664" s="15" t="s">
        <v>166</v>
      </c>
      <c r="FD664" s="15" t="s">
        <v>166</v>
      </c>
      <c r="FE664" s="15" t="s">
        <v>166</v>
      </c>
      <c r="FF664" s="15" t="s">
        <v>166</v>
      </c>
      <c r="FG664" s="14" t="s">
        <v>166</v>
      </c>
      <c r="FH664" s="3">
        <f>HYPERLINK("https://my.pitchbook.com?c=201189-52T","View Company Online")</f>
      </c>
    </row>
    <row r="665">
      <c r="A665" s="25" t="s">
        <v>12746</v>
      </c>
      <c r="B665" s="25" t="s">
        <v>12747</v>
      </c>
      <c r="C665" s="25" t="s">
        <v>12748</v>
      </c>
      <c r="D665" s="25" t="s">
        <v>166</v>
      </c>
      <c r="E665" s="34" t="s">
        <v>12749</v>
      </c>
      <c r="F665" s="32">
        <v>4</v>
      </c>
      <c r="G665" s="25" t="s">
        <v>12750</v>
      </c>
      <c r="H665" s="25" t="s">
        <v>166</v>
      </c>
      <c r="I665" s="25" t="s">
        <v>12751</v>
      </c>
      <c r="J665" s="25" t="s">
        <v>12752</v>
      </c>
      <c r="K665" s="25" t="s">
        <v>207</v>
      </c>
      <c r="L665" s="25" t="s">
        <v>208</v>
      </c>
      <c r="M665" s="25" t="s">
        <v>296</v>
      </c>
      <c r="N665" s="25" t="s">
        <v>6186</v>
      </c>
      <c r="O665" s="25" t="s">
        <v>4042</v>
      </c>
      <c r="P665" s="25" t="s">
        <v>12753</v>
      </c>
      <c r="Q665" s="25" t="s">
        <v>166</v>
      </c>
      <c r="R665" s="25" t="s">
        <v>177</v>
      </c>
      <c r="S665" s="25" t="s">
        <v>178</v>
      </c>
      <c r="T665" s="25" t="s">
        <v>179</v>
      </c>
      <c r="U665" s="25" t="s">
        <v>12754</v>
      </c>
      <c r="V665" s="25" t="s">
        <v>12755</v>
      </c>
      <c r="W665" s="32" t="s">
        <v>12756</v>
      </c>
      <c r="X665" s="25" t="s">
        <v>12757</v>
      </c>
      <c r="Y665" s="25" t="s">
        <v>12758</v>
      </c>
      <c r="Z665" s="25" t="s">
        <v>12759</v>
      </c>
      <c r="AA665" s="25" t="s">
        <v>242</v>
      </c>
      <c r="AB665" s="25" t="s">
        <v>243</v>
      </c>
      <c r="AC665" s="25" t="s">
        <v>244</v>
      </c>
      <c r="AD665" s="25" t="s">
        <v>243</v>
      </c>
      <c r="AE665" s="25" t="s">
        <v>243</v>
      </c>
      <c r="AF665" s="25" t="s">
        <v>166</v>
      </c>
      <c r="AG665" s="25" t="s">
        <v>807</v>
      </c>
      <c r="AH665" s="32">
        <v>4</v>
      </c>
      <c r="AI665" s="4">
        <f>HYPERLINK("https://my.pitchbook.com/?d=118048-24T","118048-24T")</f>
      </c>
      <c r="AJ665" s="30" t="s">
        <v>166</v>
      </c>
      <c r="AK665" s="30">
        <v>43952</v>
      </c>
      <c r="AL665" s="29">
        <v>1.58</v>
      </c>
      <c r="AM665" s="25" t="s">
        <v>185</v>
      </c>
      <c r="AN665" s="29">
        <v>6</v>
      </c>
      <c r="AO665" s="29">
        <v>7.58</v>
      </c>
      <c r="AP665" s="25" t="s">
        <v>185</v>
      </c>
      <c r="AQ665" s="32" t="s">
        <v>166</v>
      </c>
      <c r="AR665" s="32" t="s">
        <v>166</v>
      </c>
      <c r="AS665" s="28">
        <v>20.79</v>
      </c>
      <c r="AT665" s="29">
        <v>1.63</v>
      </c>
      <c r="AU665" s="32" t="s">
        <v>186</v>
      </c>
      <c r="AV665" s="32" t="s">
        <v>166</v>
      </c>
      <c r="AW665" s="29">
        <v>1</v>
      </c>
      <c r="AX665" s="32" t="s">
        <v>166</v>
      </c>
      <c r="AY665" s="25" t="s">
        <v>217</v>
      </c>
      <c r="AZ665" s="25" t="s">
        <v>217</v>
      </c>
      <c r="BA665" s="25" t="s">
        <v>166</v>
      </c>
      <c r="BB665" s="32" t="s">
        <v>166</v>
      </c>
      <c r="BC665" s="25" t="s">
        <v>179</v>
      </c>
      <c r="BD665" s="25" t="s">
        <v>12760</v>
      </c>
      <c r="BE665" s="25" t="s">
        <v>189</v>
      </c>
      <c r="BF665" s="29">
        <v>1.58</v>
      </c>
      <c r="BG665" s="25" t="s">
        <v>190</v>
      </c>
      <c r="BH665" s="25" t="s">
        <v>166</v>
      </c>
      <c r="BI665" s="25" t="s">
        <v>166</v>
      </c>
      <c r="BJ665" s="29" t="s">
        <v>166</v>
      </c>
      <c r="BK665" s="29" t="s">
        <v>166</v>
      </c>
      <c r="BL665" s="25" t="s">
        <v>191</v>
      </c>
      <c r="BM665" s="25" t="s">
        <v>178</v>
      </c>
      <c r="BN665" s="25" t="s">
        <v>177</v>
      </c>
      <c r="BO665" s="33" t="s">
        <v>166</v>
      </c>
      <c r="BP665" s="25" t="s">
        <v>12761</v>
      </c>
      <c r="BQ665" s="32">
        <v>3</v>
      </c>
      <c r="BR665" s="25" t="s">
        <v>12762</v>
      </c>
      <c r="BS665" s="32">
        <v>1</v>
      </c>
      <c r="BT665" s="25" t="s">
        <v>166</v>
      </c>
      <c r="BU665" s="25" t="s">
        <v>166</v>
      </c>
      <c r="BV665" s="25" t="s">
        <v>12763</v>
      </c>
      <c r="BW665" s="25" t="s">
        <v>166</v>
      </c>
      <c r="BX665" s="25" t="s">
        <v>166</v>
      </c>
      <c r="BY665" s="25" t="s">
        <v>166</v>
      </c>
      <c r="BZ665" s="25" t="s">
        <v>166</v>
      </c>
      <c r="CA665" s="25" t="s">
        <v>166</v>
      </c>
      <c r="CB665" s="25" t="s">
        <v>166</v>
      </c>
      <c r="CC665" s="25" t="s">
        <v>166</v>
      </c>
      <c r="CD665" s="25" t="s">
        <v>166</v>
      </c>
      <c r="CE665" s="29" t="s">
        <v>166</v>
      </c>
      <c r="CF665" s="27" t="s">
        <v>166</v>
      </c>
      <c r="CG665" s="28" t="s">
        <v>166</v>
      </c>
      <c r="CH665" s="27" t="s">
        <v>166</v>
      </c>
      <c r="CI665" s="27" t="s">
        <v>166</v>
      </c>
      <c r="CJ665" s="27" t="s">
        <v>166</v>
      </c>
      <c r="CK665" s="27" t="s">
        <v>166</v>
      </c>
      <c r="CL665" s="27" t="s">
        <v>166</v>
      </c>
      <c r="CM665" s="31" t="s">
        <v>166</v>
      </c>
      <c r="CN665" s="27" t="s">
        <v>166</v>
      </c>
      <c r="CO665" s="27" t="s">
        <v>166</v>
      </c>
      <c r="CP665" s="27" t="s">
        <v>166</v>
      </c>
      <c r="CQ665" s="27" t="s">
        <v>166</v>
      </c>
      <c r="CR665" s="27" t="s">
        <v>166</v>
      </c>
      <c r="CS665" s="27" t="s">
        <v>166</v>
      </c>
      <c r="CT665" s="27" t="s">
        <v>166</v>
      </c>
      <c r="CU665" s="27" t="s">
        <v>166</v>
      </c>
      <c r="CV665" s="27" t="s">
        <v>166</v>
      </c>
      <c r="CW665" s="27" t="s">
        <v>166</v>
      </c>
      <c r="CX665" s="27" t="s">
        <v>166</v>
      </c>
      <c r="CY665" s="27" t="s">
        <v>166</v>
      </c>
      <c r="CZ665" s="27" t="s">
        <v>166</v>
      </c>
      <c r="DA665" s="27" t="s">
        <v>166</v>
      </c>
      <c r="DB665" s="27" t="s">
        <v>166</v>
      </c>
      <c r="DC665" s="27" t="s">
        <v>166</v>
      </c>
      <c r="DD665" s="27" t="s">
        <v>166</v>
      </c>
      <c r="DE665" s="28" t="s">
        <v>166</v>
      </c>
      <c r="DF665" s="33">
        <v>18</v>
      </c>
      <c r="DG665" s="25" t="s">
        <v>12764</v>
      </c>
      <c r="DH665" s="25" t="s">
        <v>193</v>
      </c>
      <c r="DI665" s="25" t="s">
        <v>194</v>
      </c>
      <c r="DJ665" s="25" t="s">
        <v>12765</v>
      </c>
      <c r="DK665" s="25" t="s">
        <v>3974</v>
      </c>
      <c r="DL665" s="32" t="s">
        <v>12766</v>
      </c>
      <c r="DM665" s="25" t="s">
        <v>198</v>
      </c>
      <c r="DN665" s="24" t="s">
        <v>12767</v>
      </c>
      <c r="DO665" s="31">
        <v>2013</v>
      </c>
      <c r="DP665" s="25" t="s">
        <v>166</v>
      </c>
      <c r="DQ665" s="25" t="s">
        <v>166</v>
      </c>
      <c r="DR665" s="29" t="s">
        <v>166</v>
      </c>
      <c r="DS665" s="27" t="s">
        <v>166</v>
      </c>
      <c r="DT665" s="30" t="s">
        <v>166</v>
      </c>
      <c r="DU665" s="25" t="s">
        <v>166</v>
      </c>
      <c r="DV665" s="29" t="s">
        <v>166</v>
      </c>
      <c r="DW665" s="29" t="s">
        <v>166</v>
      </c>
      <c r="DX665" s="27" t="s">
        <v>166</v>
      </c>
      <c r="DY665" s="27" t="s">
        <v>166</v>
      </c>
      <c r="DZ665" s="28" t="s">
        <v>166</v>
      </c>
      <c r="EA665" s="27" t="s">
        <v>166</v>
      </c>
      <c r="EB665" s="27" t="s">
        <v>166</v>
      </c>
      <c r="EC665" s="27" t="s">
        <v>166</v>
      </c>
      <c r="ED665" s="28" t="s">
        <v>166</v>
      </c>
      <c r="EE665" s="28" t="s">
        <v>166</v>
      </c>
      <c r="EF665" s="28" t="s">
        <v>166</v>
      </c>
      <c r="EG665" s="28" t="s">
        <v>166</v>
      </c>
      <c r="EH665" s="27" t="s">
        <v>166</v>
      </c>
      <c r="EI665" s="27" t="s">
        <v>166</v>
      </c>
      <c r="EJ665" s="27" t="s">
        <v>166</v>
      </c>
      <c r="EK665" s="27" t="s">
        <v>166</v>
      </c>
      <c r="EL665" s="27" t="s">
        <v>166</v>
      </c>
      <c r="EM665" s="27" t="s">
        <v>166</v>
      </c>
      <c r="EN665" s="27" t="s">
        <v>166</v>
      </c>
      <c r="EO665" s="27" t="s">
        <v>166</v>
      </c>
      <c r="EP665" s="27" t="s">
        <v>166</v>
      </c>
      <c r="EQ665" s="27" t="s">
        <v>166</v>
      </c>
      <c r="ER665" s="27" t="s">
        <v>166</v>
      </c>
      <c r="ES665" s="27" t="s">
        <v>166</v>
      </c>
      <c r="ET665" s="25" t="s">
        <v>166</v>
      </c>
      <c r="EU665" s="27" t="s">
        <v>166</v>
      </c>
      <c r="EV665" s="27" t="s">
        <v>166</v>
      </c>
      <c r="EW665" s="27" t="s">
        <v>166</v>
      </c>
      <c r="EX665" s="25" t="s">
        <v>190</v>
      </c>
      <c r="EY665" s="25" t="s">
        <v>166</v>
      </c>
      <c r="EZ665" s="27" t="s">
        <v>166</v>
      </c>
      <c r="FA665" s="26">
        <v>2</v>
      </c>
      <c r="FB665" s="26">
        <v>1</v>
      </c>
      <c r="FC665" s="26">
        <v>2</v>
      </c>
      <c r="FD665" s="26" t="s">
        <v>166</v>
      </c>
      <c r="FE665" s="26" t="s">
        <v>166</v>
      </c>
      <c r="FF665" s="26" t="s">
        <v>166</v>
      </c>
      <c r="FG665" s="25" t="s">
        <v>6563</v>
      </c>
      <c r="FH665" s="4">
        <f>HYPERLINK("https://my.pitchbook.com?c=118048-24T","View Company Online")</f>
      </c>
    </row>
    <row r="666">
      <c r="A666" s="14" t="s">
        <v>12768</v>
      </c>
      <c r="B666" s="14" t="s">
        <v>12769</v>
      </c>
      <c r="C666" s="14" t="s">
        <v>12770</v>
      </c>
      <c r="D666" s="14" t="s">
        <v>166</v>
      </c>
      <c r="E666" s="23" t="s">
        <v>12771</v>
      </c>
      <c r="F666" s="21">
        <v>5</v>
      </c>
      <c r="G666" s="14" t="s">
        <v>12772</v>
      </c>
      <c r="H666" s="14" t="s">
        <v>166</v>
      </c>
      <c r="I666" s="14" t="s">
        <v>12773</v>
      </c>
      <c r="J666" s="14" t="s">
        <v>12774</v>
      </c>
      <c r="K666" s="14" t="s">
        <v>207</v>
      </c>
      <c r="L666" s="14" t="s">
        <v>208</v>
      </c>
      <c r="M666" s="14" t="s">
        <v>209</v>
      </c>
      <c r="N666" s="14" t="s">
        <v>269</v>
      </c>
      <c r="O666" s="14" t="s">
        <v>211</v>
      </c>
      <c r="P666" s="14" t="s">
        <v>12775</v>
      </c>
      <c r="Q666" s="14" t="s">
        <v>166</v>
      </c>
      <c r="R666" s="14" t="s">
        <v>177</v>
      </c>
      <c r="S666" s="14" t="s">
        <v>785</v>
      </c>
      <c r="T666" s="14" t="s">
        <v>179</v>
      </c>
      <c r="U666" s="14" t="s">
        <v>12776</v>
      </c>
      <c r="V666" s="14" t="s">
        <v>12777</v>
      </c>
      <c r="W666" s="21" t="s">
        <v>166</v>
      </c>
      <c r="X666" s="14" t="s">
        <v>12778</v>
      </c>
      <c r="Y666" s="14" t="s">
        <v>12779</v>
      </c>
      <c r="Z666" s="14" t="s">
        <v>12780</v>
      </c>
      <c r="AA666" s="14" t="s">
        <v>166</v>
      </c>
      <c r="AB666" s="14" t="s">
        <v>166</v>
      </c>
      <c r="AC666" s="14" t="s">
        <v>166</v>
      </c>
      <c r="AD666" s="14" t="s">
        <v>166</v>
      </c>
      <c r="AE666" s="14" t="s">
        <v>166</v>
      </c>
      <c r="AF666" s="14" t="s">
        <v>166</v>
      </c>
      <c r="AG666" s="14" t="s">
        <v>166</v>
      </c>
      <c r="AH666" s="21">
        <v>1</v>
      </c>
      <c r="AI666" s="3">
        <f>HYPERLINK("https://my.pitchbook.com/?d=218375-56T","218375-56T")</f>
      </c>
      <c r="AJ666" s="19" t="s">
        <v>166</v>
      </c>
      <c r="AK666" s="19">
        <v>44981</v>
      </c>
      <c r="AL666" s="18">
        <v>3</v>
      </c>
      <c r="AM666" s="14" t="s">
        <v>185</v>
      </c>
      <c r="AN666" s="18" t="s">
        <v>166</v>
      </c>
      <c r="AO666" s="18" t="s">
        <v>166</v>
      </c>
      <c r="AP666" s="14" t="s">
        <v>166</v>
      </c>
      <c r="AQ666" s="21" t="s">
        <v>166</v>
      </c>
      <c r="AR666" s="21" t="s">
        <v>166</v>
      </c>
      <c r="AS666" s="17" t="s">
        <v>166</v>
      </c>
      <c r="AT666" s="18">
        <v>3</v>
      </c>
      <c r="AU666" s="21" t="s">
        <v>186</v>
      </c>
      <c r="AV666" s="21" t="s">
        <v>166</v>
      </c>
      <c r="AW666" s="18" t="s">
        <v>166</v>
      </c>
      <c r="AX666" s="21" t="s">
        <v>166</v>
      </c>
      <c r="AY666" s="14" t="s">
        <v>217</v>
      </c>
      <c r="AZ666" s="14" t="s">
        <v>217</v>
      </c>
      <c r="BA666" s="14" t="s">
        <v>166</v>
      </c>
      <c r="BB666" s="21" t="s">
        <v>166</v>
      </c>
      <c r="BC666" s="14" t="s">
        <v>179</v>
      </c>
      <c r="BD666" s="14" t="s">
        <v>12774</v>
      </c>
      <c r="BE666" s="14" t="s">
        <v>189</v>
      </c>
      <c r="BF666" s="18">
        <v>3</v>
      </c>
      <c r="BG666" s="14" t="s">
        <v>190</v>
      </c>
      <c r="BH666" s="14" t="s">
        <v>166</v>
      </c>
      <c r="BI666" s="14" t="s">
        <v>166</v>
      </c>
      <c r="BJ666" s="18" t="s">
        <v>166</v>
      </c>
      <c r="BK666" s="18" t="s">
        <v>166</v>
      </c>
      <c r="BL666" s="14" t="s">
        <v>191</v>
      </c>
      <c r="BM666" s="14" t="s">
        <v>785</v>
      </c>
      <c r="BN666" s="14" t="s">
        <v>177</v>
      </c>
      <c r="BO666" s="22" t="s">
        <v>166</v>
      </c>
      <c r="BP666" s="14" t="s">
        <v>12781</v>
      </c>
      <c r="BQ666" s="21">
        <v>5</v>
      </c>
      <c r="BR666" s="14" t="s">
        <v>166</v>
      </c>
      <c r="BS666" s="21" t="s">
        <v>166</v>
      </c>
      <c r="BT666" s="14" t="s">
        <v>870</v>
      </c>
      <c r="BU666" s="14" t="s">
        <v>166</v>
      </c>
      <c r="BV666" s="14" t="s">
        <v>12782</v>
      </c>
      <c r="BW666" s="14" t="s">
        <v>166</v>
      </c>
      <c r="BX666" s="14" t="s">
        <v>166</v>
      </c>
      <c r="BY666" s="14" t="s">
        <v>166</v>
      </c>
      <c r="BZ666" s="14" t="s">
        <v>12783</v>
      </c>
      <c r="CA666" s="14" t="s">
        <v>12783</v>
      </c>
      <c r="CB666" s="14" t="s">
        <v>166</v>
      </c>
      <c r="CC666" s="14" t="s">
        <v>166</v>
      </c>
      <c r="CD666" s="14" t="s">
        <v>166</v>
      </c>
      <c r="CE666" s="18" t="s">
        <v>166</v>
      </c>
      <c r="CF666" s="16" t="s">
        <v>166</v>
      </c>
      <c r="CG666" s="17" t="s">
        <v>166</v>
      </c>
      <c r="CH666" s="16" t="s">
        <v>166</v>
      </c>
      <c r="CI666" s="16" t="s">
        <v>166</v>
      </c>
      <c r="CJ666" s="16" t="s">
        <v>166</v>
      </c>
      <c r="CK666" s="16" t="s">
        <v>166</v>
      </c>
      <c r="CL666" s="16" t="s">
        <v>166</v>
      </c>
      <c r="CM666" s="20" t="s">
        <v>166</v>
      </c>
      <c r="CN666" s="16" t="s">
        <v>166</v>
      </c>
      <c r="CO666" s="16" t="s">
        <v>166</v>
      </c>
      <c r="CP666" s="16" t="s">
        <v>166</v>
      </c>
      <c r="CQ666" s="16" t="s">
        <v>166</v>
      </c>
      <c r="CR666" s="16" t="s">
        <v>166</v>
      </c>
      <c r="CS666" s="16" t="s">
        <v>166</v>
      </c>
      <c r="CT666" s="16" t="s">
        <v>166</v>
      </c>
      <c r="CU666" s="16" t="s">
        <v>166</v>
      </c>
      <c r="CV666" s="16" t="s">
        <v>166</v>
      </c>
      <c r="CW666" s="16" t="s">
        <v>166</v>
      </c>
      <c r="CX666" s="16" t="s">
        <v>166</v>
      </c>
      <c r="CY666" s="16" t="s">
        <v>166</v>
      </c>
      <c r="CZ666" s="16" t="s">
        <v>166</v>
      </c>
      <c r="DA666" s="16" t="s">
        <v>166</v>
      </c>
      <c r="DB666" s="16" t="s">
        <v>166</v>
      </c>
      <c r="DC666" s="16" t="s">
        <v>166</v>
      </c>
      <c r="DD666" s="16" t="s">
        <v>166</v>
      </c>
      <c r="DE666" s="17" t="s">
        <v>166</v>
      </c>
      <c r="DF666" s="22">
        <v>7</v>
      </c>
      <c r="DG666" s="14" t="s">
        <v>309</v>
      </c>
      <c r="DH666" s="14" t="s">
        <v>193</v>
      </c>
      <c r="DI666" s="14" t="s">
        <v>194</v>
      </c>
      <c r="DJ666" s="14" t="s">
        <v>310</v>
      </c>
      <c r="DK666" s="14" t="s">
        <v>310</v>
      </c>
      <c r="DL666" s="21" t="s">
        <v>479</v>
      </c>
      <c r="DM666" s="14" t="s">
        <v>198</v>
      </c>
      <c r="DN666" s="13" t="s">
        <v>12784</v>
      </c>
      <c r="DO666" s="20">
        <v>2021</v>
      </c>
      <c r="DP666" s="14" t="s">
        <v>166</v>
      </c>
      <c r="DQ666" s="14" t="s">
        <v>166</v>
      </c>
      <c r="DR666" s="18" t="s">
        <v>166</v>
      </c>
      <c r="DS666" s="16" t="s">
        <v>166</v>
      </c>
      <c r="DT666" s="19" t="s">
        <v>166</v>
      </c>
      <c r="DU666" s="14" t="s">
        <v>166</v>
      </c>
      <c r="DV666" s="18" t="s">
        <v>166</v>
      </c>
      <c r="DW666" s="18" t="s">
        <v>166</v>
      </c>
      <c r="DX666" s="16" t="s">
        <v>166</v>
      </c>
      <c r="DY666" s="16" t="s">
        <v>166</v>
      </c>
      <c r="DZ666" s="17" t="s">
        <v>166</v>
      </c>
      <c r="EA666" s="16" t="s">
        <v>166</v>
      </c>
      <c r="EB666" s="16" t="s">
        <v>166</v>
      </c>
      <c r="EC666" s="16" t="s">
        <v>166</v>
      </c>
      <c r="ED666" s="17" t="s">
        <v>166</v>
      </c>
      <c r="EE666" s="17" t="s">
        <v>166</v>
      </c>
      <c r="EF666" s="17" t="s">
        <v>166</v>
      </c>
      <c r="EG666" s="17" t="s">
        <v>166</v>
      </c>
      <c r="EH666" s="16" t="s">
        <v>166</v>
      </c>
      <c r="EI666" s="16" t="s">
        <v>166</v>
      </c>
      <c r="EJ666" s="16" t="s">
        <v>166</v>
      </c>
      <c r="EK666" s="16" t="s">
        <v>166</v>
      </c>
      <c r="EL666" s="16" t="s">
        <v>166</v>
      </c>
      <c r="EM666" s="16" t="s">
        <v>166</v>
      </c>
      <c r="EN666" s="16" t="s">
        <v>166</v>
      </c>
      <c r="EO666" s="16" t="s">
        <v>166</v>
      </c>
      <c r="EP666" s="16" t="s">
        <v>166</v>
      </c>
      <c r="EQ666" s="16" t="s">
        <v>166</v>
      </c>
      <c r="ER666" s="16" t="s">
        <v>166</v>
      </c>
      <c r="ES666" s="16" t="s">
        <v>166</v>
      </c>
      <c r="ET666" s="14" t="s">
        <v>166</v>
      </c>
      <c r="EU666" s="16" t="s">
        <v>166</v>
      </c>
      <c r="EV666" s="16" t="s">
        <v>166</v>
      </c>
      <c r="EW666" s="16" t="s">
        <v>166</v>
      </c>
      <c r="EX666" s="14" t="s">
        <v>190</v>
      </c>
      <c r="EY666" s="14" t="s">
        <v>166</v>
      </c>
      <c r="EZ666" s="16" t="s">
        <v>166</v>
      </c>
      <c r="FA666" s="15" t="s">
        <v>166</v>
      </c>
      <c r="FB666" s="15" t="s">
        <v>166</v>
      </c>
      <c r="FC666" s="15" t="s">
        <v>166</v>
      </c>
      <c r="FD666" s="15" t="s">
        <v>166</v>
      </c>
      <c r="FE666" s="15" t="s">
        <v>166</v>
      </c>
      <c r="FF666" s="15" t="s">
        <v>166</v>
      </c>
      <c r="FG666" s="14" t="s">
        <v>166</v>
      </c>
      <c r="FH666" s="3">
        <f>HYPERLINK("https://my.pitchbook.com?c=218375-56T","View Company Online")</f>
      </c>
    </row>
    <row r="667">
      <c r="A667" s="25" t="s">
        <v>12785</v>
      </c>
      <c r="B667" s="25" t="s">
        <v>12786</v>
      </c>
      <c r="C667" s="25" t="s">
        <v>12787</v>
      </c>
      <c r="D667" s="25" t="s">
        <v>166</v>
      </c>
      <c r="E667" s="34" t="s">
        <v>5655</v>
      </c>
      <c r="F667" s="32">
        <v>1</v>
      </c>
      <c r="G667" s="25" t="s">
        <v>5656</v>
      </c>
      <c r="H667" s="25" t="s">
        <v>166</v>
      </c>
      <c r="I667" s="25" t="s">
        <v>12788</v>
      </c>
      <c r="J667" s="25" t="s">
        <v>12789</v>
      </c>
      <c r="K667" s="25" t="s">
        <v>171</v>
      </c>
      <c r="L667" s="25" t="s">
        <v>172</v>
      </c>
      <c r="M667" s="25" t="s">
        <v>1689</v>
      </c>
      <c r="N667" s="25" t="s">
        <v>2828</v>
      </c>
      <c r="O667" s="25" t="s">
        <v>2829</v>
      </c>
      <c r="P667" s="25" t="s">
        <v>12790</v>
      </c>
      <c r="Q667" s="25" t="s">
        <v>166</v>
      </c>
      <c r="R667" s="25" t="s">
        <v>177</v>
      </c>
      <c r="S667" s="25" t="s">
        <v>178</v>
      </c>
      <c r="T667" s="25" t="s">
        <v>179</v>
      </c>
      <c r="U667" s="25" t="s">
        <v>12791</v>
      </c>
      <c r="V667" s="25" t="s">
        <v>12792</v>
      </c>
      <c r="W667" s="32" t="s">
        <v>12793</v>
      </c>
      <c r="X667" s="25" t="s">
        <v>12794</v>
      </c>
      <c r="Y667" s="25" t="s">
        <v>12795</v>
      </c>
      <c r="Z667" s="25" t="s">
        <v>166</v>
      </c>
      <c r="AA667" s="25" t="s">
        <v>242</v>
      </c>
      <c r="AB667" s="25" t="s">
        <v>243</v>
      </c>
      <c r="AC667" s="25" t="s">
        <v>244</v>
      </c>
      <c r="AD667" s="25" t="s">
        <v>243</v>
      </c>
      <c r="AE667" s="25" t="s">
        <v>243</v>
      </c>
      <c r="AF667" s="25" t="s">
        <v>166</v>
      </c>
      <c r="AG667" s="25" t="s">
        <v>246</v>
      </c>
      <c r="AH667" s="32">
        <v>2</v>
      </c>
      <c r="AI667" s="4">
        <f>HYPERLINK("https://my.pitchbook.com/?d=213216-22T","213216-22T")</f>
      </c>
      <c r="AJ667" s="30" t="s">
        <v>166</v>
      </c>
      <c r="AK667" s="30">
        <v>44719</v>
      </c>
      <c r="AL667" s="29">
        <v>1</v>
      </c>
      <c r="AM667" s="25" t="s">
        <v>185</v>
      </c>
      <c r="AN667" s="29">
        <v>3</v>
      </c>
      <c r="AO667" s="29">
        <v>4</v>
      </c>
      <c r="AP667" s="25" t="s">
        <v>185</v>
      </c>
      <c r="AQ667" s="32" t="s">
        <v>166</v>
      </c>
      <c r="AR667" s="32" t="s">
        <v>166</v>
      </c>
      <c r="AS667" s="28">
        <v>25.45</v>
      </c>
      <c r="AT667" s="29">
        <v>1</v>
      </c>
      <c r="AU667" s="32" t="s">
        <v>186</v>
      </c>
      <c r="AV667" s="32" t="s">
        <v>166</v>
      </c>
      <c r="AW667" s="29">
        <v>0.26</v>
      </c>
      <c r="AX667" s="32" t="s">
        <v>166</v>
      </c>
      <c r="AY667" s="25" t="s">
        <v>217</v>
      </c>
      <c r="AZ667" s="25" t="s">
        <v>217</v>
      </c>
      <c r="BA667" s="25" t="s">
        <v>166</v>
      </c>
      <c r="BB667" s="32" t="s">
        <v>166</v>
      </c>
      <c r="BC667" s="25" t="s">
        <v>179</v>
      </c>
      <c r="BD667" s="25" t="s">
        <v>12796</v>
      </c>
      <c r="BE667" s="25" t="s">
        <v>189</v>
      </c>
      <c r="BF667" s="29">
        <v>1</v>
      </c>
      <c r="BG667" s="25" t="s">
        <v>190</v>
      </c>
      <c r="BH667" s="25" t="s">
        <v>166</v>
      </c>
      <c r="BI667" s="25" t="s">
        <v>166</v>
      </c>
      <c r="BJ667" s="29" t="s">
        <v>166</v>
      </c>
      <c r="BK667" s="29" t="s">
        <v>166</v>
      </c>
      <c r="BL667" s="25" t="s">
        <v>191</v>
      </c>
      <c r="BM667" s="25" t="s">
        <v>178</v>
      </c>
      <c r="BN667" s="25" t="s">
        <v>177</v>
      </c>
      <c r="BO667" s="33" t="s">
        <v>166</v>
      </c>
      <c r="BP667" s="25" t="s">
        <v>5655</v>
      </c>
      <c r="BQ667" s="32">
        <v>1</v>
      </c>
      <c r="BR667" s="25" t="s">
        <v>166</v>
      </c>
      <c r="BS667" s="32" t="s">
        <v>166</v>
      </c>
      <c r="BT667" s="25" t="s">
        <v>166</v>
      </c>
      <c r="BU667" s="25" t="s">
        <v>166</v>
      </c>
      <c r="BV667" s="25" t="s">
        <v>12797</v>
      </c>
      <c r="BW667" s="25" t="s">
        <v>166</v>
      </c>
      <c r="BX667" s="25" t="s">
        <v>166</v>
      </c>
      <c r="BY667" s="25" t="s">
        <v>166</v>
      </c>
      <c r="BZ667" s="25" t="s">
        <v>166</v>
      </c>
      <c r="CA667" s="25" t="s">
        <v>166</v>
      </c>
      <c r="CB667" s="25" t="s">
        <v>166</v>
      </c>
      <c r="CC667" s="25" t="s">
        <v>166</v>
      </c>
      <c r="CD667" s="25" t="s">
        <v>166</v>
      </c>
      <c r="CE667" s="29" t="s">
        <v>166</v>
      </c>
      <c r="CF667" s="27" t="s">
        <v>166</v>
      </c>
      <c r="CG667" s="28" t="s">
        <v>166</v>
      </c>
      <c r="CH667" s="27" t="s">
        <v>166</v>
      </c>
      <c r="CI667" s="27" t="s">
        <v>166</v>
      </c>
      <c r="CJ667" s="27" t="s">
        <v>166</v>
      </c>
      <c r="CK667" s="27" t="s">
        <v>166</v>
      </c>
      <c r="CL667" s="27" t="s">
        <v>166</v>
      </c>
      <c r="CM667" s="31" t="s">
        <v>166</v>
      </c>
      <c r="CN667" s="27" t="s">
        <v>166</v>
      </c>
      <c r="CO667" s="27" t="s">
        <v>166</v>
      </c>
      <c r="CP667" s="27" t="s">
        <v>166</v>
      </c>
      <c r="CQ667" s="27" t="s">
        <v>166</v>
      </c>
      <c r="CR667" s="27" t="s">
        <v>166</v>
      </c>
      <c r="CS667" s="27" t="s">
        <v>166</v>
      </c>
      <c r="CT667" s="27" t="s">
        <v>166</v>
      </c>
      <c r="CU667" s="27" t="s">
        <v>166</v>
      </c>
      <c r="CV667" s="27" t="s">
        <v>166</v>
      </c>
      <c r="CW667" s="27" t="s">
        <v>166</v>
      </c>
      <c r="CX667" s="27" t="s">
        <v>166</v>
      </c>
      <c r="CY667" s="27" t="s">
        <v>166</v>
      </c>
      <c r="CZ667" s="27" t="s">
        <v>166</v>
      </c>
      <c r="DA667" s="27" t="s">
        <v>166</v>
      </c>
      <c r="DB667" s="27" t="s">
        <v>166</v>
      </c>
      <c r="DC667" s="27" t="s">
        <v>166</v>
      </c>
      <c r="DD667" s="27" t="s">
        <v>166</v>
      </c>
      <c r="DE667" s="28" t="s">
        <v>166</v>
      </c>
      <c r="DF667" s="33" t="s">
        <v>166</v>
      </c>
      <c r="DG667" s="25" t="s">
        <v>5665</v>
      </c>
      <c r="DH667" s="25" t="s">
        <v>193</v>
      </c>
      <c r="DI667" s="25" t="s">
        <v>194</v>
      </c>
      <c r="DJ667" s="25" t="s">
        <v>5666</v>
      </c>
      <c r="DK667" s="25" t="s">
        <v>5667</v>
      </c>
      <c r="DL667" s="32" t="s">
        <v>12798</v>
      </c>
      <c r="DM667" s="25" t="s">
        <v>198</v>
      </c>
      <c r="DN667" s="24" t="s">
        <v>12799</v>
      </c>
      <c r="DO667" s="31">
        <v>2000</v>
      </c>
      <c r="DP667" s="25" t="s">
        <v>166</v>
      </c>
      <c r="DQ667" s="25" t="s">
        <v>166</v>
      </c>
      <c r="DR667" s="29" t="s">
        <v>166</v>
      </c>
      <c r="DS667" s="27" t="s">
        <v>166</v>
      </c>
      <c r="DT667" s="30" t="s">
        <v>166</v>
      </c>
      <c r="DU667" s="25" t="s">
        <v>166</v>
      </c>
      <c r="DV667" s="29" t="s">
        <v>166</v>
      </c>
      <c r="DW667" s="29" t="s">
        <v>166</v>
      </c>
      <c r="DX667" s="27" t="s">
        <v>166</v>
      </c>
      <c r="DY667" s="27" t="s">
        <v>166</v>
      </c>
      <c r="DZ667" s="28" t="s">
        <v>166</v>
      </c>
      <c r="EA667" s="27" t="s">
        <v>166</v>
      </c>
      <c r="EB667" s="27" t="s">
        <v>166</v>
      </c>
      <c r="EC667" s="27" t="s">
        <v>166</v>
      </c>
      <c r="ED667" s="28" t="s">
        <v>166</v>
      </c>
      <c r="EE667" s="28" t="s">
        <v>166</v>
      </c>
      <c r="EF667" s="28" t="s">
        <v>166</v>
      </c>
      <c r="EG667" s="28" t="s">
        <v>166</v>
      </c>
      <c r="EH667" s="27" t="s">
        <v>166</v>
      </c>
      <c r="EI667" s="27" t="s">
        <v>166</v>
      </c>
      <c r="EJ667" s="27" t="s">
        <v>166</v>
      </c>
      <c r="EK667" s="27" t="s">
        <v>166</v>
      </c>
      <c r="EL667" s="27" t="s">
        <v>166</v>
      </c>
      <c r="EM667" s="27" t="s">
        <v>166</v>
      </c>
      <c r="EN667" s="27" t="s">
        <v>166</v>
      </c>
      <c r="EO667" s="27" t="s">
        <v>166</v>
      </c>
      <c r="EP667" s="27" t="s">
        <v>166</v>
      </c>
      <c r="EQ667" s="27" t="s">
        <v>166</v>
      </c>
      <c r="ER667" s="27" t="s">
        <v>166</v>
      </c>
      <c r="ES667" s="27" t="s">
        <v>166</v>
      </c>
      <c r="ET667" s="25" t="s">
        <v>166</v>
      </c>
      <c r="EU667" s="27" t="s">
        <v>166</v>
      </c>
      <c r="EV667" s="27" t="s">
        <v>166</v>
      </c>
      <c r="EW667" s="27" t="s">
        <v>166</v>
      </c>
      <c r="EX667" s="25" t="s">
        <v>190</v>
      </c>
      <c r="EY667" s="25" t="s">
        <v>166</v>
      </c>
      <c r="EZ667" s="27" t="s">
        <v>166</v>
      </c>
      <c r="FA667" s="26" t="s">
        <v>166</v>
      </c>
      <c r="FB667" s="26" t="s">
        <v>166</v>
      </c>
      <c r="FC667" s="26" t="s">
        <v>166</v>
      </c>
      <c r="FD667" s="26" t="s">
        <v>166</v>
      </c>
      <c r="FE667" s="26" t="s">
        <v>166</v>
      </c>
      <c r="FF667" s="26" t="s">
        <v>166</v>
      </c>
      <c r="FG667" s="25" t="s">
        <v>166</v>
      </c>
      <c r="FH667" s="4">
        <f>HYPERLINK("https://my.pitchbook.com?c=213216-22T","View Company Online")</f>
      </c>
    </row>
    <row r="668">
      <c r="A668" s="14" t="s">
        <v>12800</v>
      </c>
      <c r="B668" s="14" t="s">
        <v>12801</v>
      </c>
      <c r="C668" s="14" t="s">
        <v>12802</v>
      </c>
      <c r="D668" s="14" t="s">
        <v>166</v>
      </c>
      <c r="E668" s="23" t="s">
        <v>12803</v>
      </c>
      <c r="F668" s="21">
        <v>8</v>
      </c>
      <c r="G668" s="14" t="s">
        <v>12804</v>
      </c>
      <c r="H668" s="14" t="s">
        <v>166</v>
      </c>
      <c r="I668" s="14" t="s">
        <v>12805</v>
      </c>
      <c r="J668" s="14" t="s">
        <v>12806</v>
      </c>
      <c r="K668" s="14" t="s">
        <v>207</v>
      </c>
      <c r="L668" s="14" t="s">
        <v>208</v>
      </c>
      <c r="M668" s="14" t="s">
        <v>639</v>
      </c>
      <c r="N668" s="14" t="s">
        <v>4716</v>
      </c>
      <c r="O668" s="14" t="s">
        <v>1842</v>
      </c>
      <c r="P668" s="14" t="s">
        <v>12807</v>
      </c>
      <c r="Q668" s="14" t="s">
        <v>166</v>
      </c>
      <c r="R668" s="14" t="s">
        <v>177</v>
      </c>
      <c r="S668" s="14" t="s">
        <v>178</v>
      </c>
      <c r="T668" s="14" t="s">
        <v>179</v>
      </c>
      <c r="U668" s="14" t="s">
        <v>12808</v>
      </c>
      <c r="V668" s="14" t="s">
        <v>12809</v>
      </c>
      <c r="W668" s="21" t="s">
        <v>12810</v>
      </c>
      <c r="X668" s="14" t="s">
        <v>12811</v>
      </c>
      <c r="Y668" s="14" t="s">
        <v>12812</v>
      </c>
      <c r="Z668" s="14" t="s">
        <v>12813</v>
      </c>
      <c r="AA668" s="14" t="s">
        <v>166</v>
      </c>
      <c r="AB668" s="14" t="s">
        <v>166</v>
      </c>
      <c r="AC668" s="14" t="s">
        <v>166</v>
      </c>
      <c r="AD668" s="14" t="s">
        <v>166</v>
      </c>
      <c r="AE668" s="14" t="s">
        <v>166</v>
      </c>
      <c r="AF668" s="14" t="s">
        <v>166</v>
      </c>
      <c r="AG668" s="14" t="s">
        <v>166</v>
      </c>
      <c r="AH668" s="21">
        <v>2</v>
      </c>
      <c r="AI668" s="3">
        <f>HYPERLINK("https://my.pitchbook.com/?d=166302-91T","166302-91T")</f>
      </c>
      <c r="AJ668" s="19" t="s">
        <v>166</v>
      </c>
      <c r="AK668" s="19">
        <v>44818</v>
      </c>
      <c r="AL668" s="18">
        <v>2.5</v>
      </c>
      <c r="AM668" s="14" t="s">
        <v>185</v>
      </c>
      <c r="AN668" s="18" t="s">
        <v>166</v>
      </c>
      <c r="AO668" s="18" t="s">
        <v>166</v>
      </c>
      <c r="AP668" s="14" t="s">
        <v>166</v>
      </c>
      <c r="AQ668" s="21" t="s">
        <v>166</v>
      </c>
      <c r="AR668" s="21" t="s">
        <v>166</v>
      </c>
      <c r="AS668" s="17" t="s">
        <v>166</v>
      </c>
      <c r="AT668" s="18">
        <v>2.65</v>
      </c>
      <c r="AU668" s="21" t="s">
        <v>186</v>
      </c>
      <c r="AV668" s="21" t="s">
        <v>166</v>
      </c>
      <c r="AW668" s="18" t="s">
        <v>166</v>
      </c>
      <c r="AX668" s="21" t="s">
        <v>166</v>
      </c>
      <c r="AY668" s="14" t="s">
        <v>217</v>
      </c>
      <c r="AZ668" s="14" t="s">
        <v>217</v>
      </c>
      <c r="BA668" s="14" t="s">
        <v>166</v>
      </c>
      <c r="BB668" s="21" t="s">
        <v>166</v>
      </c>
      <c r="BC668" s="14" t="s">
        <v>179</v>
      </c>
      <c r="BD668" s="14" t="s">
        <v>12806</v>
      </c>
      <c r="BE668" s="14" t="s">
        <v>189</v>
      </c>
      <c r="BF668" s="18">
        <v>2.5</v>
      </c>
      <c r="BG668" s="14" t="s">
        <v>190</v>
      </c>
      <c r="BH668" s="14" t="s">
        <v>166</v>
      </c>
      <c r="BI668" s="14" t="s">
        <v>166</v>
      </c>
      <c r="BJ668" s="18" t="s">
        <v>166</v>
      </c>
      <c r="BK668" s="18" t="s">
        <v>166</v>
      </c>
      <c r="BL668" s="14" t="s">
        <v>191</v>
      </c>
      <c r="BM668" s="14" t="s">
        <v>178</v>
      </c>
      <c r="BN668" s="14" t="s">
        <v>177</v>
      </c>
      <c r="BO668" s="22" t="s">
        <v>166</v>
      </c>
      <c r="BP668" s="14" t="s">
        <v>12814</v>
      </c>
      <c r="BQ668" s="21">
        <v>7</v>
      </c>
      <c r="BR668" s="14" t="s">
        <v>914</v>
      </c>
      <c r="BS668" s="21">
        <v>1</v>
      </c>
      <c r="BT668" s="14" t="s">
        <v>12815</v>
      </c>
      <c r="BU668" s="14" t="s">
        <v>166</v>
      </c>
      <c r="BV668" s="14" t="s">
        <v>12816</v>
      </c>
      <c r="BW668" s="14" t="s">
        <v>166</v>
      </c>
      <c r="BX668" s="14" t="s">
        <v>166</v>
      </c>
      <c r="BY668" s="14" t="s">
        <v>166</v>
      </c>
      <c r="BZ668" s="14" t="s">
        <v>166</v>
      </c>
      <c r="CA668" s="14" t="s">
        <v>166</v>
      </c>
      <c r="CB668" s="14" t="s">
        <v>166</v>
      </c>
      <c r="CC668" s="14" t="s">
        <v>166</v>
      </c>
      <c r="CD668" s="14" t="s">
        <v>166</v>
      </c>
      <c r="CE668" s="18" t="s">
        <v>166</v>
      </c>
      <c r="CF668" s="16" t="s">
        <v>166</v>
      </c>
      <c r="CG668" s="17" t="s">
        <v>166</v>
      </c>
      <c r="CH668" s="16" t="s">
        <v>166</v>
      </c>
      <c r="CI668" s="16" t="s">
        <v>166</v>
      </c>
      <c r="CJ668" s="16" t="s">
        <v>166</v>
      </c>
      <c r="CK668" s="16" t="s">
        <v>166</v>
      </c>
      <c r="CL668" s="16" t="s">
        <v>166</v>
      </c>
      <c r="CM668" s="20" t="s">
        <v>166</v>
      </c>
      <c r="CN668" s="16" t="s">
        <v>166</v>
      </c>
      <c r="CO668" s="16" t="s">
        <v>166</v>
      </c>
      <c r="CP668" s="16" t="s">
        <v>166</v>
      </c>
      <c r="CQ668" s="16" t="s">
        <v>166</v>
      </c>
      <c r="CR668" s="16" t="s">
        <v>166</v>
      </c>
      <c r="CS668" s="16" t="s">
        <v>166</v>
      </c>
      <c r="CT668" s="16" t="s">
        <v>166</v>
      </c>
      <c r="CU668" s="16" t="s">
        <v>166</v>
      </c>
      <c r="CV668" s="16" t="s">
        <v>166</v>
      </c>
      <c r="CW668" s="16" t="s">
        <v>166</v>
      </c>
      <c r="CX668" s="16" t="s">
        <v>166</v>
      </c>
      <c r="CY668" s="16" t="s">
        <v>166</v>
      </c>
      <c r="CZ668" s="16" t="s">
        <v>166</v>
      </c>
      <c r="DA668" s="16" t="s">
        <v>166</v>
      </c>
      <c r="DB668" s="16" t="s">
        <v>166</v>
      </c>
      <c r="DC668" s="16" t="s">
        <v>166</v>
      </c>
      <c r="DD668" s="16" t="s">
        <v>166</v>
      </c>
      <c r="DE668" s="17" t="s">
        <v>166</v>
      </c>
      <c r="DF668" s="22">
        <v>5</v>
      </c>
      <c r="DG668" s="14" t="s">
        <v>3157</v>
      </c>
      <c r="DH668" s="14" t="s">
        <v>193</v>
      </c>
      <c r="DI668" s="14" t="s">
        <v>194</v>
      </c>
      <c r="DJ668" s="14" t="s">
        <v>3158</v>
      </c>
      <c r="DK668" s="14" t="s">
        <v>257</v>
      </c>
      <c r="DL668" s="21" t="s">
        <v>10753</v>
      </c>
      <c r="DM668" s="14" t="s">
        <v>198</v>
      </c>
      <c r="DN668" s="13" t="s">
        <v>12817</v>
      </c>
      <c r="DO668" s="20">
        <v>2019</v>
      </c>
      <c r="DP668" s="14" t="s">
        <v>166</v>
      </c>
      <c r="DQ668" s="14" t="s">
        <v>166</v>
      </c>
      <c r="DR668" s="18" t="s">
        <v>166</v>
      </c>
      <c r="DS668" s="16" t="s">
        <v>166</v>
      </c>
      <c r="DT668" s="19" t="s">
        <v>166</v>
      </c>
      <c r="DU668" s="14" t="s">
        <v>166</v>
      </c>
      <c r="DV668" s="18" t="s">
        <v>166</v>
      </c>
      <c r="DW668" s="18" t="s">
        <v>166</v>
      </c>
      <c r="DX668" s="16" t="s">
        <v>166</v>
      </c>
      <c r="DY668" s="16" t="s">
        <v>166</v>
      </c>
      <c r="DZ668" s="17" t="s">
        <v>166</v>
      </c>
      <c r="EA668" s="16" t="s">
        <v>166</v>
      </c>
      <c r="EB668" s="16" t="s">
        <v>166</v>
      </c>
      <c r="EC668" s="16" t="s">
        <v>166</v>
      </c>
      <c r="ED668" s="17" t="s">
        <v>166</v>
      </c>
      <c r="EE668" s="17" t="s">
        <v>166</v>
      </c>
      <c r="EF668" s="17" t="s">
        <v>166</v>
      </c>
      <c r="EG668" s="17" t="s">
        <v>166</v>
      </c>
      <c r="EH668" s="16" t="s">
        <v>166</v>
      </c>
      <c r="EI668" s="16" t="s">
        <v>166</v>
      </c>
      <c r="EJ668" s="16" t="s">
        <v>166</v>
      </c>
      <c r="EK668" s="16" t="s">
        <v>166</v>
      </c>
      <c r="EL668" s="16" t="s">
        <v>166</v>
      </c>
      <c r="EM668" s="16" t="s">
        <v>166</v>
      </c>
      <c r="EN668" s="16" t="s">
        <v>166</v>
      </c>
      <c r="EO668" s="16" t="s">
        <v>166</v>
      </c>
      <c r="EP668" s="16" t="s">
        <v>166</v>
      </c>
      <c r="EQ668" s="16" t="s">
        <v>166</v>
      </c>
      <c r="ER668" s="16" t="s">
        <v>166</v>
      </c>
      <c r="ES668" s="16" t="s">
        <v>166</v>
      </c>
      <c r="ET668" s="14" t="s">
        <v>166</v>
      </c>
      <c r="EU668" s="16" t="s">
        <v>166</v>
      </c>
      <c r="EV668" s="16" t="s">
        <v>166</v>
      </c>
      <c r="EW668" s="16" t="s">
        <v>166</v>
      </c>
      <c r="EX668" s="14" t="s">
        <v>190</v>
      </c>
      <c r="EY668" s="14" t="s">
        <v>166</v>
      </c>
      <c r="EZ668" s="16" t="s">
        <v>166</v>
      </c>
      <c r="FA668" s="15" t="s">
        <v>166</v>
      </c>
      <c r="FB668" s="15" t="s">
        <v>166</v>
      </c>
      <c r="FC668" s="15" t="s">
        <v>166</v>
      </c>
      <c r="FD668" s="15" t="s">
        <v>166</v>
      </c>
      <c r="FE668" s="15" t="s">
        <v>166</v>
      </c>
      <c r="FF668" s="15" t="s">
        <v>166</v>
      </c>
      <c r="FG668" s="14" t="s">
        <v>166</v>
      </c>
      <c r="FH668" s="3">
        <f>HYPERLINK("https://my.pitchbook.com?c=166302-91T","View Company Online")</f>
      </c>
    </row>
    <row r="669">
      <c r="A669" s="25" t="s">
        <v>12818</v>
      </c>
      <c r="B669" s="25" t="s">
        <v>12819</v>
      </c>
      <c r="C669" s="25" t="s">
        <v>12820</v>
      </c>
      <c r="D669" s="25" t="s">
        <v>166</v>
      </c>
      <c r="E669" s="34" t="s">
        <v>12821</v>
      </c>
      <c r="F669" s="32">
        <v>1</v>
      </c>
      <c r="G669" s="25" t="s">
        <v>166</v>
      </c>
      <c r="H669" s="25" t="s">
        <v>166</v>
      </c>
      <c r="I669" s="25" t="s">
        <v>12822</v>
      </c>
      <c r="J669" s="25" t="s">
        <v>12823</v>
      </c>
      <c r="K669" s="25" t="s">
        <v>321</v>
      </c>
      <c r="L669" s="25" t="s">
        <v>1645</v>
      </c>
      <c r="M669" s="25" t="s">
        <v>12824</v>
      </c>
      <c r="N669" s="25" t="s">
        <v>12825</v>
      </c>
      <c r="O669" s="25" t="s">
        <v>12826</v>
      </c>
      <c r="P669" s="25" t="s">
        <v>12827</v>
      </c>
      <c r="Q669" s="25" t="s">
        <v>166</v>
      </c>
      <c r="R669" s="25" t="s">
        <v>177</v>
      </c>
      <c r="S669" s="25" t="s">
        <v>178</v>
      </c>
      <c r="T669" s="25" t="s">
        <v>179</v>
      </c>
      <c r="U669" s="25" t="s">
        <v>12828</v>
      </c>
      <c r="V669" s="25" t="s">
        <v>12829</v>
      </c>
      <c r="W669" s="32" t="s">
        <v>12830</v>
      </c>
      <c r="X669" s="25" t="s">
        <v>12831</v>
      </c>
      <c r="Y669" s="25" t="s">
        <v>12832</v>
      </c>
      <c r="Z669" s="25" t="s">
        <v>1633</v>
      </c>
      <c r="AA669" s="25" t="s">
        <v>166</v>
      </c>
      <c r="AB669" s="25" t="s">
        <v>166</v>
      </c>
      <c r="AC669" s="25" t="s">
        <v>166</v>
      </c>
      <c r="AD669" s="25" t="s">
        <v>166</v>
      </c>
      <c r="AE669" s="25" t="s">
        <v>166</v>
      </c>
      <c r="AF669" s="25" t="s">
        <v>166</v>
      </c>
      <c r="AG669" s="25" t="s">
        <v>166</v>
      </c>
      <c r="AH669" s="32">
        <v>1</v>
      </c>
      <c r="AI669" s="4">
        <f>HYPERLINK("https://my.pitchbook.com/?d=234150-94T","234150-94T")</f>
      </c>
      <c r="AJ669" s="30" t="s">
        <v>166</v>
      </c>
      <c r="AK669" s="30">
        <v>44044</v>
      </c>
      <c r="AL669" s="29">
        <v>0.7</v>
      </c>
      <c r="AM669" s="25" t="s">
        <v>185</v>
      </c>
      <c r="AN669" s="29" t="s">
        <v>166</v>
      </c>
      <c r="AO669" s="29" t="s">
        <v>166</v>
      </c>
      <c r="AP669" s="25" t="s">
        <v>166</v>
      </c>
      <c r="AQ669" s="32" t="s">
        <v>166</v>
      </c>
      <c r="AR669" s="32" t="s">
        <v>166</v>
      </c>
      <c r="AS669" s="28" t="s">
        <v>166</v>
      </c>
      <c r="AT669" s="29">
        <v>0.7</v>
      </c>
      <c r="AU669" s="32" t="s">
        <v>186</v>
      </c>
      <c r="AV669" s="32" t="s">
        <v>166</v>
      </c>
      <c r="AW669" s="29" t="s">
        <v>166</v>
      </c>
      <c r="AX669" s="32" t="s">
        <v>166</v>
      </c>
      <c r="AY669" s="25" t="s">
        <v>217</v>
      </c>
      <c r="AZ669" s="25" t="s">
        <v>217</v>
      </c>
      <c r="BA669" s="25" t="s">
        <v>166</v>
      </c>
      <c r="BB669" s="32" t="s">
        <v>166</v>
      </c>
      <c r="BC669" s="25" t="s">
        <v>179</v>
      </c>
      <c r="BD669" s="25" t="s">
        <v>12833</v>
      </c>
      <c r="BE669" s="25" t="s">
        <v>189</v>
      </c>
      <c r="BF669" s="29">
        <v>0.7</v>
      </c>
      <c r="BG669" s="25" t="s">
        <v>190</v>
      </c>
      <c r="BH669" s="25" t="s">
        <v>166</v>
      </c>
      <c r="BI669" s="25" t="s">
        <v>166</v>
      </c>
      <c r="BJ669" s="29" t="s">
        <v>166</v>
      </c>
      <c r="BK669" s="29" t="s">
        <v>166</v>
      </c>
      <c r="BL669" s="25" t="s">
        <v>191</v>
      </c>
      <c r="BM669" s="25" t="s">
        <v>178</v>
      </c>
      <c r="BN669" s="25" t="s">
        <v>177</v>
      </c>
      <c r="BO669" s="33" t="s">
        <v>166</v>
      </c>
      <c r="BP669" s="25" t="s">
        <v>12834</v>
      </c>
      <c r="BQ669" s="32">
        <v>1</v>
      </c>
      <c r="BR669" s="25" t="s">
        <v>166</v>
      </c>
      <c r="BS669" s="32" t="s">
        <v>166</v>
      </c>
      <c r="BT669" s="25" t="s">
        <v>166</v>
      </c>
      <c r="BU669" s="25" t="s">
        <v>166</v>
      </c>
      <c r="BV669" s="25" t="s">
        <v>166</v>
      </c>
      <c r="BW669" s="25" t="s">
        <v>166</v>
      </c>
      <c r="BX669" s="25" t="s">
        <v>166</v>
      </c>
      <c r="BY669" s="25" t="s">
        <v>166</v>
      </c>
      <c r="BZ669" s="25" t="s">
        <v>166</v>
      </c>
      <c r="CA669" s="25" t="s">
        <v>166</v>
      </c>
      <c r="CB669" s="25" t="s">
        <v>166</v>
      </c>
      <c r="CC669" s="25" t="s">
        <v>166</v>
      </c>
      <c r="CD669" s="25" t="s">
        <v>166</v>
      </c>
      <c r="CE669" s="29" t="s">
        <v>166</v>
      </c>
      <c r="CF669" s="27" t="s">
        <v>166</v>
      </c>
      <c r="CG669" s="28" t="s">
        <v>166</v>
      </c>
      <c r="CH669" s="27" t="s">
        <v>166</v>
      </c>
      <c r="CI669" s="27" t="s">
        <v>166</v>
      </c>
      <c r="CJ669" s="27" t="s">
        <v>166</v>
      </c>
      <c r="CK669" s="27" t="s">
        <v>166</v>
      </c>
      <c r="CL669" s="27" t="s">
        <v>166</v>
      </c>
      <c r="CM669" s="31" t="s">
        <v>166</v>
      </c>
      <c r="CN669" s="27" t="s">
        <v>166</v>
      </c>
      <c r="CO669" s="27" t="s">
        <v>166</v>
      </c>
      <c r="CP669" s="27" t="s">
        <v>166</v>
      </c>
      <c r="CQ669" s="27" t="s">
        <v>166</v>
      </c>
      <c r="CR669" s="27" t="s">
        <v>166</v>
      </c>
      <c r="CS669" s="27" t="s">
        <v>166</v>
      </c>
      <c r="CT669" s="27" t="s">
        <v>166</v>
      </c>
      <c r="CU669" s="27" t="s">
        <v>166</v>
      </c>
      <c r="CV669" s="27" t="s">
        <v>166</v>
      </c>
      <c r="CW669" s="27" t="s">
        <v>166</v>
      </c>
      <c r="CX669" s="27" t="s">
        <v>166</v>
      </c>
      <c r="CY669" s="27" t="s">
        <v>166</v>
      </c>
      <c r="CZ669" s="27" t="s">
        <v>166</v>
      </c>
      <c r="DA669" s="27" t="s">
        <v>166</v>
      </c>
      <c r="DB669" s="27" t="s">
        <v>166</v>
      </c>
      <c r="DC669" s="27" t="s">
        <v>166</v>
      </c>
      <c r="DD669" s="27" t="s">
        <v>166</v>
      </c>
      <c r="DE669" s="28" t="s">
        <v>166</v>
      </c>
      <c r="DF669" s="33">
        <v>8</v>
      </c>
      <c r="DG669" s="25" t="s">
        <v>12835</v>
      </c>
      <c r="DH669" s="25" t="s">
        <v>193</v>
      </c>
      <c r="DI669" s="25" t="s">
        <v>194</v>
      </c>
      <c r="DJ669" s="25" t="s">
        <v>12836</v>
      </c>
      <c r="DK669" s="25" t="s">
        <v>12837</v>
      </c>
      <c r="DL669" s="32" t="s">
        <v>12838</v>
      </c>
      <c r="DM669" s="25" t="s">
        <v>198</v>
      </c>
      <c r="DN669" s="24" t="s">
        <v>12839</v>
      </c>
      <c r="DO669" s="31">
        <v>2019</v>
      </c>
      <c r="DP669" s="25" t="s">
        <v>166</v>
      </c>
      <c r="DQ669" s="25" t="s">
        <v>166</v>
      </c>
      <c r="DR669" s="29" t="s">
        <v>166</v>
      </c>
      <c r="DS669" s="27" t="s">
        <v>166</v>
      </c>
      <c r="DT669" s="30" t="s">
        <v>166</v>
      </c>
      <c r="DU669" s="25" t="s">
        <v>166</v>
      </c>
      <c r="DV669" s="29" t="s">
        <v>166</v>
      </c>
      <c r="DW669" s="29" t="s">
        <v>166</v>
      </c>
      <c r="DX669" s="27" t="s">
        <v>166</v>
      </c>
      <c r="DY669" s="27" t="s">
        <v>166</v>
      </c>
      <c r="DZ669" s="28" t="s">
        <v>166</v>
      </c>
      <c r="EA669" s="27" t="s">
        <v>166</v>
      </c>
      <c r="EB669" s="27" t="s">
        <v>166</v>
      </c>
      <c r="EC669" s="27" t="s">
        <v>166</v>
      </c>
      <c r="ED669" s="28" t="s">
        <v>166</v>
      </c>
      <c r="EE669" s="28" t="s">
        <v>166</v>
      </c>
      <c r="EF669" s="28" t="s">
        <v>166</v>
      </c>
      <c r="EG669" s="28" t="s">
        <v>166</v>
      </c>
      <c r="EH669" s="27" t="s">
        <v>166</v>
      </c>
      <c r="EI669" s="27" t="s">
        <v>166</v>
      </c>
      <c r="EJ669" s="27" t="s">
        <v>166</v>
      </c>
      <c r="EK669" s="27" t="s">
        <v>166</v>
      </c>
      <c r="EL669" s="27" t="s">
        <v>166</v>
      </c>
      <c r="EM669" s="27" t="s">
        <v>166</v>
      </c>
      <c r="EN669" s="27" t="s">
        <v>166</v>
      </c>
      <c r="EO669" s="27" t="s">
        <v>166</v>
      </c>
      <c r="EP669" s="27" t="s">
        <v>166</v>
      </c>
      <c r="EQ669" s="27" t="s">
        <v>166</v>
      </c>
      <c r="ER669" s="27" t="s">
        <v>166</v>
      </c>
      <c r="ES669" s="27" t="s">
        <v>166</v>
      </c>
      <c r="ET669" s="25" t="s">
        <v>166</v>
      </c>
      <c r="EU669" s="27" t="s">
        <v>166</v>
      </c>
      <c r="EV669" s="27" t="s">
        <v>166</v>
      </c>
      <c r="EW669" s="27" t="s">
        <v>166</v>
      </c>
      <c r="EX669" s="25" t="s">
        <v>190</v>
      </c>
      <c r="EY669" s="25" t="s">
        <v>166</v>
      </c>
      <c r="EZ669" s="27" t="s">
        <v>166</v>
      </c>
      <c r="FA669" s="26" t="s">
        <v>166</v>
      </c>
      <c r="FB669" s="26" t="s">
        <v>166</v>
      </c>
      <c r="FC669" s="26" t="s">
        <v>166</v>
      </c>
      <c r="FD669" s="26" t="s">
        <v>166</v>
      </c>
      <c r="FE669" s="26" t="s">
        <v>166</v>
      </c>
      <c r="FF669" s="26" t="s">
        <v>166</v>
      </c>
      <c r="FG669" s="25" t="s">
        <v>166</v>
      </c>
      <c r="FH669" s="4">
        <f>HYPERLINK("https://my.pitchbook.com?c=234150-94T","View Company Online")</f>
      </c>
    </row>
    <row r="670">
      <c r="A670" s="14" t="s">
        <v>12840</v>
      </c>
      <c r="B670" s="14" t="s">
        <v>12841</v>
      </c>
      <c r="C670" s="14" t="s">
        <v>12842</v>
      </c>
      <c r="D670" s="14" t="s">
        <v>166</v>
      </c>
      <c r="E670" s="23" t="s">
        <v>12843</v>
      </c>
      <c r="F670" s="21">
        <v>20</v>
      </c>
      <c r="G670" s="14" t="s">
        <v>12844</v>
      </c>
      <c r="H670" s="14" t="s">
        <v>166</v>
      </c>
      <c r="I670" s="14" t="s">
        <v>12845</v>
      </c>
      <c r="J670" s="14" t="s">
        <v>12846</v>
      </c>
      <c r="K670" s="14" t="s">
        <v>207</v>
      </c>
      <c r="L670" s="14" t="s">
        <v>208</v>
      </c>
      <c r="M670" s="14" t="s">
        <v>209</v>
      </c>
      <c r="N670" s="14" t="s">
        <v>12847</v>
      </c>
      <c r="O670" s="14" t="s">
        <v>5563</v>
      </c>
      <c r="P670" s="14" t="s">
        <v>12848</v>
      </c>
      <c r="Q670" s="14" t="s">
        <v>166</v>
      </c>
      <c r="R670" s="14" t="s">
        <v>177</v>
      </c>
      <c r="S670" s="14" t="s">
        <v>178</v>
      </c>
      <c r="T670" s="14" t="s">
        <v>179</v>
      </c>
      <c r="U670" s="14" t="s">
        <v>12849</v>
      </c>
      <c r="V670" s="14" t="s">
        <v>12850</v>
      </c>
      <c r="W670" s="21" t="s">
        <v>12851</v>
      </c>
      <c r="X670" s="14" t="s">
        <v>12852</v>
      </c>
      <c r="Y670" s="14" t="s">
        <v>12853</v>
      </c>
      <c r="Z670" s="14" t="s">
        <v>12854</v>
      </c>
      <c r="AA670" s="14" t="s">
        <v>242</v>
      </c>
      <c r="AB670" s="14" t="s">
        <v>243</v>
      </c>
      <c r="AC670" s="14" t="s">
        <v>244</v>
      </c>
      <c r="AD670" s="14" t="s">
        <v>243</v>
      </c>
      <c r="AE670" s="14" t="s">
        <v>243</v>
      </c>
      <c r="AF670" s="14" t="s">
        <v>166</v>
      </c>
      <c r="AG670" s="14" t="s">
        <v>246</v>
      </c>
      <c r="AH670" s="21">
        <v>1</v>
      </c>
      <c r="AI670" s="3">
        <f>HYPERLINK("https://my.pitchbook.com/?d=177532-48T","177532-48T")</f>
      </c>
      <c r="AJ670" s="19" t="s">
        <v>166</v>
      </c>
      <c r="AK670" s="19">
        <v>44361</v>
      </c>
      <c r="AL670" s="18">
        <v>3.5</v>
      </c>
      <c r="AM670" s="14" t="s">
        <v>185</v>
      </c>
      <c r="AN670" s="18">
        <v>16.5</v>
      </c>
      <c r="AO670" s="18">
        <v>20</v>
      </c>
      <c r="AP670" s="14" t="s">
        <v>185</v>
      </c>
      <c r="AQ670" s="21" t="s">
        <v>166</v>
      </c>
      <c r="AR670" s="21" t="s">
        <v>166</v>
      </c>
      <c r="AS670" s="17">
        <v>17.5</v>
      </c>
      <c r="AT670" s="18">
        <v>3.5</v>
      </c>
      <c r="AU670" s="21" t="s">
        <v>186</v>
      </c>
      <c r="AV670" s="21" t="s">
        <v>166</v>
      </c>
      <c r="AW670" s="18">
        <v>1.59</v>
      </c>
      <c r="AX670" s="21" t="s">
        <v>166</v>
      </c>
      <c r="AY670" s="14" t="s">
        <v>217</v>
      </c>
      <c r="AZ670" s="14" t="s">
        <v>217</v>
      </c>
      <c r="BA670" s="14" t="s">
        <v>166</v>
      </c>
      <c r="BB670" s="21" t="s">
        <v>166</v>
      </c>
      <c r="BC670" s="14" t="s">
        <v>179</v>
      </c>
      <c r="BD670" s="14" t="s">
        <v>12855</v>
      </c>
      <c r="BE670" s="14" t="s">
        <v>189</v>
      </c>
      <c r="BF670" s="18">
        <v>3.5</v>
      </c>
      <c r="BG670" s="14" t="s">
        <v>190</v>
      </c>
      <c r="BH670" s="14" t="s">
        <v>166</v>
      </c>
      <c r="BI670" s="14" t="s">
        <v>166</v>
      </c>
      <c r="BJ670" s="18" t="s">
        <v>166</v>
      </c>
      <c r="BK670" s="18" t="s">
        <v>166</v>
      </c>
      <c r="BL670" s="14" t="s">
        <v>191</v>
      </c>
      <c r="BM670" s="14" t="s">
        <v>178</v>
      </c>
      <c r="BN670" s="14" t="s">
        <v>177</v>
      </c>
      <c r="BO670" s="22" t="s">
        <v>166</v>
      </c>
      <c r="BP670" s="14" t="s">
        <v>12856</v>
      </c>
      <c r="BQ670" s="21">
        <v>20</v>
      </c>
      <c r="BR670" s="14" t="s">
        <v>166</v>
      </c>
      <c r="BS670" s="21" t="s">
        <v>166</v>
      </c>
      <c r="BT670" s="14" t="s">
        <v>166</v>
      </c>
      <c r="BU670" s="14" t="s">
        <v>166</v>
      </c>
      <c r="BV670" s="14" t="s">
        <v>12857</v>
      </c>
      <c r="BW670" s="14" t="s">
        <v>166</v>
      </c>
      <c r="BX670" s="14" t="s">
        <v>166</v>
      </c>
      <c r="BY670" s="14" t="s">
        <v>166</v>
      </c>
      <c r="BZ670" s="14" t="s">
        <v>166</v>
      </c>
      <c r="CA670" s="14" t="s">
        <v>166</v>
      </c>
      <c r="CB670" s="14" t="s">
        <v>166</v>
      </c>
      <c r="CC670" s="14" t="s">
        <v>166</v>
      </c>
      <c r="CD670" s="14" t="s">
        <v>166</v>
      </c>
      <c r="CE670" s="18" t="s">
        <v>166</v>
      </c>
      <c r="CF670" s="16" t="s">
        <v>166</v>
      </c>
      <c r="CG670" s="17" t="s">
        <v>166</v>
      </c>
      <c r="CH670" s="16" t="s">
        <v>166</v>
      </c>
      <c r="CI670" s="16" t="s">
        <v>166</v>
      </c>
      <c r="CJ670" s="16" t="s">
        <v>166</v>
      </c>
      <c r="CK670" s="16" t="s">
        <v>166</v>
      </c>
      <c r="CL670" s="16" t="s">
        <v>166</v>
      </c>
      <c r="CM670" s="20" t="s">
        <v>166</v>
      </c>
      <c r="CN670" s="16" t="s">
        <v>166</v>
      </c>
      <c r="CO670" s="16" t="s">
        <v>166</v>
      </c>
      <c r="CP670" s="16" t="s">
        <v>166</v>
      </c>
      <c r="CQ670" s="16" t="s">
        <v>166</v>
      </c>
      <c r="CR670" s="16" t="s">
        <v>166</v>
      </c>
      <c r="CS670" s="16" t="s">
        <v>166</v>
      </c>
      <c r="CT670" s="16" t="s">
        <v>166</v>
      </c>
      <c r="CU670" s="16" t="s">
        <v>166</v>
      </c>
      <c r="CV670" s="16" t="s">
        <v>166</v>
      </c>
      <c r="CW670" s="16" t="s">
        <v>166</v>
      </c>
      <c r="CX670" s="16" t="s">
        <v>166</v>
      </c>
      <c r="CY670" s="16" t="s">
        <v>166</v>
      </c>
      <c r="CZ670" s="16" t="s">
        <v>166</v>
      </c>
      <c r="DA670" s="16" t="s">
        <v>166</v>
      </c>
      <c r="DB670" s="16" t="s">
        <v>166</v>
      </c>
      <c r="DC670" s="16" t="s">
        <v>166</v>
      </c>
      <c r="DD670" s="16" t="s">
        <v>166</v>
      </c>
      <c r="DE670" s="17" t="s">
        <v>166</v>
      </c>
      <c r="DF670" s="22">
        <v>41</v>
      </c>
      <c r="DG670" s="14" t="s">
        <v>673</v>
      </c>
      <c r="DH670" s="14" t="s">
        <v>193</v>
      </c>
      <c r="DI670" s="14" t="s">
        <v>194</v>
      </c>
      <c r="DJ670" s="14" t="s">
        <v>674</v>
      </c>
      <c r="DK670" s="14" t="s">
        <v>257</v>
      </c>
      <c r="DL670" s="21" t="s">
        <v>675</v>
      </c>
      <c r="DM670" s="14" t="s">
        <v>198</v>
      </c>
      <c r="DN670" s="13" t="s">
        <v>12858</v>
      </c>
      <c r="DO670" s="20">
        <v>2021</v>
      </c>
      <c r="DP670" s="14" t="s">
        <v>166</v>
      </c>
      <c r="DQ670" s="14" t="s">
        <v>166</v>
      </c>
      <c r="DR670" s="18" t="s">
        <v>166</v>
      </c>
      <c r="DS670" s="16" t="s">
        <v>166</v>
      </c>
      <c r="DT670" s="19" t="s">
        <v>166</v>
      </c>
      <c r="DU670" s="14" t="s">
        <v>166</v>
      </c>
      <c r="DV670" s="18" t="s">
        <v>166</v>
      </c>
      <c r="DW670" s="18" t="s">
        <v>166</v>
      </c>
      <c r="DX670" s="16" t="s">
        <v>166</v>
      </c>
      <c r="DY670" s="16" t="s">
        <v>166</v>
      </c>
      <c r="DZ670" s="17" t="s">
        <v>166</v>
      </c>
      <c r="EA670" s="16" t="s">
        <v>166</v>
      </c>
      <c r="EB670" s="16" t="s">
        <v>166</v>
      </c>
      <c r="EC670" s="16" t="s">
        <v>166</v>
      </c>
      <c r="ED670" s="17" t="s">
        <v>166</v>
      </c>
      <c r="EE670" s="17" t="s">
        <v>166</v>
      </c>
      <c r="EF670" s="17" t="s">
        <v>166</v>
      </c>
      <c r="EG670" s="17" t="s">
        <v>166</v>
      </c>
      <c r="EH670" s="16" t="s">
        <v>166</v>
      </c>
      <c r="EI670" s="16" t="s">
        <v>166</v>
      </c>
      <c r="EJ670" s="16" t="s">
        <v>166</v>
      </c>
      <c r="EK670" s="16" t="s">
        <v>166</v>
      </c>
      <c r="EL670" s="16" t="s">
        <v>166</v>
      </c>
      <c r="EM670" s="16" t="s">
        <v>166</v>
      </c>
      <c r="EN670" s="16" t="s">
        <v>166</v>
      </c>
      <c r="EO670" s="16" t="s">
        <v>166</v>
      </c>
      <c r="EP670" s="16" t="s">
        <v>166</v>
      </c>
      <c r="EQ670" s="16" t="s">
        <v>166</v>
      </c>
      <c r="ER670" s="16" t="s">
        <v>166</v>
      </c>
      <c r="ES670" s="16" t="s">
        <v>166</v>
      </c>
      <c r="ET670" s="14" t="s">
        <v>166</v>
      </c>
      <c r="EU670" s="16" t="s">
        <v>166</v>
      </c>
      <c r="EV670" s="16" t="s">
        <v>166</v>
      </c>
      <c r="EW670" s="16" t="s">
        <v>166</v>
      </c>
      <c r="EX670" s="14" t="s">
        <v>190</v>
      </c>
      <c r="EY670" s="14" t="s">
        <v>166</v>
      </c>
      <c r="EZ670" s="16" t="s">
        <v>166</v>
      </c>
      <c r="FA670" s="15" t="s">
        <v>166</v>
      </c>
      <c r="FB670" s="15" t="s">
        <v>166</v>
      </c>
      <c r="FC670" s="15" t="s">
        <v>166</v>
      </c>
      <c r="FD670" s="15" t="s">
        <v>166</v>
      </c>
      <c r="FE670" s="15" t="s">
        <v>166</v>
      </c>
      <c r="FF670" s="15" t="s">
        <v>166</v>
      </c>
      <c r="FG670" s="14" t="s">
        <v>166</v>
      </c>
      <c r="FH670" s="3">
        <f>HYPERLINK("https://my.pitchbook.com?c=177532-48T","View Company Online")</f>
      </c>
    </row>
    <row r="671">
      <c r="A671" s="25" t="s">
        <v>12859</v>
      </c>
      <c r="B671" s="25" t="s">
        <v>12860</v>
      </c>
      <c r="C671" s="25" t="s">
        <v>12861</v>
      </c>
      <c r="D671" s="25" t="s">
        <v>166</v>
      </c>
      <c r="E671" s="34" t="s">
        <v>12862</v>
      </c>
      <c r="F671" s="32">
        <v>2</v>
      </c>
      <c r="G671" s="25" t="s">
        <v>12863</v>
      </c>
      <c r="H671" s="25" t="s">
        <v>166</v>
      </c>
      <c r="I671" s="25" t="s">
        <v>12864</v>
      </c>
      <c r="J671" s="25" t="s">
        <v>12865</v>
      </c>
      <c r="K671" s="25" t="s">
        <v>1455</v>
      </c>
      <c r="L671" s="25" t="s">
        <v>1456</v>
      </c>
      <c r="M671" s="25" t="s">
        <v>1457</v>
      </c>
      <c r="N671" s="25" t="s">
        <v>12866</v>
      </c>
      <c r="O671" s="25" t="s">
        <v>12867</v>
      </c>
      <c r="P671" s="25" t="s">
        <v>12868</v>
      </c>
      <c r="Q671" s="25" t="s">
        <v>166</v>
      </c>
      <c r="R671" s="25" t="s">
        <v>177</v>
      </c>
      <c r="S671" s="25" t="s">
        <v>178</v>
      </c>
      <c r="T671" s="25" t="s">
        <v>179</v>
      </c>
      <c r="U671" s="25" t="s">
        <v>12869</v>
      </c>
      <c r="V671" s="25" t="s">
        <v>12870</v>
      </c>
      <c r="W671" s="32" t="s">
        <v>12871</v>
      </c>
      <c r="X671" s="25" t="s">
        <v>12872</v>
      </c>
      <c r="Y671" s="25" t="s">
        <v>12873</v>
      </c>
      <c r="Z671" s="25" t="s">
        <v>12874</v>
      </c>
      <c r="AA671" s="25" t="s">
        <v>242</v>
      </c>
      <c r="AB671" s="25" t="s">
        <v>243</v>
      </c>
      <c r="AC671" s="25" t="s">
        <v>244</v>
      </c>
      <c r="AD671" s="25" t="s">
        <v>243</v>
      </c>
      <c r="AE671" s="25" t="s">
        <v>243</v>
      </c>
      <c r="AF671" s="25" t="s">
        <v>166</v>
      </c>
      <c r="AG671" s="25" t="s">
        <v>246</v>
      </c>
      <c r="AH671" s="32">
        <v>2</v>
      </c>
      <c r="AI671" s="4">
        <f>HYPERLINK("https://my.pitchbook.com/?d=167724-37T","167724-37T")</f>
      </c>
      <c r="AJ671" s="30">
        <v>44244</v>
      </c>
      <c r="AK671" s="30">
        <v>44451</v>
      </c>
      <c r="AL671" s="29">
        <v>0.15</v>
      </c>
      <c r="AM671" s="25" t="s">
        <v>185</v>
      </c>
      <c r="AN671" s="29">
        <v>0.4</v>
      </c>
      <c r="AO671" s="29">
        <v>0.55</v>
      </c>
      <c r="AP671" s="25" t="s">
        <v>185</v>
      </c>
      <c r="AQ671" s="32" t="s">
        <v>166</v>
      </c>
      <c r="AR671" s="32" t="s">
        <v>166</v>
      </c>
      <c r="AS671" s="28">
        <v>27.27</v>
      </c>
      <c r="AT671" s="29">
        <v>0.15</v>
      </c>
      <c r="AU671" s="32" t="s">
        <v>186</v>
      </c>
      <c r="AV671" s="32" t="s">
        <v>166</v>
      </c>
      <c r="AW671" s="29">
        <v>0.1</v>
      </c>
      <c r="AX671" s="32" t="s">
        <v>166</v>
      </c>
      <c r="AY671" s="25" t="s">
        <v>217</v>
      </c>
      <c r="AZ671" s="25" t="s">
        <v>217</v>
      </c>
      <c r="BA671" s="25" t="s">
        <v>166</v>
      </c>
      <c r="BB671" s="32" t="s">
        <v>166</v>
      </c>
      <c r="BC671" s="25" t="s">
        <v>179</v>
      </c>
      <c r="BD671" s="25" t="s">
        <v>12875</v>
      </c>
      <c r="BE671" s="25" t="s">
        <v>189</v>
      </c>
      <c r="BF671" s="29">
        <v>0.15</v>
      </c>
      <c r="BG671" s="25" t="s">
        <v>190</v>
      </c>
      <c r="BH671" s="25" t="s">
        <v>166</v>
      </c>
      <c r="BI671" s="25" t="s">
        <v>166</v>
      </c>
      <c r="BJ671" s="29" t="s">
        <v>166</v>
      </c>
      <c r="BK671" s="29" t="s">
        <v>166</v>
      </c>
      <c r="BL671" s="25" t="s">
        <v>191</v>
      </c>
      <c r="BM671" s="25" t="s">
        <v>178</v>
      </c>
      <c r="BN671" s="25" t="s">
        <v>177</v>
      </c>
      <c r="BO671" s="33" t="s">
        <v>166</v>
      </c>
      <c r="BP671" s="25" t="s">
        <v>12876</v>
      </c>
      <c r="BQ671" s="32">
        <v>2</v>
      </c>
      <c r="BR671" s="25" t="s">
        <v>166</v>
      </c>
      <c r="BS671" s="32" t="s">
        <v>166</v>
      </c>
      <c r="BT671" s="25" t="s">
        <v>166</v>
      </c>
      <c r="BU671" s="25" t="s">
        <v>166</v>
      </c>
      <c r="BV671" s="25" t="s">
        <v>12877</v>
      </c>
      <c r="BW671" s="25" t="s">
        <v>166</v>
      </c>
      <c r="BX671" s="25" t="s">
        <v>166</v>
      </c>
      <c r="BY671" s="25" t="s">
        <v>166</v>
      </c>
      <c r="BZ671" s="25" t="s">
        <v>166</v>
      </c>
      <c r="CA671" s="25" t="s">
        <v>166</v>
      </c>
      <c r="CB671" s="25" t="s">
        <v>166</v>
      </c>
      <c r="CC671" s="25" t="s">
        <v>166</v>
      </c>
      <c r="CD671" s="25" t="s">
        <v>166</v>
      </c>
      <c r="CE671" s="29" t="s">
        <v>166</v>
      </c>
      <c r="CF671" s="27" t="s">
        <v>166</v>
      </c>
      <c r="CG671" s="28" t="s">
        <v>166</v>
      </c>
      <c r="CH671" s="27" t="s">
        <v>166</v>
      </c>
      <c r="CI671" s="27" t="s">
        <v>166</v>
      </c>
      <c r="CJ671" s="27" t="s">
        <v>166</v>
      </c>
      <c r="CK671" s="27" t="s">
        <v>166</v>
      </c>
      <c r="CL671" s="27" t="s">
        <v>166</v>
      </c>
      <c r="CM671" s="31" t="s">
        <v>166</v>
      </c>
      <c r="CN671" s="27" t="s">
        <v>166</v>
      </c>
      <c r="CO671" s="27" t="s">
        <v>166</v>
      </c>
      <c r="CP671" s="27" t="s">
        <v>166</v>
      </c>
      <c r="CQ671" s="27" t="s">
        <v>166</v>
      </c>
      <c r="CR671" s="27" t="s">
        <v>166</v>
      </c>
      <c r="CS671" s="27" t="s">
        <v>166</v>
      </c>
      <c r="CT671" s="27" t="s">
        <v>166</v>
      </c>
      <c r="CU671" s="27" t="s">
        <v>166</v>
      </c>
      <c r="CV671" s="27" t="s">
        <v>166</v>
      </c>
      <c r="CW671" s="27" t="s">
        <v>166</v>
      </c>
      <c r="CX671" s="27" t="s">
        <v>166</v>
      </c>
      <c r="CY671" s="27" t="s">
        <v>166</v>
      </c>
      <c r="CZ671" s="27" t="s">
        <v>166</v>
      </c>
      <c r="DA671" s="27" t="s">
        <v>166</v>
      </c>
      <c r="DB671" s="27" t="s">
        <v>166</v>
      </c>
      <c r="DC671" s="27" t="s">
        <v>166</v>
      </c>
      <c r="DD671" s="27" t="s">
        <v>166</v>
      </c>
      <c r="DE671" s="28" t="s">
        <v>166</v>
      </c>
      <c r="DF671" s="33">
        <v>10</v>
      </c>
      <c r="DG671" s="25" t="s">
        <v>12878</v>
      </c>
      <c r="DH671" s="25" t="s">
        <v>193</v>
      </c>
      <c r="DI671" s="25" t="s">
        <v>194</v>
      </c>
      <c r="DJ671" s="25" t="s">
        <v>12879</v>
      </c>
      <c r="DK671" s="25" t="s">
        <v>12474</v>
      </c>
      <c r="DL671" s="32" t="s">
        <v>12880</v>
      </c>
      <c r="DM671" s="25" t="s">
        <v>198</v>
      </c>
      <c r="DN671" s="24" t="s">
        <v>12881</v>
      </c>
      <c r="DO671" s="31">
        <v>2020</v>
      </c>
      <c r="DP671" s="25" t="s">
        <v>166</v>
      </c>
      <c r="DQ671" s="25" t="s">
        <v>166</v>
      </c>
      <c r="DR671" s="29" t="s">
        <v>166</v>
      </c>
      <c r="DS671" s="27" t="s">
        <v>166</v>
      </c>
      <c r="DT671" s="30" t="s">
        <v>166</v>
      </c>
      <c r="DU671" s="25" t="s">
        <v>166</v>
      </c>
      <c r="DV671" s="29" t="s">
        <v>166</v>
      </c>
      <c r="DW671" s="29" t="s">
        <v>166</v>
      </c>
      <c r="DX671" s="27" t="s">
        <v>166</v>
      </c>
      <c r="DY671" s="27" t="s">
        <v>166</v>
      </c>
      <c r="DZ671" s="28" t="s">
        <v>166</v>
      </c>
      <c r="EA671" s="27" t="s">
        <v>166</v>
      </c>
      <c r="EB671" s="27" t="s">
        <v>166</v>
      </c>
      <c r="EC671" s="27" t="s">
        <v>166</v>
      </c>
      <c r="ED671" s="28" t="s">
        <v>166</v>
      </c>
      <c r="EE671" s="28" t="s">
        <v>166</v>
      </c>
      <c r="EF671" s="28" t="s">
        <v>166</v>
      </c>
      <c r="EG671" s="28" t="s">
        <v>166</v>
      </c>
      <c r="EH671" s="27" t="s">
        <v>166</v>
      </c>
      <c r="EI671" s="27" t="s">
        <v>166</v>
      </c>
      <c r="EJ671" s="27" t="s">
        <v>166</v>
      </c>
      <c r="EK671" s="27" t="s">
        <v>166</v>
      </c>
      <c r="EL671" s="27" t="s">
        <v>166</v>
      </c>
      <c r="EM671" s="27" t="s">
        <v>166</v>
      </c>
      <c r="EN671" s="27" t="s">
        <v>166</v>
      </c>
      <c r="EO671" s="27" t="s">
        <v>166</v>
      </c>
      <c r="EP671" s="27" t="s">
        <v>166</v>
      </c>
      <c r="EQ671" s="27" t="s">
        <v>166</v>
      </c>
      <c r="ER671" s="27" t="s">
        <v>166</v>
      </c>
      <c r="ES671" s="27" t="s">
        <v>166</v>
      </c>
      <c r="ET671" s="25" t="s">
        <v>166</v>
      </c>
      <c r="EU671" s="27" t="s">
        <v>166</v>
      </c>
      <c r="EV671" s="27" t="s">
        <v>166</v>
      </c>
      <c r="EW671" s="27" t="s">
        <v>166</v>
      </c>
      <c r="EX671" s="25" t="s">
        <v>190</v>
      </c>
      <c r="EY671" s="25" t="s">
        <v>166</v>
      </c>
      <c r="EZ671" s="27" t="s">
        <v>166</v>
      </c>
      <c r="FA671" s="26" t="s">
        <v>166</v>
      </c>
      <c r="FB671" s="26" t="s">
        <v>166</v>
      </c>
      <c r="FC671" s="26" t="s">
        <v>166</v>
      </c>
      <c r="FD671" s="26" t="s">
        <v>166</v>
      </c>
      <c r="FE671" s="26" t="s">
        <v>166</v>
      </c>
      <c r="FF671" s="26" t="s">
        <v>166</v>
      </c>
      <c r="FG671" s="25" t="s">
        <v>166</v>
      </c>
      <c r="FH671" s="4">
        <f>HYPERLINK("https://my.pitchbook.com?c=167724-37T","View Company Online")</f>
      </c>
    </row>
    <row r="672">
      <c r="A672" s="14" t="s">
        <v>12882</v>
      </c>
      <c r="B672" s="14" t="s">
        <v>12883</v>
      </c>
      <c r="C672" s="14" t="s">
        <v>12884</v>
      </c>
      <c r="D672" s="14" t="s">
        <v>166</v>
      </c>
      <c r="E672" s="23" t="s">
        <v>12885</v>
      </c>
      <c r="F672" s="21">
        <v>3</v>
      </c>
      <c r="G672" s="14" t="s">
        <v>12886</v>
      </c>
      <c r="H672" s="14" t="s">
        <v>166</v>
      </c>
      <c r="I672" s="14" t="s">
        <v>12887</v>
      </c>
      <c r="J672" s="14" t="s">
        <v>12888</v>
      </c>
      <c r="K672" s="14" t="s">
        <v>207</v>
      </c>
      <c r="L672" s="14" t="s">
        <v>208</v>
      </c>
      <c r="M672" s="14" t="s">
        <v>1766</v>
      </c>
      <c r="N672" s="14" t="s">
        <v>12889</v>
      </c>
      <c r="O672" s="14" t="s">
        <v>166</v>
      </c>
      <c r="P672" s="14" t="s">
        <v>12890</v>
      </c>
      <c r="Q672" s="14" t="s">
        <v>166</v>
      </c>
      <c r="R672" s="14" t="s">
        <v>177</v>
      </c>
      <c r="S672" s="14" t="s">
        <v>178</v>
      </c>
      <c r="T672" s="14" t="s">
        <v>179</v>
      </c>
      <c r="U672" s="14" t="s">
        <v>12891</v>
      </c>
      <c r="V672" s="14" t="s">
        <v>12892</v>
      </c>
      <c r="W672" s="21" t="s">
        <v>12893</v>
      </c>
      <c r="X672" s="14" t="s">
        <v>12894</v>
      </c>
      <c r="Y672" s="14" t="s">
        <v>12895</v>
      </c>
      <c r="Z672" s="14" t="s">
        <v>12896</v>
      </c>
      <c r="AA672" s="14" t="s">
        <v>166</v>
      </c>
      <c r="AB672" s="14" t="s">
        <v>166</v>
      </c>
      <c r="AC672" s="14" t="s">
        <v>166</v>
      </c>
      <c r="AD672" s="14" t="s">
        <v>166</v>
      </c>
      <c r="AE672" s="14" t="s">
        <v>166</v>
      </c>
      <c r="AF672" s="14" t="s">
        <v>166</v>
      </c>
      <c r="AG672" s="14" t="s">
        <v>166</v>
      </c>
      <c r="AH672" s="21">
        <v>1</v>
      </c>
      <c r="AI672" s="3">
        <f>HYPERLINK("https://my.pitchbook.com/?d=204622-39T","204622-39T")</f>
      </c>
      <c r="AJ672" s="19" t="s">
        <v>166</v>
      </c>
      <c r="AK672" s="19">
        <v>44652</v>
      </c>
      <c r="AL672" s="18">
        <v>1.2</v>
      </c>
      <c r="AM672" s="14" t="s">
        <v>185</v>
      </c>
      <c r="AN672" s="18" t="s">
        <v>166</v>
      </c>
      <c r="AO672" s="18" t="s">
        <v>166</v>
      </c>
      <c r="AP672" s="14" t="s">
        <v>166</v>
      </c>
      <c r="AQ672" s="21" t="s">
        <v>166</v>
      </c>
      <c r="AR672" s="21" t="s">
        <v>166</v>
      </c>
      <c r="AS672" s="17" t="s">
        <v>166</v>
      </c>
      <c r="AT672" s="18">
        <v>1.2</v>
      </c>
      <c r="AU672" s="21" t="s">
        <v>186</v>
      </c>
      <c r="AV672" s="21" t="s">
        <v>166</v>
      </c>
      <c r="AW672" s="18" t="s">
        <v>166</v>
      </c>
      <c r="AX672" s="21" t="s">
        <v>166</v>
      </c>
      <c r="AY672" s="14" t="s">
        <v>187</v>
      </c>
      <c r="AZ672" s="14" t="s">
        <v>166</v>
      </c>
      <c r="BA672" s="14" t="s">
        <v>166</v>
      </c>
      <c r="BB672" s="21" t="s">
        <v>166</v>
      </c>
      <c r="BC672" s="14" t="s">
        <v>179</v>
      </c>
      <c r="BD672" s="14" t="s">
        <v>12897</v>
      </c>
      <c r="BE672" s="14" t="s">
        <v>189</v>
      </c>
      <c r="BF672" s="18">
        <v>1.2</v>
      </c>
      <c r="BG672" s="14" t="s">
        <v>190</v>
      </c>
      <c r="BH672" s="14" t="s">
        <v>166</v>
      </c>
      <c r="BI672" s="14" t="s">
        <v>166</v>
      </c>
      <c r="BJ672" s="18" t="s">
        <v>166</v>
      </c>
      <c r="BK672" s="18" t="s">
        <v>166</v>
      </c>
      <c r="BL672" s="14" t="s">
        <v>191</v>
      </c>
      <c r="BM672" s="14" t="s">
        <v>178</v>
      </c>
      <c r="BN672" s="14" t="s">
        <v>177</v>
      </c>
      <c r="BO672" s="22" t="s">
        <v>166</v>
      </c>
      <c r="BP672" s="14" t="s">
        <v>12885</v>
      </c>
      <c r="BQ672" s="21">
        <v>3</v>
      </c>
      <c r="BR672" s="14" t="s">
        <v>166</v>
      </c>
      <c r="BS672" s="21" t="s">
        <v>166</v>
      </c>
      <c r="BT672" s="14" t="s">
        <v>166</v>
      </c>
      <c r="BU672" s="14" t="s">
        <v>166</v>
      </c>
      <c r="BV672" s="14" t="s">
        <v>166</v>
      </c>
      <c r="BW672" s="14" t="s">
        <v>166</v>
      </c>
      <c r="BX672" s="14" t="s">
        <v>166</v>
      </c>
      <c r="BY672" s="14" t="s">
        <v>166</v>
      </c>
      <c r="BZ672" s="14" t="s">
        <v>166</v>
      </c>
      <c r="CA672" s="14" t="s">
        <v>166</v>
      </c>
      <c r="CB672" s="14" t="s">
        <v>166</v>
      </c>
      <c r="CC672" s="14" t="s">
        <v>166</v>
      </c>
      <c r="CD672" s="14" t="s">
        <v>166</v>
      </c>
      <c r="CE672" s="18" t="s">
        <v>166</v>
      </c>
      <c r="CF672" s="16" t="s">
        <v>166</v>
      </c>
      <c r="CG672" s="17" t="s">
        <v>166</v>
      </c>
      <c r="CH672" s="16" t="s">
        <v>166</v>
      </c>
      <c r="CI672" s="16" t="s">
        <v>166</v>
      </c>
      <c r="CJ672" s="16" t="s">
        <v>166</v>
      </c>
      <c r="CK672" s="16" t="s">
        <v>166</v>
      </c>
      <c r="CL672" s="16" t="s">
        <v>166</v>
      </c>
      <c r="CM672" s="20" t="s">
        <v>166</v>
      </c>
      <c r="CN672" s="16" t="s">
        <v>166</v>
      </c>
      <c r="CO672" s="16" t="s">
        <v>166</v>
      </c>
      <c r="CP672" s="16" t="s">
        <v>166</v>
      </c>
      <c r="CQ672" s="16" t="s">
        <v>166</v>
      </c>
      <c r="CR672" s="16" t="s">
        <v>166</v>
      </c>
      <c r="CS672" s="16" t="s">
        <v>166</v>
      </c>
      <c r="CT672" s="16" t="s">
        <v>166</v>
      </c>
      <c r="CU672" s="16" t="s">
        <v>166</v>
      </c>
      <c r="CV672" s="16" t="s">
        <v>166</v>
      </c>
      <c r="CW672" s="16" t="s">
        <v>166</v>
      </c>
      <c r="CX672" s="16" t="s">
        <v>166</v>
      </c>
      <c r="CY672" s="16" t="s">
        <v>166</v>
      </c>
      <c r="CZ672" s="16" t="s">
        <v>166</v>
      </c>
      <c r="DA672" s="16" t="s">
        <v>166</v>
      </c>
      <c r="DB672" s="16" t="s">
        <v>166</v>
      </c>
      <c r="DC672" s="16" t="s">
        <v>166</v>
      </c>
      <c r="DD672" s="16" t="s">
        <v>166</v>
      </c>
      <c r="DE672" s="17" t="s">
        <v>166</v>
      </c>
      <c r="DF672" s="22">
        <v>5</v>
      </c>
      <c r="DG672" s="14" t="s">
        <v>309</v>
      </c>
      <c r="DH672" s="14" t="s">
        <v>193</v>
      </c>
      <c r="DI672" s="14" t="s">
        <v>194</v>
      </c>
      <c r="DJ672" s="14" t="s">
        <v>310</v>
      </c>
      <c r="DK672" s="14" t="s">
        <v>310</v>
      </c>
      <c r="DL672" s="21" t="s">
        <v>3037</v>
      </c>
      <c r="DM672" s="14" t="s">
        <v>198</v>
      </c>
      <c r="DN672" s="13" t="s">
        <v>12898</v>
      </c>
      <c r="DO672" s="20">
        <v>2022</v>
      </c>
      <c r="DP672" s="14" t="s">
        <v>166</v>
      </c>
      <c r="DQ672" s="14" t="s">
        <v>166</v>
      </c>
      <c r="DR672" s="18" t="s">
        <v>166</v>
      </c>
      <c r="DS672" s="16" t="s">
        <v>166</v>
      </c>
      <c r="DT672" s="19" t="s">
        <v>166</v>
      </c>
      <c r="DU672" s="14" t="s">
        <v>166</v>
      </c>
      <c r="DV672" s="18" t="s">
        <v>166</v>
      </c>
      <c r="DW672" s="18" t="s">
        <v>166</v>
      </c>
      <c r="DX672" s="16" t="s">
        <v>166</v>
      </c>
      <c r="DY672" s="16" t="s">
        <v>166</v>
      </c>
      <c r="DZ672" s="17" t="s">
        <v>166</v>
      </c>
      <c r="EA672" s="16" t="s">
        <v>166</v>
      </c>
      <c r="EB672" s="16" t="s">
        <v>166</v>
      </c>
      <c r="EC672" s="16" t="s">
        <v>166</v>
      </c>
      <c r="ED672" s="17" t="s">
        <v>166</v>
      </c>
      <c r="EE672" s="17" t="s">
        <v>166</v>
      </c>
      <c r="EF672" s="17" t="s">
        <v>166</v>
      </c>
      <c r="EG672" s="17" t="s">
        <v>166</v>
      </c>
      <c r="EH672" s="16" t="s">
        <v>166</v>
      </c>
      <c r="EI672" s="16" t="s">
        <v>166</v>
      </c>
      <c r="EJ672" s="16" t="s">
        <v>166</v>
      </c>
      <c r="EK672" s="16" t="s">
        <v>166</v>
      </c>
      <c r="EL672" s="16" t="s">
        <v>166</v>
      </c>
      <c r="EM672" s="16" t="s">
        <v>166</v>
      </c>
      <c r="EN672" s="16" t="s">
        <v>166</v>
      </c>
      <c r="EO672" s="16" t="s">
        <v>166</v>
      </c>
      <c r="EP672" s="16" t="s">
        <v>166</v>
      </c>
      <c r="EQ672" s="16" t="s">
        <v>166</v>
      </c>
      <c r="ER672" s="16" t="s">
        <v>166</v>
      </c>
      <c r="ES672" s="16" t="s">
        <v>166</v>
      </c>
      <c r="ET672" s="14" t="s">
        <v>166</v>
      </c>
      <c r="EU672" s="16" t="s">
        <v>166</v>
      </c>
      <c r="EV672" s="16" t="s">
        <v>166</v>
      </c>
      <c r="EW672" s="16" t="s">
        <v>166</v>
      </c>
      <c r="EX672" s="14" t="s">
        <v>190</v>
      </c>
      <c r="EY672" s="14" t="s">
        <v>166</v>
      </c>
      <c r="EZ672" s="16" t="s">
        <v>166</v>
      </c>
      <c r="FA672" s="15" t="s">
        <v>166</v>
      </c>
      <c r="FB672" s="15" t="s">
        <v>166</v>
      </c>
      <c r="FC672" s="15" t="s">
        <v>166</v>
      </c>
      <c r="FD672" s="15" t="s">
        <v>166</v>
      </c>
      <c r="FE672" s="15" t="s">
        <v>166</v>
      </c>
      <c r="FF672" s="15" t="s">
        <v>166</v>
      </c>
      <c r="FG672" s="14" t="s">
        <v>166</v>
      </c>
      <c r="FH672" s="3">
        <f>HYPERLINK("https://my.pitchbook.com?c=204622-39T","View Company Online")</f>
      </c>
    </row>
    <row r="673">
      <c r="A673" s="25" t="s">
        <v>12899</v>
      </c>
      <c r="B673" s="25" t="s">
        <v>12900</v>
      </c>
      <c r="C673" s="25" t="s">
        <v>12901</v>
      </c>
      <c r="D673" s="25" t="s">
        <v>166</v>
      </c>
      <c r="E673" s="34" t="s">
        <v>12902</v>
      </c>
      <c r="F673" s="32">
        <v>6</v>
      </c>
      <c r="G673" s="25" t="s">
        <v>12903</v>
      </c>
      <c r="H673" s="25" t="s">
        <v>166</v>
      </c>
      <c r="I673" s="25" t="s">
        <v>12904</v>
      </c>
      <c r="J673" s="25" t="s">
        <v>12905</v>
      </c>
      <c r="K673" s="25" t="s">
        <v>1455</v>
      </c>
      <c r="L673" s="25" t="s">
        <v>12906</v>
      </c>
      <c r="M673" s="25" t="s">
        <v>12907</v>
      </c>
      <c r="N673" s="25" t="s">
        <v>12908</v>
      </c>
      <c r="O673" s="25" t="s">
        <v>12909</v>
      </c>
      <c r="P673" s="25" t="s">
        <v>12910</v>
      </c>
      <c r="Q673" s="25" t="s">
        <v>166</v>
      </c>
      <c r="R673" s="25" t="s">
        <v>177</v>
      </c>
      <c r="S673" s="25" t="s">
        <v>178</v>
      </c>
      <c r="T673" s="25" t="s">
        <v>179</v>
      </c>
      <c r="U673" s="25" t="s">
        <v>12911</v>
      </c>
      <c r="V673" s="25" t="s">
        <v>12912</v>
      </c>
      <c r="W673" s="32" t="s">
        <v>12913</v>
      </c>
      <c r="X673" s="25" t="s">
        <v>12914</v>
      </c>
      <c r="Y673" s="25" t="s">
        <v>12915</v>
      </c>
      <c r="Z673" s="25" t="s">
        <v>166</v>
      </c>
      <c r="AA673" s="25" t="s">
        <v>242</v>
      </c>
      <c r="AB673" s="25" t="s">
        <v>243</v>
      </c>
      <c r="AC673" s="25" t="s">
        <v>244</v>
      </c>
      <c r="AD673" s="25" t="s">
        <v>243</v>
      </c>
      <c r="AE673" s="25" t="s">
        <v>243</v>
      </c>
      <c r="AF673" s="25" t="s">
        <v>166</v>
      </c>
      <c r="AG673" s="25" t="s">
        <v>246</v>
      </c>
      <c r="AH673" s="32">
        <v>1</v>
      </c>
      <c r="AI673" s="4">
        <f>HYPERLINK("https://my.pitchbook.com/?d=170770-33T","170770-33T")</f>
      </c>
      <c r="AJ673" s="30">
        <v>44334</v>
      </c>
      <c r="AK673" s="30">
        <v>44760</v>
      </c>
      <c r="AL673" s="29">
        <v>2.08</v>
      </c>
      <c r="AM673" s="25" t="s">
        <v>185</v>
      </c>
      <c r="AN673" s="29">
        <v>5</v>
      </c>
      <c r="AO673" s="29">
        <v>7.08</v>
      </c>
      <c r="AP673" s="25" t="s">
        <v>185</v>
      </c>
      <c r="AQ673" s="32" t="s">
        <v>166</v>
      </c>
      <c r="AR673" s="32" t="s">
        <v>166</v>
      </c>
      <c r="AS673" s="28">
        <v>29.43</v>
      </c>
      <c r="AT673" s="29">
        <v>2.08</v>
      </c>
      <c r="AU673" s="32" t="s">
        <v>186</v>
      </c>
      <c r="AV673" s="32" t="s">
        <v>166</v>
      </c>
      <c r="AW673" s="29">
        <v>2.84</v>
      </c>
      <c r="AX673" s="32" t="s">
        <v>166</v>
      </c>
      <c r="AY673" s="25" t="s">
        <v>217</v>
      </c>
      <c r="AZ673" s="25" t="s">
        <v>217</v>
      </c>
      <c r="BA673" s="25" t="s">
        <v>166</v>
      </c>
      <c r="BB673" s="32" t="s">
        <v>166</v>
      </c>
      <c r="BC673" s="25" t="s">
        <v>179</v>
      </c>
      <c r="BD673" s="25" t="s">
        <v>12916</v>
      </c>
      <c r="BE673" s="25" t="s">
        <v>189</v>
      </c>
      <c r="BF673" s="29">
        <v>2.08</v>
      </c>
      <c r="BG673" s="25" t="s">
        <v>190</v>
      </c>
      <c r="BH673" s="25" t="s">
        <v>166</v>
      </c>
      <c r="BI673" s="25" t="s">
        <v>166</v>
      </c>
      <c r="BJ673" s="29" t="s">
        <v>166</v>
      </c>
      <c r="BK673" s="29" t="s">
        <v>166</v>
      </c>
      <c r="BL673" s="25" t="s">
        <v>191</v>
      </c>
      <c r="BM673" s="25" t="s">
        <v>178</v>
      </c>
      <c r="BN673" s="25" t="s">
        <v>177</v>
      </c>
      <c r="BO673" s="33" t="s">
        <v>166</v>
      </c>
      <c r="BP673" s="25" t="s">
        <v>12917</v>
      </c>
      <c r="BQ673" s="32">
        <v>6</v>
      </c>
      <c r="BR673" s="25" t="s">
        <v>166</v>
      </c>
      <c r="BS673" s="32" t="s">
        <v>166</v>
      </c>
      <c r="BT673" s="25" t="s">
        <v>12918</v>
      </c>
      <c r="BU673" s="25" t="s">
        <v>166</v>
      </c>
      <c r="BV673" s="25" t="s">
        <v>12919</v>
      </c>
      <c r="BW673" s="25" t="s">
        <v>166</v>
      </c>
      <c r="BX673" s="25" t="s">
        <v>166</v>
      </c>
      <c r="BY673" s="25" t="s">
        <v>166</v>
      </c>
      <c r="BZ673" s="25" t="s">
        <v>166</v>
      </c>
      <c r="CA673" s="25" t="s">
        <v>166</v>
      </c>
      <c r="CB673" s="25" t="s">
        <v>166</v>
      </c>
      <c r="CC673" s="25" t="s">
        <v>166</v>
      </c>
      <c r="CD673" s="25" t="s">
        <v>166</v>
      </c>
      <c r="CE673" s="29" t="s">
        <v>166</v>
      </c>
      <c r="CF673" s="27" t="s">
        <v>166</v>
      </c>
      <c r="CG673" s="28" t="s">
        <v>166</v>
      </c>
      <c r="CH673" s="27" t="s">
        <v>166</v>
      </c>
      <c r="CI673" s="27" t="s">
        <v>166</v>
      </c>
      <c r="CJ673" s="27" t="s">
        <v>166</v>
      </c>
      <c r="CK673" s="27" t="s">
        <v>166</v>
      </c>
      <c r="CL673" s="27" t="s">
        <v>166</v>
      </c>
      <c r="CM673" s="31" t="s">
        <v>166</v>
      </c>
      <c r="CN673" s="27" t="s">
        <v>166</v>
      </c>
      <c r="CO673" s="27" t="s">
        <v>166</v>
      </c>
      <c r="CP673" s="27" t="s">
        <v>166</v>
      </c>
      <c r="CQ673" s="27" t="s">
        <v>166</v>
      </c>
      <c r="CR673" s="27" t="s">
        <v>166</v>
      </c>
      <c r="CS673" s="27" t="s">
        <v>166</v>
      </c>
      <c r="CT673" s="27" t="s">
        <v>166</v>
      </c>
      <c r="CU673" s="27" t="s">
        <v>166</v>
      </c>
      <c r="CV673" s="27" t="s">
        <v>166</v>
      </c>
      <c r="CW673" s="27" t="s">
        <v>166</v>
      </c>
      <c r="CX673" s="27" t="s">
        <v>166</v>
      </c>
      <c r="CY673" s="27" t="s">
        <v>166</v>
      </c>
      <c r="CZ673" s="27" t="s">
        <v>166</v>
      </c>
      <c r="DA673" s="27" t="s">
        <v>166</v>
      </c>
      <c r="DB673" s="27" t="s">
        <v>166</v>
      </c>
      <c r="DC673" s="27" t="s">
        <v>166</v>
      </c>
      <c r="DD673" s="27" t="s">
        <v>166</v>
      </c>
      <c r="DE673" s="28" t="s">
        <v>166</v>
      </c>
      <c r="DF673" s="33">
        <v>37</v>
      </c>
      <c r="DG673" s="25" t="s">
        <v>2439</v>
      </c>
      <c r="DH673" s="25" t="s">
        <v>193</v>
      </c>
      <c r="DI673" s="25" t="s">
        <v>194</v>
      </c>
      <c r="DJ673" s="25" t="s">
        <v>2440</v>
      </c>
      <c r="DK673" s="25" t="s">
        <v>454</v>
      </c>
      <c r="DL673" s="32" t="s">
        <v>12920</v>
      </c>
      <c r="DM673" s="25" t="s">
        <v>198</v>
      </c>
      <c r="DN673" s="24" t="s">
        <v>12921</v>
      </c>
      <c r="DO673" s="31">
        <v>2019</v>
      </c>
      <c r="DP673" s="25" t="s">
        <v>166</v>
      </c>
      <c r="DQ673" s="25" t="s">
        <v>166</v>
      </c>
      <c r="DR673" s="29" t="s">
        <v>166</v>
      </c>
      <c r="DS673" s="27" t="s">
        <v>166</v>
      </c>
      <c r="DT673" s="30" t="s">
        <v>166</v>
      </c>
      <c r="DU673" s="25" t="s">
        <v>166</v>
      </c>
      <c r="DV673" s="29" t="s">
        <v>166</v>
      </c>
      <c r="DW673" s="29" t="s">
        <v>166</v>
      </c>
      <c r="DX673" s="27" t="s">
        <v>166</v>
      </c>
      <c r="DY673" s="27" t="s">
        <v>166</v>
      </c>
      <c r="DZ673" s="28" t="s">
        <v>166</v>
      </c>
      <c r="EA673" s="27" t="s">
        <v>166</v>
      </c>
      <c r="EB673" s="27" t="s">
        <v>166</v>
      </c>
      <c r="EC673" s="27" t="s">
        <v>166</v>
      </c>
      <c r="ED673" s="28" t="s">
        <v>166</v>
      </c>
      <c r="EE673" s="28" t="s">
        <v>166</v>
      </c>
      <c r="EF673" s="28" t="s">
        <v>166</v>
      </c>
      <c r="EG673" s="28" t="s">
        <v>166</v>
      </c>
      <c r="EH673" s="27" t="s">
        <v>166</v>
      </c>
      <c r="EI673" s="27" t="s">
        <v>166</v>
      </c>
      <c r="EJ673" s="27" t="s">
        <v>166</v>
      </c>
      <c r="EK673" s="27" t="s">
        <v>166</v>
      </c>
      <c r="EL673" s="27" t="s">
        <v>166</v>
      </c>
      <c r="EM673" s="27" t="s">
        <v>166</v>
      </c>
      <c r="EN673" s="27" t="s">
        <v>166</v>
      </c>
      <c r="EO673" s="27" t="s">
        <v>166</v>
      </c>
      <c r="EP673" s="27" t="s">
        <v>166</v>
      </c>
      <c r="EQ673" s="27" t="s">
        <v>166</v>
      </c>
      <c r="ER673" s="27" t="s">
        <v>166</v>
      </c>
      <c r="ES673" s="27" t="s">
        <v>166</v>
      </c>
      <c r="ET673" s="25" t="s">
        <v>166</v>
      </c>
      <c r="EU673" s="27" t="s">
        <v>166</v>
      </c>
      <c r="EV673" s="27" t="s">
        <v>166</v>
      </c>
      <c r="EW673" s="27" t="s">
        <v>166</v>
      </c>
      <c r="EX673" s="25" t="s">
        <v>190</v>
      </c>
      <c r="EY673" s="25" t="s">
        <v>166</v>
      </c>
      <c r="EZ673" s="27" t="s">
        <v>166</v>
      </c>
      <c r="FA673" s="26">
        <v>1</v>
      </c>
      <c r="FB673" s="26">
        <v>1</v>
      </c>
      <c r="FC673" s="26" t="s">
        <v>166</v>
      </c>
      <c r="FD673" s="26" t="s">
        <v>166</v>
      </c>
      <c r="FE673" s="26" t="s">
        <v>166</v>
      </c>
      <c r="FF673" s="26">
        <v>1</v>
      </c>
      <c r="FG673" s="25" t="s">
        <v>166</v>
      </c>
      <c r="FH673" s="4">
        <f>HYPERLINK("https://my.pitchbook.com?c=170770-33T","View Company Online")</f>
      </c>
    </row>
    <row r="674">
      <c r="A674" s="14" t="s">
        <v>12922</v>
      </c>
      <c r="B674" s="14" t="s">
        <v>12923</v>
      </c>
      <c r="C674" s="14" t="s">
        <v>12924</v>
      </c>
      <c r="D674" s="14" t="s">
        <v>166</v>
      </c>
      <c r="E674" s="23" t="s">
        <v>12925</v>
      </c>
      <c r="F674" s="21">
        <v>6</v>
      </c>
      <c r="G674" s="14" t="s">
        <v>12926</v>
      </c>
      <c r="H674" s="14" t="s">
        <v>166</v>
      </c>
      <c r="I674" s="14" t="s">
        <v>12927</v>
      </c>
      <c r="J674" s="14" t="s">
        <v>12928</v>
      </c>
      <c r="K674" s="14" t="s">
        <v>207</v>
      </c>
      <c r="L674" s="14" t="s">
        <v>208</v>
      </c>
      <c r="M674" s="14" t="s">
        <v>1940</v>
      </c>
      <c r="N674" s="14" t="s">
        <v>1941</v>
      </c>
      <c r="O674" s="14" t="s">
        <v>166</v>
      </c>
      <c r="P674" s="14" t="s">
        <v>12929</v>
      </c>
      <c r="Q674" s="14" t="s">
        <v>166</v>
      </c>
      <c r="R674" s="14" t="s">
        <v>177</v>
      </c>
      <c r="S674" s="14" t="s">
        <v>785</v>
      </c>
      <c r="T674" s="14" t="s">
        <v>179</v>
      </c>
      <c r="U674" s="14" t="s">
        <v>12930</v>
      </c>
      <c r="V674" s="14" t="s">
        <v>12931</v>
      </c>
      <c r="W674" s="21" t="s">
        <v>12932</v>
      </c>
      <c r="X674" s="14" t="s">
        <v>12933</v>
      </c>
      <c r="Y674" s="14" t="s">
        <v>12934</v>
      </c>
      <c r="Z674" s="14" t="s">
        <v>166</v>
      </c>
      <c r="AA674" s="14" t="s">
        <v>166</v>
      </c>
      <c r="AB674" s="14" t="s">
        <v>166</v>
      </c>
      <c r="AC674" s="14" t="s">
        <v>166</v>
      </c>
      <c r="AD674" s="14" t="s">
        <v>166</v>
      </c>
      <c r="AE674" s="14" t="s">
        <v>166</v>
      </c>
      <c r="AF674" s="14" t="s">
        <v>166</v>
      </c>
      <c r="AG674" s="14" t="s">
        <v>166</v>
      </c>
      <c r="AH674" s="21">
        <v>1</v>
      </c>
      <c r="AI674" s="3">
        <f>HYPERLINK("https://my.pitchbook.com/?d=209701-72T","209701-72T")</f>
      </c>
      <c r="AJ674" s="19">
        <v>44882</v>
      </c>
      <c r="AK674" s="19">
        <v>44896</v>
      </c>
      <c r="AL674" s="18">
        <v>0.5</v>
      </c>
      <c r="AM674" s="14" t="s">
        <v>185</v>
      </c>
      <c r="AN674" s="18" t="s">
        <v>166</v>
      </c>
      <c r="AO674" s="18" t="s">
        <v>166</v>
      </c>
      <c r="AP674" s="14" t="s">
        <v>166</v>
      </c>
      <c r="AQ674" s="21" t="s">
        <v>166</v>
      </c>
      <c r="AR674" s="21" t="s">
        <v>166</v>
      </c>
      <c r="AS674" s="17" t="s">
        <v>166</v>
      </c>
      <c r="AT674" s="18">
        <v>0.5</v>
      </c>
      <c r="AU674" s="21" t="s">
        <v>186</v>
      </c>
      <c r="AV674" s="21" t="s">
        <v>166</v>
      </c>
      <c r="AW674" s="18" t="s">
        <v>166</v>
      </c>
      <c r="AX674" s="21" t="s">
        <v>166</v>
      </c>
      <c r="AY674" s="14" t="s">
        <v>217</v>
      </c>
      <c r="AZ674" s="14" t="s">
        <v>217</v>
      </c>
      <c r="BA674" s="14" t="s">
        <v>166</v>
      </c>
      <c r="BB674" s="21" t="s">
        <v>166</v>
      </c>
      <c r="BC674" s="14" t="s">
        <v>179</v>
      </c>
      <c r="BD674" s="14" t="s">
        <v>12928</v>
      </c>
      <c r="BE674" s="14" t="s">
        <v>189</v>
      </c>
      <c r="BF674" s="18">
        <v>0.5</v>
      </c>
      <c r="BG674" s="14" t="s">
        <v>190</v>
      </c>
      <c r="BH674" s="14" t="s">
        <v>166</v>
      </c>
      <c r="BI674" s="14" t="s">
        <v>166</v>
      </c>
      <c r="BJ674" s="18" t="s">
        <v>166</v>
      </c>
      <c r="BK674" s="18" t="s">
        <v>166</v>
      </c>
      <c r="BL674" s="14" t="s">
        <v>191</v>
      </c>
      <c r="BM674" s="14" t="s">
        <v>358</v>
      </c>
      <c r="BN674" s="14" t="s">
        <v>177</v>
      </c>
      <c r="BO674" s="22" t="s">
        <v>166</v>
      </c>
      <c r="BP674" s="14" t="s">
        <v>12935</v>
      </c>
      <c r="BQ674" s="21">
        <v>6</v>
      </c>
      <c r="BR674" s="14" t="s">
        <v>166</v>
      </c>
      <c r="BS674" s="21" t="s">
        <v>166</v>
      </c>
      <c r="BT674" s="14" t="s">
        <v>166</v>
      </c>
      <c r="BU674" s="14" t="s">
        <v>166</v>
      </c>
      <c r="BV674" s="14" t="s">
        <v>166</v>
      </c>
      <c r="BW674" s="14" t="s">
        <v>166</v>
      </c>
      <c r="BX674" s="14" t="s">
        <v>166</v>
      </c>
      <c r="BY674" s="14" t="s">
        <v>166</v>
      </c>
      <c r="BZ674" s="14" t="s">
        <v>166</v>
      </c>
      <c r="CA674" s="14" t="s">
        <v>166</v>
      </c>
      <c r="CB674" s="14" t="s">
        <v>166</v>
      </c>
      <c r="CC674" s="14" t="s">
        <v>166</v>
      </c>
      <c r="CD674" s="14" t="s">
        <v>166</v>
      </c>
      <c r="CE674" s="18" t="s">
        <v>166</v>
      </c>
      <c r="CF674" s="16" t="s">
        <v>166</v>
      </c>
      <c r="CG674" s="17" t="s">
        <v>166</v>
      </c>
      <c r="CH674" s="16" t="s">
        <v>166</v>
      </c>
      <c r="CI674" s="16" t="s">
        <v>166</v>
      </c>
      <c r="CJ674" s="16" t="s">
        <v>166</v>
      </c>
      <c r="CK674" s="16" t="s">
        <v>166</v>
      </c>
      <c r="CL674" s="16" t="s">
        <v>166</v>
      </c>
      <c r="CM674" s="20" t="s">
        <v>166</v>
      </c>
      <c r="CN674" s="16" t="s">
        <v>166</v>
      </c>
      <c r="CO674" s="16" t="s">
        <v>166</v>
      </c>
      <c r="CP674" s="16" t="s">
        <v>166</v>
      </c>
      <c r="CQ674" s="16" t="s">
        <v>166</v>
      </c>
      <c r="CR674" s="16" t="s">
        <v>166</v>
      </c>
      <c r="CS674" s="16" t="s">
        <v>166</v>
      </c>
      <c r="CT674" s="16" t="s">
        <v>166</v>
      </c>
      <c r="CU674" s="16" t="s">
        <v>166</v>
      </c>
      <c r="CV674" s="16" t="s">
        <v>166</v>
      </c>
      <c r="CW674" s="16" t="s">
        <v>166</v>
      </c>
      <c r="CX674" s="16" t="s">
        <v>166</v>
      </c>
      <c r="CY674" s="16" t="s">
        <v>166</v>
      </c>
      <c r="CZ674" s="16" t="s">
        <v>166</v>
      </c>
      <c r="DA674" s="16" t="s">
        <v>166</v>
      </c>
      <c r="DB674" s="16" t="s">
        <v>166</v>
      </c>
      <c r="DC674" s="16" t="s">
        <v>166</v>
      </c>
      <c r="DD674" s="16" t="s">
        <v>166</v>
      </c>
      <c r="DE674" s="17" t="s">
        <v>166</v>
      </c>
      <c r="DF674" s="22">
        <v>2</v>
      </c>
      <c r="DG674" s="14" t="s">
        <v>673</v>
      </c>
      <c r="DH674" s="14" t="s">
        <v>193</v>
      </c>
      <c r="DI674" s="14" t="s">
        <v>194</v>
      </c>
      <c r="DJ674" s="14" t="s">
        <v>674</v>
      </c>
      <c r="DK674" s="14" t="s">
        <v>257</v>
      </c>
      <c r="DL674" s="21" t="s">
        <v>851</v>
      </c>
      <c r="DM674" s="14" t="s">
        <v>198</v>
      </c>
      <c r="DN674" s="13" t="s">
        <v>12936</v>
      </c>
      <c r="DO674" s="20">
        <v>2022</v>
      </c>
      <c r="DP674" s="14" t="s">
        <v>166</v>
      </c>
      <c r="DQ674" s="14" t="s">
        <v>166</v>
      </c>
      <c r="DR674" s="18" t="s">
        <v>166</v>
      </c>
      <c r="DS674" s="16" t="s">
        <v>166</v>
      </c>
      <c r="DT674" s="19" t="s">
        <v>166</v>
      </c>
      <c r="DU674" s="14" t="s">
        <v>166</v>
      </c>
      <c r="DV674" s="18" t="s">
        <v>166</v>
      </c>
      <c r="DW674" s="18" t="s">
        <v>166</v>
      </c>
      <c r="DX674" s="16" t="s">
        <v>166</v>
      </c>
      <c r="DY674" s="16" t="s">
        <v>166</v>
      </c>
      <c r="DZ674" s="17" t="s">
        <v>166</v>
      </c>
      <c r="EA674" s="16" t="s">
        <v>166</v>
      </c>
      <c r="EB674" s="16" t="s">
        <v>166</v>
      </c>
      <c r="EC674" s="16" t="s">
        <v>166</v>
      </c>
      <c r="ED674" s="17" t="s">
        <v>166</v>
      </c>
      <c r="EE674" s="17" t="s">
        <v>166</v>
      </c>
      <c r="EF674" s="17" t="s">
        <v>166</v>
      </c>
      <c r="EG674" s="17" t="s">
        <v>166</v>
      </c>
      <c r="EH674" s="16" t="s">
        <v>166</v>
      </c>
      <c r="EI674" s="16" t="s">
        <v>166</v>
      </c>
      <c r="EJ674" s="16" t="s">
        <v>166</v>
      </c>
      <c r="EK674" s="16" t="s">
        <v>166</v>
      </c>
      <c r="EL674" s="16" t="s">
        <v>166</v>
      </c>
      <c r="EM674" s="16" t="s">
        <v>166</v>
      </c>
      <c r="EN674" s="16" t="s">
        <v>166</v>
      </c>
      <c r="EO674" s="16" t="s">
        <v>166</v>
      </c>
      <c r="EP674" s="16" t="s">
        <v>166</v>
      </c>
      <c r="EQ674" s="16" t="s">
        <v>166</v>
      </c>
      <c r="ER674" s="16" t="s">
        <v>166</v>
      </c>
      <c r="ES674" s="16" t="s">
        <v>166</v>
      </c>
      <c r="ET674" s="14" t="s">
        <v>166</v>
      </c>
      <c r="EU674" s="16" t="s">
        <v>166</v>
      </c>
      <c r="EV674" s="16" t="s">
        <v>166</v>
      </c>
      <c r="EW674" s="16" t="s">
        <v>166</v>
      </c>
      <c r="EX674" s="14" t="s">
        <v>190</v>
      </c>
      <c r="EY674" s="14" t="s">
        <v>166</v>
      </c>
      <c r="EZ674" s="16" t="s">
        <v>166</v>
      </c>
      <c r="FA674" s="15" t="s">
        <v>166</v>
      </c>
      <c r="FB674" s="15" t="s">
        <v>166</v>
      </c>
      <c r="FC674" s="15" t="s">
        <v>166</v>
      </c>
      <c r="FD674" s="15" t="s">
        <v>166</v>
      </c>
      <c r="FE674" s="15" t="s">
        <v>166</v>
      </c>
      <c r="FF674" s="15" t="s">
        <v>166</v>
      </c>
      <c r="FG674" s="14" t="s">
        <v>166</v>
      </c>
      <c r="FH674" s="3">
        <f>HYPERLINK("https://my.pitchbook.com?c=209701-72T","View Company Online")</f>
      </c>
    </row>
    <row r="675">
      <c r="A675" s="25" t="s">
        <v>12937</v>
      </c>
      <c r="B675" s="25" t="s">
        <v>12938</v>
      </c>
      <c r="C675" s="25" t="s">
        <v>12939</v>
      </c>
      <c r="D675" s="25" t="s">
        <v>166</v>
      </c>
      <c r="E675" s="34" t="s">
        <v>12940</v>
      </c>
      <c r="F675" s="32">
        <v>2</v>
      </c>
      <c r="G675" s="25" t="s">
        <v>12941</v>
      </c>
      <c r="H675" s="25" t="s">
        <v>166</v>
      </c>
      <c r="I675" s="25" t="s">
        <v>12942</v>
      </c>
      <c r="J675" s="25" t="s">
        <v>12943</v>
      </c>
      <c r="K675" s="25" t="s">
        <v>207</v>
      </c>
      <c r="L675" s="25" t="s">
        <v>208</v>
      </c>
      <c r="M675" s="25" t="s">
        <v>209</v>
      </c>
      <c r="N675" s="25" t="s">
        <v>684</v>
      </c>
      <c r="O675" s="25" t="s">
        <v>166</v>
      </c>
      <c r="P675" s="25" t="s">
        <v>12944</v>
      </c>
      <c r="Q675" s="25" t="s">
        <v>166</v>
      </c>
      <c r="R675" s="25" t="s">
        <v>177</v>
      </c>
      <c r="S675" s="25" t="s">
        <v>178</v>
      </c>
      <c r="T675" s="25" t="s">
        <v>179</v>
      </c>
      <c r="U675" s="25" t="s">
        <v>12945</v>
      </c>
      <c r="V675" s="25" t="s">
        <v>12946</v>
      </c>
      <c r="W675" s="32" t="s">
        <v>12947</v>
      </c>
      <c r="X675" s="25" t="s">
        <v>12948</v>
      </c>
      <c r="Y675" s="25" t="s">
        <v>12949</v>
      </c>
      <c r="Z675" s="25" t="s">
        <v>12950</v>
      </c>
      <c r="AA675" s="25" t="s">
        <v>242</v>
      </c>
      <c r="AB675" s="25" t="s">
        <v>190</v>
      </c>
      <c r="AC675" s="25" t="s">
        <v>244</v>
      </c>
      <c r="AD675" s="25" t="s">
        <v>243</v>
      </c>
      <c r="AE675" s="25" t="s">
        <v>243</v>
      </c>
      <c r="AF675" s="25" t="s">
        <v>166</v>
      </c>
      <c r="AG675" s="25" t="s">
        <v>5628</v>
      </c>
      <c r="AH675" s="32">
        <v>1</v>
      </c>
      <c r="AI675" s="4">
        <f>HYPERLINK("https://my.pitchbook.com/?d=243234-37T","243234-37T")</f>
      </c>
      <c r="AJ675" s="30">
        <v>45196</v>
      </c>
      <c r="AK675" s="30">
        <v>45212</v>
      </c>
      <c r="AL675" s="29">
        <v>3.5</v>
      </c>
      <c r="AM675" s="25" t="s">
        <v>185</v>
      </c>
      <c r="AN675" s="29">
        <v>7</v>
      </c>
      <c r="AO675" s="29">
        <v>10.5</v>
      </c>
      <c r="AP675" s="25" t="s">
        <v>185</v>
      </c>
      <c r="AQ675" s="32" t="s">
        <v>166</v>
      </c>
      <c r="AR675" s="32" t="s">
        <v>166</v>
      </c>
      <c r="AS675" s="28">
        <v>47.29</v>
      </c>
      <c r="AT675" s="29">
        <v>3.5</v>
      </c>
      <c r="AU675" s="32" t="s">
        <v>186</v>
      </c>
      <c r="AV675" s="32" t="s">
        <v>166</v>
      </c>
      <c r="AW675" s="29">
        <v>0.66</v>
      </c>
      <c r="AX675" s="32" t="s">
        <v>166</v>
      </c>
      <c r="AY675" s="25" t="s">
        <v>217</v>
      </c>
      <c r="AZ675" s="25" t="s">
        <v>217</v>
      </c>
      <c r="BA675" s="25" t="s">
        <v>166</v>
      </c>
      <c r="BB675" s="32" t="s">
        <v>166</v>
      </c>
      <c r="BC675" s="25" t="s">
        <v>179</v>
      </c>
      <c r="BD675" s="25" t="s">
        <v>12951</v>
      </c>
      <c r="BE675" s="25" t="s">
        <v>189</v>
      </c>
      <c r="BF675" s="29">
        <v>3.5</v>
      </c>
      <c r="BG675" s="25" t="s">
        <v>190</v>
      </c>
      <c r="BH675" s="25" t="s">
        <v>166</v>
      </c>
      <c r="BI675" s="25" t="s">
        <v>166</v>
      </c>
      <c r="BJ675" s="29" t="s">
        <v>166</v>
      </c>
      <c r="BK675" s="29" t="s">
        <v>166</v>
      </c>
      <c r="BL675" s="25" t="s">
        <v>191</v>
      </c>
      <c r="BM675" s="25" t="s">
        <v>178</v>
      </c>
      <c r="BN675" s="25" t="s">
        <v>177</v>
      </c>
      <c r="BO675" s="33" t="s">
        <v>166</v>
      </c>
      <c r="BP675" s="25" t="s">
        <v>12940</v>
      </c>
      <c r="BQ675" s="32">
        <v>2</v>
      </c>
      <c r="BR675" s="25" t="s">
        <v>166</v>
      </c>
      <c r="BS675" s="32" t="s">
        <v>166</v>
      </c>
      <c r="BT675" s="25" t="s">
        <v>166</v>
      </c>
      <c r="BU675" s="25" t="s">
        <v>166</v>
      </c>
      <c r="BV675" s="25" t="s">
        <v>166</v>
      </c>
      <c r="BW675" s="25" t="s">
        <v>166</v>
      </c>
      <c r="BX675" s="25" t="s">
        <v>166</v>
      </c>
      <c r="BY675" s="25" t="s">
        <v>166</v>
      </c>
      <c r="BZ675" s="25" t="s">
        <v>166</v>
      </c>
      <c r="CA675" s="25" t="s">
        <v>166</v>
      </c>
      <c r="CB675" s="25" t="s">
        <v>166</v>
      </c>
      <c r="CC675" s="25" t="s">
        <v>166</v>
      </c>
      <c r="CD675" s="25" t="s">
        <v>166</v>
      </c>
      <c r="CE675" s="29" t="s">
        <v>166</v>
      </c>
      <c r="CF675" s="27" t="s">
        <v>166</v>
      </c>
      <c r="CG675" s="28" t="s">
        <v>166</v>
      </c>
      <c r="CH675" s="27" t="s">
        <v>166</v>
      </c>
      <c r="CI675" s="27" t="s">
        <v>166</v>
      </c>
      <c r="CJ675" s="27" t="s">
        <v>166</v>
      </c>
      <c r="CK675" s="27" t="s">
        <v>166</v>
      </c>
      <c r="CL675" s="27" t="s">
        <v>166</v>
      </c>
      <c r="CM675" s="31" t="s">
        <v>166</v>
      </c>
      <c r="CN675" s="27" t="s">
        <v>166</v>
      </c>
      <c r="CO675" s="27" t="s">
        <v>166</v>
      </c>
      <c r="CP675" s="27" t="s">
        <v>166</v>
      </c>
      <c r="CQ675" s="27" t="s">
        <v>166</v>
      </c>
      <c r="CR675" s="27" t="s">
        <v>166</v>
      </c>
      <c r="CS675" s="27" t="s">
        <v>166</v>
      </c>
      <c r="CT675" s="27" t="s">
        <v>166</v>
      </c>
      <c r="CU675" s="27" t="s">
        <v>166</v>
      </c>
      <c r="CV675" s="27" t="s">
        <v>166</v>
      </c>
      <c r="CW675" s="27" t="s">
        <v>166</v>
      </c>
      <c r="CX675" s="27" t="s">
        <v>166</v>
      </c>
      <c r="CY675" s="27" t="s">
        <v>166</v>
      </c>
      <c r="CZ675" s="27" t="s">
        <v>166</v>
      </c>
      <c r="DA675" s="27" t="s">
        <v>166</v>
      </c>
      <c r="DB675" s="27" t="s">
        <v>166</v>
      </c>
      <c r="DC675" s="27" t="s">
        <v>166</v>
      </c>
      <c r="DD675" s="27" t="s">
        <v>166</v>
      </c>
      <c r="DE675" s="28" t="s">
        <v>166</v>
      </c>
      <c r="DF675" s="33">
        <v>5</v>
      </c>
      <c r="DG675" s="25" t="s">
        <v>309</v>
      </c>
      <c r="DH675" s="25" t="s">
        <v>193</v>
      </c>
      <c r="DI675" s="25" t="s">
        <v>194</v>
      </c>
      <c r="DJ675" s="25" t="s">
        <v>310</v>
      </c>
      <c r="DK675" s="25" t="s">
        <v>310</v>
      </c>
      <c r="DL675" s="32" t="s">
        <v>3343</v>
      </c>
      <c r="DM675" s="25" t="s">
        <v>198</v>
      </c>
      <c r="DN675" s="24" t="s">
        <v>12952</v>
      </c>
      <c r="DO675" s="31">
        <v>2022</v>
      </c>
      <c r="DP675" s="25" t="s">
        <v>166</v>
      </c>
      <c r="DQ675" s="25" t="s">
        <v>166</v>
      </c>
      <c r="DR675" s="29" t="s">
        <v>166</v>
      </c>
      <c r="DS675" s="27" t="s">
        <v>166</v>
      </c>
      <c r="DT675" s="30" t="s">
        <v>166</v>
      </c>
      <c r="DU675" s="25" t="s">
        <v>166</v>
      </c>
      <c r="DV675" s="29" t="s">
        <v>166</v>
      </c>
      <c r="DW675" s="29" t="s">
        <v>166</v>
      </c>
      <c r="DX675" s="27" t="s">
        <v>166</v>
      </c>
      <c r="DY675" s="27" t="s">
        <v>166</v>
      </c>
      <c r="DZ675" s="28" t="s">
        <v>166</v>
      </c>
      <c r="EA675" s="27" t="s">
        <v>166</v>
      </c>
      <c r="EB675" s="27" t="s">
        <v>166</v>
      </c>
      <c r="EC675" s="27" t="s">
        <v>166</v>
      </c>
      <c r="ED675" s="28" t="s">
        <v>166</v>
      </c>
      <c r="EE675" s="28" t="s">
        <v>166</v>
      </c>
      <c r="EF675" s="28" t="s">
        <v>166</v>
      </c>
      <c r="EG675" s="28" t="s">
        <v>166</v>
      </c>
      <c r="EH675" s="27" t="s">
        <v>166</v>
      </c>
      <c r="EI675" s="27" t="s">
        <v>166</v>
      </c>
      <c r="EJ675" s="27" t="s">
        <v>166</v>
      </c>
      <c r="EK675" s="27" t="s">
        <v>166</v>
      </c>
      <c r="EL675" s="27" t="s">
        <v>166</v>
      </c>
      <c r="EM675" s="27" t="s">
        <v>166</v>
      </c>
      <c r="EN675" s="27" t="s">
        <v>166</v>
      </c>
      <c r="EO675" s="27" t="s">
        <v>166</v>
      </c>
      <c r="EP675" s="27" t="s">
        <v>166</v>
      </c>
      <c r="EQ675" s="27" t="s">
        <v>166</v>
      </c>
      <c r="ER675" s="27" t="s">
        <v>166</v>
      </c>
      <c r="ES675" s="27" t="s">
        <v>166</v>
      </c>
      <c r="ET675" s="25" t="s">
        <v>166</v>
      </c>
      <c r="EU675" s="27" t="s">
        <v>166</v>
      </c>
      <c r="EV675" s="27" t="s">
        <v>166</v>
      </c>
      <c r="EW675" s="27" t="s">
        <v>166</v>
      </c>
      <c r="EX675" s="25" t="s">
        <v>190</v>
      </c>
      <c r="EY675" s="25" t="s">
        <v>166</v>
      </c>
      <c r="EZ675" s="27" t="s">
        <v>166</v>
      </c>
      <c r="FA675" s="26" t="s">
        <v>166</v>
      </c>
      <c r="FB675" s="26" t="s">
        <v>166</v>
      </c>
      <c r="FC675" s="26" t="s">
        <v>166</v>
      </c>
      <c r="FD675" s="26" t="s">
        <v>166</v>
      </c>
      <c r="FE675" s="26" t="s">
        <v>166</v>
      </c>
      <c r="FF675" s="26" t="s">
        <v>166</v>
      </c>
      <c r="FG675" s="25" t="s">
        <v>166</v>
      </c>
      <c r="FH675" s="4">
        <f>HYPERLINK("https://my.pitchbook.com?c=243234-37T","View Company Online")</f>
      </c>
    </row>
    <row r="676">
      <c r="A676" s="14" t="s">
        <v>12953</v>
      </c>
      <c r="B676" s="14" t="s">
        <v>12954</v>
      </c>
      <c r="C676" s="14" t="s">
        <v>12955</v>
      </c>
      <c r="D676" s="14" t="s">
        <v>166</v>
      </c>
      <c r="E676" s="23" t="s">
        <v>12956</v>
      </c>
      <c r="F676" s="21">
        <v>16</v>
      </c>
      <c r="G676" s="14" t="s">
        <v>12957</v>
      </c>
      <c r="H676" s="14" t="s">
        <v>166</v>
      </c>
      <c r="I676" s="14" t="s">
        <v>12958</v>
      </c>
      <c r="J676" s="14" t="s">
        <v>12959</v>
      </c>
      <c r="K676" s="14" t="s">
        <v>207</v>
      </c>
      <c r="L676" s="14" t="s">
        <v>208</v>
      </c>
      <c r="M676" s="14" t="s">
        <v>296</v>
      </c>
      <c r="N676" s="14" t="s">
        <v>12960</v>
      </c>
      <c r="O676" s="14" t="s">
        <v>1318</v>
      </c>
      <c r="P676" s="14" t="s">
        <v>12961</v>
      </c>
      <c r="Q676" s="14" t="s">
        <v>2555</v>
      </c>
      <c r="R676" s="14" t="s">
        <v>177</v>
      </c>
      <c r="S676" s="14" t="s">
        <v>178</v>
      </c>
      <c r="T676" s="14" t="s">
        <v>179</v>
      </c>
      <c r="U676" s="14" t="s">
        <v>12962</v>
      </c>
      <c r="V676" s="14" t="s">
        <v>12963</v>
      </c>
      <c r="W676" s="21" t="s">
        <v>166</v>
      </c>
      <c r="X676" s="14" t="s">
        <v>12964</v>
      </c>
      <c r="Y676" s="14" t="s">
        <v>12965</v>
      </c>
      <c r="Z676" s="14" t="s">
        <v>166</v>
      </c>
      <c r="AA676" s="14" t="s">
        <v>242</v>
      </c>
      <c r="AB676" s="14" t="s">
        <v>243</v>
      </c>
      <c r="AC676" s="14" t="s">
        <v>244</v>
      </c>
      <c r="AD676" s="14" t="s">
        <v>166</v>
      </c>
      <c r="AE676" s="14" t="s">
        <v>243</v>
      </c>
      <c r="AF676" s="14" t="s">
        <v>166</v>
      </c>
      <c r="AG676" s="14" t="s">
        <v>807</v>
      </c>
      <c r="AH676" s="21">
        <v>1</v>
      </c>
      <c r="AI676" s="3">
        <f>HYPERLINK("https://my.pitchbook.com/?d=193270-51T","193270-51T")</f>
      </c>
      <c r="AJ676" s="19" t="s">
        <v>166</v>
      </c>
      <c r="AK676" s="19">
        <v>44621</v>
      </c>
      <c r="AL676" s="18">
        <v>5.3</v>
      </c>
      <c r="AM676" s="14" t="s">
        <v>185</v>
      </c>
      <c r="AN676" s="18">
        <v>19.7</v>
      </c>
      <c r="AO676" s="18">
        <v>25</v>
      </c>
      <c r="AP676" s="14" t="s">
        <v>185</v>
      </c>
      <c r="AQ676" s="21" t="s">
        <v>166</v>
      </c>
      <c r="AR676" s="21" t="s">
        <v>166</v>
      </c>
      <c r="AS676" s="17">
        <v>21.2</v>
      </c>
      <c r="AT676" s="18">
        <v>5.3</v>
      </c>
      <c r="AU676" s="21" t="s">
        <v>186</v>
      </c>
      <c r="AV676" s="21" t="s">
        <v>166</v>
      </c>
      <c r="AW676" s="18">
        <v>3.51</v>
      </c>
      <c r="AX676" s="21" t="s">
        <v>166</v>
      </c>
      <c r="AY676" s="14" t="s">
        <v>217</v>
      </c>
      <c r="AZ676" s="14" t="s">
        <v>217</v>
      </c>
      <c r="BA676" s="14" t="s">
        <v>166</v>
      </c>
      <c r="BB676" s="21" t="s">
        <v>166</v>
      </c>
      <c r="BC676" s="14" t="s">
        <v>179</v>
      </c>
      <c r="BD676" s="14" t="s">
        <v>12966</v>
      </c>
      <c r="BE676" s="14" t="s">
        <v>189</v>
      </c>
      <c r="BF676" s="18">
        <v>5.3</v>
      </c>
      <c r="BG676" s="14" t="s">
        <v>190</v>
      </c>
      <c r="BH676" s="14" t="s">
        <v>166</v>
      </c>
      <c r="BI676" s="14" t="s">
        <v>166</v>
      </c>
      <c r="BJ676" s="18" t="s">
        <v>166</v>
      </c>
      <c r="BK676" s="18" t="s">
        <v>166</v>
      </c>
      <c r="BL676" s="14" t="s">
        <v>191</v>
      </c>
      <c r="BM676" s="14" t="s">
        <v>178</v>
      </c>
      <c r="BN676" s="14" t="s">
        <v>177</v>
      </c>
      <c r="BO676" s="22" t="s">
        <v>166</v>
      </c>
      <c r="BP676" s="14" t="s">
        <v>12967</v>
      </c>
      <c r="BQ676" s="21">
        <v>16</v>
      </c>
      <c r="BR676" s="14" t="s">
        <v>166</v>
      </c>
      <c r="BS676" s="21" t="s">
        <v>166</v>
      </c>
      <c r="BT676" s="14" t="s">
        <v>166</v>
      </c>
      <c r="BU676" s="14" t="s">
        <v>166</v>
      </c>
      <c r="BV676" s="14" t="s">
        <v>12968</v>
      </c>
      <c r="BW676" s="14" t="s">
        <v>166</v>
      </c>
      <c r="BX676" s="14" t="s">
        <v>166</v>
      </c>
      <c r="BY676" s="14" t="s">
        <v>166</v>
      </c>
      <c r="BZ676" s="14" t="s">
        <v>770</v>
      </c>
      <c r="CA676" s="14" t="s">
        <v>770</v>
      </c>
      <c r="CB676" s="14" t="s">
        <v>166</v>
      </c>
      <c r="CC676" s="14" t="s">
        <v>166</v>
      </c>
      <c r="CD676" s="14" t="s">
        <v>166</v>
      </c>
      <c r="CE676" s="18" t="s">
        <v>166</v>
      </c>
      <c r="CF676" s="16" t="s">
        <v>166</v>
      </c>
      <c r="CG676" s="17" t="s">
        <v>166</v>
      </c>
      <c r="CH676" s="16" t="s">
        <v>166</v>
      </c>
      <c r="CI676" s="16" t="s">
        <v>166</v>
      </c>
      <c r="CJ676" s="16" t="s">
        <v>166</v>
      </c>
      <c r="CK676" s="16" t="s">
        <v>166</v>
      </c>
      <c r="CL676" s="16" t="s">
        <v>166</v>
      </c>
      <c r="CM676" s="20" t="s">
        <v>166</v>
      </c>
      <c r="CN676" s="16" t="s">
        <v>166</v>
      </c>
      <c r="CO676" s="16" t="s">
        <v>166</v>
      </c>
      <c r="CP676" s="16" t="s">
        <v>166</v>
      </c>
      <c r="CQ676" s="16" t="s">
        <v>166</v>
      </c>
      <c r="CR676" s="16" t="s">
        <v>166</v>
      </c>
      <c r="CS676" s="16" t="s">
        <v>166</v>
      </c>
      <c r="CT676" s="16" t="s">
        <v>166</v>
      </c>
      <c r="CU676" s="16" t="s">
        <v>166</v>
      </c>
      <c r="CV676" s="16" t="s">
        <v>166</v>
      </c>
      <c r="CW676" s="16" t="s">
        <v>166</v>
      </c>
      <c r="CX676" s="16" t="s">
        <v>166</v>
      </c>
      <c r="CY676" s="16" t="s">
        <v>166</v>
      </c>
      <c r="CZ676" s="16" t="s">
        <v>166</v>
      </c>
      <c r="DA676" s="16" t="s">
        <v>166</v>
      </c>
      <c r="DB676" s="16" t="s">
        <v>166</v>
      </c>
      <c r="DC676" s="16" t="s">
        <v>166</v>
      </c>
      <c r="DD676" s="16" t="s">
        <v>166</v>
      </c>
      <c r="DE676" s="17" t="s">
        <v>166</v>
      </c>
      <c r="DF676" s="22">
        <v>25</v>
      </c>
      <c r="DG676" s="14" t="s">
        <v>673</v>
      </c>
      <c r="DH676" s="14" t="s">
        <v>193</v>
      </c>
      <c r="DI676" s="14" t="s">
        <v>194</v>
      </c>
      <c r="DJ676" s="14" t="s">
        <v>674</v>
      </c>
      <c r="DK676" s="14" t="s">
        <v>257</v>
      </c>
      <c r="DL676" s="21" t="s">
        <v>4459</v>
      </c>
      <c r="DM676" s="14" t="s">
        <v>198</v>
      </c>
      <c r="DN676" s="13" t="s">
        <v>12969</v>
      </c>
      <c r="DO676" s="20">
        <v>2021</v>
      </c>
      <c r="DP676" s="14" t="s">
        <v>166</v>
      </c>
      <c r="DQ676" s="14" t="s">
        <v>166</v>
      </c>
      <c r="DR676" s="18" t="s">
        <v>166</v>
      </c>
      <c r="DS676" s="16" t="s">
        <v>166</v>
      </c>
      <c r="DT676" s="19" t="s">
        <v>166</v>
      </c>
      <c r="DU676" s="14" t="s">
        <v>166</v>
      </c>
      <c r="DV676" s="18" t="s">
        <v>166</v>
      </c>
      <c r="DW676" s="18" t="s">
        <v>166</v>
      </c>
      <c r="DX676" s="16" t="s">
        <v>166</v>
      </c>
      <c r="DY676" s="16" t="s">
        <v>166</v>
      </c>
      <c r="DZ676" s="17" t="s">
        <v>166</v>
      </c>
      <c r="EA676" s="16" t="s">
        <v>166</v>
      </c>
      <c r="EB676" s="16" t="s">
        <v>166</v>
      </c>
      <c r="EC676" s="16" t="s">
        <v>166</v>
      </c>
      <c r="ED676" s="17" t="s">
        <v>166</v>
      </c>
      <c r="EE676" s="17" t="s">
        <v>166</v>
      </c>
      <c r="EF676" s="17" t="s">
        <v>166</v>
      </c>
      <c r="EG676" s="17" t="s">
        <v>166</v>
      </c>
      <c r="EH676" s="16" t="s">
        <v>166</v>
      </c>
      <c r="EI676" s="16" t="s">
        <v>166</v>
      </c>
      <c r="EJ676" s="16" t="s">
        <v>166</v>
      </c>
      <c r="EK676" s="16" t="s">
        <v>166</v>
      </c>
      <c r="EL676" s="16" t="s">
        <v>166</v>
      </c>
      <c r="EM676" s="16" t="s">
        <v>166</v>
      </c>
      <c r="EN676" s="16" t="s">
        <v>166</v>
      </c>
      <c r="EO676" s="16" t="s">
        <v>166</v>
      </c>
      <c r="EP676" s="16" t="s">
        <v>166</v>
      </c>
      <c r="EQ676" s="16" t="s">
        <v>166</v>
      </c>
      <c r="ER676" s="16" t="s">
        <v>166</v>
      </c>
      <c r="ES676" s="16" t="s">
        <v>166</v>
      </c>
      <c r="ET676" s="14" t="s">
        <v>166</v>
      </c>
      <c r="EU676" s="16" t="s">
        <v>166</v>
      </c>
      <c r="EV676" s="16" t="s">
        <v>166</v>
      </c>
      <c r="EW676" s="16" t="s">
        <v>166</v>
      </c>
      <c r="EX676" s="14" t="s">
        <v>190</v>
      </c>
      <c r="EY676" s="14" t="s">
        <v>166</v>
      </c>
      <c r="EZ676" s="16" t="s">
        <v>166</v>
      </c>
      <c r="FA676" s="15" t="s">
        <v>166</v>
      </c>
      <c r="FB676" s="15" t="s">
        <v>166</v>
      </c>
      <c r="FC676" s="15" t="s">
        <v>166</v>
      </c>
      <c r="FD676" s="15" t="s">
        <v>166</v>
      </c>
      <c r="FE676" s="15" t="s">
        <v>166</v>
      </c>
      <c r="FF676" s="15" t="s">
        <v>166</v>
      </c>
      <c r="FG676" s="14" t="s">
        <v>166</v>
      </c>
      <c r="FH676" s="3">
        <f>HYPERLINK("https://my.pitchbook.com?c=193270-51T","View Company Online")</f>
      </c>
    </row>
    <row r="677">
      <c r="A677" s="25" t="s">
        <v>12970</v>
      </c>
      <c r="B677" s="25" t="s">
        <v>12971</v>
      </c>
      <c r="C677" s="25" t="s">
        <v>12972</v>
      </c>
      <c r="D677" s="25" t="s">
        <v>166</v>
      </c>
      <c r="E677" s="34" t="s">
        <v>12973</v>
      </c>
      <c r="F677" s="32">
        <v>13</v>
      </c>
      <c r="G677" s="25" t="s">
        <v>12974</v>
      </c>
      <c r="H677" s="25" t="s">
        <v>166</v>
      </c>
      <c r="I677" s="25" t="s">
        <v>12975</v>
      </c>
      <c r="J677" s="25" t="s">
        <v>12976</v>
      </c>
      <c r="K677" s="25" t="s">
        <v>207</v>
      </c>
      <c r="L677" s="25" t="s">
        <v>208</v>
      </c>
      <c r="M677" s="25" t="s">
        <v>839</v>
      </c>
      <c r="N677" s="25" t="s">
        <v>12977</v>
      </c>
      <c r="O677" s="25" t="s">
        <v>12978</v>
      </c>
      <c r="P677" s="25" t="s">
        <v>12979</v>
      </c>
      <c r="Q677" s="25" t="s">
        <v>926</v>
      </c>
      <c r="R677" s="25" t="s">
        <v>177</v>
      </c>
      <c r="S677" s="25" t="s">
        <v>178</v>
      </c>
      <c r="T677" s="25" t="s">
        <v>179</v>
      </c>
      <c r="U677" s="25" t="s">
        <v>12980</v>
      </c>
      <c r="V677" s="25" t="s">
        <v>12981</v>
      </c>
      <c r="W677" s="32" t="s">
        <v>12982</v>
      </c>
      <c r="X677" s="25" t="s">
        <v>12983</v>
      </c>
      <c r="Y677" s="25" t="s">
        <v>12984</v>
      </c>
      <c r="Z677" s="25" t="s">
        <v>166</v>
      </c>
      <c r="AA677" s="25" t="s">
        <v>242</v>
      </c>
      <c r="AB677" s="25" t="s">
        <v>243</v>
      </c>
      <c r="AC677" s="25" t="s">
        <v>244</v>
      </c>
      <c r="AD677" s="25" t="s">
        <v>243</v>
      </c>
      <c r="AE677" s="25" t="s">
        <v>243</v>
      </c>
      <c r="AF677" s="25" t="s">
        <v>245</v>
      </c>
      <c r="AG677" s="25" t="s">
        <v>246</v>
      </c>
      <c r="AH677" s="32">
        <v>1</v>
      </c>
      <c r="AI677" s="4">
        <f>HYPERLINK("https://my.pitchbook.com/?d=188248-87T","188248-87T")</f>
      </c>
      <c r="AJ677" s="30" t="s">
        <v>166</v>
      </c>
      <c r="AK677" s="30">
        <v>44602</v>
      </c>
      <c r="AL677" s="29">
        <v>6</v>
      </c>
      <c r="AM677" s="25" t="s">
        <v>185</v>
      </c>
      <c r="AN677" s="29">
        <v>14</v>
      </c>
      <c r="AO677" s="29">
        <v>20</v>
      </c>
      <c r="AP677" s="25" t="s">
        <v>185</v>
      </c>
      <c r="AQ677" s="32" t="s">
        <v>166</v>
      </c>
      <c r="AR677" s="32" t="s">
        <v>166</v>
      </c>
      <c r="AS677" s="28">
        <v>33.07</v>
      </c>
      <c r="AT677" s="29">
        <v>6</v>
      </c>
      <c r="AU677" s="32" t="s">
        <v>186</v>
      </c>
      <c r="AV677" s="32" t="s">
        <v>166</v>
      </c>
      <c r="AW677" s="29">
        <v>0.64</v>
      </c>
      <c r="AX677" s="32" t="s">
        <v>166</v>
      </c>
      <c r="AY677" s="25" t="s">
        <v>217</v>
      </c>
      <c r="AZ677" s="25" t="s">
        <v>217</v>
      </c>
      <c r="BA677" s="25" t="s">
        <v>166</v>
      </c>
      <c r="BB677" s="32" t="s">
        <v>166</v>
      </c>
      <c r="BC677" s="25" t="s">
        <v>179</v>
      </c>
      <c r="BD677" s="25" t="s">
        <v>12985</v>
      </c>
      <c r="BE677" s="25" t="s">
        <v>189</v>
      </c>
      <c r="BF677" s="29">
        <v>6</v>
      </c>
      <c r="BG677" s="25" t="s">
        <v>190</v>
      </c>
      <c r="BH677" s="25" t="s">
        <v>166</v>
      </c>
      <c r="BI677" s="25" t="s">
        <v>166</v>
      </c>
      <c r="BJ677" s="29" t="s">
        <v>166</v>
      </c>
      <c r="BK677" s="29" t="s">
        <v>166</v>
      </c>
      <c r="BL677" s="25" t="s">
        <v>191</v>
      </c>
      <c r="BM677" s="25" t="s">
        <v>178</v>
      </c>
      <c r="BN677" s="25" t="s">
        <v>177</v>
      </c>
      <c r="BO677" s="33" t="s">
        <v>166</v>
      </c>
      <c r="BP677" s="25" t="s">
        <v>12986</v>
      </c>
      <c r="BQ677" s="32">
        <v>13</v>
      </c>
      <c r="BR677" s="25" t="s">
        <v>166</v>
      </c>
      <c r="BS677" s="32" t="s">
        <v>166</v>
      </c>
      <c r="BT677" s="25" t="s">
        <v>12987</v>
      </c>
      <c r="BU677" s="25" t="s">
        <v>166</v>
      </c>
      <c r="BV677" s="25" t="s">
        <v>12988</v>
      </c>
      <c r="BW677" s="25" t="s">
        <v>166</v>
      </c>
      <c r="BX677" s="25" t="s">
        <v>166</v>
      </c>
      <c r="BY677" s="25" t="s">
        <v>166</v>
      </c>
      <c r="BZ677" s="25" t="s">
        <v>996</v>
      </c>
      <c r="CA677" s="25" t="s">
        <v>996</v>
      </c>
      <c r="CB677" s="25" t="s">
        <v>166</v>
      </c>
      <c r="CC677" s="25" t="s">
        <v>166</v>
      </c>
      <c r="CD677" s="25" t="s">
        <v>166</v>
      </c>
      <c r="CE677" s="29" t="s">
        <v>166</v>
      </c>
      <c r="CF677" s="27" t="s">
        <v>166</v>
      </c>
      <c r="CG677" s="28" t="s">
        <v>166</v>
      </c>
      <c r="CH677" s="27" t="s">
        <v>166</v>
      </c>
      <c r="CI677" s="27" t="s">
        <v>166</v>
      </c>
      <c r="CJ677" s="27" t="s">
        <v>166</v>
      </c>
      <c r="CK677" s="27" t="s">
        <v>166</v>
      </c>
      <c r="CL677" s="27" t="s">
        <v>166</v>
      </c>
      <c r="CM677" s="31" t="s">
        <v>166</v>
      </c>
      <c r="CN677" s="27" t="s">
        <v>166</v>
      </c>
      <c r="CO677" s="27" t="s">
        <v>166</v>
      </c>
      <c r="CP677" s="27" t="s">
        <v>166</v>
      </c>
      <c r="CQ677" s="27" t="s">
        <v>166</v>
      </c>
      <c r="CR677" s="27" t="s">
        <v>166</v>
      </c>
      <c r="CS677" s="27" t="s">
        <v>166</v>
      </c>
      <c r="CT677" s="27" t="s">
        <v>166</v>
      </c>
      <c r="CU677" s="27" t="s">
        <v>166</v>
      </c>
      <c r="CV677" s="27" t="s">
        <v>166</v>
      </c>
      <c r="CW677" s="27" t="s">
        <v>166</v>
      </c>
      <c r="CX677" s="27" t="s">
        <v>166</v>
      </c>
      <c r="CY677" s="27" t="s">
        <v>166</v>
      </c>
      <c r="CZ677" s="27" t="s">
        <v>166</v>
      </c>
      <c r="DA677" s="27" t="s">
        <v>166</v>
      </c>
      <c r="DB677" s="27" t="s">
        <v>166</v>
      </c>
      <c r="DC677" s="27" t="s">
        <v>166</v>
      </c>
      <c r="DD677" s="27" t="s">
        <v>166</v>
      </c>
      <c r="DE677" s="28" t="s">
        <v>166</v>
      </c>
      <c r="DF677" s="33">
        <v>36</v>
      </c>
      <c r="DG677" s="25" t="s">
        <v>954</v>
      </c>
      <c r="DH677" s="25" t="s">
        <v>193</v>
      </c>
      <c r="DI677" s="25" t="s">
        <v>194</v>
      </c>
      <c r="DJ677" s="25" t="s">
        <v>955</v>
      </c>
      <c r="DK677" s="25" t="s">
        <v>257</v>
      </c>
      <c r="DL677" s="32" t="s">
        <v>1390</v>
      </c>
      <c r="DM677" s="25" t="s">
        <v>198</v>
      </c>
      <c r="DN677" s="24" t="s">
        <v>12989</v>
      </c>
      <c r="DO677" s="31">
        <v>2019</v>
      </c>
      <c r="DP677" s="25" t="s">
        <v>166</v>
      </c>
      <c r="DQ677" s="25" t="s">
        <v>166</v>
      </c>
      <c r="DR677" s="29" t="s">
        <v>166</v>
      </c>
      <c r="DS677" s="27" t="s">
        <v>166</v>
      </c>
      <c r="DT677" s="30" t="s">
        <v>166</v>
      </c>
      <c r="DU677" s="25" t="s">
        <v>166</v>
      </c>
      <c r="DV677" s="29" t="s">
        <v>166</v>
      </c>
      <c r="DW677" s="29" t="s">
        <v>166</v>
      </c>
      <c r="DX677" s="27" t="s">
        <v>166</v>
      </c>
      <c r="DY677" s="27" t="s">
        <v>166</v>
      </c>
      <c r="DZ677" s="28" t="s">
        <v>166</v>
      </c>
      <c r="EA677" s="27" t="s">
        <v>166</v>
      </c>
      <c r="EB677" s="27" t="s">
        <v>166</v>
      </c>
      <c r="EC677" s="27" t="s">
        <v>166</v>
      </c>
      <c r="ED677" s="28" t="s">
        <v>166</v>
      </c>
      <c r="EE677" s="28" t="s">
        <v>166</v>
      </c>
      <c r="EF677" s="28" t="s">
        <v>166</v>
      </c>
      <c r="EG677" s="28" t="s">
        <v>166</v>
      </c>
      <c r="EH677" s="27" t="s">
        <v>166</v>
      </c>
      <c r="EI677" s="27" t="s">
        <v>166</v>
      </c>
      <c r="EJ677" s="27" t="s">
        <v>166</v>
      </c>
      <c r="EK677" s="27" t="s">
        <v>166</v>
      </c>
      <c r="EL677" s="27" t="s">
        <v>166</v>
      </c>
      <c r="EM677" s="27" t="s">
        <v>166</v>
      </c>
      <c r="EN677" s="27" t="s">
        <v>166</v>
      </c>
      <c r="EO677" s="27" t="s">
        <v>166</v>
      </c>
      <c r="EP677" s="27" t="s">
        <v>166</v>
      </c>
      <c r="EQ677" s="27" t="s">
        <v>166</v>
      </c>
      <c r="ER677" s="27" t="s">
        <v>166</v>
      </c>
      <c r="ES677" s="27" t="s">
        <v>166</v>
      </c>
      <c r="ET677" s="25" t="s">
        <v>166</v>
      </c>
      <c r="EU677" s="27" t="s">
        <v>166</v>
      </c>
      <c r="EV677" s="27" t="s">
        <v>166</v>
      </c>
      <c r="EW677" s="27" t="s">
        <v>166</v>
      </c>
      <c r="EX677" s="25" t="s">
        <v>190</v>
      </c>
      <c r="EY677" s="25" t="s">
        <v>166</v>
      </c>
      <c r="EZ677" s="27" t="s">
        <v>166</v>
      </c>
      <c r="FA677" s="26">
        <v>6</v>
      </c>
      <c r="FB677" s="26">
        <v>4</v>
      </c>
      <c r="FC677" s="26" t="s">
        <v>166</v>
      </c>
      <c r="FD677" s="26">
        <v>6</v>
      </c>
      <c r="FE677" s="26" t="s">
        <v>166</v>
      </c>
      <c r="FF677" s="26" t="s">
        <v>166</v>
      </c>
      <c r="FG677" s="25" t="s">
        <v>4802</v>
      </c>
      <c r="FH677" s="4">
        <f>HYPERLINK("https://my.pitchbook.com?c=188248-87T","View Company Online")</f>
      </c>
    </row>
    <row r="678">
      <c r="A678" s="14" t="s">
        <v>12990</v>
      </c>
      <c r="B678" s="14" t="s">
        <v>12991</v>
      </c>
      <c r="C678" s="14" t="s">
        <v>12992</v>
      </c>
      <c r="D678" s="14" t="s">
        <v>166</v>
      </c>
      <c r="E678" s="23" t="s">
        <v>12993</v>
      </c>
      <c r="F678" s="21">
        <v>7</v>
      </c>
      <c r="G678" s="14" t="s">
        <v>12994</v>
      </c>
      <c r="H678" s="14" t="s">
        <v>166</v>
      </c>
      <c r="I678" s="14" t="s">
        <v>12995</v>
      </c>
      <c r="J678" s="14" t="s">
        <v>12996</v>
      </c>
      <c r="K678" s="14" t="s">
        <v>207</v>
      </c>
      <c r="L678" s="14" t="s">
        <v>208</v>
      </c>
      <c r="M678" s="14" t="s">
        <v>209</v>
      </c>
      <c r="N678" s="14" t="s">
        <v>12997</v>
      </c>
      <c r="O678" s="14" t="s">
        <v>12998</v>
      </c>
      <c r="P678" s="14" t="s">
        <v>12999</v>
      </c>
      <c r="Q678" s="14" t="s">
        <v>166</v>
      </c>
      <c r="R678" s="14" t="s">
        <v>177</v>
      </c>
      <c r="S678" s="14" t="s">
        <v>178</v>
      </c>
      <c r="T678" s="14" t="s">
        <v>179</v>
      </c>
      <c r="U678" s="14" t="s">
        <v>166</v>
      </c>
      <c r="V678" s="14" t="s">
        <v>166</v>
      </c>
      <c r="W678" s="21" t="s">
        <v>166</v>
      </c>
      <c r="X678" s="14" t="s">
        <v>166</v>
      </c>
      <c r="Y678" s="14" t="s">
        <v>166</v>
      </c>
      <c r="Z678" s="14" t="s">
        <v>166</v>
      </c>
      <c r="AA678" s="14" t="s">
        <v>166</v>
      </c>
      <c r="AB678" s="14" t="s">
        <v>243</v>
      </c>
      <c r="AC678" s="14" t="s">
        <v>244</v>
      </c>
      <c r="AD678" s="14" t="s">
        <v>243</v>
      </c>
      <c r="AE678" s="14" t="s">
        <v>243</v>
      </c>
      <c r="AF678" s="14" t="s">
        <v>166</v>
      </c>
      <c r="AG678" s="14" t="s">
        <v>166</v>
      </c>
      <c r="AH678" s="21">
        <v>1</v>
      </c>
      <c r="AI678" s="3">
        <f>HYPERLINK("https://my.pitchbook.com/?d=176201-65T","176201-65T")</f>
      </c>
      <c r="AJ678" s="19" t="s">
        <v>166</v>
      </c>
      <c r="AK678" s="19">
        <v>43831</v>
      </c>
      <c r="AL678" s="18">
        <v>1.3</v>
      </c>
      <c r="AM678" s="14" t="s">
        <v>247</v>
      </c>
      <c r="AN678" s="18">
        <v>7.9</v>
      </c>
      <c r="AO678" s="18">
        <v>9.2</v>
      </c>
      <c r="AP678" s="14" t="s">
        <v>247</v>
      </c>
      <c r="AQ678" s="21" t="s">
        <v>166</v>
      </c>
      <c r="AR678" s="21" t="s">
        <v>166</v>
      </c>
      <c r="AS678" s="17">
        <v>21.4</v>
      </c>
      <c r="AT678" s="18">
        <v>1.3</v>
      </c>
      <c r="AU678" s="21" t="s">
        <v>186</v>
      </c>
      <c r="AV678" s="21" t="s">
        <v>166</v>
      </c>
      <c r="AW678" s="18">
        <v>0.69</v>
      </c>
      <c r="AX678" s="21" t="s">
        <v>166</v>
      </c>
      <c r="AY678" s="14" t="s">
        <v>217</v>
      </c>
      <c r="AZ678" s="14" t="s">
        <v>217</v>
      </c>
      <c r="BA678" s="14" t="s">
        <v>166</v>
      </c>
      <c r="BB678" s="21" t="s">
        <v>166</v>
      </c>
      <c r="BC678" s="14" t="s">
        <v>179</v>
      </c>
      <c r="BD678" s="14" t="s">
        <v>13000</v>
      </c>
      <c r="BE678" s="14" t="s">
        <v>189</v>
      </c>
      <c r="BF678" s="18">
        <v>1.3</v>
      </c>
      <c r="BG678" s="14" t="s">
        <v>190</v>
      </c>
      <c r="BH678" s="14" t="s">
        <v>166</v>
      </c>
      <c r="BI678" s="14" t="s">
        <v>166</v>
      </c>
      <c r="BJ678" s="18" t="s">
        <v>166</v>
      </c>
      <c r="BK678" s="18" t="s">
        <v>166</v>
      </c>
      <c r="BL678" s="14" t="s">
        <v>191</v>
      </c>
      <c r="BM678" s="14" t="s">
        <v>358</v>
      </c>
      <c r="BN678" s="14" t="s">
        <v>177</v>
      </c>
      <c r="BO678" s="22" t="s">
        <v>166</v>
      </c>
      <c r="BP678" s="14" t="s">
        <v>13001</v>
      </c>
      <c r="BQ678" s="21">
        <v>7</v>
      </c>
      <c r="BR678" s="14" t="s">
        <v>166</v>
      </c>
      <c r="BS678" s="21" t="s">
        <v>166</v>
      </c>
      <c r="BT678" s="14" t="s">
        <v>166</v>
      </c>
      <c r="BU678" s="14" t="s">
        <v>166</v>
      </c>
      <c r="BV678" s="14" t="s">
        <v>13002</v>
      </c>
      <c r="BW678" s="14" t="s">
        <v>166</v>
      </c>
      <c r="BX678" s="14" t="s">
        <v>166</v>
      </c>
      <c r="BY678" s="14" t="s">
        <v>166</v>
      </c>
      <c r="BZ678" s="14" t="s">
        <v>166</v>
      </c>
      <c r="CA678" s="14" t="s">
        <v>166</v>
      </c>
      <c r="CB678" s="14" t="s">
        <v>166</v>
      </c>
      <c r="CC678" s="14" t="s">
        <v>166</v>
      </c>
      <c r="CD678" s="14" t="s">
        <v>166</v>
      </c>
      <c r="CE678" s="18" t="s">
        <v>166</v>
      </c>
      <c r="CF678" s="16" t="s">
        <v>166</v>
      </c>
      <c r="CG678" s="17" t="s">
        <v>166</v>
      </c>
      <c r="CH678" s="16" t="s">
        <v>166</v>
      </c>
      <c r="CI678" s="16" t="s">
        <v>166</v>
      </c>
      <c r="CJ678" s="16" t="s">
        <v>166</v>
      </c>
      <c r="CK678" s="16" t="s">
        <v>166</v>
      </c>
      <c r="CL678" s="16" t="s">
        <v>166</v>
      </c>
      <c r="CM678" s="20" t="s">
        <v>166</v>
      </c>
      <c r="CN678" s="16" t="s">
        <v>166</v>
      </c>
      <c r="CO678" s="16" t="s">
        <v>166</v>
      </c>
      <c r="CP678" s="16" t="s">
        <v>166</v>
      </c>
      <c r="CQ678" s="16" t="s">
        <v>166</v>
      </c>
      <c r="CR678" s="16" t="s">
        <v>166</v>
      </c>
      <c r="CS678" s="16" t="s">
        <v>166</v>
      </c>
      <c r="CT678" s="16" t="s">
        <v>166</v>
      </c>
      <c r="CU678" s="16" t="s">
        <v>166</v>
      </c>
      <c r="CV678" s="16" t="s">
        <v>166</v>
      </c>
      <c r="CW678" s="16" t="s">
        <v>166</v>
      </c>
      <c r="CX678" s="16" t="s">
        <v>166</v>
      </c>
      <c r="CY678" s="16" t="s">
        <v>166</v>
      </c>
      <c r="CZ678" s="16" t="s">
        <v>166</v>
      </c>
      <c r="DA678" s="16" t="s">
        <v>166</v>
      </c>
      <c r="DB678" s="16" t="s">
        <v>166</v>
      </c>
      <c r="DC678" s="16" t="s">
        <v>166</v>
      </c>
      <c r="DD678" s="16" t="s">
        <v>166</v>
      </c>
      <c r="DE678" s="17" t="s">
        <v>166</v>
      </c>
      <c r="DF678" s="22">
        <v>7</v>
      </c>
      <c r="DG678" s="14" t="s">
        <v>673</v>
      </c>
      <c r="DH678" s="14" t="s">
        <v>193</v>
      </c>
      <c r="DI678" s="14" t="s">
        <v>194</v>
      </c>
      <c r="DJ678" s="14" t="s">
        <v>674</v>
      </c>
      <c r="DK678" s="14" t="s">
        <v>257</v>
      </c>
      <c r="DL678" s="21" t="s">
        <v>13003</v>
      </c>
      <c r="DM678" s="14" t="s">
        <v>198</v>
      </c>
      <c r="DN678" s="13" t="s">
        <v>13004</v>
      </c>
      <c r="DO678" s="20">
        <v>2020</v>
      </c>
      <c r="DP678" s="14" t="s">
        <v>166</v>
      </c>
      <c r="DQ678" s="14" t="s">
        <v>166</v>
      </c>
      <c r="DR678" s="18" t="s">
        <v>166</v>
      </c>
      <c r="DS678" s="16" t="s">
        <v>166</v>
      </c>
      <c r="DT678" s="19" t="s">
        <v>166</v>
      </c>
      <c r="DU678" s="14" t="s">
        <v>166</v>
      </c>
      <c r="DV678" s="18" t="s">
        <v>166</v>
      </c>
      <c r="DW678" s="18" t="s">
        <v>166</v>
      </c>
      <c r="DX678" s="16" t="s">
        <v>166</v>
      </c>
      <c r="DY678" s="16" t="s">
        <v>166</v>
      </c>
      <c r="DZ678" s="17" t="s">
        <v>166</v>
      </c>
      <c r="EA678" s="16" t="s">
        <v>166</v>
      </c>
      <c r="EB678" s="16" t="s">
        <v>166</v>
      </c>
      <c r="EC678" s="16" t="s">
        <v>166</v>
      </c>
      <c r="ED678" s="17" t="s">
        <v>166</v>
      </c>
      <c r="EE678" s="17" t="s">
        <v>166</v>
      </c>
      <c r="EF678" s="17" t="s">
        <v>166</v>
      </c>
      <c r="EG678" s="17" t="s">
        <v>166</v>
      </c>
      <c r="EH678" s="16" t="s">
        <v>166</v>
      </c>
      <c r="EI678" s="16" t="s">
        <v>166</v>
      </c>
      <c r="EJ678" s="16" t="s">
        <v>166</v>
      </c>
      <c r="EK678" s="16" t="s">
        <v>166</v>
      </c>
      <c r="EL678" s="16" t="s">
        <v>166</v>
      </c>
      <c r="EM678" s="16" t="s">
        <v>166</v>
      </c>
      <c r="EN678" s="16" t="s">
        <v>166</v>
      </c>
      <c r="EO678" s="16" t="s">
        <v>166</v>
      </c>
      <c r="EP678" s="16" t="s">
        <v>166</v>
      </c>
      <c r="EQ678" s="16" t="s">
        <v>166</v>
      </c>
      <c r="ER678" s="16" t="s">
        <v>166</v>
      </c>
      <c r="ES678" s="16" t="s">
        <v>166</v>
      </c>
      <c r="ET678" s="14" t="s">
        <v>166</v>
      </c>
      <c r="EU678" s="16" t="s">
        <v>166</v>
      </c>
      <c r="EV678" s="16" t="s">
        <v>166</v>
      </c>
      <c r="EW678" s="16" t="s">
        <v>166</v>
      </c>
      <c r="EX678" s="14" t="s">
        <v>190</v>
      </c>
      <c r="EY678" s="14" t="s">
        <v>166</v>
      </c>
      <c r="EZ678" s="16" t="s">
        <v>166</v>
      </c>
      <c r="FA678" s="15" t="s">
        <v>166</v>
      </c>
      <c r="FB678" s="15" t="s">
        <v>166</v>
      </c>
      <c r="FC678" s="15" t="s">
        <v>166</v>
      </c>
      <c r="FD678" s="15" t="s">
        <v>166</v>
      </c>
      <c r="FE678" s="15" t="s">
        <v>166</v>
      </c>
      <c r="FF678" s="15" t="s">
        <v>166</v>
      </c>
      <c r="FG678" s="14" t="s">
        <v>166</v>
      </c>
      <c r="FH678" s="3">
        <f>HYPERLINK("https://my.pitchbook.com?c=176201-65T","View Company Online")</f>
      </c>
    </row>
    <row r="679">
      <c r="A679" s="25" t="s">
        <v>13005</v>
      </c>
      <c r="B679" s="25" t="s">
        <v>13006</v>
      </c>
      <c r="C679" s="25" t="s">
        <v>13007</v>
      </c>
      <c r="D679" s="25" t="s">
        <v>166</v>
      </c>
      <c r="E679" s="34" t="s">
        <v>13008</v>
      </c>
      <c r="F679" s="32">
        <v>10</v>
      </c>
      <c r="G679" s="25" t="s">
        <v>13009</v>
      </c>
      <c r="H679" s="25" t="s">
        <v>166</v>
      </c>
      <c r="I679" s="25" t="s">
        <v>13010</v>
      </c>
      <c r="J679" s="25" t="s">
        <v>13011</v>
      </c>
      <c r="K679" s="25" t="s">
        <v>171</v>
      </c>
      <c r="L679" s="25" t="s">
        <v>172</v>
      </c>
      <c r="M679" s="25" t="s">
        <v>1033</v>
      </c>
      <c r="N679" s="25" t="s">
        <v>3677</v>
      </c>
      <c r="O679" s="25" t="s">
        <v>13012</v>
      </c>
      <c r="P679" s="25" t="s">
        <v>13013</v>
      </c>
      <c r="Q679" s="25" t="s">
        <v>166</v>
      </c>
      <c r="R679" s="25" t="s">
        <v>177</v>
      </c>
      <c r="S679" s="25" t="s">
        <v>178</v>
      </c>
      <c r="T679" s="25" t="s">
        <v>179</v>
      </c>
      <c r="U679" s="25" t="s">
        <v>13014</v>
      </c>
      <c r="V679" s="25" t="s">
        <v>13015</v>
      </c>
      <c r="W679" s="32" t="s">
        <v>13016</v>
      </c>
      <c r="X679" s="25" t="s">
        <v>13017</v>
      </c>
      <c r="Y679" s="25" t="s">
        <v>13018</v>
      </c>
      <c r="Z679" s="25" t="s">
        <v>13019</v>
      </c>
      <c r="AA679" s="25" t="s">
        <v>242</v>
      </c>
      <c r="AB679" s="25" t="s">
        <v>243</v>
      </c>
      <c r="AC679" s="25" t="s">
        <v>244</v>
      </c>
      <c r="AD679" s="25" t="s">
        <v>243</v>
      </c>
      <c r="AE679" s="25" t="s">
        <v>243</v>
      </c>
      <c r="AF679" s="25" t="s">
        <v>245</v>
      </c>
      <c r="AG679" s="25" t="s">
        <v>246</v>
      </c>
      <c r="AH679" s="32">
        <v>2</v>
      </c>
      <c r="AI679" s="4">
        <f>HYPERLINK("https://my.pitchbook.com/?d=167172-94T","167172-94T")</f>
      </c>
      <c r="AJ679" s="30">
        <v>44249</v>
      </c>
      <c r="AK679" s="30">
        <v>44488</v>
      </c>
      <c r="AL679" s="29">
        <v>18.71</v>
      </c>
      <c r="AM679" s="25" t="s">
        <v>185</v>
      </c>
      <c r="AN679" s="29">
        <v>30</v>
      </c>
      <c r="AO679" s="29">
        <v>48.71</v>
      </c>
      <c r="AP679" s="25" t="s">
        <v>185</v>
      </c>
      <c r="AQ679" s="32" t="s">
        <v>166</v>
      </c>
      <c r="AR679" s="32" t="s">
        <v>166</v>
      </c>
      <c r="AS679" s="28">
        <v>48.14</v>
      </c>
      <c r="AT679" s="29">
        <v>18.71</v>
      </c>
      <c r="AU679" s="32" t="s">
        <v>186</v>
      </c>
      <c r="AV679" s="32" t="s">
        <v>166</v>
      </c>
      <c r="AW679" s="29">
        <v>4.08</v>
      </c>
      <c r="AX679" s="32" t="s">
        <v>248</v>
      </c>
      <c r="AY679" s="25" t="s">
        <v>187</v>
      </c>
      <c r="AZ679" s="25" t="s">
        <v>248</v>
      </c>
      <c r="BA679" s="25" t="s">
        <v>166</v>
      </c>
      <c r="BB679" s="32" t="s">
        <v>166</v>
      </c>
      <c r="BC679" s="25" t="s">
        <v>179</v>
      </c>
      <c r="BD679" s="25" t="s">
        <v>13020</v>
      </c>
      <c r="BE679" s="25" t="s">
        <v>189</v>
      </c>
      <c r="BF679" s="29">
        <v>18.71</v>
      </c>
      <c r="BG679" s="25" t="s">
        <v>190</v>
      </c>
      <c r="BH679" s="25" t="s">
        <v>166</v>
      </c>
      <c r="BI679" s="25" t="s">
        <v>166</v>
      </c>
      <c r="BJ679" s="29" t="s">
        <v>166</v>
      </c>
      <c r="BK679" s="29" t="s">
        <v>166</v>
      </c>
      <c r="BL679" s="25" t="s">
        <v>191</v>
      </c>
      <c r="BM679" s="25" t="s">
        <v>178</v>
      </c>
      <c r="BN679" s="25" t="s">
        <v>177</v>
      </c>
      <c r="BO679" s="33" t="s">
        <v>166</v>
      </c>
      <c r="BP679" s="25" t="s">
        <v>13021</v>
      </c>
      <c r="BQ679" s="32">
        <v>10</v>
      </c>
      <c r="BR679" s="25" t="s">
        <v>166</v>
      </c>
      <c r="BS679" s="32" t="s">
        <v>166</v>
      </c>
      <c r="BT679" s="25" t="s">
        <v>13022</v>
      </c>
      <c r="BU679" s="25" t="s">
        <v>166</v>
      </c>
      <c r="BV679" s="25" t="s">
        <v>13023</v>
      </c>
      <c r="BW679" s="25" t="s">
        <v>166</v>
      </c>
      <c r="BX679" s="25" t="s">
        <v>166</v>
      </c>
      <c r="BY679" s="25" t="s">
        <v>166</v>
      </c>
      <c r="BZ679" s="25" t="s">
        <v>13024</v>
      </c>
      <c r="CA679" s="25" t="s">
        <v>872</v>
      </c>
      <c r="CB679" s="25" t="s">
        <v>166</v>
      </c>
      <c r="CC679" s="25" t="s">
        <v>13025</v>
      </c>
      <c r="CD679" s="25" t="s">
        <v>166</v>
      </c>
      <c r="CE679" s="29" t="s">
        <v>166</v>
      </c>
      <c r="CF679" s="27" t="s">
        <v>166</v>
      </c>
      <c r="CG679" s="28" t="s">
        <v>166</v>
      </c>
      <c r="CH679" s="27" t="s">
        <v>166</v>
      </c>
      <c r="CI679" s="27" t="s">
        <v>166</v>
      </c>
      <c r="CJ679" s="27" t="s">
        <v>166</v>
      </c>
      <c r="CK679" s="27" t="s">
        <v>166</v>
      </c>
      <c r="CL679" s="27" t="s">
        <v>166</v>
      </c>
      <c r="CM679" s="31" t="s">
        <v>166</v>
      </c>
      <c r="CN679" s="27" t="s">
        <v>166</v>
      </c>
      <c r="CO679" s="27" t="s">
        <v>166</v>
      </c>
      <c r="CP679" s="27" t="s">
        <v>166</v>
      </c>
      <c r="CQ679" s="27" t="s">
        <v>166</v>
      </c>
      <c r="CR679" s="27" t="s">
        <v>166</v>
      </c>
      <c r="CS679" s="27" t="s">
        <v>166</v>
      </c>
      <c r="CT679" s="27" t="s">
        <v>166</v>
      </c>
      <c r="CU679" s="27" t="s">
        <v>166</v>
      </c>
      <c r="CV679" s="27" t="s">
        <v>166</v>
      </c>
      <c r="CW679" s="27" t="s">
        <v>166</v>
      </c>
      <c r="CX679" s="27" t="s">
        <v>166</v>
      </c>
      <c r="CY679" s="27" t="s">
        <v>166</v>
      </c>
      <c r="CZ679" s="27" t="s">
        <v>166</v>
      </c>
      <c r="DA679" s="27" t="s">
        <v>166</v>
      </c>
      <c r="DB679" s="27" t="s">
        <v>166</v>
      </c>
      <c r="DC679" s="27" t="s">
        <v>166</v>
      </c>
      <c r="DD679" s="27" t="s">
        <v>166</v>
      </c>
      <c r="DE679" s="28" t="s">
        <v>166</v>
      </c>
      <c r="DF679" s="33">
        <v>51</v>
      </c>
      <c r="DG679" s="25" t="s">
        <v>309</v>
      </c>
      <c r="DH679" s="25" t="s">
        <v>193</v>
      </c>
      <c r="DI679" s="25" t="s">
        <v>194</v>
      </c>
      <c r="DJ679" s="25" t="s">
        <v>310</v>
      </c>
      <c r="DK679" s="25" t="s">
        <v>310</v>
      </c>
      <c r="DL679" s="32" t="s">
        <v>1848</v>
      </c>
      <c r="DM679" s="25" t="s">
        <v>198</v>
      </c>
      <c r="DN679" s="24" t="s">
        <v>13026</v>
      </c>
      <c r="DO679" s="31">
        <v>2019</v>
      </c>
      <c r="DP679" s="25" t="s">
        <v>166</v>
      </c>
      <c r="DQ679" s="25" t="s">
        <v>166</v>
      </c>
      <c r="DR679" s="29" t="s">
        <v>166</v>
      </c>
      <c r="DS679" s="27" t="s">
        <v>166</v>
      </c>
      <c r="DT679" s="30" t="s">
        <v>166</v>
      </c>
      <c r="DU679" s="25" t="s">
        <v>166</v>
      </c>
      <c r="DV679" s="29" t="s">
        <v>166</v>
      </c>
      <c r="DW679" s="29" t="s">
        <v>166</v>
      </c>
      <c r="DX679" s="27" t="s">
        <v>166</v>
      </c>
      <c r="DY679" s="27" t="s">
        <v>166</v>
      </c>
      <c r="DZ679" s="28" t="s">
        <v>166</v>
      </c>
      <c r="EA679" s="27" t="s">
        <v>166</v>
      </c>
      <c r="EB679" s="27" t="s">
        <v>166</v>
      </c>
      <c r="EC679" s="27" t="s">
        <v>166</v>
      </c>
      <c r="ED679" s="28" t="s">
        <v>166</v>
      </c>
      <c r="EE679" s="28" t="s">
        <v>166</v>
      </c>
      <c r="EF679" s="28" t="s">
        <v>166</v>
      </c>
      <c r="EG679" s="28" t="s">
        <v>166</v>
      </c>
      <c r="EH679" s="27" t="s">
        <v>166</v>
      </c>
      <c r="EI679" s="27" t="s">
        <v>166</v>
      </c>
      <c r="EJ679" s="27" t="s">
        <v>166</v>
      </c>
      <c r="EK679" s="27" t="s">
        <v>166</v>
      </c>
      <c r="EL679" s="27" t="s">
        <v>166</v>
      </c>
      <c r="EM679" s="27" t="s">
        <v>166</v>
      </c>
      <c r="EN679" s="27" t="s">
        <v>166</v>
      </c>
      <c r="EO679" s="27" t="s">
        <v>166</v>
      </c>
      <c r="EP679" s="27" t="s">
        <v>166</v>
      </c>
      <c r="EQ679" s="27" t="s">
        <v>166</v>
      </c>
      <c r="ER679" s="27" t="s">
        <v>166</v>
      </c>
      <c r="ES679" s="27" t="s">
        <v>166</v>
      </c>
      <c r="ET679" s="25" t="s">
        <v>166</v>
      </c>
      <c r="EU679" s="27" t="s">
        <v>166</v>
      </c>
      <c r="EV679" s="27" t="s">
        <v>166</v>
      </c>
      <c r="EW679" s="27" t="s">
        <v>166</v>
      </c>
      <c r="EX679" s="25" t="s">
        <v>190</v>
      </c>
      <c r="EY679" s="25" t="s">
        <v>166</v>
      </c>
      <c r="EZ679" s="27" t="s">
        <v>166</v>
      </c>
      <c r="FA679" s="26" t="s">
        <v>166</v>
      </c>
      <c r="FB679" s="26" t="s">
        <v>166</v>
      </c>
      <c r="FC679" s="26" t="s">
        <v>166</v>
      </c>
      <c r="FD679" s="26" t="s">
        <v>166</v>
      </c>
      <c r="FE679" s="26" t="s">
        <v>166</v>
      </c>
      <c r="FF679" s="26" t="s">
        <v>166</v>
      </c>
      <c r="FG679" s="25" t="s">
        <v>166</v>
      </c>
      <c r="FH679" s="4">
        <f>HYPERLINK("https://my.pitchbook.com?c=167172-94T","View Company Online")</f>
      </c>
    </row>
    <row r="680">
      <c r="A680" s="14" t="s">
        <v>13027</v>
      </c>
      <c r="B680" s="14" t="s">
        <v>13028</v>
      </c>
      <c r="C680" s="14" t="s">
        <v>13029</v>
      </c>
      <c r="D680" s="14" t="s">
        <v>166</v>
      </c>
      <c r="E680" s="23" t="s">
        <v>13030</v>
      </c>
      <c r="F680" s="21">
        <v>12</v>
      </c>
      <c r="G680" s="14" t="s">
        <v>13031</v>
      </c>
      <c r="H680" s="14" t="s">
        <v>166</v>
      </c>
      <c r="I680" s="14" t="s">
        <v>13032</v>
      </c>
      <c r="J680" s="14" t="s">
        <v>13033</v>
      </c>
      <c r="K680" s="14" t="s">
        <v>207</v>
      </c>
      <c r="L680" s="14" t="s">
        <v>208</v>
      </c>
      <c r="M680" s="14" t="s">
        <v>209</v>
      </c>
      <c r="N680" s="14" t="s">
        <v>2471</v>
      </c>
      <c r="O680" s="14" t="s">
        <v>665</v>
      </c>
      <c r="P680" s="14" t="s">
        <v>13034</v>
      </c>
      <c r="Q680" s="14" t="s">
        <v>166</v>
      </c>
      <c r="R680" s="14" t="s">
        <v>177</v>
      </c>
      <c r="S680" s="14" t="s">
        <v>178</v>
      </c>
      <c r="T680" s="14" t="s">
        <v>179</v>
      </c>
      <c r="U680" s="14" t="s">
        <v>13035</v>
      </c>
      <c r="V680" s="14" t="s">
        <v>13036</v>
      </c>
      <c r="W680" s="21" t="s">
        <v>166</v>
      </c>
      <c r="X680" s="14" t="s">
        <v>166</v>
      </c>
      <c r="Y680" s="14" t="s">
        <v>13037</v>
      </c>
      <c r="Z680" s="14" t="s">
        <v>13038</v>
      </c>
      <c r="AA680" s="14" t="s">
        <v>242</v>
      </c>
      <c r="AB680" s="14" t="s">
        <v>243</v>
      </c>
      <c r="AC680" s="14" t="s">
        <v>244</v>
      </c>
      <c r="AD680" s="14" t="s">
        <v>243</v>
      </c>
      <c r="AE680" s="14" t="s">
        <v>243</v>
      </c>
      <c r="AF680" s="14" t="s">
        <v>166</v>
      </c>
      <c r="AG680" s="14" t="s">
        <v>807</v>
      </c>
      <c r="AH680" s="21">
        <v>1</v>
      </c>
      <c r="AI680" s="3">
        <f>HYPERLINK("https://my.pitchbook.com/?d=190893-88T","190893-88T")</f>
      </c>
      <c r="AJ680" s="19">
        <v>44629</v>
      </c>
      <c r="AK680" s="19">
        <v>44706</v>
      </c>
      <c r="AL680" s="18">
        <v>7</v>
      </c>
      <c r="AM680" s="14" t="s">
        <v>185</v>
      </c>
      <c r="AN680" s="18">
        <v>10</v>
      </c>
      <c r="AO680" s="18">
        <v>17</v>
      </c>
      <c r="AP680" s="14" t="s">
        <v>185</v>
      </c>
      <c r="AQ680" s="21" t="s">
        <v>166</v>
      </c>
      <c r="AR680" s="21" t="s">
        <v>166</v>
      </c>
      <c r="AS680" s="17">
        <v>41.18</v>
      </c>
      <c r="AT680" s="18">
        <v>7</v>
      </c>
      <c r="AU680" s="21" t="s">
        <v>186</v>
      </c>
      <c r="AV680" s="21" t="s">
        <v>166</v>
      </c>
      <c r="AW680" s="18">
        <v>1.82</v>
      </c>
      <c r="AX680" s="21" t="s">
        <v>166</v>
      </c>
      <c r="AY680" s="14" t="s">
        <v>217</v>
      </c>
      <c r="AZ680" s="14" t="s">
        <v>217</v>
      </c>
      <c r="BA680" s="14" t="s">
        <v>166</v>
      </c>
      <c r="BB680" s="21" t="s">
        <v>166</v>
      </c>
      <c r="BC680" s="14" t="s">
        <v>179</v>
      </c>
      <c r="BD680" s="14" t="s">
        <v>13039</v>
      </c>
      <c r="BE680" s="14" t="s">
        <v>189</v>
      </c>
      <c r="BF680" s="18">
        <v>7</v>
      </c>
      <c r="BG680" s="14" t="s">
        <v>190</v>
      </c>
      <c r="BH680" s="14" t="s">
        <v>166</v>
      </c>
      <c r="BI680" s="14" t="s">
        <v>166</v>
      </c>
      <c r="BJ680" s="18" t="s">
        <v>166</v>
      </c>
      <c r="BK680" s="18" t="s">
        <v>166</v>
      </c>
      <c r="BL680" s="14" t="s">
        <v>191</v>
      </c>
      <c r="BM680" s="14" t="s">
        <v>178</v>
      </c>
      <c r="BN680" s="14" t="s">
        <v>177</v>
      </c>
      <c r="BO680" s="22" t="s">
        <v>166</v>
      </c>
      <c r="BP680" s="14" t="s">
        <v>13040</v>
      </c>
      <c r="BQ680" s="21">
        <v>12</v>
      </c>
      <c r="BR680" s="14" t="s">
        <v>166</v>
      </c>
      <c r="BS680" s="21" t="s">
        <v>166</v>
      </c>
      <c r="BT680" s="14" t="s">
        <v>13041</v>
      </c>
      <c r="BU680" s="14" t="s">
        <v>166</v>
      </c>
      <c r="BV680" s="14" t="s">
        <v>13042</v>
      </c>
      <c r="BW680" s="14" t="s">
        <v>166</v>
      </c>
      <c r="BX680" s="14" t="s">
        <v>166</v>
      </c>
      <c r="BY680" s="14" t="s">
        <v>166</v>
      </c>
      <c r="BZ680" s="14" t="s">
        <v>13043</v>
      </c>
      <c r="CA680" s="14" t="s">
        <v>13044</v>
      </c>
      <c r="CB680" s="14" t="s">
        <v>166</v>
      </c>
      <c r="CC680" s="14" t="s">
        <v>13045</v>
      </c>
      <c r="CD680" s="14" t="s">
        <v>166</v>
      </c>
      <c r="CE680" s="18" t="s">
        <v>166</v>
      </c>
      <c r="CF680" s="16" t="s">
        <v>166</v>
      </c>
      <c r="CG680" s="17" t="s">
        <v>166</v>
      </c>
      <c r="CH680" s="16" t="s">
        <v>166</v>
      </c>
      <c r="CI680" s="16" t="s">
        <v>166</v>
      </c>
      <c r="CJ680" s="16" t="s">
        <v>166</v>
      </c>
      <c r="CK680" s="16" t="s">
        <v>166</v>
      </c>
      <c r="CL680" s="16" t="s">
        <v>166</v>
      </c>
      <c r="CM680" s="20" t="s">
        <v>166</v>
      </c>
      <c r="CN680" s="16" t="s">
        <v>166</v>
      </c>
      <c r="CO680" s="16" t="s">
        <v>166</v>
      </c>
      <c r="CP680" s="16" t="s">
        <v>166</v>
      </c>
      <c r="CQ680" s="16" t="s">
        <v>166</v>
      </c>
      <c r="CR680" s="16" t="s">
        <v>166</v>
      </c>
      <c r="CS680" s="16" t="s">
        <v>166</v>
      </c>
      <c r="CT680" s="16" t="s">
        <v>166</v>
      </c>
      <c r="CU680" s="16" t="s">
        <v>166</v>
      </c>
      <c r="CV680" s="16" t="s">
        <v>166</v>
      </c>
      <c r="CW680" s="16" t="s">
        <v>166</v>
      </c>
      <c r="CX680" s="16" t="s">
        <v>166</v>
      </c>
      <c r="CY680" s="16" t="s">
        <v>166</v>
      </c>
      <c r="CZ680" s="16" t="s">
        <v>166</v>
      </c>
      <c r="DA680" s="16" t="s">
        <v>166</v>
      </c>
      <c r="DB680" s="16" t="s">
        <v>166</v>
      </c>
      <c r="DC680" s="16" t="s">
        <v>166</v>
      </c>
      <c r="DD680" s="16" t="s">
        <v>166</v>
      </c>
      <c r="DE680" s="17" t="s">
        <v>166</v>
      </c>
      <c r="DF680" s="22">
        <v>8</v>
      </c>
      <c r="DG680" s="14" t="s">
        <v>309</v>
      </c>
      <c r="DH680" s="14" t="s">
        <v>193</v>
      </c>
      <c r="DI680" s="14" t="s">
        <v>194</v>
      </c>
      <c r="DJ680" s="14" t="s">
        <v>310</v>
      </c>
      <c r="DK680" s="14" t="s">
        <v>310</v>
      </c>
      <c r="DL680" s="21" t="s">
        <v>13046</v>
      </c>
      <c r="DM680" s="14" t="s">
        <v>198</v>
      </c>
      <c r="DN680" s="13" t="s">
        <v>13047</v>
      </c>
      <c r="DO680" s="20">
        <v>2021</v>
      </c>
      <c r="DP680" s="14" t="s">
        <v>166</v>
      </c>
      <c r="DQ680" s="14" t="s">
        <v>166</v>
      </c>
      <c r="DR680" s="18" t="s">
        <v>166</v>
      </c>
      <c r="DS680" s="16" t="s">
        <v>166</v>
      </c>
      <c r="DT680" s="19" t="s">
        <v>166</v>
      </c>
      <c r="DU680" s="14" t="s">
        <v>166</v>
      </c>
      <c r="DV680" s="18" t="s">
        <v>166</v>
      </c>
      <c r="DW680" s="18" t="s">
        <v>166</v>
      </c>
      <c r="DX680" s="16" t="s">
        <v>166</v>
      </c>
      <c r="DY680" s="16" t="s">
        <v>166</v>
      </c>
      <c r="DZ680" s="17" t="s">
        <v>166</v>
      </c>
      <c r="EA680" s="16" t="s">
        <v>166</v>
      </c>
      <c r="EB680" s="16" t="s">
        <v>166</v>
      </c>
      <c r="EC680" s="16" t="s">
        <v>166</v>
      </c>
      <c r="ED680" s="17" t="s">
        <v>166</v>
      </c>
      <c r="EE680" s="17" t="s">
        <v>166</v>
      </c>
      <c r="EF680" s="17" t="s">
        <v>166</v>
      </c>
      <c r="EG680" s="17" t="s">
        <v>166</v>
      </c>
      <c r="EH680" s="16" t="s">
        <v>166</v>
      </c>
      <c r="EI680" s="16" t="s">
        <v>166</v>
      </c>
      <c r="EJ680" s="16" t="s">
        <v>166</v>
      </c>
      <c r="EK680" s="16" t="s">
        <v>166</v>
      </c>
      <c r="EL680" s="16" t="s">
        <v>166</v>
      </c>
      <c r="EM680" s="16" t="s">
        <v>166</v>
      </c>
      <c r="EN680" s="16" t="s">
        <v>166</v>
      </c>
      <c r="EO680" s="16" t="s">
        <v>166</v>
      </c>
      <c r="EP680" s="16" t="s">
        <v>166</v>
      </c>
      <c r="EQ680" s="16" t="s">
        <v>166</v>
      </c>
      <c r="ER680" s="16" t="s">
        <v>166</v>
      </c>
      <c r="ES680" s="16" t="s">
        <v>166</v>
      </c>
      <c r="ET680" s="14" t="s">
        <v>166</v>
      </c>
      <c r="EU680" s="16" t="s">
        <v>166</v>
      </c>
      <c r="EV680" s="16" t="s">
        <v>166</v>
      </c>
      <c r="EW680" s="16" t="s">
        <v>166</v>
      </c>
      <c r="EX680" s="14" t="s">
        <v>190</v>
      </c>
      <c r="EY680" s="14" t="s">
        <v>166</v>
      </c>
      <c r="EZ680" s="16" t="s">
        <v>166</v>
      </c>
      <c r="FA680" s="15" t="s">
        <v>166</v>
      </c>
      <c r="FB680" s="15" t="s">
        <v>166</v>
      </c>
      <c r="FC680" s="15" t="s">
        <v>166</v>
      </c>
      <c r="FD680" s="15" t="s">
        <v>166</v>
      </c>
      <c r="FE680" s="15" t="s">
        <v>166</v>
      </c>
      <c r="FF680" s="15" t="s">
        <v>166</v>
      </c>
      <c r="FG680" s="14" t="s">
        <v>166</v>
      </c>
      <c r="FH680" s="3">
        <f>HYPERLINK("https://my.pitchbook.com?c=190893-88T","View Company Online")</f>
      </c>
    </row>
    <row r="681">
      <c r="A681" s="25" t="s">
        <v>13048</v>
      </c>
      <c r="B681" s="25" t="s">
        <v>13049</v>
      </c>
      <c r="C681" s="25" t="s">
        <v>13050</v>
      </c>
      <c r="D681" s="25" t="s">
        <v>166</v>
      </c>
      <c r="E681" s="34" t="s">
        <v>13051</v>
      </c>
      <c r="F681" s="32">
        <v>4</v>
      </c>
      <c r="G681" s="25" t="s">
        <v>13052</v>
      </c>
      <c r="H681" s="25" t="s">
        <v>166</v>
      </c>
      <c r="I681" s="25" t="s">
        <v>13053</v>
      </c>
      <c r="J681" s="25" t="s">
        <v>13054</v>
      </c>
      <c r="K681" s="25" t="s">
        <v>171</v>
      </c>
      <c r="L681" s="25" t="s">
        <v>172</v>
      </c>
      <c r="M681" s="25" t="s">
        <v>173</v>
      </c>
      <c r="N681" s="25" t="s">
        <v>2890</v>
      </c>
      <c r="O681" s="25" t="s">
        <v>211</v>
      </c>
      <c r="P681" s="25" t="s">
        <v>13055</v>
      </c>
      <c r="Q681" s="25" t="s">
        <v>166</v>
      </c>
      <c r="R681" s="25" t="s">
        <v>177</v>
      </c>
      <c r="S681" s="25" t="s">
        <v>178</v>
      </c>
      <c r="T681" s="25" t="s">
        <v>179</v>
      </c>
      <c r="U681" s="25" t="s">
        <v>13056</v>
      </c>
      <c r="V681" s="25" t="s">
        <v>13057</v>
      </c>
      <c r="W681" s="32" t="s">
        <v>13058</v>
      </c>
      <c r="X681" s="25" t="s">
        <v>13059</v>
      </c>
      <c r="Y681" s="25" t="s">
        <v>13060</v>
      </c>
      <c r="Z681" s="25" t="s">
        <v>13061</v>
      </c>
      <c r="AA681" s="25" t="s">
        <v>166</v>
      </c>
      <c r="AB681" s="25" t="s">
        <v>166</v>
      </c>
      <c r="AC681" s="25" t="s">
        <v>166</v>
      </c>
      <c r="AD681" s="25" t="s">
        <v>166</v>
      </c>
      <c r="AE681" s="25" t="s">
        <v>166</v>
      </c>
      <c r="AF681" s="25" t="s">
        <v>166</v>
      </c>
      <c r="AG681" s="25" t="s">
        <v>166</v>
      </c>
      <c r="AH681" s="32">
        <v>1</v>
      </c>
      <c r="AI681" s="4">
        <f>HYPERLINK("https://my.pitchbook.com/?d=170587-36T","170587-36T")</f>
      </c>
      <c r="AJ681" s="30" t="s">
        <v>166</v>
      </c>
      <c r="AK681" s="30">
        <v>44265</v>
      </c>
      <c r="AL681" s="29">
        <v>1.5</v>
      </c>
      <c r="AM681" s="25" t="s">
        <v>185</v>
      </c>
      <c r="AN681" s="29" t="s">
        <v>166</v>
      </c>
      <c r="AO681" s="29" t="s">
        <v>166</v>
      </c>
      <c r="AP681" s="25" t="s">
        <v>166</v>
      </c>
      <c r="AQ681" s="32" t="s">
        <v>166</v>
      </c>
      <c r="AR681" s="32" t="s">
        <v>166</v>
      </c>
      <c r="AS681" s="28" t="s">
        <v>166</v>
      </c>
      <c r="AT681" s="29">
        <v>1.5</v>
      </c>
      <c r="AU681" s="32" t="s">
        <v>186</v>
      </c>
      <c r="AV681" s="32" t="s">
        <v>166</v>
      </c>
      <c r="AW681" s="29" t="s">
        <v>166</v>
      </c>
      <c r="AX681" s="32" t="s">
        <v>166</v>
      </c>
      <c r="AY681" s="25" t="s">
        <v>217</v>
      </c>
      <c r="AZ681" s="25" t="s">
        <v>217</v>
      </c>
      <c r="BA681" s="25" t="s">
        <v>166</v>
      </c>
      <c r="BB681" s="32" t="s">
        <v>166</v>
      </c>
      <c r="BC681" s="25" t="s">
        <v>179</v>
      </c>
      <c r="BD681" s="25" t="s">
        <v>13054</v>
      </c>
      <c r="BE681" s="25" t="s">
        <v>189</v>
      </c>
      <c r="BF681" s="29">
        <v>1.5</v>
      </c>
      <c r="BG681" s="25" t="s">
        <v>190</v>
      </c>
      <c r="BH681" s="25" t="s">
        <v>166</v>
      </c>
      <c r="BI681" s="25" t="s">
        <v>166</v>
      </c>
      <c r="BJ681" s="29" t="s">
        <v>166</v>
      </c>
      <c r="BK681" s="29" t="s">
        <v>166</v>
      </c>
      <c r="BL681" s="25" t="s">
        <v>191</v>
      </c>
      <c r="BM681" s="25" t="s">
        <v>178</v>
      </c>
      <c r="BN681" s="25" t="s">
        <v>177</v>
      </c>
      <c r="BO681" s="33" t="s">
        <v>166</v>
      </c>
      <c r="BP681" s="25" t="s">
        <v>13062</v>
      </c>
      <c r="BQ681" s="32">
        <v>4</v>
      </c>
      <c r="BR681" s="25" t="s">
        <v>166</v>
      </c>
      <c r="BS681" s="32" t="s">
        <v>166</v>
      </c>
      <c r="BT681" s="25" t="s">
        <v>13063</v>
      </c>
      <c r="BU681" s="25" t="s">
        <v>166</v>
      </c>
      <c r="BV681" s="25" t="s">
        <v>5840</v>
      </c>
      <c r="BW681" s="25" t="s">
        <v>166</v>
      </c>
      <c r="BX681" s="25" t="s">
        <v>166</v>
      </c>
      <c r="BY681" s="25" t="s">
        <v>166</v>
      </c>
      <c r="BZ681" s="25" t="s">
        <v>166</v>
      </c>
      <c r="CA681" s="25" t="s">
        <v>166</v>
      </c>
      <c r="CB681" s="25" t="s">
        <v>166</v>
      </c>
      <c r="CC681" s="25" t="s">
        <v>166</v>
      </c>
      <c r="CD681" s="25" t="s">
        <v>166</v>
      </c>
      <c r="CE681" s="29" t="s">
        <v>166</v>
      </c>
      <c r="CF681" s="27" t="s">
        <v>166</v>
      </c>
      <c r="CG681" s="28" t="s">
        <v>166</v>
      </c>
      <c r="CH681" s="27" t="s">
        <v>166</v>
      </c>
      <c r="CI681" s="27" t="s">
        <v>166</v>
      </c>
      <c r="CJ681" s="27" t="s">
        <v>166</v>
      </c>
      <c r="CK681" s="27" t="s">
        <v>166</v>
      </c>
      <c r="CL681" s="27" t="s">
        <v>166</v>
      </c>
      <c r="CM681" s="31" t="s">
        <v>166</v>
      </c>
      <c r="CN681" s="27" t="s">
        <v>166</v>
      </c>
      <c r="CO681" s="27" t="s">
        <v>166</v>
      </c>
      <c r="CP681" s="27" t="s">
        <v>166</v>
      </c>
      <c r="CQ681" s="27" t="s">
        <v>166</v>
      </c>
      <c r="CR681" s="27" t="s">
        <v>166</v>
      </c>
      <c r="CS681" s="27" t="s">
        <v>166</v>
      </c>
      <c r="CT681" s="27" t="s">
        <v>166</v>
      </c>
      <c r="CU681" s="27" t="s">
        <v>166</v>
      </c>
      <c r="CV681" s="27" t="s">
        <v>166</v>
      </c>
      <c r="CW681" s="27" t="s">
        <v>166</v>
      </c>
      <c r="CX681" s="27" t="s">
        <v>166</v>
      </c>
      <c r="CY681" s="27" t="s">
        <v>166</v>
      </c>
      <c r="CZ681" s="27" t="s">
        <v>166</v>
      </c>
      <c r="DA681" s="27" t="s">
        <v>166</v>
      </c>
      <c r="DB681" s="27" t="s">
        <v>166</v>
      </c>
      <c r="DC681" s="27" t="s">
        <v>166</v>
      </c>
      <c r="DD681" s="27" t="s">
        <v>166</v>
      </c>
      <c r="DE681" s="28" t="s">
        <v>166</v>
      </c>
      <c r="DF681" s="33">
        <v>23</v>
      </c>
      <c r="DG681" s="25" t="s">
        <v>309</v>
      </c>
      <c r="DH681" s="25" t="s">
        <v>193</v>
      </c>
      <c r="DI681" s="25" t="s">
        <v>194</v>
      </c>
      <c r="DJ681" s="25" t="s">
        <v>310</v>
      </c>
      <c r="DK681" s="25" t="s">
        <v>310</v>
      </c>
      <c r="DL681" s="32" t="s">
        <v>1848</v>
      </c>
      <c r="DM681" s="25" t="s">
        <v>198</v>
      </c>
      <c r="DN681" s="24" t="s">
        <v>13064</v>
      </c>
      <c r="DO681" s="31">
        <v>2020</v>
      </c>
      <c r="DP681" s="25" t="s">
        <v>166</v>
      </c>
      <c r="DQ681" s="25" t="s">
        <v>166</v>
      </c>
      <c r="DR681" s="29" t="s">
        <v>166</v>
      </c>
      <c r="DS681" s="27" t="s">
        <v>166</v>
      </c>
      <c r="DT681" s="30" t="s">
        <v>166</v>
      </c>
      <c r="DU681" s="25" t="s">
        <v>166</v>
      </c>
      <c r="DV681" s="29" t="s">
        <v>166</v>
      </c>
      <c r="DW681" s="29" t="s">
        <v>166</v>
      </c>
      <c r="DX681" s="27" t="s">
        <v>166</v>
      </c>
      <c r="DY681" s="27" t="s">
        <v>166</v>
      </c>
      <c r="DZ681" s="28" t="s">
        <v>166</v>
      </c>
      <c r="EA681" s="27" t="s">
        <v>166</v>
      </c>
      <c r="EB681" s="27" t="s">
        <v>166</v>
      </c>
      <c r="EC681" s="27" t="s">
        <v>166</v>
      </c>
      <c r="ED681" s="28" t="s">
        <v>166</v>
      </c>
      <c r="EE681" s="28" t="s">
        <v>166</v>
      </c>
      <c r="EF681" s="28" t="s">
        <v>166</v>
      </c>
      <c r="EG681" s="28" t="s">
        <v>166</v>
      </c>
      <c r="EH681" s="27" t="s">
        <v>166</v>
      </c>
      <c r="EI681" s="27" t="s">
        <v>166</v>
      </c>
      <c r="EJ681" s="27" t="s">
        <v>166</v>
      </c>
      <c r="EK681" s="27" t="s">
        <v>166</v>
      </c>
      <c r="EL681" s="27" t="s">
        <v>166</v>
      </c>
      <c r="EM681" s="27" t="s">
        <v>166</v>
      </c>
      <c r="EN681" s="27" t="s">
        <v>166</v>
      </c>
      <c r="EO681" s="27" t="s">
        <v>166</v>
      </c>
      <c r="EP681" s="27" t="s">
        <v>166</v>
      </c>
      <c r="EQ681" s="27" t="s">
        <v>166</v>
      </c>
      <c r="ER681" s="27" t="s">
        <v>166</v>
      </c>
      <c r="ES681" s="27" t="s">
        <v>166</v>
      </c>
      <c r="ET681" s="25" t="s">
        <v>166</v>
      </c>
      <c r="EU681" s="27" t="s">
        <v>166</v>
      </c>
      <c r="EV681" s="27" t="s">
        <v>166</v>
      </c>
      <c r="EW681" s="27" t="s">
        <v>166</v>
      </c>
      <c r="EX681" s="25" t="s">
        <v>190</v>
      </c>
      <c r="EY681" s="25" t="s">
        <v>166</v>
      </c>
      <c r="EZ681" s="27" t="s">
        <v>166</v>
      </c>
      <c r="FA681" s="26" t="s">
        <v>166</v>
      </c>
      <c r="FB681" s="26" t="s">
        <v>166</v>
      </c>
      <c r="FC681" s="26" t="s">
        <v>166</v>
      </c>
      <c r="FD681" s="26" t="s">
        <v>166</v>
      </c>
      <c r="FE681" s="26" t="s">
        <v>166</v>
      </c>
      <c r="FF681" s="26" t="s">
        <v>166</v>
      </c>
      <c r="FG681" s="25" t="s">
        <v>166</v>
      </c>
      <c r="FH681" s="4">
        <f>HYPERLINK("https://my.pitchbook.com?c=170587-36T","View Company Online")</f>
      </c>
    </row>
    <row r="682">
      <c r="A682" s="14" t="s">
        <v>13065</v>
      </c>
      <c r="B682" s="14" t="s">
        <v>13066</v>
      </c>
      <c r="C682" s="14" t="s">
        <v>13067</v>
      </c>
      <c r="D682" s="14" t="s">
        <v>166</v>
      </c>
      <c r="E682" s="23" t="s">
        <v>13068</v>
      </c>
      <c r="F682" s="21">
        <v>6</v>
      </c>
      <c r="G682" s="14" t="s">
        <v>13069</v>
      </c>
      <c r="H682" s="14" t="s">
        <v>166</v>
      </c>
      <c r="I682" s="14" t="s">
        <v>13070</v>
      </c>
      <c r="J682" s="14" t="s">
        <v>13071</v>
      </c>
      <c r="K682" s="14" t="s">
        <v>207</v>
      </c>
      <c r="L682" s="14" t="s">
        <v>208</v>
      </c>
      <c r="M682" s="14" t="s">
        <v>621</v>
      </c>
      <c r="N682" s="14" t="s">
        <v>13072</v>
      </c>
      <c r="O682" s="14" t="s">
        <v>1842</v>
      </c>
      <c r="P682" s="14" t="s">
        <v>13073</v>
      </c>
      <c r="Q682" s="14" t="s">
        <v>166</v>
      </c>
      <c r="R682" s="14" t="s">
        <v>177</v>
      </c>
      <c r="S682" s="14" t="s">
        <v>178</v>
      </c>
      <c r="T682" s="14" t="s">
        <v>179</v>
      </c>
      <c r="U682" s="14" t="s">
        <v>13074</v>
      </c>
      <c r="V682" s="14" t="s">
        <v>13075</v>
      </c>
      <c r="W682" s="21" t="s">
        <v>13076</v>
      </c>
      <c r="X682" s="14" t="s">
        <v>13077</v>
      </c>
      <c r="Y682" s="14" t="s">
        <v>13078</v>
      </c>
      <c r="Z682" s="14" t="s">
        <v>166</v>
      </c>
      <c r="AA682" s="14" t="s">
        <v>166</v>
      </c>
      <c r="AB682" s="14" t="s">
        <v>166</v>
      </c>
      <c r="AC682" s="14" t="s">
        <v>166</v>
      </c>
      <c r="AD682" s="14" t="s">
        <v>166</v>
      </c>
      <c r="AE682" s="14" t="s">
        <v>166</v>
      </c>
      <c r="AF682" s="14" t="s">
        <v>166</v>
      </c>
      <c r="AG682" s="14" t="s">
        <v>166</v>
      </c>
      <c r="AH682" s="21">
        <v>1</v>
      </c>
      <c r="AI682" s="3">
        <f>HYPERLINK("https://my.pitchbook.com/?d=244855-63T","244855-63T")</f>
      </c>
      <c r="AJ682" s="19">
        <v>45236</v>
      </c>
      <c r="AK682" s="19">
        <v>45267</v>
      </c>
      <c r="AL682" s="18">
        <v>1</v>
      </c>
      <c r="AM682" s="14" t="s">
        <v>185</v>
      </c>
      <c r="AN682" s="18" t="s">
        <v>166</v>
      </c>
      <c r="AO682" s="18">
        <v>4.5</v>
      </c>
      <c r="AP682" s="14" t="s">
        <v>185</v>
      </c>
      <c r="AQ682" s="21" t="s">
        <v>166</v>
      </c>
      <c r="AR682" s="21" t="s">
        <v>166</v>
      </c>
      <c r="AS682" s="17" t="s">
        <v>166</v>
      </c>
      <c r="AT682" s="18">
        <v>1</v>
      </c>
      <c r="AU682" s="21" t="s">
        <v>186</v>
      </c>
      <c r="AV682" s="21" t="s">
        <v>166</v>
      </c>
      <c r="AW682" s="18" t="s">
        <v>166</v>
      </c>
      <c r="AX682" s="21" t="s">
        <v>166</v>
      </c>
      <c r="AY682" s="14" t="s">
        <v>217</v>
      </c>
      <c r="AZ682" s="14" t="s">
        <v>217</v>
      </c>
      <c r="BA682" s="14" t="s">
        <v>166</v>
      </c>
      <c r="BB682" s="21" t="s">
        <v>166</v>
      </c>
      <c r="BC682" s="14" t="s">
        <v>179</v>
      </c>
      <c r="BD682" s="14" t="s">
        <v>13071</v>
      </c>
      <c r="BE682" s="14" t="s">
        <v>189</v>
      </c>
      <c r="BF682" s="18" t="s">
        <v>166</v>
      </c>
      <c r="BG682" s="14" t="s">
        <v>190</v>
      </c>
      <c r="BH682" s="14" t="s">
        <v>166</v>
      </c>
      <c r="BI682" s="14" t="s">
        <v>166</v>
      </c>
      <c r="BJ682" s="18">
        <v>1</v>
      </c>
      <c r="BK682" s="18" t="s">
        <v>166</v>
      </c>
      <c r="BL682" s="14" t="s">
        <v>191</v>
      </c>
      <c r="BM682" s="14" t="s">
        <v>178</v>
      </c>
      <c r="BN682" s="14" t="s">
        <v>177</v>
      </c>
      <c r="BO682" s="22" t="s">
        <v>166</v>
      </c>
      <c r="BP682" s="14" t="s">
        <v>13079</v>
      </c>
      <c r="BQ682" s="21">
        <v>6</v>
      </c>
      <c r="BR682" s="14" t="s">
        <v>166</v>
      </c>
      <c r="BS682" s="21" t="s">
        <v>166</v>
      </c>
      <c r="BT682" s="14" t="s">
        <v>13080</v>
      </c>
      <c r="BU682" s="14" t="s">
        <v>166</v>
      </c>
      <c r="BV682" s="14" t="s">
        <v>13081</v>
      </c>
      <c r="BW682" s="14" t="s">
        <v>166</v>
      </c>
      <c r="BX682" s="14" t="s">
        <v>166</v>
      </c>
      <c r="BY682" s="14" t="s">
        <v>166</v>
      </c>
      <c r="BZ682" s="14" t="s">
        <v>166</v>
      </c>
      <c r="CA682" s="14" t="s">
        <v>166</v>
      </c>
      <c r="CB682" s="14" t="s">
        <v>166</v>
      </c>
      <c r="CC682" s="14" t="s">
        <v>166</v>
      </c>
      <c r="CD682" s="14" t="s">
        <v>166</v>
      </c>
      <c r="CE682" s="18" t="s">
        <v>166</v>
      </c>
      <c r="CF682" s="16" t="s">
        <v>166</v>
      </c>
      <c r="CG682" s="17" t="s">
        <v>166</v>
      </c>
      <c r="CH682" s="16" t="s">
        <v>166</v>
      </c>
      <c r="CI682" s="16" t="s">
        <v>166</v>
      </c>
      <c r="CJ682" s="16" t="s">
        <v>166</v>
      </c>
      <c r="CK682" s="16" t="s">
        <v>166</v>
      </c>
      <c r="CL682" s="16" t="s">
        <v>166</v>
      </c>
      <c r="CM682" s="20" t="s">
        <v>166</v>
      </c>
      <c r="CN682" s="16" t="s">
        <v>166</v>
      </c>
      <c r="CO682" s="16" t="s">
        <v>166</v>
      </c>
      <c r="CP682" s="16" t="s">
        <v>166</v>
      </c>
      <c r="CQ682" s="16" t="s">
        <v>166</v>
      </c>
      <c r="CR682" s="16" t="s">
        <v>166</v>
      </c>
      <c r="CS682" s="16" t="s">
        <v>166</v>
      </c>
      <c r="CT682" s="16" t="s">
        <v>166</v>
      </c>
      <c r="CU682" s="16" t="s">
        <v>166</v>
      </c>
      <c r="CV682" s="16" t="s">
        <v>166</v>
      </c>
      <c r="CW682" s="16" t="s">
        <v>166</v>
      </c>
      <c r="CX682" s="16" t="s">
        <v>166</v>
      </c>
      <c r="CY682" s="16" t="s">
        <v>166</v>
      </c>
      <c r="CZ682" s="16" t="s">
        <v>166</v>
      </c>
      <c r="DA682" s="16" t="s">
        <v>166</v>
      </c>
      <c r="DB682" s="16" t="s">
        <v>166</v>
      </c>
      <c r="DC682" s="16" t="s">
        <v>166</v>
      </c>
      <c r="DD682" s="16" t="s">
        <v>166</v>
      </c>
      <c r="DE682" s="17" t="s">
        <v>166</v>
      </c>
      <c r="DF682" s="22">
        <v>10</v>
      </c>
      <c r="DG682" s="14" t="s">
        <v>8470</v>
      </c>
      <c r="DH682" s="14" t="s">
        <v>193</v>
      </c>
      <c r="DI682" s="14" t="s">
        <v>194</v>
      </c>
      <c r="DJ682" s="14" t="s">
        <v>8471</v>
      </c>
      <c r="DK682" s="14" t="s">
        <v>1888</v>
      </c>
      <c r="DL682" s="21" t="s">
        <v>8472</v>
      </c>
      <c r="DM682" s="14" t="s">
        <v>198</v>
      </c>
      <c r="DN682" s="13" t="s">
        <v>13082</v>
      </c>
      <c r="DO682" s="20">
        <v>2020</v>
      </c>
      <c r="DP682" s="14" t="s">
        <v>166</v>
      </c>
      <c r="DQ682" s="14" t="s">
        <v>13083</v>
      </c>
      <c r="DR682" s="18">
        <v>1</v>
      </c>
      <c r="DS682" s="16" t="s">
        <v>166</v>
      </c>
      <c r="DT682" s="19" t="s">
        <v>166</v>
      </c>
      <c r="DU682" s="14" t="s">
        <v>166</v>
      </c>
      <c r="DV682" s="18" t="s">
        <v>166</v>
      </c>
      <c r="DW682" s="18" t="s">
        <v>166</v>
      </c>
      <c r="DX682" s="16" t="s">
        <v>166</v>
      </c>
      <c r="DY682" s="16" t="s">
        <v>166</v>
      </c>
      <c r="DZ682" s="17" t="s">
        <v>166</v>
      </c>
      <c r="EA682" s="16" t="s">
        <v>166</v>
      </c>
      <c r="EB682" s="16" t="s">
        <v>166</v>
      </c>
      <c r="EC682" s="16" t="s">
        <v>166</v>
      </c>
      <c r="ED682" s="17" t="s">
        <v>166</v>
      </c>
      <c r="EE682" s="17" t="s">
        <v>166</v>
      </c>
      <c r="EF682" s="17" t="s">
        <v>166</v>
      </c>
      <c r="EG682" s="17" t="s">
        <v>166</v>
      </c>
      <c r="EH682" s="16" t="s">
        <v>166</v>
      </c>
      <c r="EI682" s="16" t="s">
        <v>166</v>
      </c>
      <c r="EJ682" s="16" t="s">
        <v>166</v>
      </c>
      <c r="EK682" s="16" t="s">
        <v>166</v>
      </c>
      <c r="EL682" s="16" t="s">
        <v>166</v>
      </c>
      <c r="EM682" s="16" t="s">
        <v>166</v>
      </c>
      <c r="EN682" s="16" t="s">
        <v>166</v>
      </c>
      <c r="EO682" s="16" t="s">
        <v>166</v>
      </c>
      <c r="EP682" s="16" t="s">
        <v>166</v>
      </c>
      <c r="EQ682" s="16" t="s">
        <v>166</v>
      </c>
      <c r="ER682" s="16" t="s">
        <v>166</v>
      </c>
      <c r="ES682" s="16" t="s">
        <v>166</v>
      </c>
      <c r="ET682" s="14" t="s">
        <v>166</v>
      </c>
      <c r="EU682" s="16" t="s">
        <v>166</v>
      </c>
      <c r="EV682" s="16" t="s">
        <v>166</v>
      </c>
      <c r="EW682" s="16" t="s">
        <v>166</v>
      </c>
      <c r="EX682" s="14" t="s">
        <v>190</v>
      </c>
      <c r="EY682" s="14" t="s">
        <v>190</v>
      </c>
      <c r="EZ682" s="16" t="s">
        <v>166</v>
      </c>
      <c r="FA682" s="15" t="s">
        <v>166</v>
      </c>
      <c r="FB682" s="15" t="s">
        <v>166</v>
      </c>
      <c r="FC682" s="15" t="s">
        <v>166</v>
      </c>
      <c r="FD682" s="15" t="s">
        <v>166</v>
      </c>
      <c r="FE682" s="15" t="s">
        <v>166</v>
      </c>
      <c r="FF682" s="15" t="s">
        <v>166</v>
      </c>
      <c r="FG682" s="14" t="s">
        <v>166</v>
      </c>
      <c r="FH682" s="3">
        <f>HYPERLINK("https://my.pitchbook.com?c=244855-63T","View Company Online")</f>
      </c>
    </row>
    <row r="683">
      <c r="A683" s="25" t="s">
        <v>13084</v>
      </c>
      <c r="B683" s="25" t="s">
        <v>13085</v>
      </c>
      <c r="C683" s="25" t="s">
        <v>13086</v>
      </c>
      <c r="D683" s="25" t="s">
        <v>166</v>
      </c>
      <c r="E683" s="34" t="s">
        <v>13087</v>
      </c>
      <c r="F683" s="32">
        <v>9</v>
      </c>
      <c r="G683" s="25" t="s">
        <v>13088</v>
      </c>
      <c r="H683" s="25" t="s">
        <v>166</v>
      </c>
      <c r="I683" s="25" t="s">
        <v>13089</v>
      </c>
      <c r="J683" s="25" t="s">
        <v>13090</v>
      </c>
      <c r="K683" s="25" t="s">
        <v>207</v>
      </c>
      <c r="L683" s="25" t="s">
        <v>208</v>
      </c>
      <c r="M683" s="25" t="s">
        <v>209</v>
      </c>
      <c r="N683" s="25" t="s">
        <v>269</v>
      </c>
      <c r="O683" s="25" t="s">
        <v>1072</v>
      </c>
      <c r="P683" s="25" t="s">
        <v>13091</v>
      </c>
      <c r="Q683" s="25" t="s">
        <v>166</v>
      </c>
      <c r="R683" s="25" t="s">
        <v>177</v>
      </c>
      <c r="S683" s="25" t="s">
        <v>178</v>
      </c>
      <c r="T683" s="25" t="s">
        <v>179</v>
      </c>
      <c r="U683" s="25" t="s">
        <v>13092</v>
      </c>
      <c r="V683" s="25" t="s">
        <v>13093</v>
      </c>
      <c r="W683" s="32" t="s">
        <v>13094</v>
      </c>
      <c r="X683" s="25" t="s">
        <v>13095</v>
      </c>
      <c r="Y683" s="25" t="s">
        <v>13096</v>
      </c>
      <c r="Z683" s="25" t="s">
        <v>13097</v>
      </c>
      <c r="AA683" s="25" t="s">
        <v>242</v>
      </c>
      <c r="AB683" s="25" t="s">
        <v>243</v>
      </c>
      <c r="AC683" s="25" t="s">
        <v>244</v>
      </c>
      <c r="AD683" s="25" t="s">
        <v>243</v>
      </c>
      <c r="AE683" s="25" t="s">
        <v>243</v>
      </c>
      <c r="AF683" s="25" t="s">
        <v>166</v>
      </c>
      <c r="AG683" s="25" t="s">
        <v>246</v>
      </c>
      <c r="AH683" s="32">
        <v>4</v>
      </c>
      <c r="AI683" s="4">
        <f>HYPERLINK("https://my.pitchbook.com/?d=156337-39T","156337-39T")</f>
      </c>
      <c r="AJ683" s="30">
        <v>44077</v>
      </c>
      <c r="AK683" s="30">
        <v>44091</v>
      </c>
      <c r="AL683" s="29">
        <v>6.31</v>
      </c>
      <c r="AM683" s="25" t="s">
        <v>185</v>
      </c>
      <c r="AN683" s="29">
        <v>10</v>
      </c>
      <c r="AO683" s="29">
        <v>16.31</v>
      </c>
      <c r="AP683" s="25" t="s">
        <v>185</v>
      </c>
      <c r="AQ683" s="32" t="s">
        <v>166</v>
      </c>
      <c r="AR683" s="32" t="s">
        <v>166</v>
      </c>
      <c r="AS683" s="28">
        <v>46.7</v>
      </c>
      <c r="AT683" s="29">
        <v>8.31</v>
      </c>
      <c r="AU683" s="32" t="s">
        <v>186</v>
      </c>
      <c r="AV683" s="32" t="s">
        <v>166</v>
      </c>
      <c r="AW683" s="29">
        <v>0.44</v>
      </c>
      <c r="AX683" s="32" t="s">
        <v>248</v>
      </c>
      <c r="AY683" s="25" t="s">
        <v>249</v>
      </c>
      <c r="AZ683" s="25" t="s">
        <v>248</v>
      </c>
      <c r="BA683" s="25" t="s">
        <v>166</v>
      </c>
      <c r="BB683" s="32" t="s">
        <v>166</v>
      </c>
      <c r="BC683" s="25" t="s">
        <v>179</v>
      </c>
      <c r="BD683" s="25" t="s">
        <v>13098</v>
      </c>
      <c r="BE683" s="25" t="s">
        <v>189</v>
      </c>
      <c r="BF683" s="29">
        <v>6.31</v>
      </c>
      <c r="BG683" s="25" t="s">
        <v>190</v>
      </c>
      <c r="BH683" s="25" t="s">
        <v>166</v>
      </c>
      <c r="BI683" s="25" t="s">
        <v>166</v>
      </c>
      <c r="BJ683" s="29" t="s">
        <v>166</v>
      </c>
      <c r="BK683" s="29" t="s">
        <v>166</v>
      </c>
      <c r="BL683" s="25" t="s">
        <v>191</v>
      </c>
      <c r="BM683" s="25" t="s">
        <v>178</v>
      </c>
      <c r="BN683" s="25" t="s">
        <v>177</v>
      </c>
      <c r="BO683" s="33" t="s">
        <v>166</v>
      </c>
      <c r="BP683" s="25" t="s">
        <v>13099</v>
      </c>
      <c r="BQ683" s="32">
        <v>8</v>
      </c>
      <c r="BR683" s="25" t="s">
        <v>5941</v>
      </c>
      <c r="BS683" s="32">
        <v>1</v>
      </c>
      <c r="BT683" s="25" t="s">
        <v>166</v>
      </c>
      <c r="BU683" s="25" t="s">
        <v>166</v>
      </c>
      <c r="BV683" s="25" t="s">
        <v>13100</v>
      </c>
      <c r="BW683" s="25" t="s">
        <v>166</v>
      </c>
      <c r="BX683" s="25" t="s">
        <v>166</v>
      </c>
      <c r="BY683" s="25" t="s">
        <v>166</v>
      </c>
      <c r="BZ683" s="25" t="s">
        <v>13101</v>
      </c>
      <c r="CA683" s="25" t="s">
        <v>13101</v>
      </c>
      <c r="CB683" s="25" t="s">
        <v>166</v>
      </c>
      <c r="CC683" s="25" t="s">
        <v>166</v>
      </c>
      <c r="CD683" s="25" t="s">
        <v>166</v>
      </c>
      <c r="CE683" s="29" t="s">
        <v>166</v>
      </c>
      <c r="CF683" s="27" t="s">
        <v>166</v>
      </c>
      <c r="CG683" s="28" t="s">
        <v>166</v>
      </c>
      <c r="CH683" s="27" t="s">
        <v>166</v>
      </c>
      <c r="CI683" s="27" t="s">
        <v>166</v>
      </c>
      <c r="CJ683" s="27" t="s">
        <v>166</v>
      </c>
      <c r="CK683" s="27" t="s">
        <v>166</v>
      </c>
      <c r="CL683" s="27" t="s">
        <v>166</v>
      </c>
      <c r="CM683" s="31" t="s">
        <v>166</v>
      </c>
      <c r="CN683" s="27" t="s">
        <v>166</v>
      </c>
      <c r="CO683" s="27" t="s">
        <v>166</v>
      </c>
      <c r="CP683" s="27" t="s">
        <v>166</v>
      </c>
      <c r="CQ683" s="27" t="s">
        <v>166</v>
      </c>
      <c r="CR683" s="27" t="s">
        <v>166</v>
      </c>
      <c r="CS683" s="27" t="s">
        <v>166</v>
      </c>
      <c r="CT683" s="27" t="s">
        <v>166</v>
      </c>
      <c r="CU683" s="27" t="s">
        <v>166</v>
      </c>
      <c r="CV683" s="27" t="s">
        <v>166</v>
      </c>
      <c r="CW683" s="27" t="s">
        <v>166</v>
      </c>
      <c r="CX683" s="27" t="s">
        <v>166</v>
      </c>
      <c r="CY683" s="27" t="s">
        <v>166</v>
      </c>
      <c r="CZ683" s="27" t="s">
        <v>166</v>
      </c>
      <c r="DA683" s="27" t="s">
        <v>166</v>
      </c>
      <c r="DB683" s="27" t="s">
        <v>166</v>
      </c>
      <c r="DC683" s="27" t="s">
        <v>166</v>
      </c>
      <c r="DD683" s="27" t="s">
        <v>166</v>
      </c>
      <c r="DE683" s="28" t="s">
        <v>166</v>
      </c>
      <c r="DF683" s="33">
        <v>50</v>
      </c>
      <c r="DG683" s="25" t="s">
        <v>309</v>
      </c>
      <c r="DH683" s="25" t="s">
        <v>193</v>
      </c>
      <c r="DI683" s="25" t="s">
        <v>194</v>
      </c>
      <c r="DJ683" s="25" t="s">
        <v>310</v>
      </c>
      <c r="DK683" s="25" t="s">
        <v>310</v>
      </c>
      <c r="DL683" s="32" t="s">
        <v>2036</v>
      </c>
      <c r="DM683" s="25" t="s">
        <v>198</v>
      </c>
      <c r="DN683" s="24" t="s">
        <v>13102</v>
      </c>
      <c r="DO683" s="31">
        <v>2013</v>
      </c>
      <c r="DP683" s="25" t="s">
        <v>166</v>
      </c>
      <c r="DQ683" s="25" t="s">
        <v>166</v>
      </c>
      <c r="DR683" s="29" t="s">
        <v>166</v>
      </c>
      <c r="DS683" s="27" t="s">
        <v>166</v>
      </c>
      <c r="DT683" s="30" t="s">
        <v>166</v>
      </c>
      <c r="DU683" s="25" t="s">
        <v>166</v>
      </c>
      <c r="DV683" s="29" t="s">
        <v>166</v>
      </c>
      <c r="DW683" s="29" t="s">
        <v>166</v>
      </c>
      <c r="DX683" s="27" t="s">
        <v>166</v>
      </c>
      <c r="DY683" s="27" t="s">
        <v>166</v>
      </c>
      <c r="DZ683" s="28" t="s">
        <v>166</v>
      </c>
      <c r="EA683" s="27" t="s">
        <v>166</v>
      </c>
      <c r="EB683" s="27" t="s">
        <v>166</v>
      </c>
      <c r="EC683" s="27" t="s">
        <v>166</v>
      </c>
      <c r="ED683" s="28" t="s">
        <v>166</v>
      </c>
      <c r="EE683" s="28" t="s">
        <v>166</v>
      </c>
      <c r="EF683" s="28" t="s">
        <v>166</v>
      </c>
      <c r="EG683" s="28" t="s">
        <v>166</v>
      </c>
      <c r="EH683" s="27" t="s">
        <v>166</v>
      </c>
      <c r="EI683" s="27" t="s">
        <v>166</v>
      </c>
      <c r="EJ683" s="27" t="s">
        <v>166</v>
      </c>
      <c r="EK683" s="27" t="s">
        <v>166</v>
      </c>
      <c r="EL683" s="27" t="s">
        <v>166</v>
      </c>
      <c r="EM683" s="27" t="s">
        <v>166</v>
      </c>
      <c r="EN683" s="27" t="s">
        <v>166</v>
      </c>
      <c r="EO683" s="27" t="s">
        <v>166</v>
      </c>
      <c r="EP683" s="27" t="s">
        <v>166</v>
      </c>
      <c r="EQ683" s="27" t="s">
        <v>166</v>
      </c>
      <c r="ER683" s="27" t="s">
        <v>166</v>
      </c>
      <c r="ES683" s="27" t="s">
        <v>166</v>
      </c>
      <c r="ET683" s="25" t="s">
        <v>166</v>
      </c>
      <c r="EU683" s="27" t="s">
        <v>166</v>
      </c>
      <c r="EV683" s="27" t="s">
        <v>166</v>
      </c>
      <c r="EW683" s="27" t="s">
        <v>166</v>
      </c>
      <c r="EX683" s="25" t="s">
        <v>190</v>
      </c>
      <c r="EY683" s="25" t="s">
        <v>166</v>
      </c>
      <c r="EZ683" s="27" t="s">
        <v>166</v>
      </c>
      <c r="FA683" s="26" t="s">
        <v>166</v>
      </c>
      <c r="FB683" s="26" t="s">
        <v>166</v>
      </c>
      <c r="FC683" s="26" t="s">
        <v>166</v>
      </c>
      <c r="FD683" s="26" t="s">
        <v>166</v>
      </c>
      <c r="FE683" s="26" t="s">
        <v>166</v>
      </c>
      <c r="FF683" s="26" t="s">
        <v>166</v>
      </c>
      <c r="FG683" s="25" t="s">
        <v>166</v>
      </c>
      <c r="FH683" s="4">
        <f>HYPERLINK("https://my.pitchbook.com?c=156337-39T","View Company Online")</f>
      </c>
    </row>
    <row r="684">
      <c r="A684" s="14" t="s">
        <v>13103</v>
      </c>
      <c r="B684" s="14" t="s">
        <v>13104</v>
      </c>
      <c r="C684" s="14" t="s">
        <v>13105</v>
      </c>
      <c r="D684" s="14" t="s">
        <v>166</v>
      </c>
      <c r="E684" s="23" t="s">
        <v>13106</v>
      </c>
      <c r="F684" s="21">
        <v>12</v>
      </c>
      <c r="G684" s="14" t="s">
        <v>13107</v>
      </c>
      <c r="H684" s="14" t="s">
        <v>166</v>
      </c>
      <c r="I684" s="14" t="s">
        <v>13108</v>
      </c>
      <c r="J684" s="14" t="s">
        <v>13109</v>
      </c>
      <c r="K684" s="14" t="s">
        <v>207</v>
      </c>
      <c r="L684" s="14" t="s">
        <v>208</v>
      </c>
      <c r="M684" s="14" t="s">
        <v>1766</v>
      </c>
      <c r="N684" s="14" t="s">
        <v>13110</v>
      </c>
      <c r="O684" s="14" t="s">
        <v>13012</v>
      </c>
      <c r="P684" s="14" t="s">
        <v>13111</v>
      </c>
      <c r="Q684" s="14" t="s">
        <v>166</v>
      </c>
      <c r="R684" s="14" t="s">
        <v>177</v>
      </c>
      <c r="S684" s="14" t="s">
        <v>178</v>
      </c>
      <c r="T684" s="14" t="s">
        <v>179</v>
      </c>
      <c r="U684" s="14" t="s">
        <v>13112</v>
      </c>
      <c r="V684" s="14" t="s">
        <v>13113</v>
      </c>
      <c r="W684" s="21" t="s">
        <v>13114</v>
      </c>
      <c r="X684" s="14" t="s">
        <v>13115</v>
      </c>
      <c r="Y684" s="14" t="s">
        <v>13116</v>
      </c>
      <c r="Z684" s="14" t="s">
        <v>13117</v>
      </c>
      <c r="AA684" s="14" t="s">
        <v>242</v>
      </c>
      <c r="AB684" s="14" t="s">
        <v>243</v>
      </c>
      <c r="AC684" s="14" t="s">
        <v>244</v>
      </c>
      <c r="AD684" s="14" t="s">
        <v>243</v>
      </c>
      <c r="AE684" s="14" t="s">
        <v>243</v>
      </c>
      <c r="AF684" s="14" t="s">
        <v>245</v>
      </c>
      <c r="AG684" s="14" t="s">
        <v>246</v>
      </c>
      <c r="AH684" s="21">
        <v>6</v>
      </c>
      <c r="AI684" s="3">
        <f>HYPERLINK("https://my.pitchbook.com/?d=212268-34T","212268-34T")</f>
      </c>
      <c r="AJ684" s="19">
        <v>44918</v>
      </c>
      <c r="AK684" s="19">
        <v>44931</v>
      </c>
      <c r="AL684" s="18">
        <v>17.84</v>
      </c>
      <c r="AM684" s="14" t="s">
        <v>185</v>
      </c>
      <c r="AN684" s="18">
        <v>60</v>
      </c>
      <c r="AO684" s="18">
        <v>77.84</v>
      </c>
      <c r="AP684" s="14" t="s">
        <v>185</v>
      </c>
      <c r="AQ684" s="21" t="s">
        <v>166</v>
      </c>
      <c r="AR684" s="21" t="s">
        <v>166</v>
      </c>
      <c r="AS684" s="17">
        <v>45.84</v>
      </c>
      <c r="AT684" s="18">
        <v>18.07</v>
      </c>
      <c r="AU684" s="21" t="s">
        <v>186</v>
      </c>
      <c r="AV684" s="21" t="s">
        <v>166</v>
      </c>
      <c r="AW684" s="18">
        <v>5.19</v>
      </c>
      <c r="AX684" s="21" t="s">
        <v>248</v>
      </c>
      <c r="AY684" s="14" t="s">
        <v>187</v>
      </c>
      <c r="AZ684" s="14" t="s">
        <v>248</v>
      </c>
      <c r="BA684" s="14" t="s">
        <v>166</v>
      </c>
      <c r="BB684" s="21" t="s">
        <v>166</v>
      </c>
      <c r="BC684" s="14" t="s">
        <v>179</v>
      </c>
      <c r="BD684" s="14" t="s">
        <v>13118</v>
      </c>
      <c r="BE684" s="14" t="s">
        <v>189</v>
      </c>
      <c r="BF684" s="18">
        <v>17.84</v>
      </c>
      <c r="BG684" s="14" t="s">
        <v>190</v>
      </c>
      <c r="BH684" s="14" t="s">
        <v>166</v>
      </c>
      <c r="BI684" s="14" t="s">
        <v>166</v>
      </c>
      <c r="BJ684" s="18" t="s">
        <v>166</v>
      </c>
      <c r="BK684" s="18" t="s">
        <v>166</v>
      </c>
      <c r="BL684" s="14" t="s">
        <v>191</v>
      </c>
      <c r="BM684" s="14" t="s">
        <v>178</v>
      </c>
      <c r="BN684" s="14" t="s">
        <v>177</v>
      </c>
      <c r="BO684" s="22" t="s">
        <v>166</v>
      </c>
      <c r="BP684" s="14" t="s">
        <v>13119</v>
      </c>
      <c r="BQ684" s="21">
        <v>12</v>
      </c>
      <c r="BR684" s="14" t="s">
        <v>166</v>
      </c>
      <c r="BS684" s="21" t="s">
        <v>166</v>
      </c>
      <c r="BT684" s="14" t="s">
        <v>13120</v>
      </c>
      <c r="BU684" s="14" t="s">
        <v>166</v>
      </c>
      <c r="BV684" s="14" t="s">
        <v>166</v>
      </c>
      <c r="BW684" s="14" t="s">
        <v>166</v>
      </c>
      <c r="BX684" s="14" t="s">
        <v>166</v>
      </c>
      <c r="BY684" s="14" t="s">
        <v>166</v>
      </c>
      <c r="BZ684" s="14" t="s">
        <v>13121</v>
      </c>
      <c r="CA684" s="14" t="s">
        <v>166</v>
      </c>
      <c r="CB684" s="14" t="s">
        <v>166</v>
      </c>
      <c r="CC684" s="14" t="s">
        <v>13121</v>
      </c>
      <c r="CD684" s="14" t="s">
        <v>166</v>
      </c>
      <c r="CE684" s="18" t="s">
        <v>166</v>
      </c>
      <c r="CF684" s="16" t="s">
        <v>166</v>
      </c>
      <c r="CG684" s="17" t="s">
        <v>166</v>
      </c>
      <c r="CH684" s="16" t="s">
        <v>166</v>
      </c>
      <c r="CI684" s="16" t="s">
        <v>166</v>
      </c>
      <c r="CJ684" s="16" t="s">
        <v>166</v>
      </c>
      <c r="CK684" s="16" t="s">
        <v>166</v>
      </c>
      <c r="CL684" s="16" t="s">
        <v>166</v>
      </c>
      <c r="CM684" s="20" t="s">
        <v>166</v>
      </c>
      <c r="CN684" s="16" t="s">
        <v>166</v>
      </c>
      <c r="CO684" s="16" t="s">
        <v>166</v>
      </c>
      <c r="CP684" s="16" t="s">
        <v>166</v>
      </c>
      <c r="CQ684" s="16" t="s">
        <v>166</v>
      </c>
      <c r="CR684" s="16" t="s">
        <v>166</v>
      </c>
      <c r="CS684" s="16" t="s">
        <v>166</v>
      </c>
      <c r="CT684" s="16" t="s">
        <v>166</v>
      </c>
      <c r="CU684" s="16" t="s">
        <v>166</v>
      </c>
      <c r="CV684" s="16" t="s">
        <v>166</v>
      </c>
      <c r="CW684" s="16" t="s">
        <v>166</v>
      </c>
      <c r="CX684" s="16" t="s">
        <v>166</v>
      </c>
      <c r="CY684" s="16" t="s">
        <v>166</v>
      </c>
      <c r="CZ684" s="16" t="s">
        <v>166</v>
      </c>
      <c r="DA684" s="16" t="s">
        <v>166</v>
      </c>
      <c r="DB684" s="16" t="s">
        <v>166</v>
      </c>
      <c r="DC684" s="16" t="s">
        <v>166</v>
      </c>
      <c r="DD684" s="16" t="s">
        <v>166</v>
      </c>
      <c r="DE684" s="17" t="s">
        <v>166</v>
      </c>
      <c r="DF684" s="22">
        <v>15</v>
      </c>
      <c r="DG684" s="14" t="s">
        <v>673</v>
      </c>
      <c r="DH684" s="14" t="s">
        <v>193</v>
      </c>
      <c r="DI684" s="14" t="s">
        <v>194</v>
      </c>
      <c r="DJ684" s="14" t="s">
        <v>674</v>
      </c>
      <c r="DK684" s="14" t="s">
        <v>257</v>
      </c>
      <c r="DL684" s="21" t="s">
        <v>1599</v>
      </c>
      <c r="DM684" s="14" t="s">
        <v>198</v>
      </c>
      <c r="DN684" s="13" t="s">
        <v>13122</v>
      </c>
      <c r="DO684" s="20">
        <v>2020</v>
      </c>
      <c r="DP684" s="14" t="s">
        <v>166</v>
      </c>
      <c r="DQ684" s="14" t="s">
        <v>166</v>
      </c>
      <c r="DR684" s="18" t="s">
        <v>166</v>
      </c>
      <c r="DS684" s="16" t="s">
        <v>166</v>
      </c>
      <c r="DT684" s="19" t="s">
        <v>166</v>
      </c>
      <c r="DU684" s="14" t="s">
        <v>166</v>
      </c>
      <c r="DV684" s="18" t="s">
        <v>166</v>
      </c>
      <c r="DW684" s="18" t="s">
        <v>166</v>
      </c>
      <c r="DX684" s="16" t="s">
        <v>166</v>
      </c>
      <c r="DY684" s="16" t="s">
        <v>166</v>
      </c>
      <c r="DZ684" s="17" t="s">
        <v>166</v>
      </c>
      <c r="EA684" s="16" t="s">
        <v>166</v>
      </c>
      <c r="EB684" s="16" t="s">
        <v>166</v>
      </c>
      <c r="EC684" s="16" t="s">
        <v>166</v>
      </c>
      <c r="ED684" s="17" t="s">
        <v>166</v>
      </c>
      <c r="EE684" s="17" t="s">
        <v>166</v>
      </c>
      <c r="EF684" s="17" t="s">
        <v>166</v>
      </c>
      <c r="EG684" s="17" t="s">
        <v>166</v>
      </c>
      <c r="EH684" s="16" t="s">
        <v>166</v>
      </c>
      <c r="EI684" s="16" t="s">
        <v>166</v>
      </c>
      <c r="EJ684" s="16" t="s">
        <v>166</v>
      </c>
      <c r="EK684" s="16" t="s">
        <v>166</v>
      </c>
      <c r="EL684" s="16" t="s">
        <v>166</v>
      </c>
      <c r="EM684" s="16" t="s">
        <v>166</v>
      </c>
      <c r="EN684" s="16" t="s">
        <v>166</v>
      </c>
      <c r="EO684" s="16" t="s">
        <v>166</v>
      </c>
      <c r="EP684" s="16" t="s">
        <v>166</v>
      </c>
      <c r="EQ684" s="16" t="s">
        <v>166</v>
      </c>
      <c r="ER684" s="16" t="s">
        <v>166</v>
      </c>
      <c r="ES684" s="16" t="s">
        <v>166</v>
      </c>
      <c r="ET684" s="14" t="s">
        <v>166</v>
      </c>
      <c r="EU684" s="16" t="s">
        <v>166</v>
      </c>
      <c r="EV684" s="16" t="s">
        <v>166</v>
      </c>
      <c r="EW684" s="16" t="s">
        <v>166</v>
      </c>
      <c r="EX684" s="14" t="s">
        <v>190</v>
      </c>
      <c r="EY684" s="14" t="s">
        <v>166</v>
      </c>
      <c r="EZ684" s="16" t="s">
        <v>166</v>
      </c>
      <c r="FA684" s="15" t="s">
        <v>166</v>
      </c>
      <c r="FB684" s="15" t="s">
        <v>166</v>
      </c>
      <c r="FC684" s="15" t="s">
        <v>166</v>
      </c>
      <c r="FD684" s="15" t="s">
        <v>166</v>
      </c>
      <c r="FE684" s="15" t="s">
        <v>166</v>
      </c>
      <c r="FF684" s="15" t="s">
        <v>166</v>
      </c>
      <c r="FG684" s="14" t="s">
        <v>166</v>
      </c>
      <c r="FH684" s="3">
        <f>HYPERLINK("https://my.pitchbook.com?c=212268-34T","View Company Online")</f>
      </c>
    </row>
    <row r="685">
      <c r="A685" s="25" t="s">
        <v>13123</v>
      </c>
      <c r="B685" s="25" t="s">
        <v>13124</v>
      </c>
      <c r="C685" s="25" t="s">
        <v>13125</v>
      </c>
      <c r="D685" s="25" t="s">
        <v>166</v>
      </c>
      <c r="E685" s="34" t="s">
        <v>13126</v>
      </c>
      <c r="F685" s="32">
        <v>6</v>
      </c>
      <c r="G685" s="25" t="s">
        <v>13127</v>
      </c>
      <c r="H685" s="25" t="s">
        <v>166</v>
      </c>
      <c r="I685" s="25" t="s">
        <v>13128</v>
      </c>
      <c r="J685" s="25" t="s">
        <v>13129</v>
      </c>
      <c r="K685" s="25" t="s">
        <v>207</v>
      </c>
      <c r="L685" s="25" t="s">
        <v>208</v>
      </c>
      <c r="M685" s="25" t="s">
        <v>209</v>
      </c>
      <c r="N685" s="25" t="s">
        <v>269</v>
      </c>
      <c r="O685" s="25" t="s">
        <v>13130</v>
      </c>
      <c r="P685" s="25" t="s">
        <v>13131</v>
      </c>
      <c r="Q685" s="25" t="s">
        <v>166</v>
      </c>
      <c r="R685" s="25" t="s">
        <v>177</v>
      </c>
      <c r="S685" s="25" t="s">
        <v>178</v>
      </c>
      <c r="T685" s="25" t="s">
        <v>179</v>
      </c>
      <c r="U685" s="25" t="s">
        <v>13132</v>
      </c>
      <c r="V685" s="25" t="s">
        <v>13133</v>
      </c>
      <c r="W685" s="32" t="s">
        <v>166</v>
      </c>
      <c r="X685" s="25" t="s">
        <v>13134</v>
      </c>
      <c r="Y685" s="25" t="s">
        <v>13135</v>
      </c>
      <c r="Z685" s="25" t="s">
        <v>13136</v>
      </c>
      <c r="AA685" s="25" t="s">
        <v>166</v>
      </c>
      <c r="AB685" s="25" t="s">
        <v>166</v>
      </c>
      <c r="AC685" s="25" t="s">
        <v>166</v>
      </c>
      <c r="AD685" s="25" t="s">
        <v>166</v>
      </c>
      <c r="AE685" s="25" t="s">
        <v>166</v>
      </c>
      <c r="AF685" s="25" t="s">
        <v>166</v>
      </c>
      <c r="AG685" s="25" t="s">
        <v>166</v>
      </c>
      <c r="AH685" s="32">
        <v>1</v>
      </c>
      <c r="AI685" s="4">
        <f>HYPERLINK("https://my.pitchbook.com/?d=167974-03T","167974-03T")</f>
      </c>
      <c r="AJ685" s="30" t="s">
        <v>166</v>
      </c>
      <c r="AK685" s="30">
        <v>44317</v>
      </c>
      <c r="AL685" s="29">
        <v>1.65</v>
      </c>
      <c r="AM685" s="25" t="s">
        <v>185</v>
      </c>
      <c r="AN685" s="29" t="s">
        <v>166</v>
      </c>
      <c r="AO685" s="29" t="s">
        <v>166</v>
      </c>
      <c r="AP685" s="25" t="s">
        <v>166</v>
      </c>
      <c r="AQ685" s="32" t="s">
        <v>166</v>
      </c>
      <c r="AR685" s="32" t="s">
        <v>166</v>
      </c>
      <c r="AS685" s="28" t="s">
        <v>166</v>
      </c>
      <c r="AT685" s="29">
        <v>1.65</v>
      </c>
      <c r="AU685" s="32" t="s">
        <v>186</v>
      </c>
      <c r="AV685" s="32" t="s">
        <v>166</v>
      </c>
      <c r="AW685" s="29" t="s">
        <v>166</v>
      </c>
      <c r="AX685" s="32" t="s">
        <v>166</v>
      </c>
      <c r="AY685" s="25" t="s">
        <v>217</v>
      </c>
      <c r="AZ685" s="25" t="s">
        <v>217</v>
      </c>
      <c r="BA685" s="25" t="s">
        <v>166</v>
      </c>
      <c r="BB685" s="32" t="s">
        <v>166</v>
      </c>
      <c r="BC685" s="25" t="s">
        <v>179</v>
      </c>
      <c r="BD685" s="25" t="s">
        <v>13137</v>
      </c>
      <c r="BE685" s="25" t="s">
        <v>189</v>
      </c>
      <c r="BF685" s="29">
        <v>1.65</v>
      </c>
      <c r="BG685" s="25" t="s">
        <v>190</v>
      </c>
      <c r="BH685" s="25" t="s">
        <v>166</v>
      </c>
      <c r="BI685" s="25" t="s">
        <v>166</v>
      </c>
      <c r="BJ685" s="29" t="s">
        <v>166</v>
      </c>
      <c r="BK685" s="29" t="s">
        <v>166</v>
      </c>
      <c r="BL685" s="25" t="s">
        <v>191</v>
      </c>
      <c r="BM685" s="25" t="s">
        <v>178</v>
      </c>
      <c r="BN685" s="25" t="s">
        <v>177</v>
      </c>
      <c r="BO685" s="33">
        <v>7</v>
      </c>
      <c r="BP685" s="25" t="s">
        <v>13138</v>
      </c>
      <c r="BQ685" s="32">
        <v>6</v>
      </c>
      <c r="BR685" s="25" t="s">
        <v>166</v>
      </c>
      <c r="BS685" s="32" t="s">
        <v>166</v>
      </c>
      <c r="BT685" s="25" t="s">
        <v>13139</v>
      </c>
      <c r="BU685" s="25" t="s">
        <v>166</v>
      </c>
      <c r="BV685" s="25" t="s">
        <v>13140</v>
      </c>
      <c r="BW685" s="25" t="s">
        <v>166</v>
      </c>
      <c r="BX685" s="25" t="s">
        <v>166</v>
      </c>
      <c r="BY685" s="25" t="s">
        <v>166</v>
      </c>
      <c r="BZ685" s="25" t="s">
        <v>13141</v>
      </c>
      <c r="CA685" s="25" t="s">
        <v>13141</v>
      </c>
      <c r="CB685" s="25" t="s">
        <v>166</v>
      </c>
      <c r="CC685" s="25" t="s">
        <v>166</v>
      </c>
      <c r="CD685" s="25" t="s">
        <v>166</v>
      </c>
      <c r="CE685" s="29" t="s">
        <v>166</v>
      </c>
      <c r="CF685" s="27" t="s">
        <v>166</v>
      </c>
      <c r="CG685" s="28" t="s">
        <v>166</v>
      </c>
      <c r="CH685" s="27" t="s">
        <v>166</v>
      </c>
      <c r="CI685" s="27" t="s">
        <v>166</v>
      </c>
      <c r="CJ685" s="27" t="s">
        <v>166</v>
      </c>
      <c r="CK685" s="27" t="s">
        <v>166</v>
      </c>
      <c r="CL685" s="27" t="s">
        <v>166</v>
      </c>
      <c r="CM685" s="31" t="s">
        <v>166</v>
      </c>
      <c r="CN685" s="27" t="s">
        <v>166</v>
      </c>
      <c r="CO685" s="27" t="s">
        <v>166</v>
      </c>
      <c r="CP685" s="27" t="s">
        <v>166</v>
      </c>
      <c r="CQ685" s="27" t="s">
        <v>166</v>
      </c>
      <c r="CR685" s="27" t="s">
        <v>166</v>
      </c>
      <c r="CS685" s="27" t="s">
        <v>166</v>
      </c>
      <c r="CT685" s="27" t="s">
        <v>166</v>
      </c>
      <c r="CU685" s="27" t="s">
        <v>166</v>
      </c>
      <c r="CV685" s="27" t="s">
        <v>166</v>
      </c>
      <c r="CW685" s="27" t="s">
        <v>166</v>
      </c>
      <c r="CX685" s="27" t="s">
        <v>166</v>
      </c>
      <c r="CY685" s="27" t="s">
        <v>166</v>
      </c>
      <c r="CZ685" s="27" t="s">
        <v>166</v>
      </c>
      <c r="DA685" s="27" t="s">
        <v>166</v>
      </c>
      <c r="DB685" s="27" t="s">
        <v>166</v>
      </c>
      <c r="DC685" s="27" t="s">
        <v>166</v>
      </c>
      <c r="DD685" s="27" t="s">
        <v>166</v>
      </c>
      <c r="DE685" s="28" t="s">
        <v>166</v>
      </c>
      <c r="DF685" s="33">
        <v>307</v>
      </c>
      <c r="DG685" s="25" t="s">
        <v>673</v>
      </c>
      <c r="DH685" s="25" t="s">
        <v>193</v>
      </c>
      <c r="DI685" s="25" t="s">
        <v>194</v>
      </c>
      <c r="DJ685" s="25" t="s">
        <v>674</v>
      </c>
      <c r="DK685" s="25" t="s">
        <v>257</v>
      </c>
      <c r="DL685" s="32" t="s">
        <v>4341</v>
      </c>
      <c r="DM685" s="25" t="s">
        <v>198</v>
      </c>
      <c r="DN685" s="24" t="s">
        <v>13142</v>
      </c>
      <c r="DO685" s="31">
        <v>2020</v>
      </c>
      <c r="DP685" s="25" t="s">
        <v>166</v>
      </c>
      <c r="DQ685" s="25" t="s">
        <v>166</v>
      </c>
      <c r="DR685" s="29" t="s">
        <v>166</v>
      </c>
      <c r="DS685" s="27" t="s">
        <v>166</v>
      </c>
      <c r="DT685" s="30" t="s">
        <v>166</v>
      </c>
      <c r="DU685" s="25" t="s">
        <v>166</v>
      </c>
      <c r="DV685" s="29" t="s">
        <v>166</v>
      </c>
      <c r="DW685" s="29" t="s">
        <v>166</v>
      </c>
      <c r="DX685" s="27" t="s">
        <v>166</v>
      </c>
      <c r="DY685" s="27" t="s">
        <v>166</v>
      </c>
      <c r="DZ685" s="28" t="s">
        <v>166</v>
      </c>
      <c r="EA685" s="27" t="s">
        <v>166</v>
      </c>
      <c r="EB685" s="27" t="s">
        <v>166</v>
      </c>
      <c r="EC685" s="27" t="s">
        <v>166</v>
      </c>
      <c r="ED685" s="28" t="s">
        <v>166</v>
      </c>
      <c r="EE685" s="28" t="s">
        <v>166</v>
      </c>
      <c r="EF685" s="28" t="s">
        <v>166</v>
      </c>
      <c r="EG685" s="28" t="s">
        <v>166</v>
      </c>
      <c r="EH685" s="27" t="s">
        <v>166</v>
      </c>
      <c r="EI685" s="27" t="s">
        <v>166</v>
      </c>
      <c r="EJ685" s="27" t="s">
        <v>166</v>
      </c>
      <c r="EK685" s="27" t="s">
        <v>166</v>
      </c>
      <c r="EL685" s="27" t="s">
        <v>166</v>
      </c>
      <c r="EM685" s="27" t="s">
        <v>166</v>
      </c>
      <c r="EN685" s="27" t="s">
        <v>166</v>
      </c>
      <c r="EO685" s="27" t="s">
        <v>166</v>
      </c>
      <c r="EP685" s="27" t="s">
        <v>166</v>
      </c>
      <c r="EQ685" s="27" t="s">
        <v>166</v>
      </c>
      <c r="ER685" s="27" t="s">
        <v>166</v>
      </c>
      <c r="ES685" s="27" t="s">
        <v>166</v>
      </c>
      <c r="ET685" s="25" t="s">
        <v>166</v>
      </c>
      <c r="EU685" s="27" t="s">
        <v>166</v>
      </c>
      <c r="EV685" s="27" t="s">
        <v>166</v>
      </c>
      <c r="EW685" s="27" t="s">
        <v>166</v>
      </c>
      <c r="EX685" s="25" t="s">
        <v>190</v>
      </c>
      <c r="EY685" s="25" t="s">
        <v>166</v>
      </c>
      <c r="EZ685" s="27" t="s">
        <v>166</v>
      </c>
      <c r="FA685" s="26" t="s">
        <v>166</v>
      </c>
      <c r="FB685" s="26" t="s">
        <v>166</v>
      </c>
      <c r="FC685" s="26" t="s">
        <v>166</v>
      </c>
      <c r="FD685" s="26" t="s">
        <v>166</v>
      </c>
      <c r="FE685" s="26" t="s">
        <v>166</v>
      </c>
      <c r="FF685" s="26" t="s">
        <v>166</v>
      </c>
      <c r="FG685" s="25" t="s">
        <v>166</v>
      </c>
      <c r="FH685" s="4">
        <f>HYPERLINK("https://my.pitchbook.com?c=167974-03T","View Company Online")</f>
      </c>
    </row>
    <row r="686">
      <c r="A686" s="14" t="s">
        <v>13143</v>
      </c>
      <c r="B686" s="14" t="s">
        <v>13144</v>
      </c>
      <c r="C686" s="14" t="s">
        <v>13145</v>
      </c>
      <c r="D686" s="14" t="s">
        <v>166</v>
      </c>
      <c r="E686" s="23" t="s">
        <v>13146</v>
      </c>
      <c r="F686" s="21">
        <v>1</v>
      </c>
      <c r="G686" s="14" t="s">
        <v>13147</v>
      </c>
      <c r="H686" s="14" t="s">
        <v>166</v>
      </c>
      <c r="I686" s="14" t="s">
        <v>13148</v>
      </c>
      <c r="J686" s="14" t="s">
        <v>13149</v>
      </c>
      <c r="K686" s="14" t="s">
        <v>207</v>
      </c>
      <c r="L686" s="14" t="s">
        <v>208</v>
      </c>
      <c r="M686" s="14" t="s">
        <v>209</v>
      </c>
      <c r="N686" s="14" t="s">
        <v>269</v>
      </c>
      <c r="O686" s="14" t="s">
        <v>7573</v>
      </c>
      <c r="P686" s="14" t="s">
        <v>13150</v>
      </c>
      <c r="Q686" s="14" t="s">
        <v>166</v>
      </c>
      <c r="R686" s="14" t="s">
        <v>177</v>
      </c>
      <c r="S686" s="14" t="s">
        <v>178</v>
      </c>
      <c r="T686" s="14" t="s">
        <v>179</v>
      </c>
      <c r="U686" s="14" t="s">
        <v>13151</v>
      </c>
      <c r="V686" s="14" t="s">
        <v>13152</v>
      </c>
      <c r="W686" s="21" t="s">
        <v>13153</v>
      </c>
      <c r="X686" s="14" t="s">
        <v>13154</v>
      </c>
      <c r="Y686" s="14" t="s">
        <v>13155</v>
      </c>
      <c r="Z686" s="14" t="s">
        <v>166</v>
      </c>
      <c r="AA686" s="14" t="s">
        <v>166</v>
      </c>
      <c r="AB686" s="14" t="s">
        <v>166</v>
      </c>
      <c r="AC686" s="14" t="s">
        <v>166</v>
      </c>
      <c r="AD686" s="14" t="s">
        <v>166</v>
      </c>
      <c r="AE686" s="14" t="s">
        <v>166</v>
      </c>
      <c r="AF686" s="14" t="s">
        <v>166</v>
      </c>
      <c r="AG686" s="14" t="s">
        <v>166</v>
      </c>
      <c r="AH686" s="21">
        <v>1</v>
      </c>
      <c r="AI686" s="3">
        <f>HYPERLINK("https://my.pitchbook.com/?d=227096-29T","227096-29T")</f>
      </c>
      <c r="AJ686" s="19">
        <v>45082</v>
      </c>
      <c r="AK686" s="19">
        <v>45097</v>
      </c>
      <c r="AL686" s="18">
        <v>1.65</v>
      </c>
      <c r="AM686" s="14" t="s">
        <v>185</v>
      </c>
      <c r="AN686" s="18" t="s">
        <v>166</v>
      </c>
      <c r="AO686" s="18" t="s">
        <v>166</v>
      </c>
      <c r="AP686" s="14" t="s">
        <v>166</v>
      </c>
      <c r="AQ686" s="21" t="s">
        <v>166</v>
      </c>
      <c r="AR686" s="21" t="s">
        <v>166</v>
      </c>
      <c r="AS686" s="17" t="s">
        <v>166</v>
      </c>
      <c r="AT686" s="18">
        <v>1.65</v>
      </c>
      <c r="AU686" s="21" t="s">
        <v>186</v>
      </c>
      <c r="AV686" s="21" t="s">
        <v>166</v>
      </c>
      <c r="AW686" s="18" t="s">
        <v>166</v>
      </c>
      <c r="AX686" s="21" t="s">
        <v>166</v>
      </c>
      <c r="AY686" s="14" t="s">
        <v>217</v>
      </c>
      <c r="AZ686" s="14" t="s">
        <v>217</v>
      </c>
      <c r="BA686" s="14" t="s">
        <v>166</v>
      </c>
      <c r="BB686" s="21" t="s">
        <v>166</v>
      </c>
      <c r="BC686" s="14" t="s">
        <v>179</v>
      </c>
      <c r="BD686" s="14" t="s">
        <v>13149</v>
      </c>
      <c r="BE686" s="14" t="s">
        <v>189</v>
      </c>
      <c r="BF686" s="18" t="s">
        <v>166</v>
      </c>
      <c r="BG686" s="14" t="s">
        <v>190</v>
      </c>
      <c r="BH686" s="14" t="s">
        <v>166</v>
      </c>
      <c r="BI686" s="14" t="s">
        <v>166</v>
      </c>
      <c r="BJ686" s="18" t="s">
        <v>166</v>
      </c>
      <c r="BK686" s="18" t="s">
        <v>166</v>
      </c>
      <c r="BL686" s="14" t="s">
        <v>191</v>
      </c>
      <c r="BM686" s="14" t="s">
        <v>178</v>
      </c>
      <c r="BN686" s="14" t="s">
        <v>177</v>
      </c>
      <c r="BO686" s="22" t="s">
        <v>166</v>
      </c>
      <c r="BP686" s="14" t="s">
        <v>13156</v>
      </c>
      <c r="BQ686" s="21">
        <v>1</v>
      </c>
      <c r="BR686" s="14" t="s">
        <v>166</v>
      </c>
      <c r="BS686" s="21" t="s">
        <v>166</v>
      </c>
      <c r="BT686" s="14" t="s">
        <v>166</v>
      </c>
      <c r="BU686" s="14" t="s">
        <v>166</v>
      </c>
      <c r="BV686" s="14" t="s">
        <v>166</v>
      </c>
      <c r="BW686" s="14" t="s">
        <v>166</v>
      </c>
      <c r="BX686" s="14" t="s">
        <v>166</v>
      </c>
      <c r="BY686" s="14" t="s">
        <v>166</v>
      </c>
      <c r="BZ686" s="14" t="s">
        <v>166</v>
      </c>
      <c r="CA686" s="14" t="s">
        <v>166</v>
      </c>
      <c r="CB686" s="14" t="s">
        <v>166</v>
      </c>
      <c r="CC686" s="14" t="s">
        <v>166</v>
      </c>
      <c r="CD686" s="14" t="s">
        <v>166</v>
      </c>
      <c r="CE686" s="18" t="s">
        <v>166</v>
      </c>
      <c r="CF686" s="16" t="s">
        <v>166</v>
      </c>
      <c r="CG686" s="17" t="s">
        <v>166</v>
      </c>
      <c r="CH686" s="16" t="s">
        <v>166</v>
      </c>
      <c r="CI686" s="16" t="s">
        <v>166</v>
      </c>
      <c r="CJ686" s="16" t="s">
        <v>166</v>
      </c>
      <c r="CK686" s="16" t="s">
        <v>166</v>
      </c>
      <c r="CL686" s="16" t="s">
        <v>166</v>
      </c>
      <c r="CM686" s="20" t="s">
        <v>166</v>
      </c>
      <c r="CN686" s="16" t="s">
        <v>166</v>
      </c>
      <c r="CO686" s="16" t="s">
        <v>166</v>
      </c>
      <c r="CP686" s="16" t="s">
        <v>166</v>
      </c>
      <c r="CQ686" s="16" t="s">
        <v>166</v>
      </c>
      <c r="CR686" s="16" t="s">
        <v>166</v>
      </c>
      <c r="CS686" s="16" t="s">
        <v>166</v>
      </c>
      <c r="CT686" s="16" t="s">
        <v>166</v>
      </c>
      <c r="CU686" s="16" t="s">
        <v>166</v>
      </c>
      <c r="CV686" s="16" t="s">
        <v>166</v>
      </c>
      <c r="CW686" s="16" t="s">
        <v>166</v>
      </c>
      <c r="CX686" s="16" t="s">
        <v>166</v>
      </c>
      <c r="CY686" s="16" t="s">
        <v>166</v>
      </c>
      <c r="CZ686" s="16" t="s">
        <v>166</v>
      </c>
      <c r="DA686" s="16" t="s">
        <v>166</v>
      </c>
      <c r="DB686" s="16" t="s">
        <v>166</v>
      </c>
      <c r="DC686" s="16" t="s">
        <v>166</v>
      </c>
      <c r="DD686" s="16" t="s">
        <v>166</v>
      </c>
      <c r="DE686" s="17" t="s">
        <v>166</v>
      </c>
      <c r="DF686" s="22">
        <v>16</v>
      </c>
      <c r="DG686" s="14" t="s">
        <v>3541</v>
      </c>
      <c r="DH686" s="14" t="s">
        <v>193</v>
      </c>
      <c r="DI686" s="14" t="s">
        <v>194</v>
      </c>
      <c r="DJ686" s="14" t="s">
        <v>3542</v>
      </c>
      <c r="DK686" s="14" t="s">
        <v>1251</v>
      </c>
      <c r="DL686" s="21" t="s">
        <v>3543</v>
      </c>
      <c r="DM686" s="14" t="s">
        <v>198</v>
      </c>
      <c r="DN686" s="13" t="s">
        <v>13157</v>
      </c>
      <c r="DO686" s="20">
        <v>2023</v>
      </c>
      <c r="DP686" s="14" t="s">
        <v>166</v>
      </c>
      <c r="DQ686" s="14" t="s">
        <v>166</v>
      </c>
      <c r="DR686" s="18" t="s">
        <v>166</v>
      </c>
      <c r="DS686" s="16" t="s">
        <v>166</v>
      </c>
      <c r="DT686" s="19" t="s">
        <v>166</v>
      </c>
      <c r="DU686" s="14" t="s">
        <v>166</v>
      </c>
      <c r="DV686" s="18" t="s">
        <v>166</v>
      </c>
      <c r="DW686" s="18" t="s">
        <v>166</v>
      </c>
      <c r="DX686" s="16" t="s">
        <v>166</v>
      </c>
      <c r="DY686" s="16" t="s">
        <v>166</v>
      </c>
      <c r="DZ686" s="17" t="s">
        <v>166</v>
      </c>
      <c r="EA686" s="16" t="s">
        <v>166</v>
      </c>
      <c r="EB686" s="16" t="s">
        <v>166</v>
      </c>
      <c r="EC686" s="16" t="s">
        <v>166</v>
      </c>
      <c r="ED686" s="17" t="s">
        <v>166</v>
      </c>
      <c r="EE686" s="17" t="s">
        <v>166</v>
      </c>
      <c r="EF686" s="17" t="s">
        <v>166</v>
      </c>
      <c r="EG686" s="17" t="s">
        <v>166</v>
      </c>
      <c r="EH686" s="16" t="s">
        <v>166</v>
      </c>
      <c r="EI686" s="16" t="s">
        <v>166</v>
      </c>
      <c r="EJ686" s="16" t="s">
        <v>166</v>
      </c>
      <c r="EK686" s="16" t="s">
        <v>166</v>
      </c>
      <c r="EL686" s="16" t="s">
        <v>166</v>
      </c>
      <c r="EM686" s="16" t="s">
        <v>166</v>
      </c>
      <c r="EN686" s="16" t="s">
        <v>166</v>
      </c>
      <c r="EO686" s="16" t="s">
        <v>166</v>
      </c>
      <c r="EP686" s="16" t="s">
        <v>166</v>
      </c>
      <c r="EQ686" s="16" t="s">
        <v>166</v>
      </c>
      <c r="ER686" s="16" t="s">
        <v>166</v>
      </c>
      <c r="ES686" s="16" t="s">
        <v>166</v>
      </c>
      <c r="ET686" s="14" t="s">
        <v>166</v>
      </c>
      <c r="EU686" s="16" t="s">
        <v>166</v>
      </c>
      <c r="EV686" s="16" t="s">
        <v>166</v>
      </c>
      <c r="EW686" s="16" t="s">
        <v>166</v>
      </c>
      <c r="EX686" s="14" t="s">
        <v>190</v>
      </c>
      <c r="EY686" s="14" t="s">
        <v>166</v>
      </c>
      <c r="EZ686" s="16" t="s">
        <v>166</v>
      </c>
      <c r="FA686" s="15" t="s">
        <v>166</v>
      </c>
      <c r="FB686" s="15" t="s">
        <v>166</v>
      </c>
      <c r="FC686" s="15" t="s">
        <v>166</v>
      </c>
      <c r="FD686" s="15" t="s">
        <v>166</v>
      </c>
      <c r="FE686" s="15" t="s">
        <v>166</v>
      </c>
      <c r="FF686" s="15" t="s">
        <v>166</v>
      </c>
      <c r="FG686" s="14" t="s">
        <v>166</v>
      </c>
      <c r="FH686" s="3">
        <f>HYPERLINK("https://my.pitchbook.com?c=227096-29T","View Company Online")</f>
      </c>
    </row>
    <row r="687">
      <c r="A687" s="25" t="s">
        <v>13158</v>
      </c>
      <c r="B687" s="25" t="s">
        <v>13159</v>
      </c>
      <c r="C687" s="25" t="s">
        <v>13160</v>
      </c>
      <c r="D687" s="25" t="s">
        <v>166</v>
      </c>
      <c r="E687" s="34" t="s">
        <v>13161</v>
      </c>
      <c r="F687" s="32">
        <v>1</v>
      </c>
      <c r="G687" s="25" t="s">
        <v>13162</v>
      </c>
      <c r="H687" s="25" t="s">
        <v>166</v>
      </c>
      <c r="I687" s="25" t="s">
        <v>13163</v>
      </c>
      <c r="J687" s="25" t="s">
        <v>13164</v>
      </c>
      <c r="K687" s="25" t="s">
        <v>1455</v>
      </c>
      <c r="L687" s="25" t="s">
        <v>4659</v>
      </c>
      <c r="M687" s="25" t="s">
        <v>4660</v>
      </c>
      <c r="N687" s="25" t="s">
        <v>4661</v>
      </c>
      <c r="O687" s="25" t="s">
        <v>13165</v>
      </c>
      <c r="P687" s="25" t="s">
        <v>13166</v>
      </c>
      <c r="Q687" s="25" t="s">
        <v>166</v>
      </c>
      <c r="R687" s="25" t="s">
        <v>177</v>
      </c>
      <c r="S687" s="25" t="s">
        <v>178</v>
      </c>
      <c r="T687" s="25" t="s">
        <v>179</v>
      </c>
      <c r="U687" s="25" t="s">
        <v>13167</v>
      </c>
      <c r="V687" s="25" t="s">
        <v>13168</v>
      </c>
      <c r="W687" s="32" t="s">
        <v>13169</v>
      </c>
      <c r="X687" s="25" t="s">
        <v>13170</v>
      </c>
      <c r="Y687" s="25" t="s">
        <v>13171</v>
      </c>
      <c r="Z687" s="25" t="s">
        <v>13172</v>
      </c>
      <c r="AA687" s="25" t="s">
        <v>166</v>
      </c>
      <c r="AB687" s="25" t="s">
        <v>166</v>
      </c>
      <c r="AC687" s="25" t="s">
        <v>166</v>
      </c>
      <c r="AD687" s="25" t="s">
        <v>166</v>
      </c>
      <c r="AE687" s="25" t="s">
        <v>166</v>
      </c>
      <c r="AF687" s="25" t="s">
        <v>166</v>
      </c>
      <c r="AG687" s="25" t="s">
        <v>166</v>
      </c>
      <c r="AH687" s="32">
        <v>2</v>
      </c>
      <c r="AI687" s="4">
        <f>HYPERLINK("https://my.pitchbook.com/?d=249884-11T","249884-11T")</f>
      </c>
      <c r="AJ687" s="30" t="s">
        <v>166</v>
      </c>
      <c r="AK687" s="30">
        <v>44439</v>
      </c>
      <c r="AL687" s="29">
        <v>1.8</v>
      </c>
      <c r="AM687" s="25" t="s">
        <v>185</v>
      </c>
      <c r="AN687" s="29" t="s">
        <v>166</v>
      </c>
      <c r="AO687" s="29" t="s">
        <v>166</v>
      </c>
      <c r="AP687" s="25" t="s">
        <v>166</v>
      </c>
      <c r="AQ687" s="32" t="s">
        <v>166</v>
      </c>
      <c r="AR687" s="32" t="s">
        <v>166</v>
      </c>
      <c r="AS687" s="28" t="s">
        <v>166</v>
      </c>
      <c r="AT687" s="29">
        <v>1.84</v>
      </c>
      <c r="AU687" s="32" t="s">
        <v>186</v>
      </c>
      <c r="AV687" s="32" t="s">
        <v>166</v>
      </c>
      <c r="AW687" s="29" t="s">
        <v>166</v>
      </c>
      <c r="AX687" s="32" t="s">
        <v>166</v>
      </c>
      <c r="AY687" s="25" t="s">
        <v>187</v>
      </c>
      <c r="AZ687" s="25" t="s">
        <v>166</v>
      </c>
      <c r="BA687" s="25" t="s">
        <v>166</v>
      </c>
      <c r="BB687" s="32" t="s">
        <v>166</v>
      </c>
      <c r="BC687" s="25" t="s">
        <v>179</v>
      </c>
      <c r="BD687" s="25" t="s">
        <v>13164</v>
      </c>
      <c r="BE687" s="25" t="s">
        <v>189</v>
      </c>
      <c r="BF687" s="29">
        <v>1.8</v>
      </c>
      <c r="BG687" s="25" t="s">
        <v>190</v>
      </c>
      <c r="BH687" s="25" t="s">
        <v>166</v>
      </c>
      <c r="BI687" s="25" t="s">
        <v>166</v>
      </c>
      <c r="BJ687" s="29" t="s">
        <v>166</v>
      </c>
      <c r="BK687" s="29" t="s">
        <v>166</v>
      </c>
      <c r="BL687" s="25" t="s">
        <v>191</v>
      </c>
      <c r="BM687" s="25" t="s">
        <v>178</v>
      </c>
      <c r="BN687" s="25" t="s">
        <v>177</v>
      </c>
      <c r="BO687" s="33" t="s">
        <v>166</v>
      </c>
      <c r="BP687" s="25" t="s">
        <v>13161</v>
      </c>
      <c r="BQ687" s="32">
        <v>1</v>
      </c>
      <c r="BR687" s="25" t="s">
        <v>166</v>
      </c>
      <c r="BS687" s="32" t="s">
        <v>166</v>
      </c>
      <c r="BT687" s="25" t="s">
        <v>13161</v>
      </c>
      <c r="BU687" s="25" t="s">
        <v>166</v>
      </c>
      <c r="BV687" s="25" t="s">
        <v>166</v>
      </c>
      <c r="BW687" s="25" t="s">
        <v>166</v>
      </c>
      <c r="BX687" s="25" t="s">
        <v>166</v>
      </c>
      <c r="BY687" s="25" t="s">
        <v>166</v>
      </c>
      <c r="BZ687" s="25" t="s">
        <v>166</v>
      </c>
      <c r="CA687" s="25" t="s">
        <v>166</v>
      </c>
      <c r="CB687" s="25" t="s">
        <v>166</v>
      </c>
      <c r="CC687" s="25" t="s">
        <v>166</v>
      </c>
      <c r="CD687" s="25" t="s">
        <v>166</v>
      </c>
      <c r="CE687" s="29" t="s">
        <v>166</v>
      </c>
      <c r="CF687" s="27" t="s">
        <v>166</v>
      </c>
      <c r="CG687" s="28" t="s">
        <v>166</v>
      </c>
      <c r="CH687" s="27" t="s">
        <v>166</v>
      </c>
      <c r="CI687" s="27" t="s">
        <v>166</v>
      </c>
      <c r="CJ687" s="27" t="s">
        <v>166</v>
      </c>
      <c r="CK687" s="27" t="s">
        <v>166</v>
      </c>
      <c r="CL687" s="27" t="s">
        <v>166</v>
      </c>
      <c r="CM687" s="31" t="s">
        <v>166</v>
      </c>
      <c r="CN687" s="27" t="s">
        <v>166</v>
      </c>
      <c r="CO687" s="27" t="s">
        <v>166</v>
      </c>
      <c r="CP687" s="27" t="s">
        <v>166</v>
      </c>
      <c r="CQ687" s="27" t="s">
        <v>166</v>
      </c>
      <c r="CR687" s="27" t="s">
        <v>166</v>
      </c>
      <c r="CS687" s="27" t="s">
        <v>166</v>
      </c>
      <c r="CT687" s="27" t="s">
        <v>166</v>
      </c>
      <c r="CU687" s="27" t="s">
        <v>166</v>
      </c>
      <c r="CV687" s="27" t="s">
        <v>166</v>
      </c>
      <c r="CW687" s="27" t="s">
        <v>166</v>
      </c>
      <c r="CX687" s="27" t="s">
        <v>166</v>
      </c>
      <c r="CY687" s="27" t="s">
        <v>166</v>
      </c>
      <c r="CZ687" s="27" t="s">
        <v>166</v>
      </c>
      <c r="DA687" s="27" t="s">
        <v>166</v>
      </c>
      <c r="DB687" s="27" t="s">
        <v>166</v>
      </c>
      <c r="DC687" s="27" t="s">
        <v>166</v>
      </c>
      <c r="DD687" s="27" t="s">
        <v>166</v>
      </c>
      <c r="DE687" s="28" t="s">
        <v>166</v>
      </c>
      <c r="DF687" s="33">
        <v>44</v>
      </c>
      <c r="DG687" s="25" t="s">
        <v>2122</v>
      </c>
      <c r="DH687" s="25" t="s">
        <v>193</v>
      </c>
      <c r="DI687" s="25" t="s">
        <v>194</v>
      </c>
      <c r="DJ687" s="25" t="s">
        <v>2123</v>
      </c>
      <c r="DK687" s="25" t="s">
        <v>2124</v>
      </c>
      <c r="DL687" s="32" t="s">
        <v>13173</v>
      </c>
      <c r="DM687" s="25" t="s">
        <v>198</v>
      </c>
      <c r="DN687" s="24" t="s">
        <v>13174</v>
      </c>
      <c r="DO687" s="31">
        <v>2018</v>
      </c>
      <c r="DP687" s="25" t="s">
        <v>166</v>
      </c>
      <c r="DQ687" s="25" t="s">
        <v>166</v>
      </c>
      <c r="DR687" s="29" t="s">
        <v>166</v>
      </c>
      <c r="DS687" s="27" t="s">
        <v>166</v>
      </c>
      <c r="DT687" s="30" t="s">
        <v>166</v>
      </c>
      <c r="DU687" s="25" t="s">
        <v>166</v>
      </c>
      <c r="DV687" s="29" t="s">
        <v>166</v>
      </c>
      <c r="DW687" s="29" t="s">
        <v>166</v>
      </c>
      <c r="DX687" s="27" t="s">
        <v>166</v>
      </c>
      <c r="DY687" s="27" t="s">
        <v>166</v>
      </c>
      <c r="DZ687" s="28" t="s">
        <v>166</v>
      </c>
      <c r="EA687" s="27" t="s">
        <v>166</v>
      </c>
      <c r="EB687" s="27" t="s">
        <v>166</v>
      </c>
      <c r="EC687" s="27" t="s">
        <v>166</v>
      </c>
      <c r="ED687" s="28" t="s">
        <v>166</v>
      </c>
      <c r="EE687" s="28" t="s">
        <v>166</v>
      </c>
      <c r="EF687" s="28" t="s">
        <v>166</v>
      </c>
      <c r="EG687" s="28" t="s">
        <v>166</v>
      </c>
      <c r="EH687" s="27" t="s">
        <v>166</v>
      </c>
      <c r="EI687" s="27" t="s">
        <v>166</v>
      </c>
      <c r="EJ687" s="27" t="s">
        <v>166</v>
      </c>
      <c r="EK687" s="27" t="s">
        <v>166</v>
      </c>
      <c r="EL687" s="27" t="s">
        <v>166</v>
      </c>
      <c r="EM687" s="27" t="s">
        <v>166</v>
      </c>
      <c r="EN687" s="27" t="s">
        <v>166</v>
      </c>
      <c r="EO687" s="27" t="s">
        <v>166</v>
      </c>
      <c r="EP687" s="27" t="s">
        <v>166</v>
      </c>
      <c r="EQ687" s="27" t="s">
        <v>166</v>
      </c>
      <c r="ER687" s="27" t="s">
        <v>166</v>
      </c>
      <c r="ES687" s="27" t="s">
        <v>166</v>
      </c>
      <c r="ET687" s="25" t="s">
        <v>166</v>
      </c>
      <c r="EU687" s="27" t="s">
        <v>166</v>
      </c>
      <c r="EV687" s="27" t="s">
        <v>166</v>
      </c>
      <c r="EW687" s="27" t="s">
        <v>166</v>
      </c>
      <c r="EX687" s="25" t="s">
        <v>190</v>
      </c>
      <c r="EY687" s="25" t="s">
        <v>166</v>
      </c>
      <c r="EZ687" s="27" t="s">
        <v>166</v>
      </c>
      <c r="FA687" s="26" t="s">
        <v>166</v>
      </c>
      <c r="FB687" s="26" t="s">
        <v>166</v>
      </c>
      <c r="FC687" s="26" t="s">
        <v>166</v>
      </c>
      <c r="FD687" s="26" t="s">
        <v>166</v>
      </c>
      <c r="FE687" s="26" t="s">
        <v>166</v>
      </c>
      <c r="FF687" s="26" t="s">
        <v>166</v>
      </c>
      <c r="FG687" s="25" t="s">
        <v>166</v>
      </c>
      <c r="FH687" s="4">
        <f>HYPERLINK("https://my.pitchbook.com?c=249884-11T","View Company Online")</f>
      </c>
    </row>
    <row r="688">
      <c r="A688" s="14" t="s">
        <v>13175</v>
      </c>
      <c r="B688" s="14" t="s">
        <v>13176</v>
      </c>
      <c r="C688" s="14" t="s">
        <v>13177</v>
      </c>
      <c r="D688" s="14" t="s">
        <v>166</v>
      </c>
      <c r="E688" s="23" t="s">
        <v>13178</v>
      </c>
      <c r="F688" s="21">
        <v>8</v>
      </c>
      <c r="G688" s="14" t="s">
        <v>13179</v>
      </c>
      <c r="H688" s="14" t="s">
        <v>166</v>
      </c>
      <c r="I688" s="14" t="s">
        <v>13180</v>
      </c>
      <c r="J688" s="14" t="s">
        <v>13181</v>
      </c>
      <c r="K688" s="14" t="s">
        <v>207</v>
      </c>
      <c r="L688" s="14" t="s">
        <v>208</v>
      </c>
      <c r="M688" s="14" t="s">
        <v>209</v>
      </c>
      <c r="N688" s="14" t="s">
        <v>269</v>
      </c>
      <c r="O688" s="14" t="s">
        <v>4926</v>
      </c>
      <c r="P688" s="14" t="s">
        <v>13182</v>
      </c>
      <c r="Q688" s="14" t="s">
        <v>166</v>
      </c>
      <c r="R688" s="14" t="s">
        <v>177</v>
      </c>
      <c r="S688" s="14" t="s">
        <v>178</v>
      </c>
      <c r="T688" s="14" t="s">
        <v>179</v>
      </c>
      <c r="U688" s="14" t="s">
        <v>13183</v>
      </c>
      <c r="V688" s="14" t="s">
        <v>13184</v>
      </c>
      <c r="W688" s="21" t="s">
        <v>166</v>
      </c>
      <c r="X688" s="14" t="s">
        <v>13185</v>
      </c>
      <c r="Y688" s="14" t="s">
        <v>13186</v>
      </c>
      <c r="Z688" s="14" t="s">
        <v>166</v>
      </c>
      <c r="AA688" s="14" t="s">
        <v>242</v>
      </c>
      <c r="AB688" s="14" t="s">
        <v>243</v>
      </c>
      <c r="AC688" s="14" t="s">
        <v>244</v>
      </c>
      <c r="AD688" s="14" t="s">
        <v>243</v>
      </c>
      <c r="AE688" s="14" t="s">
        <v>243</v>
      </c>
      <c r="AF688" s="14" t="s">
        <v>166</v>
      </c>
      <c r="AG688" s="14" t="s">
        <v>246</v>
      </c>
      <c r="AH688" s="21">
        <v>1</v>
      </c>
      <c r="AI688" s="3">
        <f>HYPERLINK("https://my.pitchbook.com/?d=178771-78T","178771-78T")</f>
      </c>
      <c r="AJ688" s="19">
        <v>44378</v>
      </c>
      <c r="AK688" s="19">
        <v>44609</v>
      </c>
      <c r="AL688" s="18">
        <v>6</v>
      </c>
      <c r="AM688" s="14" t="s">
        <v>185</v>
      </c>
      <c r="AN688" s="18" t="s">
        <v>166</v>
      </c>
      <c r="AO688" s="18" t="s">
        <v>166</v>
      </c>
      <c r="AP688" s="14" t="s">
        <v>166</v>
      </c>
      <c r="AQ688" s="21" t="s">
        <v>166</v>
      </c>
      <c r="AR688" s="21" t="s">
        <v>166</v>
      </c>
      <c r="AS688" s="17" t="s">
        <v>166</v>
      </c>
      <c r="AT688" s="18">
        <v>6</v>
      </c>
      <c r="AU688" s="21" t="s">
        <v>186</v>
      </c>
      <c r="AV688" s="21" t="s">
        <v>166</v>
      </c>
      <c r="AW688" s="18" t="s">
        <v>166</v>
      </c>
      <c r="AX688" s="21" t="s">
        <v>166</v>
      </c>
      <c r="AY688" s="14" t="s">
        <v>217</v>
      </c>
      <c r="AZ688" s="14" t="s">
        <v>217</v>
      </c>
      <c r="BA688" s="14" t="s">
        <v>166</v>
      </c>
      <c r="BB688" s="21" t="s">
        <v>166</v>
      </c>
      <c r="BC688" s="14" t="s">
        <v>179</v>
      </c>
      <c r="BD688" s="14" t="s">
        <v>13187</v>
      </c>
      <c r="BE688" s="14" t="s">
        <v>189</v>
      </c>
      <c r="BF688" s="18">
        <v>6</v>
      </c>
      <c r="BG688" s="14" t="s">
        <v>190</v>
      </c>
      <c r="BH688" s="14" t="s">
        <v>166</v>
      </c>
      <c r="BI688" s="14" t="s">
        <v>166</v>
      </c>
      <c r="BJ688" s="18" t="s">
        <v>166</v>
      </c>
      <c r="BK688" s="18" t="s">
        <v>166</v>
      </c>
      <c r="BL688" s="14" t="s">
        <v>191</v>
      </c>
      <c r="BM688" s="14" t="s">
        <v>178</v>
      </c>
      <c r="BN688" s="14" t="s">
        <v>177</v>
      </c>
      <c r="BO688" s="22">
        <v>50</v>
      </c>
      <c r="BP688" s="14" t="s">
        <v>13188</v>
      </c>
      <c r="BQ688" s="21">
        <v>8</v>
      </c>
      <c r="BR688" s="14" t="s">
        <v>166</v>
      </c>
      <c r="BS688" s="21" t="s">
        <v>166</v>
      </c>
      <c r="BT688" s="14" t="s">
        <v>166</v>
      </c>
      <c r="BU688" s="14" t="s">
        <v>166</v>
      </c>
      <c r="BV688" s="14" t="s">
        <v>13189</v>
      </c>
      <c r="BW688" s="14" t="s">
        <v>166</v>
      </c>
      <c r="BX688" s="14" t="s">
        <v>166</v>
      </c>
      <c r="BY688" s="14" t="s">
        <v>166</v>
      </c>
      <c r="BZ688" s="14" t="s">
        <v>13190</v>
      </c>
      <c r="CA688" s="14" t="s">
        <v>13190</v>
      </c>
      <c r="CB688" s="14" t="s">
        <v>166</v>
      </c>
      <c r="CC688" s="14" t="s">
        <v>166</v>
      </c>
      <c r="CD688" s="14" t="s">
        <v>166</v>
      </c>
      <c r="CE688" s="18" t="s">
        <v>166</v>
      </c>
      <c r="CF688" s="16" t="s">
        <v>166</v>
      </c>
      <c r="CG688" s="17" t="s">
        <v>166</v>
      </c>
      <c r="CH688" s="16" t="s">
        <v>166</v>
      </c>
      <c r="CI688" s="16" t="s">
        <v>166</v>
      </c>
      <c r="CJ688" s="16" t="s">
        <v>166</v>
      </c>
      <c r="CK688" s="16" t="s">
        <v>166</v>
      </c>
      <c r="CL688" s="16" t="s">
        <v>166</v>
      </c>
      <c r="CM688" s="20" t="s">
        <v>166</v>
      </c>
      <c r="CN688" s="16" t="s">
        <v>166</v>
      </c>
      <c r="CO688" s="16" t="s">
        <v>166</v>
      </c>
      <c r="CP688" s="16" t="s">
        <v>166</v>
      </c>
      <c r="CQ688" s="16" t="s">
        <v>166</v>
      </c>
      <c r="CR688" s="16" t="s">
        <v>166</v>
      </c>
      <c r="CS688" s="16" t="s">
        <v>166</v>
      </c>
      <c r="CT688" s="16" t="s">
        <v>166</v>
      </c>
      <c r="CU688" s="16" t="s">
        <v>166</v>
      </c>
      <c r="CV688" s="16" t="s">
        <v>166</v>
      </c>
      <c r="CW688" s="16" t="s">
        <v>166</v>
      </c>
      <c r="CX688" s="16" t="s">
        <v>166</v>
      </c>
      <c r="CY688" s="16" t="s">
        <v>166</v>
      </c>
      <c r="CZ688" s="16" t="s">
        <v>166</v>
      </c>
      <c r="DA688" s="16" t="s">
        <v>166</v>
      </c>
      <c r="DB688" s="16" t="s">
        <v>166</v>
      </c>
      <c r="DC688" s="16" t="s">
        <v>166</v>
      </c>
      <c r="DD688" s="16" t="s">
        <v>166</v>
      </c>
      <c r="DE688" s="17" t="s">
        <v>166</v>
      </c>
      <c r="DF688" s="22">
        <v>61</v>
      </c>
      <c r="DG688" s="14" t="s">
        <v>1540</v>
      </c>
      <c r="DH688" s="14" t="s">
        <v>193</v>
      </c>
      <c r="DI688" s="14" t="s">
        <v>194</v>
      </c>
      <c r="DJ688" s="14" t="s">
        <v>1541</v>
      </c>
      <c r="DK688" s="14" t="s">
        <v>257</v>
      </c>
      <c r="DL688" s="21" t="s">
        <v>13191</v>
      </c>
      <c r="DM688" s="14" t="s">
        <v>198</v>
      </c>
      <c r="DN688" s="13" t="s">
        <v>13192</v>
      </c>
      <c r="DO688" s="20">
        <v>2021</v>
      </c>
      <c r="DP688" s="14" t="s">
        <v>166</v>
      </c>
      <c r="DQ688" s="14" t="s">
        <v>166</v>
      </c>
      <c r="DR688" s="18" t="s">
        <v>166</v>
      </c>
      <c r="DS688" s="16" t="s">
        <v>166</v>
      </c>
      <c r="DT688" s="19" t="s">
        <v>166</v>
      </c>
      <c r="DU688" s="14" t="s">
        <v>166</v>
      </c>
      <c r="DV688" s="18" t="s">
        <v>166</v>
      </c>
      <c r="DW688" s="18" t="s">
        <v>166</v>
      </c>
      <c r="DX688" s="16" t="s">
        <v>166</v>
      </c>
      <c r="DY688" s="16" t="s">
        <v>166</v>
      </c>
      <c r="DZ688" s="17" t="s">
        <v>166</v>
      </c>
      <c r="EA688" s="16" t="s">
        <v>166</v>
      </c>
      <c r="EB688" s="16" t="s">
        <v>166</v>
      </c>
      <c r="EC688" s="16" t="s">
        <v>166</v>
      </c>
      <c r="ED688" s="17" t="s">
        <v>166</v>
      </c>
      <c r="EE688" s="17" t="s">
        <v>166</v>
      </c>
      <c r="EF688" s="17" t="s">
        <v>166</v>
      </c>
      <c r="EG688" s="17" t="s">
        <v>166</v>
      </c>
      <c r="EH688" s="16" t="s">
        <v>166</v>
      </c>
      <c r="EI688" s="16" t="s">
        <v>166</v>
      </c>
      <c r="EJ688" s="16" t="s">
        <v>166</v>
      </c>
      <c r="EK688" s="16" t="s">
        <v>166</v>
      </c>
      <c r="EL688" s="16" t="s">
        <v>166</v>
      </c>
      <c r="EM688" s="16" t="s">
        <v>166</v>
      </c>
      <c r="EN688" s="16" t="s">
        <v>166</v>
      </c>
      <c r="EO688" s="16" t="s">
        <v>166</v>
      </c>
      <c r="EP688" s="16" t="s">
        <v>166</v>
      </c>
      <c r="EQ688" s="16" t="s">
        <v>166</v>
      </c>
      <c r="ER688" s="16" t="s">
        <v>166</v>
      </c>
      <c r="ES688" s="16" t="s">
        <v>166</v>
      </c>
      <c r="ET688" s="14" t="s">
        <v>166</v>
      </c>
      <c r="EU688" s="16" t="s">
        <v>166</v>
      </c>
      <c r="EV688" s="16" t="s">
        <v>166</v>
      </c>
      <c r="EW688" s="16" t="s">
        <v>166</v>
      </c>
      <c r="EX688" s="14" t="s">
        <v>190</v>
      </c>
      <c r="EY688" s="14" t="s">
        <v>166</v>
      </c>
      <c r="EZ688" s="16" t="s">
        <v>166</v>
      </c>
      <c r="FA688" s="15" t="s">
        <v>166</v>
      </c>
      <c r="FB688" s="15" t="s">
        <v>166</v>
      </c>
      <c r="FC688" s="15" t="s">
        <v>166</v>
      </c>
      <c r="FD688" s="15" t="s">
        <v>166</v>
      </c>
      <c r="FE688" s="15" t="s">
        <v>166</v>
      </c>
      <c r="FF688" s="15" t="s">
        <v>166</v>
      </c>
      <c r="FG688" s="14" t="s">
        <v>166</v>
      </c>
      <c r="FH688" s="3">
        <f>HYPERLINK("https://my.pitchbook.com?c=178771-78T","View Company Online")</f>
      </c>
    </row>
    <row r="689">
      <c r="A689" s="25" t="s">
        <v>13193</v>
      </c>
      <c r="B689" s="25" t="s">
        <v>13194</v>
      </c>
      <c r="C689" s="25" t="s">
        <v>13195</v>
      </c>
      <c r="D689" s="25" t="s">
        <v>166</v>
      </c>
      <c r="E689" s="34" t="s">
        <v>13196</v>
      </c>
      <c r="F689" s="32">
        <v>11</v>
      </c>
      <c r="G689" s="25" t="s">
        <v>13197</v>
      </c>
      <c r="H689" s="25" t="s">
        <v>166</v>
      </c>
      <c r="I689" s="25" t="s">
        <v>13198</v>
      </c>
      <c r="J689" s="25" t="s">
        <v>13199</v>
      </c>
      <c r="K689" s="25" t="s">
        <v>207</v>
      </c>
      <c r="L689" s="25" t="s">
        <v>208</v>
      </c>
      <c r="M689" s="25" t="s">
        <v>209</v>
      </c>
      <c r="N689" s="25" t="s">
        <v>1359</v>
      </c>
      <c r="O689" s="25" t="s">
        <v>580</v>
      </c>
      <c r="P689" s="25" t="s">
        <v>13200</v>
      </c>
      <c r="Q689" s="25" t="s">
        <v>166</v>
      </c>
      <c r="R689" s="25" t="s">
        <v>177</v>
      </c>
      <c r="S689" s="25" t="s">
        <v>178</v>
      </c>
      <c r="T689" s="25" t="s">
        <v>179</v>
      </c>
      <c r="U689" s="25" t="s">
        <v>13201</v>
      </c>
      <c r="V689" s="25" t="s">
        <v>13202</v>
      </c>
      <c r="W689" s="32" t="s">
        <v>166</v>
      </c>
      <c r="X689" s="25" t="s">
        <v>166</v>
      </c>
      <c r="Y689" s="25" t="s">
        <v>13203</v>
      </c>
      <c r="Z689" s="25" t="s">
        <v>13204</v>
      </c>
      <c r="AA689" s="25" t="s">
        <v>166</v>
      </c>
      <c r="AB689" s="25" t="s">
        <v>166</v>
      </c>
      <c r="AC689" s="25" t="s">
        <v>166</v>
      </c>
      <c r="AD689" s="25" t="s">
        <v>166</v>
      </c>
      <c r="AE689" s="25" t="s">
        <v>166</v>
      </c>
      <c r="AF689" s="25" t="s">
        <v>166</v>
      </c>
      <c r="AG689" s="25" t="s">
        <v>166</v>
      </c>
      <c r="AH689" s="32">
        <v>1</v>
      </c>
      <c r="AI689" s="4">
        <f>HYPERLINK("https://my.pitchbook.com/?d=211179-70T","211179-70T")</f>
      </c>
      <c r="AJ689" s="30" t="s">
        <v>166</v>
      </c>
      <c r="AK689" s="30">
        <v>44835</v>
      </c>
      <c r="AL689" s="29">
        <v>1</v>
      </c>
      <c r="AM689" s="25" t="s">
        <v>185</v>
      </c>
      <c r="AN689" s="29">
        <v>7</v>
      </c>
      <c r="AO689" s="29">
        <v>8</v>
      </c>
      <c r="AP689" s="25" t="s">
        <v>185</v>
      </c>
      <c r="AQ689" s="32" t="s">
        <v>166</v>
      </c>
      <c r="AR689" s="32" t="s">
        <v>166</v>
      </c>
      <c r="AS689" s="28">
        <v>12.5</v>
      </c>
      <c r="AT689" s="29">
        <v>1</v>
      </c>
      <c r="AU689" s="32" t="s">
        <v>186</v>
      </c>
      <c r="AV689" s="32" t="s">
        <v>166</v>
      </c>
      <c r="AW689" s="29" t="s">
        <v>166</v>
      </c>
      <c r="AX689" s="32" t="s">
        <v>166</v>
      </c>
      <c r="AY689" s="25" t="s">
        <v>187</v>
      </c>
      <c r="AZ689" s="25" t="s">
        <v>166</v>
      </c>
      <c r="BA689" s="25" t="s">
        <v>166</v>
      </c>
      <c r="BB689" s="32" t="s">
        <v>166</v>
      </c>
      <c r="BC689" s="25" t="s">
        <v>179</v>
      </c>
      <c r="BD689" s="25" t="s">
        <v>13205</v>
      </c>
      <c r="BE689" s="25" t="s">
        <v>189</v>
      </c>
      <c r="BF689" s="29">
        <v>1</v>
      </c>
      <c r="BG689" s="25" t="s">
        <v>190</v>
      </c>
      <c r="BH689" s="25" t="s">
        <v>166</v>
      </c>
      <c r="BI689" s="25" t="s">
        <v>166</v>
      </c>
      <c r="BJ689" s="29" t="s">
        <v>166</v>
      </c>
      <c r="BK689" s="29" t="s">
        <v>166</v>
      </c>
      <c r="BL689" s="25" t="s">
        <v>191</v>
      </c>
      <c r="BM689" s="25" t="s">
        <v>178</v>
      </c>
      <c r="BN689" s="25" t="s">
        <v>177</v>
      </c>
      <c r="BO689" s="33" t="s">
        <v>166</v>
      </c>
      <c r="BP689" s="25" t="s">
        <v>13206</v>
      </c>
      <c r="BQ689" s="32">
        <v>11</v>
      </c>
      <c r="BR689" s="25" t="s">
        <v>166</v>
      </c>
      <c r="BS689" s="32" t="s">
        <v>166</v>
      </c>
      <c r="BT689" s="25" t="s">
        <v>166</v>
      </c>
      <c r="BU689" s="25" t="s">
        <v>166</v>
      </c>
      <c r="BV689" s="25" t="s">
        <v>166</v>
      </c>
      <c r="BW689" s="25" t="s">
        <v>166</v>
      </c>
      <c r="BX689" s="25" t="s">
        <v>166</v>
      </c>
      <c r="BY689" s="25" t="s">
        <v>166</v>
      </c>
      <c r="BZ689" s="25" t="s">
        <v>166</v>
      </c>
      <c r="CA689" s="25" t="s">
        <v>166</v>
      </c>
      <c r="CB689" s="25" t="s">
        <v>166</v>
      </c>
      <c r="CC689" s="25" t="s">
        <v>166</v>
      </c>
      <c r="CD689" s="25" t="s">
        <v>166</v>
      </c>
      <c r="CE689" s="29" t="s">
        <v>166</v>
      </c>
      <c r="CF689" s="27" t="s">
        <v>166</v>
      </c>
      <c r="CG689" s="28" t="s">
        <v>166</v>
      </c>
      <c r="CH689" s="27" t="s">
        <v>166</v>
      </c>
      <c r="CI689" s="27" t="s">
        <v>166</v>
      </c>
      <c r="CJ689" s="27" t="s">
        <v>166</v>
      </c>
      <c r="CK689" s="27" t="s">
        <v>166</v>
      </c>
      <c r="CL689" s="27" t="s">
        <v>166</v>
      </c>
      <c r="CM689" s="31" t="s">
        <v>166</v>
      </c>
      <c r="CN689" s="27" t="s">
        <v>166</v>
      </c>
      <c r="CO689" s="27" t="s">
        <v>166</v>
      </c>
      <c r="CP689" s="27" t="s">
        <v>166</v>
      </c>
      <c r="CQ689" s="27" t="s">
        <v>166</v>
      </c>
      <c r="CR689" s="27" t="s">
        <v>166</v>
      </c>
      <c r="CS689" s="27" t="s">
        <v>166</v>
      </c>
      <c r="CT689" s="27" t="s">
        <v>166</v>
      </c>
      <c r="CU689" s="27" t="s">
        <v>166</v>
      </c>
      <c r="CV689" s="27" t="s">
        <v>166</v>
      </c>
      <c r="CW689" s="27" t="s">
        <v>166</v>
      </c>
      <c r="CX689" s="27" t="s">
        <v>166</v>
      </c>
      <c r="CY689" s="27" t="s">
        <v>166</v>
      </c>
      <c r="CZ689" s="27" t="s">
        <v>166</v>
      </c>
      <c r="DA689" s="27" t="s">
        <v>166</v>
      </c>
      <c r="DB689" s="27" t="s">
        <v>166</v>
      </c>
      <c r="DC689" s="27" t="s">
        <v>166</v>
      </c>
      <c r="DD689" s="27" t="s">
        <v>166</v>
      </c>
      <c r="DE689" s="28" t="s">
        <v>166</v>
      </c>
      <c r="DF689" s="33">
        <v>8</v>
      </c>
      <c r="DG689" s="25" t="s">
        <v>673</v>
      </c>
      <c r="DH689" s="25" t="s">
        <v>193</v>
      </c>
      <c r="DI689" s="25" t="s">
        <v>194</v>
      </c>
      <c r="DJ689" s="25" t="s">
        <v>674</v>
      </c>
      <c r="DK689" s="25" t="s">
        <v>257</v>
      </c>
      <c r="DL689" s="32" t="s">
        <v>8507</v>
      </c>
      <c r="DM689" s="25" t="s">
        <v>198</v>
      </c>
      <c r="DN689" s="24" t="s">
        <v>13207</v>
      </c>
      <c r="DO689" s="31">
        <v>2022</v>
      </c>
      <c r="DP689" s="25" t="s">
        <v>166</v>
      </c>
      <c r="DQ689" s="25" t="s">
        <v>166</v>
      </c>
      <c r="DR689" s="29" t="s">
        <v>166</v>
      </c>
      <c r="DS689" s="27" t="s">
        <v>166</v>
      </c>
      <c r="DT689" s="30" t="s">
        <v>166</v>
      </c>
      <c r="DU689" s="25" t="s">
        <v>166</v>
      </c>
      <c r="DV689" s="29" t="s">
        <v>166</v>
      </c>
      <c r="DW689" s="29" t="s">
        <v>166</v>
      </c>
      <c r="DX689" s="27" t="s">
        <v>166</v>
      </c>
      <c r="DY689" s="27" t="s">
        <v>166</v>
      </c>
      <c r="DZ689" s="28" t="s">
        <v>166</v>
      </c>
      <c r="EA689" s="27" t="s">
        <v>166</v>
      </c>
      <c r="EB689" s="27" t="s">
        <v>166</v>
      </c>
      <c r="EC689" s="27" t="s">
        <v>166</v>
      </c>
      <c r="ED689" s="28" t="s">
        <v>166</v>
      </c>
      <c r="EE689" s="28" t="s">
        <v>166</v>
      </c>
      <c r="EF689" s="28" t="s">
        <v>166</v>
      </c>
      <c r="EG689" s="28" t="s">
        <v>166</v>
      </c>
      <c r="EH689" s="27" t="s">
        <v>166</v>
      </c>
      <c r="EI689" s="27" t="s">
        <v>166</v>
      </c>
      <c r="EJ689" s="27" t="s">
        <v>166</v>
      </c>
      <c r="EK689" s="27" t="s">
        <v>166</v>
      </c>
      <c r="EL689" s="27" t="s">
        <v>166</v>
      </c>
      <c r="EM689" s="27" t="s">
        <v>166</v>
      </c>
      <c r="EN689" s="27" t="s">
        <v>166</v>
      </c>
      <c r="EO689" s="27" t="s">
        <v>166</v>
      </c>
      <c r="EP689" s="27" t="s">
        <v>166</v>
      </c>
      <c r="EQ689" s="27" t="s">
        <v>166</v>
      </c>
      <c r="ER689" s="27" t="s">
        <v>166</v>
      </c>
      <c r="ES689" s="27" t="s">
        <v>166</v>
      </c>
      <c r="ET689" s="25" t="s">
        <v>166</v>
      </c>
      <c r="EU689" s="27" t="s">
        <v>166</v>
      </c>
      <c r="EV689" s="27" t="s">
        <v>166</v>
      </c>
      <c r="EW689" s="27" t="s">
        <v>166</v>
      </c>
      <c r="EX689" s="25" t="s">
        <v>190</v>
      </c>
      <c r="EY689" s="25" t="s">
        <v>166</v>
      </c>
      <c r="EZ689" s="27" t="s">
        <v>166</v>
      </c>
      <c r="FA689" s="26" t="s">
        <v>166</v>
      </c>
      <c r="FB689" s="26" t="s">
        <v>166</v>
      </c>
      <c r="FC689" s="26" t="s">
        <v>166</v>
      </c>
      <c r="FD689" s="26" t="s">
        <v>166</v>
      </c>
      <c r="FE689" s="26" t="s">
        <v>166</v>
      </c>
      <c r="FF689" s="26" t="s">
        <v>166</v>
      </c>
      <c r="FG689" s="25" t="s">
        <v>166</v>
      </c>
      <c r="FH689" s="4">
        <f>HYPERLINK("https://my.pitchbook.com?c=211179-70T","View Company Online")</f>
      </c>
    </row>
    <row r="690">
      <c r="A690" s="14" t="s">
        <v>13208</v>
      </c>
      <c r="B690" s="14" t="s">
        <v>13209</v>
      </c>
      <c r="C690" s="14" t="s">
        <v>13210</v>
      </c>
      <c r="D690" s="14" t="s">
        <v>166</v>
      </c>
      <c r="E690" s="23" t="s">
        <v>13211</v>
      </c>
      <c r="F690" s="21">
        <v>9</v>
      </c>
      <c r="G690" s="14" t="s">
        <v>13212</v>
      </c>
      <c r="H690" s="14" t="s">
        <v>166</v>
      </c>
      <c r="I690" s="14" t="s">
        <v>13213</v>
      </c>
      <c r="J690" s="14" t="s">
        <v>13214</v>
      </c>
      <c r="K690" s="14" t="s">
        <v>207</v>
      </c>
      <c r="L690" s="14" t="s">
        <v>208</v>
      </c>
      <c r="M690" s="14" t="s">
        <v>209</v>
      </c>
      <c r="N690" s="14" t="s">
        <v>13215</v>
      </c>
      <c r="O690" s="14" t="s">
        <v>13216</v>
      </c>
      <c r="P690" s="14" t="s">
        <v>13217</v>
      </c>
      <c r="Q690" s="14" t="s">
        <v>166</v>
      </c>
      <c r="R690" s="14" t="s">
        <v>177</v>
      </c>
      <c r="S690" s="14" t="s">
        <v>178</v>
      </c>
      <c r="T690" s="14" t="s">
        <v>179</v>
      </c>
      <c r="U690" s="14" t="s">
        <v>13218</v>
      </c>
      <c r="V690" s="14" t="s">
        <v>13219</v>
      </c>
      <c r="W690" s="21" t="s">
        <v>13220</v>
      </c>
      <c r="X690" s="14" t="s">
        <v>13221</v>
      </c>
      <c r="Y690" s="14" t="s">
        <v>13222</v>
      </c>
      <c r="Z690" s="14" t="s">
        <v>13223</v>
      </c>
      <c r="AA690" s="14" t="s">
        <v>242</v>
      </c>
      <c r="AB690" s="14" t="s">
        <v>243</v>
      </c>
      <c r="AC690" s="14" t="s">
        <v>244</v>
      </c>
      <c r="AD690" s="14" t="s">
        <v>243</v>
      </c>
      <c r="AE690" s="14" t="s">
        <v>243</v>
      </c>
      <c r="AF690" s="14" t="s">
        <v>166</v>
      </c>
      <c r="AG690" s="14" t="s">
        <v>246</v>
      </c>
      <c r="AH690" s="21">
        <v>1</v>
      </c>
      <c r="AI690" s="3">
        <f>HYPERLINK("https://my.pitchbook.com/?d=182886-22T","182886-22T")</f>
      </c>
      <c r="AJ690" s="19" t="s">
        <v>166</v>
      </c>
      <c r="AK690" s="19">
        <v>44502</v>
      </c>
      <c r="AL690" s="18">
        <v>2.5</v>
      </c>
      <c r="AM690" s="14" t="s">
        <v>185</v>
      </c>
      <c r="AN690" s="18">
        <v>10</v>
      </c>
      <c r="AO690" s="18">
        <v>12.5</v>
      </c>
      <c r="AP690" s="14" t="s">
        <v>185</v>
      </c>
      <c r="AQ690" s="21" t="s">
        <v>166</v>
      </c>
      <c r="AR690" s="21" t="s">
        <v>166</v>
      </c>
      <c r="AS690" s="17">
        <v>27.48</v>
      </c>
      <c r="AT690" s="18">
        <v>2.5</v>
      </c>
      <c r="AU690" s="21" t="s">
        <v>186</v>
      </c>
      <c r="AV690" s="21" t="s">
        <v>166</v>
      </c>
      <c r="AW690" s="18">
        <v>0.64</v>
      </c>
      <c r="AX690" s="21" t="s">
        <v>166</v>
      </c>
      <c r="AY690" s="14" t="s">
        <v>217</v>
      </c>
      <c r="AZ690" s="14" t="s">
        <v>217</v>
      </c>
      <c r="BA690" s="14" t="s">
        <v>166</v>
      </c>
      <c r="BB690" s="21" t="s">
        <v>166</v>
      </c>
      <c r="BC690" s="14" t="s">
        <v>179</v>
      </c>
      <c r="BD690" s="14" t="s">
        <v>13224</v>
      </c>
      <c r="BE690" s="14" t="s">
        <v>189</v>
      </c>
      <c r="BF690" s="18">
        <v>2.5</v>
      </c>
      <c r="BG690" s="14" t="s">
        <v>190</v>
      </c>
      <c r="BH690" s="14" t="s">
        <v>166</v>
      </c>
      <c r="BI690" s="14" t="s">
        <v>166</v>
      </c>
      <c r="BJ690" s="18" t="s">
        <v>166</v>
      </c>
      <c r="BK690" s="18" t="s">
        <v>166</v>
      </c>
      <c r="BL690" s="14" t="s">
        <v>191</v>
      </c>
      <c r="BM690" s="14" t="s">
        <v>178</v>
      </c>
      <c r="BN690" s="14" t="s">
        <v>177</v>
      </c>
      <c r="BO690" s="22">
        <v>10</v>
      </c>
      <c r="BP690" s="14" t="s">
        <v>13225</v>
      </c>
      <c r="BQ690" s="21">
        <v>9</v>
      </c>
      <c r="BR690" s="14" t="s">
        <v>166</v>
      </c>
      <c r="BS690" s="21" t="s">
        <v>166</v>
      </c>
      <c r="BT690" s="14" t="s">
        <v>13226</v>
      </c>
      <c r="BU690" s="14" t="s">
        <v>166</v>
      </c>
      <c r="BV690" s="14" t="s">
        <v>13227</v>
      </c>
      <c r="BW690" s="14" t="s">
        <v>166</v>
      </c>
      <c r="BX690" s="14" t="s">
        <v>166</v>
      </c>
      <c r="BY690" s="14" t="s">
        <v>166</v>
      </c>
      <c r="BZ690" s="14" t="s">
        <v>996</v>
      </c>
      <c r="CA690" s="14" t="s">
        <v>996</v>
      </c>
      <c r="CB690" s="14" t="s">
        <v>166</v>
      </c>
      <c r="CC690" s="14" t="s">
        <v>166</v>
      </c>
      <c r="CD690" s="14" t="s">
        <v>166</v>
      </c>
      <c r="CE690" s="18" t="s">
        <v>166</v>
      </c>
      <c r="CF690" s="16" t="s">
        <v>166</v>
      </c>
      <c r="CG690" s="17" t="s">
        <v>166</v>
      </c>
      <c r="CH690" s="16" t="s">
        <v>166</v>
      </c>
      <c r="CI690" s="16" t="s">
        <v>166</v>
      </c>
      <c r="CJ690" s="16" t="s">
        <v>166</v>
      </c>
      <c r="CK690" s="16" t="s">
        <v>166</v>
      </c>
      <c r="CL690" s="16" t="s">
        <v>166</v>
      </c>
      <c r="CM690" s="20" t="s">
        <v>166</v>
      </c>
      <c r="CN690" s="16" t="s">
        <v>166</v>
      </c>
      <c r="CO690" s="16" t="s">
        <v>166</v>
      </c>
      <c r="CP690" s="16" t="s">
        <v>166</v>
      </c>
      <c r="CQ690" s="16" t="s">
        <v>166</v>
      </c>
      <c r="CR690" s="16" t="s">
        <v>166</v>
      </c>
      <c r="CS690" s="16" t="s">
        <v>166</v>
      </c>
      <c r="CT690" s="16" t="s">
        <v>166</v>
      </c>
      <c r="CU690" s="16" t="s">
        <v>166</v>
      </c>
      <c r="CV690" s="16" t="s">
        <v>166</v>
      </c>
      <c r="CW690" s="16" t="s">
        <v>166</v>
      </c>
      <c r="CX690" s="16" t="s">
        <v>166</v>
      </c>
      <c r="CY690" s="16" t="s">
        <v>166</v>
      </c>
      <c r="CZ690" s="16" t="s">
        <v>166</v>
      </c>
      <c r="DA690" s="16" t="s">
        <v>166</v>
      </c>
      <c r="DB690" s="16" t="s">
        <v>166</v>
      </c>
      <c r="DC690" s="16" t="s">
        <v>166</v>
      </c>
      <c r="DD690" s="16" t="s">
        <v>166</v>
      </c>
      <c r="DE690" s="17" t="s">
        <v>166</v>
      </c>
      <c r="DF690" s="22">
        <v>34</v>
      </c>
      <c r="DG690" s="14" t="s">
        <v>309</v>
      </c>
      <c r="DH690" s="14" t="s">
        <v>193</v>
      </c>
      <c r="DI690" s="14" t="s">
        <v>194</v>
      </c>
      <c r="DJ690" s="14" t="s">
        <v>310</v>
      </c>
      <c r="DK690" s="14" t="s">
        <v>310</v>
      </c>
      <c r="DL690" s="21" t="s">
        <v>1154</v>
      </c>
      <c r="DM690" s="14" t="s">
        <v>198</v>
      </c>
      <c r="DN690" s="13" t="s">
        <v>13228</v>
      </c>
      <c r="DO690" s="20">
        <v>2020</v>
      </c>
      <c r="DP690" s="14" t="s">
        <v>166</v>
      </c>
      <c r="DQ690" s="14" t="s">
        <v>166</v>
      </c>
      <c r="DR690" s="18" t="s">
        <v>166</v>
      </c>
      <c r="DS690" s="16" t="s">
        <v>166</v>
      </c>
      <c r="DT690" s="19" t="s">
        <v>166</v>
      </c>
      <c r="DU690" s="14" t="s">
        <v>166</v>
      </c>
      <c r="DV690" s="18" t="s">
        <v>166</v>
      </c>
      <c r="DW690" s="18" t="s">
        <v>166</v>
      </c>
      <c r="DX690" s="16" t="s">
        <v>166</v>
      </c>
      <c r="DY690" s="16" t="s">
        <v>166</v>
      </c>
      <c r="DZ690" s="17" t="s">
        <v>166</v>
      </c>
      <c r="EA690" s="16" t="s">
        <v>166</v>
      </c>
      <c r="EB690" s="16" t="s">
        <v>166</v>
      </c>
      <c r="EC690" s="16" t="s">
        <v>166</v>
      </c>
      <c r="ED690" s="17" t="s">
        <v>166</v>
      </c>
      <c r="EE690" s="17" t="s">
        <v>166</v>
      </c>
      <c r="EF690" s="17" t="s">
        <v>166</v>
      </c>
      <c r="EG690" s="17" t="s">
        <v>166</v>
      </c>
      <c r="EH690" s="16" t="s">
        <v>166</v>
      </c>
      <c r="EI690" s="16" t="s">
        <v>166</v>
      </c>
      <c r="EJ690" s="16" t="s">
        <v>166</v>
      </c>
      <c r="EK690" s="16" t="s">
        <v>166</v>
      </c>
      <c r="EL690" s="16" t="s">
        <v>166</v>
      </c>
      <c r="EM690" s="16" t="s">
        <v>166</v>
      </c>
      <c r="EN690" s="16" t="s">
        <v>166</v>
      </c>
      <c r="EO690" s="16" t="s">
        <v>166</v>
      </c>
      <c r="EP690" s="16" t="s">
        <v>166</v>
      </c>
      <c r="EQ690" s="16" t="s">
        <v>166</v>
      </c>
      <c r="ER690" s="16" t="s">
        <v>166</v>
      </c>
      <c r="ES690" s="16" t="s">
        <v>166</v>
      </c>
      <c r="ET690" s="14" t="s">
        <v>166</v>
      </c>
      <c r="EU690" s="16" t="s">
        <v>166</v>
      </c>
      <c r="EV690" s="16" t="s">
        <v>166</v>
      </c>
      <c r="EW690" s="16" t="s">
        <v>166</v>
      </c>
      <c r="EX690" s="14" t="s">
        <v>190</v>
      </c>
      <c r="EY690" s="14" t="s">
        <v>166</v>
      </c>
      <c r="EZ690" s="16" t="s">
        <v>166</v>
      </c>
      <c r="FA690" s="15" t="s">
        <v>166</v>
      </c>
      <c r="FB690" s="15" t="s">
        <v>166</v>
      </c>
      <c r="FC690" s="15" t="s">
        <v>166</v>
      </c>
      <c r="FD690" s="15" t="s">
        <v>166</v>
      </c>
      <c r="FE690" s="15" t="s">
        <v>166</v>
      </c>
      <c r="FF690" s="15" t="s">
        <v>166</v>
      </c>
      <c r="FG690" s="14" t="s">
        <v>166</v>
      </c>
      <c r="FH690" s="3">
        <f>HYPERLINK("https://my.pitchbook.com?c=182886-22T","View Company Online")</f>
      </c>
    </row>
    <row r="691">
      <c r="A691" s="25" t="s">
        <v>13229</v>
      </c>
      <c r="B691" s="25" t="s">
        <v>13230</v>
      </c>
      <c r="C691" s="25" t="s">
        <v>13231</v>
      </c>
      <c r="D691" s="25" t="s">
        <v>166</v>
      </c>
      <c r="E691" s="34" t="s">
        <v>9632</v>
      </c>
      <c r="F691" s="32">
        <v>1</v>
      </c>
      <c r="G691" s="25" t="s">
        <v>9633</v>
      </c>
      <c r="H691" s="25" t="s">
        <v>166</v>
      </c>
      <c r="I691" s="25" t="s">
        <v>13232</v>
      </c>
      <c r="J691" s="25" t="s">
        <v>13233</v>
      </c>
      <c r="K691" s="25" t="s">
        <v>1455</v>
      </c>
      <c r="L691" s="25" t="s">
        <v>1984</v>
      </c>
      <c r="M691" s="25" t="s">
        <v>1985</v>
      </c>
      <c r="N691" s="25" t="s">
        <v>13234</v>
      </c>
      <c r="O691" s="25" t="s">
        <v>13235</v>
      </c>
      <c r="P691" s="25" t="s">
        <v>13236</v>
      </c>
      <c r="Q691" s="25" t="s">
        <v>166</v>
      </c>
      <c r="R691" s="25" t="s">
        <v>177</v>
      </c>
      <c r="S691" s="25" t="s">
        <v>178</v>
      </c>
      <c r="T691" s="25" t="s">
        <v>179</v>
      </c>
      <c r="U691" s="25" t="s">
        <v>13237</v>
      </c>
      <c r="V691" s="25" t="s">
        <v>13238</v>
      </c>
      <c r="W691" s="32" t="s">
        <v>13239</v>
      </c>
      <c r="X691" s="25" t="s">
        <v>13240</v>
      </c>
      <c r="Y691" s="25" t="s">
        <v>13241</v>
      </c>
      <c r="Z691" s="25" t="s">
        <v>13242</v>
      </c>
      <c r="AA691" s="25" t="s">
        <v>166</v>
      </c>
      <c r="AB691" s="25" t="s">
        <v>166</v>
      </c>
      <c r="AC691" s="25" t="s">
        <v>166</v>
      </c>
      <c r="AD691" s="25" t="s">
        <v>166</v>
      </c>
      <c r="AE691" s="25" t="s">
        <v>166</v>
      </c>
      <c r="AF691" s="25" t="s">
        <v>166</v>
      </c>
      <c r="AG691" s="25" t="s">
        <v>166</v>
      </c>
      <c r="AH691" s="32">
        <v>1</v>
      </c>
      <c r="AI691" s="4">
        <f>HYPERLINK("https://my.pitchbook.com/?d=253831-06T","253831-06T")</f>
      </c>
      <c r="AJ691" s="30" t="s">
        <v>166</v>
      </c>
      <c r="AK691" s="30">
        <v>44588</v>
      </c>
      <c r="AL691" s="29">
        <v>1</v>
      </c>
      <c r="AM691" s="25" t="s">
        <v>185</v>
      </c>
      <c r="AN691" s="29" t="s">
        <v>166</v>
      </c>
      <c r="AO691" s="29" t="s">
        <v>166</v>
      </c>
      <c r="AP691" s="25" t="s">
        <v>166</v>
      </c>
      <c r="AQ691" s="32" t="s">
        <v>166</v>
      </c>
      <c r="AR691" s="32" t="s">
        <v>166</v>
      </c>
      <c r="AS691" s="28" t="s">
        <v>166</v>
      </c>
      <c r="AT691" s="29">
        <v>1</v>
      </c>
      <c r="AU691" s="32" t="s">
        <v>186</v>
      </c>
      <c r="AV691" s="32" t="s">
        <v>166</v>
      </c>
      <c r="AW691" s="29" t="s">
        <v>166</v>
      </c>
      <c r="AX691" s="32" t="s">
        <v>166</v>
      </c>
      <c r="AY691" s="25" t="s">
        <v>217</v>
      </c>
      <c r="AZ691" s="25" t="s">
        <v>217</v>
      </c>
      <c r="BA691" s="25" t="s">
        <v>166</v>
      </c>
      <c r="BB691" s="32" t="s">
        <v>166</v>
      </c>
      <c r="BC691" s="25" t="s">
        <v>179</v>
      </c>
      <c r="BD691" s="25" t="s">
        <v>13243</v>
      </c>
      <c r="BE691" s="25" t="s">
        <v>189</v>
      </c>
      <c r="BF691" s="29">
        <v>1</v>
      </c>
      <c r="BG691" s="25" t="s">
        <v>190</v>
      </c>
      <c r="BH691" s="25" t="s">
        <v>166</v>
      </c>
      <c r="BI691" s="25" t="s">
        <v>166</v>
      </c>
      <c r="BJ691" s="29" t="s">
        <v>166</v>
      </c>
      <c r="BK691" s="29" t="s">
        <v>166</v>
      </c>
      <c r="BL691" s="25" t="s">
        <v>191</v>
      </c>
      <c r="BM691" s="25" t="s">
        <v>358</v>
      </c>
      <c r="BN691" s="25" t="s">
        <v>177</v>
      </c>
      <c r="BO691" s="33" t="s">
        <v>166</v>
      </c>
      <c r="BP691" s="25" t="s">
        <v>9632</v>
      </c>
      <c r="BQ691" s="32">
        <v>1</v>
      </c>
      <c r="BR691" s="25" t="s">
        <v>166</v>
      </c>
      <c r="BS691" s="32" t="s">
        <v>166</v>
      </c>
      <c r="BT691" s="25" t="s">
        <v>166</v>
      </c>
      <c r="BU691" s="25" t="s">
        <v>166</v>
      </c>
      <c r="BV691" s="25" t="s">
        <v>166</v>
      </c>
      <c r="BW691" s="25" t="s">
        <v>166</v>
      </c>
      <c r="BX691" s="25" t="s">
        <v>166</v>
      </c>
      <c r="BY691" s="25" t="s">
        <v>166</v>
      </c>
      <c r="BZ691" s="25" t="s">
        <v>166</v>
      </c>
      <c r="CA691" s="25" t="s">
        <v>166</v>
      </c>
      <c r="CB691" s="25" t="s">
        <v>166</v>
      </c>
      <c r="CC691" s="25" t="s">
        <v>166</v>
      </c>
      <c r="CD691" s="25" t="s">
        <v>166</v>
      </c>
      <c r="CE691" s="29" t="s">
        <v>166</v>
      </c>
      <c r="CF691" s="27" t="s">
        <v>166</v>
      </c>
      <c r="CG691" s="28" t="s">
        <v>166</v>
      </c>
      <c r="CH691" s="27" t="s">
        <v>166</v>
      </c>
      <c r="CI691" s="27" t="s">
        <v>166</v>
      </c>
      <c r="CJ691" s="27" t="s">
        <v>166</v>
      </c>
      <c r="CK691" s="27" t="s">
        <v>166</v>
      </c>
      <c r="CL691" s="27" t="s">
        <v>166</v>
      </c>
      <c r="CM691" s="31" t="s">
        <v>166</v>
      </c>
      <c r="CN691" s="27" t="s">
        <v>166</v>
      </c>
      <c r="CO691" s="27" t="s">
        <v>166</v>
      </c>
      <c r="CP691" s="27" t="s">
        <v>166</v>
      </c>
      <c r="CQ691" s="27" t="s">
        <v>166</v>
      </c>
      <c r="CR691" s="27" t="s">
        <v>166</v>
      </c>
      <c r="CS691" s="27" t="s">
        <v>166</v>
      </c>
      <c r="CT691" s="27" t="s">
        <v>166</v>
      </c>
      <c r="CU691" s="27" t="s">
        <v>166</v>
      </c>
      <c r="CV691" s="27" t="s">
        <v>166</v>
      </c>
      <c r="CW691" s="27" t="s">
        <v>166</v>
      </c>
      <c r="CX691" s="27" t="s">
        <v>166</v>
      </c>
      <c r="CY691" s="27" t="s">
        <v>166</v>
      </c>
      <c r="CZ691" s="27" t="s">
        <v>166</v>
      </c>
      <c r="DA691" s="27" t="s">
        <v>166</v>
      </c>
      <c r="DB691" s="27" t="s">
        <v>166</v>
      </c>
      <c r="DC691" s="27" t="s">
        <v>166</v>
      </c>
      <c r="DD691" s="27" t="s">
        <v>166</v>
      </c>
      <c r="DE691" s="28" t="s">
        <v>166</v>
      </c>
      <c r="DF691" s="33">
        <v>31</v>
      </c>
      <c r="DG691" s="25" t="s">
        <v>309</v>
      </c>
      <c r="DH691" s="25" t="s">
        <v>193</v>
      </c>
      <c r="DI691" s="25" t="s">
        <v>194</v>
      </c>
      <c r="DJ691" s="25" t="s">
        <v>310</v>
      </c>
      <c r="DK691" s="25" t="s">
        <v>310</v>
      </c>
      <c r="DL691" s="32" t="s">
        <v>1910</v>
      </c>
      <c r="DM691" s="25" t="s">
        <v>198</v>
      </c>
      <c r="DN691" s="24" t="s">
        <v>13244</v>
      </c>
      <c r="DO691" s="31">
        <v>2021</v>
      </c>
      <c r="DP691" s="25" t="s">
        <v>166</v>
      </c>
      <c r="DQ691" s="25" t="s">
        <v>166</v>
      </c>
      <c r="DR691" s="29" t="s">
        <v>166</v>
      </c>
      <c r="DS691" s="27" t="s">
        <v>166</v>
      </c>
      <c r="DT691" s="30" t="s">
        <v>166</v>
      </c>
      <c r="DU691" s="25" t="s">
        <v>166</v>
      </c>
      <c r="DV691" s="29" t="s">
        <v>166</v>
      </c>
      <c r="DW691" s="29" t="s">
        <v>166</v>
      </c>
      <c r="DX691" s="27" t="s">
        <v>166</v>
      </c>
      <c r="DY691" s="27" t="s">
        <v>166</v>
      </c>
      <c r="DZ691" s="28" t="s">
        <v>166</v>
      </c>
      <c r="EA691" s="27" t="s">
        <v>166</v>
      </c>
      <c r="EB691" s="27" t="s">
        <v>166</v>
      </c>
      <c r="EC691" s="27" t="s">
        <v>166</v>
      </c>
      <c r="ED691" s="28" t="s">
        <v>166</v>
      </c>
      <c r="EE691" s="28" t="s">
        <v>166</v>
      </c>
      <c r="EF691" s="28" t="s">
        <v>166</v>
      </c>
      <c r="EG691" s="28" t="s">
        <v>166</v>
      </c>
      <c r="EH691" s="27" t="s">
        <v>166</v>
      </c>
      <c r="EI691" s="27" t="s">
        <v>166</v>
      </c>
      <c r="EJ691" s="27" t="s">
        <v>166</v>
      </c>
      <c r="EK691" s="27" t="s">
        <v>166</v>
      </c>
      <c r="EL691" s="27" t="s">
        <v>166</v>
      </c>
      <c r="EM691" s="27" t="s">
        <v>166</v>
      </c>
      <c r="EN691" s="27" t="s">
        <v>166</v>
      </c>
      <c r="EO691" s="27" t="s">
        <v>166</v>
      </c>
      <c r="EP691" s="27" t="s">
        <v>166</v>
      </c>
      <c r="EQ691" s="27" t="s">
        <v>166</v>
      </c>
      <c r="ER691" s="27" t="s">
        <v>166</v>
      </c>
      <c r="ES691" s="27" t="s">
        <v>166</v>
      </c>
      <c r="ET691" s="25" t="s">
        <v>166</v>
      </c>
      <c r="EU691" s="27" t="s">
        <v>166</v>
      </c>
      <c r="EV691" s="27" t="s">
        <v>166</v>
      </c>
      <c r="EW691" s="27" t="s">
        <v>166</v>
      </c>
      <c r="EX691" s="25" t="s">
        <v>190</v>
      </c>
      <c r="EY691" s="25" t="s">
        <v>166</v>
      </c>
      <c r="EZ691" s="27" t="s">
        <v>166</v>
      </c>
      <c r="FA691" s="26" t="s">
        <v>166</v>
      </c>
      <c r="FB691" s="26" t="s">
        <v>166</v>
      </c>
      <c r="FC691" s="26" t="s">
        <v>166</v>
      </c>
      <c r="FD691" s="26" t="s">
        <v>166</v>
      </c>
      <c r="FE691" s="26" t="s">
        <v>166</v>
      </c>
      <c r="FF691" s="26" t="s">
        <v>166</v>
      </c>
      <c r="FG691" s="25" t="s">
        <v>166</v>
      </c>
      <c r="FH691" s="4">
        <f>HYPERLINK("https://my.pitchbook.com?c=253831-06T","View Company Online")</f>
      </c>
    </row>
    <row r="692">
      <c r="A692" s="14" t="s">
        <v>13245</v>
      </c>
      <c r="B692" s="14" t="s">
        <v>13246</v>
      </c>
      <c r="C692" s="14" t="s">
        <v>13247</v>
      </c>
      <c r="D692" s="14" t="s">
        <v>166</v>
      </c>
      <c r="E692" s="23" t="s">
        <v>13248</v>
      </c>
      <c r="F692" s="21">
        <v>14</v>
      </c>
      <c r="G692" s="14" t="s">
        <v>13249</v>
      </c>
      <c r="H692" s="14" t="s">
        <v>166</v>
      </c>
      <c r="I692" s="14" t="s">
        <v>13250</v>
      </c>
      <c r="J692" s="14" t="s">
        <v>13251</v>
      </c>
      <c r="K692" s="14" t="s">
        <v>207</v>
      </c>
      <c r="L692" s="14" t="s">
        <v>208</v>
      </c>
      <c r="M692" s="14" t="s">
        <v>965</v>
      </c>
      <c r="N692" s="14" t="s">
        <v>3168</v>
      </c>
      <c r="O692" s="14" t="s">
        <v>1842</v>
      </c>
      <c r="P692" s="14" t="s">
        <v>13252</v>
      </c>
      <c r="Q692" s="14" t="s">
        <v>166</v>
      </c>
      <c r="R692" s="14" t="s">
        <v>177</v>
      </c>
      <c r="S692" s="14" t="s">
        <v>178</v>
      </c>
      <c r="T692" s="14" t="s">
        <v>179</v>
      </c>
      <c r="U692" s="14" t="s">
        <v>13253</v>
      </c>
      <c r="V692" s="14" t="s">
        <v>13254</v>
      </c>
      <c r="W692" s="21" t="s">
        <v>166</v>
      </c>
      <c r="X692" s="14" t="s">
        <v>13255</v>
      </c>
      <c r="Y692" s="14" t="s">
        <v>13256</v>
      </c>
      <c r="Z692" s="14" t="s">
        <v>13257</v>
      </c>
      <c r="AA692" s="14" t="s">
        <v>166</v>
      </c>
      <c r="AB692" s="14" t="s">
        <v>166</v>
      </c>
      <c r="AC692" s="14" t="s">
        <v>166</v>
      </c>
      <c r="AD692" s="14" t="s">
        <v>166</v>
      </c>
      <c r="AE692" s="14" t="s">
        <v>166</v>
      </c>
      <c r="AF692" s="14" t="s">
        <v>166</v>
      </c>
      <c r="AG692" s="14" t="s">
        <v>166</v>
      </c>
      <c r="AH692" s="21">
        <v>2</v>
      </c>
      <c r="AI692" s="3">
        <f>HYPERLINK("https://my.pitchbook.com/?d=188551-54T","188551-54T")</f>
      </c>
      <c r="AJ692" s="19" t="s">
        <v>166</v>
      </c>
      <c r="AK692" s="19">
        <v>44606</v>
      </c>
      <c r="AL692" s="18">
        <v>1.2</v>
      </c>
      <c r="AM692" s="14" t="s">
        <v>185</v>
      </c>
      <c r="AN692" s="18" t="s">
        <v>166</v>
      </c>
      <c r="AO692" s="18" t="s">
        <v>166</v>
      </c>
      <c r="AP692" s="14" t="s">
        <v>166</v>
      </c>
      <c r="AQ692" s="21" t="s">
        <v>166</v>
      </c>
      <c r="AR692" s="21" t="s">
        <v>166</v>
      </c>
      <c r="AS692" s="17" t="s">
        <v>166</v>
      </c>
      <c r="AT692" s="18">
        <v>1.22</v>
      </c>
      <c r="AU692" s="21" t="s">
        <v>186</v>
      </c>
      <c r="AV692" s="21" t="s">
        <v>166</v>
      </c>
      <c r="AW692" s="18" t="s">
        <v>166</v>
      </c>
      <c r="AX692" s="21" t="s">
        <v>166</v>
      </c>
      <c r="AY692" s="14" t="s">
        <v>217</v>
      </c>
      <c r="AZ692" s="14" t="s">
        <v>217</v>
      </c>
      <c r="BA692" s="14" t="s">
        <v>166</v>
      </c>
      <c r="BB692" s="21" t="s">
        <v>166</v>
      </c>
      <c r="BC692" s="14" t="s">
        <v>179</v>
      </c>
      <c r="BD692" s="14" t="s">
        <v>13251</v>
      </c>
      <c r="BE692" s="14" t="s">
        <v>189</v>
      </c>
      <c r="BF692" s="18">
        <v>1.2</v>
      </c>
      <c r="BG692" s="14" t="s">
        <v>190</v>
      </c>
      <c r="BH692" s="14" t="s">
        <v>166</v>
      </c>
      <c r="BI692" s="14" t="s">
        <v>166</v>
      </c>
      <c r="BJ692" s="18" t="s">
        <v>166</v>
      </c>
      <c r="BK692" s="18" t="s">
        <v>166</v>
      </c>
      <c r="BL692" s="14" t="s">
        <v>191</v>
      </c>
      <c r="BM692" s="14" t="s">
        <v>178</v>
      </c>
      <c r="BN692" s="14" t="s">
        <v>177</v>
      </c>
      <c r="BO692" s="22">
        <v>3</v>
      </c>
      <c r="BP692" s="14" t="s">
        <v>13258</v>
      </c>
      <c r="BQ692" s="21">
        <v>13</v>
      </c>
      <c r="BR692" s="14" t="s">
        <v>252</v>
      </c>
      <c r="BS692" s="21">
        <v>1</v>
      </c>
      <c r="BT692" s="14" t="s">
        <v>13259</v>
      </c>
      <c r="BU692" s="14" t="s">
        <v>166</v>
      </c>
      <c r="BV692" s="14" t="s">
        <v>13260</v>
      </c>
      <c r="BW692" s="14" t="s">
        <v>166</v>
      </c>
      <c r="BX692" s="14" t="s">
        <v>166</v>
      </c>
      <c r="BY692" s="14" t="s">
        <v>166</v>
      </c>
      <c r="BZ692" s="14" t="s">
        <v>166</v>
      </c>
      <c r="CA692" s="14" t="s">
        <v>166</v>
      </c>
      <c r="CB692" s="14" t="s">
        <v>166</v>
      </c>
      <c r="CC692" s="14" t="s">
        <v>166</v>
      </c>
      <c r="CD692" s="14" t="s">
        <v>166</v>
      </c>
      <c r="CE692" s="18" t="s">
        <v>166</v>
      </c>
      <c r="CF692" s="16" t="s">
        <v>166</v>
      </c>
      <c r="CG692" s="17" t="s">
        <v>166</v>
      </c>
      <c r="CH692" s="16" t="s">
        <v>166</v>
      </c>
      <c r="CI692" s="16" t="s">
        <v>166</v>
      </c>
      <c r="CJ692" s="16" t="s">
        <v>166</v>
      </c>
      <c r="CK692" s="16" t="s">
        <v>166</v>
      </c>
      <c r="CL692" s="16" t="s">
        <v>166</v>
      </c>
      <c r="CM692" s="20" t="s">
        <v>166</v>
      </c>
      <c r="CN692" s="16" t="s">
        <v>166</v>
      </c>
      <c r="CO692" s="16" t="s">
        <v>166</v>
      </c>
      <c r="CP692" s="16" t="s">
        <v>166</v>
      </c>
      <c r="CQ692" s="16" t="s">
        <v>166</v>
      </c>
      <c r="CR692" s="16" t="s">
        <v>166</v>
      </c>
      <c r="CS692" s="16" t="s">
        <v>166</v>
      </c>
      <c r="CT692" s="16" t="s">
        <v>166</v>
      </c>
      <c r="CU692" s="16" t="s">
        <v>166</v>
      </c>
      <c r="CV692" s="16" t="s">
        <v>166</v>
      </c>
      <c r="CW692" s="16" t="s">
        <v>166</v>
      </c>
      <c r="CX692" s="16" t="s">
        <v>166</v>
      </c>
      <c r="CY692" s="16" t="s">
        <v>166</v>
      </c>
      <c r="CZ692" s="16" t="s">
        <v>166</v>
      </c>
      <c r="DA692" s="16" t="s">
        <v>166</v>
      </c>
      <c r="DB692" s="16" t="s">
        <v>166</v>
      </c>
      <c r="DC692" s="16" t="s">
        <v>166</v>
      </c>
      <c r="DD692" s="16" t="s">
        <v>166</v>
      </c>
      <c r="DE692" s="17" t="s">
        <v>166</v>
      </c>
      <c r="DF692" s="22">
        <v>13</v>
      </c>
      <c r="DG692" s="14" t="s">
        <v>1634</v>
      </c>
      <c r="DH692" s="14" t="s">
        <v>193</v>
      </c>
      <c r="DI692" s="14" t="s">
        <v>194</v>
      </c>
      <c r="DJ692" s="14" t="s">
        <v>1635</v>
      </c>
      <c r="DK692" s="14" t="s">
        <v>408</v>
      </c>
      <c r="DL692" s="21" t="s">
        <v>570</v>
      </c>
      <c r="DM692" s="14" t="s">
        <v>198</v>
      </c>
      <c r="DN692" s="13" t="s">
        <v>13261</v>
      </c>
      <c r="DO692" s="20">
        <v>2020</v>
      </c>
      <c r="DP692" s="14" t="s">
        <v>166</v>
      </c>
      <c r="DQ692" s="14" t="s">
        <v>166</v>
      </c>
      <c r="DR692" s="18" t="s">
        <v>166</v>
      </c>
      <c r="DS692" s="16" t="s">
        <v>166</v>
      </c>
      <c r="DT692" s="19" t="s">
        <v>166</v>
      </c>
      <c r="DU692" s="14" t="s">
        <v>166</v>
      </c>
      <c r="DV692" s="18" t="s">
        <v>166</v>
      </c>
      <c r="DW692" s="18" t="s">
        <v>166</v>
      </c>
      <c r="DX692" s="16" t="s">
        <v>166</v>
      </c>
      <c r="DY692" s="16" t="s">
        <v>166</v>
      </c>
      <c r="DZ692" s="17" t="s">
        <v>166</v>
      </c>
      <c r="EA692" s="16" t="s">
        <v>166</v>
      </c>
      <c r="EB692" s="16" t="s">
        <v>166</v>
      </c>
      <c r="EC692" s="16" t="s">
        <v>166</v>
      </c>
      <c r="ED692" s="17" t="s">
        <v>166</v>
      </c>
      <c r="EE692" s="17" t="s">
        <v>166</v>
      </c>
      <c r="EF692" s="17" t="s">
        <v>166</v>
      </c>
      <c r="EG692" s="17" t="s">
        <v>166</v>
      </c>
      <c r="EH692" s="16" t="s">
        <v>166</v>
      </c>
      <c r="EI692" s="16" t="s">
        <v>166</v>
      </c>
      <c r="EJ692" s="16" t="s">
        <v>166</v>
      </c>
      <c r="EK692" s="16" t="s">
        <v>166</v>
      </c>
      <c r="EL692" s="16" t="s">
        <v>166</v>
      </c>
      <c r="EM692" s="16" t="s">
        <v>166</v>
      </c>
      <c r="EN692" s="16" t="s">
        <v>166</v>
      </c>
      <c r="EO692" s="16" t="s">
        <v>166</v>
      </c>
      <c r="EP692" s="16" t="s">
        <v>166</v>
      </c>
      <c r="EQ692" s="16" t="s">
        <v>166</v>
      </c>
      <c r="ER692" s="16" t="s">
        <v>166</v>
      </c>
      <c r="ES692" s="16" t="s">
        <v>166</v>
      </c>
      <c r="ET692" s="14" t="s">
        <v>166</v>
      </c>
      <c r="EU692" s="16" t="s">
        <v>166</v>
      </c>
      <c r="EV692" s="16" t="s">
        <v>166</v>
      </c>
      <c r="EW692" s="16" t="s">
        <v>166</v>
      </c>
      <c r="EX692" s="14" t="s">
        <v>190</v>
      </c>
      <c r="EY692" s="14" t="s">
        <v>166</v>
      </c>
      <c r="EZ692" s="16" t="s">
        <v>166</v>
      </c>
      <c r="FA692" s="15" t="s">
        <v>166</v>
      </c>
      <c r="FB692" s="15" t="s">
        <v>166</v>
      </c>
      <c r="FC692" s="15" t="s">
        <v>166</v>
      </c>
      <c r="FD692" s="15" t="s">
        <v>166</v>
      </c>
      <c r="FE692" s="15" t="s">
        <v>166</v>
      </c>
      <c r="FF692" s="15" t="s">
        <v>166</v>
      </c>
      <c r="FG692" s="14" t="s">
        <v>166</v>
      </c>
      <c r="FH692" s="3">
        <f>HYPERLINK("https://my.pitchbook.com?c=188551-54T","View Company Online")</f>
      </c>
    </row>
    <row r="693">
      <c r="A693" s="25" t="s">
        <v>13262</v>
      </c>
      <c r="B693" s="25" t="s">
        <v>13263</v>
      </c>
      <c r="C693" s="25" t="s">
        <v>13264</v>
      </c>
      <c r="D693" s="25" t="s">
        <v>166</v>
      </c>
      <c r="E693" s="34" t="s">
        <v>13265</v>
      </c>
      <c r="F693" s="32">
        <v>27</v>
      </c>
      <c r="G693" s="25" t="s">
        <v>13266</v>
      </c>
      <c r="H693" s="25" t="s">
        <v>166</v>
      </c>
      <c r="I693" s="25" t="s">
        <v>13267</v>
      </c>
      <c r="J693" s="25" t="s">
        <v>13268</v>
      </c>
      <c r="K693" s="25" t="s">
        <v>207</v>
      </c>
      <c r="L693" s="25" t="s">
        <v>208</v>
      </c>
      <c r="M693" s="25" t="s">
        <v>209</v>
      </c>
      <c r="N693" s="25" t="s">
        <v>6334</v>
      </c>
      <c r="O693" s="25" t="s">
        <v>1053</v>
      </c>
      <c r="P693" s="25" t="s">
        <v>13269</v>
      </c>
      <c r="Q693" s="25" t="s">
        <v>166</v>
      </c>
      <c r="R693" s="25" t="s">
        <v>177</v>
      </c>
      <c r="S693" s="25" t="s">
        <v>178</v>
      </c>
      <c r="T693" s="25" t="s">
        <v>179</v>
      </c>
      <c r="U693" s="25" t="s">
        <v>13270</v>
      </c>
      <c r="V693" s="25" t="s">
        <v>13271</v>
      </c>
      <c r="W693" s="32" t="s">
        <v>166</v>
      </c>
      <c r="X693" s="25" t="s">
        <v>13272</v>
      </c>
      <c r="Y693" s="25" t="s">
        <v>13273</v>
      </c>
      <c r="Z693" s="25" t="s">
        <v>13274</v>
      </c>
      <c r="AA693" s="25" t="s">
        <v>242</v>
      </c>
      <c r="AB693" s="25" t="s">
        <v>243</v>
      </c>
      <c r="AC693" s="25" t="s">
        <v>166</v>
      </c>
      <c r="AD693" s="25" t="s">
        <v>243</v>
      </c>
      <c r="AE693" s="25" t="s">
        <v>243</v>
      </c>
      <c r="AF693" s="25" t="s">
        <v>166</v>
      </c>
      <c r="AG693" s="25" t="s">
        <v>246</v>
      </c>
      <c r="AH693" s="32">
        <v>2</v>
      </c>
      <c r="AI693" s="4">
        <f>HYPERLINK("https://my.pitchbook.com/?d=157575-88T","157575-88T")</f>
      </c>
      <c r="AJ693" s="30" t="s">
        <v>166</v>
      </c>
      <c r="AK693" s="30">
        <v>44125</v>
      </c>
      <c r="AL693" s="29">
        <v>10</v>
      </c>
      <c r="AM693" s="25" t="s">
        <v>185</v>
      </c>
      <c r="AN693" s="29">
        <v>20</v>
      </c>
      <c r="AO693" s="29">
        <v>30</v>
      </c>
      <c r="AP693" s="25" t="s">
        <v>185</v>
      </c>
      <c r="AQ693" s="32" t="s">
        <v>166</v>
      </c>
      <c r="AR693" s="32" t="s">
        <v>166</v>
      </c>
      <c r="AS693" s="28">
        <v>46.11</v>
      </c>
      <c r="AT693" s="29">
        <v>10.15</v>
      </c>
      <c r="AU693" s="32" t="s">
        <v>186</v>
      </c>
      <c r="AV693" s="32" t="s">
        <v>166</v>
      </c>
      <c r="AW693" s="29">
        <v>1.37</v>
      </c>
      <c r="AX693" s="32" t="s">
        <v>248</v>
      </c>
      <c r="AY693" s="25" t="s">
        <v>187</v>
      </c>
      <c r="AZ693" s="25" t="s">
        <v>248</v>
      </c>
      <c r="BA693" s="25" t="s">
        <v>166</v>
      </c>
      <c r="BB693" s="32" t="s">
        <v>166</v>
      </c>
      <c r="BC693" s="25" t="s">
        <v>179</v>
      </c>
      <c r="BD693" s="25" t="s">
        <v>13275</v>
      </c>
      <c r="BE693" s="25" t="s">
        <v>189</v>
      </c>
      <c r="BF693" s="29">
        <v>10</v>
      </c>
      <c r="BG693" s="25" t="s">
        <v>190</v>
      </c>
      <c r="BH693" s="25" t="s">
        <v>166</v>
      </c>
      <c r="BI693" s="25" t="s">
        <v>166</v>
      </c>
      <c r="BJ693" s="29" t="s">
        <v>166</v>
      </c>
      <c r="BK693" s="29" t="s">
        <v>166</v>
      </c>
      <c r="BL693" s="25" t="s">
        <v>191</v>
      </c>
      <c r="BM693" s="25" t="s">
        <v>178</v>
      </c>
      <c r="BN693" s="25" t="s">
        <v>177</v>
      </c>
      <c r="BO693" s="33">
        <v>7</v>
      </c>
      <c r="BP693" s="25" t="s">
        <v>13276</v>
      </c>
      <c r="BQ693" s="32">
        <v>27</v>
      </c>
      <c r="BR693" s="25" t="s">
        <v>166</v>
      </c>
      <c r="BS693" s="32" t="s">
        <v>166</v>
      </c>
      <c r="BT693" s="25" t="s">
        <v>13277</v>
      </c>
      <c r="BU693" s="25" t="s">
        <v>166</v>
      </c>
      <c r="BV693" s="25" t="s">
        <v>13278</v>
      </c>
      <c r="BW693" s="25" t="s">
        <v>166</v>
      </c>
      <c r="BX693" s="25" t="s">
        <v>166</v>
      </c>
      <c r="BY693" s="25" t="s">
        <v>166</v>
      </c>
      <c r="BZ693" s="25" t="s">
        <v>13279</v>
      </c>
      <c r="CA693" s="25" t="s">
        <v>9571</v>
      </c>
      <c r="CB693" s="25" t="s">
        <v>166</v>
      </c>
      <c r="CC693" s="25" t="s">
        <v>13280</v>
      </c>
      <c r="CD693" s="25" t="s">
        <v>166</v>
      </c>
      <c r="CE693" s="29" t="s">
        <v>166</v>
      </c>
      <c r="CF693" s="27" t="s">
        <v>166</v>
      </c>
      <c r="CG693" s="28" t="s">
        <v>166</v>
      </c>
      <c r="CH693" s="27" t="s">
        <v>166</v>
      </c>
      <c r="CI693" s="27" t="s">
        <v>166</v>
      </c>
      <c r="CJ693" s="27" t="s">
        <v>166</v>
      </c>
      <c r="CK693" s="27" t="s">
        <v>166</v>
      </c>
      <c r="CL693" s="27" t="s">
        <v>166</v>
      </c>
      <c r="CM693" s="31" t="s">
        <v>166</v>
      </c>
      <c r="CN693" s="27" t="s">
        <v>166</v>
      </c>
      <c r="CO693" s="27" t="s">
        <v>166</v>
      </c>
      <c r="CP693" s="27" t="s">
        <v>166</v>
      </c>
      <c r="CQ693" s="27" t="s">
        <v>166</v>
      </c>
      <c r="CR693" s="27" t="s">
        <v>166</v>
      </c>
      <c r="CS693" s="27" t="s">
        <v>166</v>
      </c>
      <c r="CT693" s="27" t="s">
        <v>166</v>
      </c>
      <c r="CU693" s="27" t="s">
        <v>166</v>
      </c>
      <c r="CV693" s="27" t="s">
        <v>166</v>
      </c>
      <c r="CW693" s="27" t="s">
        <v>166</v>
      </c>
      <c r="CX693" s="27" t="s">
        <v>166</v>
      </c>
      <c r="CY693" s="27" t="s">
        <v>166</v>
      </c>
      <c r="CZ693" s="27" t="s">
        <v>166</v>
      </c>
      <c r="DA693" s="27" t="s">
        <v>166</v>
      </c>
      <c r="DB693" s="27" t="s">
        <v>166</v>
      </c>
      <c r="DC693" s="27" t="s">
        <v>166</v>
      </c>
      <c r="DD693" s="27" t="s">
        <v>166</v>
      </c>
      <c r="DE693" s="28" t="s">
        <v>166</v>
      </c>
      <c r="DF693" s="33">
        <v>50</v>
      </c>
      <c r="DG693" s="25" t="s">
        <v>3157</v>
      </c>
      <c r="DH693" s="25" t="s">
        <v>193</v>
      </c>
      <c r="DI693" s="25" t="s">
        <v>194</v>
      </c>
      <c r="DJ693" s="25" t="s">
        <v>3158</v>
      </c>
      <c r="DK693" s="25" t="s">
        <v>257</v>
      </c>
      <c r="DL693" s="32" t="s">
        <v>6483</v>
      </c>
      <c r="DM693" s="25" t="s">
        <v>198</v>
      </c>
      <c r="DN693" s="24" t="s">
        <v>13281</v>
      </c>
      <c r="DO693" s="31">
        <v>2019</v>
      </c>
      <c r="DP693" s="25" t="s">
        <v>166</v>
      </c>
      <c r="DQ693" s="25" t="s">
        <v>166</v>
      </c>
      <c r="DR693" s="29" t="s">
        <v>166</v>
      </c>
      <c r="DS693" s="27" t="s">
        <v>166</v>
      </c>
      <c r="DT693" s="30" t="s">
        <v>166</v>
      </c>
      <c r="DU693" s="25" t="s">
        <v>166</v>
      </c>
      <c r="DV693" s="29" t="s">
        <v>166</v>
      </c>
      <c r="DW693" s="29" t="s">
        <v>166</v>
      </c>
      <c r="DX693" s="27" t="s">
        <v>166</v>
      </c>
      <c r="DY693" s="27" t="s">
        <v>166</v>
      </c>
      <c r="DZ693" s="28" t="s">
        <v>166</v>
      </c>
      <c r="EA693" s="27" t="s">
        <v>166</v>
      </c>
      <c r="EB693" s="27" t="s">
        <v>166</v>
      </c>
      <c r="EC693" s="27" t="s">
        <v>166</v>
      </c>
      <c r="ED693" s="28" t="s">
        <v>166</v>
      </c>
      <c r="EE693" s="28" t="s">
        <v>166</v>
      </c>
      <c r="EF693" s="28" t="s">
        <v>166</v>
      </c>
      <c r="EG693" s="28" t="s">
        <v>166</v>
      </c>
      <c r="EH693" s="27" t="s">
        <v>166</v>
      </c>
      <c r="EI693" s="27" t="s">
        <v>166</v>
      </c>
      <c r="EJ693" s="27" t="s">
        <v>166</v>
      </c>
      <c r="EK693" s="27" t="s">
        <v>166</v>
      </c>
      <c r="EL693" s="27" t="s">
        <v>166</v>
      </c>
      <c r="EM693" s="27" t="s">
        <v>166</v>
      </c>
      <c r="EN693" s="27" t="s">
        <v>166</v>
      </c>
      <c r="EO693" s="27" t="s">
        <v>166</v>
      </c>
      <c r="EP693" s="27" t="s">
        <v>166</v>
      </c>
      <c r="EQ693" s="27" t="s">
        <v>166</v>
      </c>
      <c r="ER693" s="27" t="s">
        <v>166</v>
      </c>
      <c r="ES693" s="27" t="s">
        <v>166</v>
      </c>
      <c r="ET693" s="25" t="s">
        <v>166</v>
      </c>
      <c r="EU693" s="27" t="s">
        <v>166</v>
      </c>
      <c r="EV693" s="27" t="s">
        <v>166</v>
      </c>
      <c r="EW693" s="27" t="s">
        <v>166</v>
      </c>
      <c r="EX693" s="25" t="s">
        <v>190</v>
      </c>
      <c r="EY693" s="25" t="s">
        <v>166</v>
      </c>
      <c r="EZ693" s="27" t="s">
        <v>166</v>
      </c>
      <c r="FA693" s="26" t="s">
        <v>166</v>
      </c>
      <c r="FB693" s="26" t="s">
        <v>166</v>
      </c>
      <c r="FC693" s="26" t="s">
        <v>166</v>
      </c>
      <c r="FD693" s="26" t="s">
        <v>166</v>
      </c>
      <c r="FE693" s="26" t="s">
        <v>166</v>
      </c>
      <c r="FF693" s="26" t="s">
        <v>166</v>
      </c>
      <c r="FG693" s="25" t="s">
        <v>166</v>
      </c>
      <c r="FH693" s="4">
        <f>HYPERLINK("https://my.pitchbook.com?c=157575-88T","View Company Online")</f>
      </c>
    </row>
    <row r="694">
      <c r="A694" s="14" t="s">
        <v>13282</v>
      </c>
      <c r="B694" s="14" t="s">
        <v>13283</v>
      </c>
      <c r="C694" s="14" t="s">
        <v>13284</v>
      </c>
      <c r="D694" s="14" t="s">
        <v>166</v>
      </c>
      <c r="E694" s="23" t="s">
        <v>13285</v>
      </c>
      <c r="F694" s="21">
        <v>2</v>
      </c>
      <c r="G694" s="14" t="s">
        <v>13286</v>
      </c>
      <c r="H694" s="14" t="s">
        <v>166</v>
      </c>
      <c r="I694" s="14" t="s">
        <v>13287</v>
      </c>
      <c r="J694" s="14" t="s">
        <v>13288</v>
      </c>
      <c r="K694" s="14" t="s">
        <v>207</v>
      </c>
      <c r="L694" s="14" t="s">
        <v>208</v>
      </c>
      <c r="M694" s="14" t="s">
        <v>209</v>
      </c>
      <c r="N694" s="14" t="s">
        <v>6334</v>
      </c>
      <c r="O694" s="14" t="s">
        <v>13289</v>
      </c>
      <c r="P694" s="14" t="s">
        <v>13290</v>
      </c>
      <c r="Q694" s="14" t="s">
        <v>166</v>
      </c>
      <c r="R694" s="14" t="s">
        <v>177</v>
      </c>
      <c r="S694" s="14" t="s">
        <v>178</v>
      </c>
      <c r="T694" s="14" t="s">
        <v>179</v>
      </c>
      <c r="U694" s="14" t="s">
        <v>13291</v>
      </c>
      <c r="V694" s="14" t="s">
        <v>13292</v>
      </c>
      <c r="W694" s="21" t="s">
        <v>13293</v>
      </c>
      <c r="X694" s="14" t="s">
        <v>13294</v>
      </c>
      <c r="Y694" s="14" t="s">
        <v>13295</v>
      </c>
      <c r="Z694" s="14" t="s">
        <v>13296</v>
      </c>
      <c r="AA694" s="14" t="s">
        <v>166</v>
      </c>
      <c r="AB694" s="14" t="s">
        <v>166</v>
      </c>
      <c r="AC694" s="14" t="s">
        <v>166</v>
      </c>
      <c r="AD694" s="14" t="s">
        <v>166</v>
      </c>
      <c r="AE694" s="14" t="s">
        <v>166</v>
      </c>
      <c r="AF694" s="14" t="s">
        <v>166</v>
      </c>
      <c r="AG694" s="14" t="s">
        <v>166</v>
      </c>
      <c r="AH694" s="21">
        <v>1</v>
      </c>
      <c r="AI694" s="3">
        <f>HYPERLINK("https://my.pitchbook.com/?d=219161-62T","219161-62T")</f>
      </c>
      <c r="AJ694" s="19" t="s">
        <v>166</v>
      </c>
      <c r="AK694" s="19">
        <v>44713</v>
      </c>
      <c r="AL694" s="18">
        <v>4.5</v>
      </c>
      <c r="AM694" s="14" t="s">
        <v>185</v>
      </c>
      <c r="AN694" s="18" t="s">
        <v>166</v>
      </c>
      <c r="AO694" s="18" t="s">
        <v>166</v>
      </c>
      <c r="AP694" s="14" t="s">
        <v>166</v>
      </c>
      <c r="AQ694" s="21" t="s">
        <v>166</v>
      </c>
      <c r="AR694" s="21" t="s">
        <v>166</v>
      </c>
      <c r="AS694" s="17" t="s">
        <v>166</v>
      </c>
      <c r="AT694" s="18">
        <v>4.5</v>
      </c>
      <c r="AU694" s="21" t="s">
        <v>186</v>
      </c>
      <c r="AV694" s="21" t="s">
        <v>166</v>
      </c>
      <c r="AW694" s="18" t="s">
        <v>166</v>
      </c>
      <c r="AX694" s="21" t="s">
        <v>166</v>
      </c>
      <c r="AY694" s="14" t="s">
        <v>217</v>
      </c>
      <c r="AZ694" s="14" t="s">
        <v>217</v>
      </c>
      <c r="BA694" s="14" t="s">
        <v>166</v>
      </c>
      <c r="BB694" s="21" t="s">
        <v>166</v>
      </c>
      <c r="BC694" s="14" t="s">
        <v>179</v>
      </c>
      <c r="BD694" s="14" t="s">
        <v>13297</v>
      </c>
      <c r="BE694" s="14" t="s">
        <v>189</v>
      </c>
      <c r="BF694" s="18">
        <v>4.5</v>
      </c>
      <c r="BG694" s="14" t="s">
        <v>190</v>
      </c>
      <c r="BH694" s="14" t="s">
        <v>166</v>
      </c>
      <c r="BI694" s="14" t="s">
        <v>166</v>
      </c>
      <c r="BJ694" s="18" t="s">
        <v>166</v>
      </c>
      <c r="BK694" s="18" t="s">
        <v>166</v>
      </c>
      <c r="BL694" s="14" t="s">
        <v>191</v>
      </c>
      <c r="BM694" s="14" t="s">
        <v>178</v>
      </c>
      <c r="BN694" s="14" t="s">
        <v>177</v>
      </c>
      <c r="BO694" s="22">
        <v>1</v>
      </c>
      <c r="BP694" s="14" t="s">
        <v>13285</v>
      </c>
      <c r="BQ694" s="21">
        <v>2</v>
      </c>
      <c r="BR694" s="14" t="s">
        <v>166</v>
      </c>
      <c r="BS694" s="21" t="s">
        <v>166</v>
      </c>
      <c r="BT694" s="14" t="s">
        <v>166</v>
      </c>
      <c r="BU694" s="14" t="s">
        <v>166</v>
      </c>
      <c r="BV694" s="14" t="s">
        <v>166</v>
      </c>
      <c r="BW694" s="14" t="s">
        <v>166</v>
      </c>
      <c r="BX694" s="14" t="s">
        <v>166</v>
      </c>
      <c r="BY694" s="14" t="s">
        <v>166</v>
      </c>
      <c r="BZ694" s="14" t="s">
        <v>166</v>
      </c>
      <c r="CA694" s="14" t="s">
        <v>166</v>
      </c>
      <c r="CB694" s="14" t="s">
        <v>166</v>
      </c>
      <c r="CC694" s="14" t="s">
        <v>166</v>
      </c>
      <c r="CD694" s="14" t="s">
        <v>166</v>
      </c>
      <c r="CE694" s="18" t="s">
        <v>166</v>
      </c>
      <c r="CF694" s="16" t="s">
        <v>166</v>
      </c>
      <c r="CG694" s="17" t="s">
        <v>166</v>
      </c>
      <c r="CH694" s="16" t="s">
        <v>166</v>
      </c>
      <c r="CI694" s="16" t="s">
        <v>166</v>
      </c>
      <c r="CJ694" s="16" t="s">
        <v>166</v>
      </c>
      <c r="CK694" s="16" t="s">
        <v>166</v>
      </c>
      <c r="CL694" s="16" t="s">
        <v>166</v>
      </c>
      <c r="CM694" s="20" t="s">
        <v>166</v>
      </c>
      <c r="CN694" s="16" t="s">
        <v>166</v>
      </c>
      <c r="CO694" s="16" t="s">
        <v>166</v>
      </c>
      <c r="CP694" s="16" t="s">
        <v>166</v>
      </c>
      <c r="CQ694" s="16" t="s">
        <v>166</v>
      </c>
      <c r="CR694" s="16" t="s">
        <v>166</v>
      </c>
      <c r="CS694" s="16" t="s">
        <v>166</v>
      </c>
      <c r="CT694" s="16" t="s">
        <v>166</v>
      </c>
      <c r="CU694" s="16" t="s">
        <v>166</v>
      </c>
      <c r="CV694" s="16" t="s">
        <v>166</v>
      </c>
      <c r="CW694" s="16" t="s">
        <v>166</v>
      </c>
      <c r="CX694" s="16" t="s">
        <v>166</v>
      </c>
      <c r="CY694" s="16" t="s">
        <v>166</v>
      </c>
      <c r="CZ694" s="16" t="s">
        <v>166</v>
      </c>
      <c r="DA694" s="16" t="s">
        <v>166</v>
      </c>
      <c r="DB694" s="16" t="s">
        <v>166</v>
      </c>
      <c r="DC694" s="16" t="s">
        <v>166</v>
      </c>
      <c r="DD694" s="16" t="s">
        <v>166</v>
      </c>
      <c r="DE694" s="17" t="s">
        <v>166</v>
      </c>
      <c r="DF694" s="22">
        <v>29</v>
      </c>
      <c r="DG694" s="14" t="s">
        <v>673</v>
      </c>
      <c r="DH694" s="14" t="s">
        <v>193</v>
      </c>
      <c r="DI694" s="14" t="s">
        <v>194</v>
      </c>
      <c r="DJ694" s="14" t="s">
        <v>674</v>
      </c>
      <c r="DK694" s="14" t="s">
        <v>257</v>
      </c>
      <c r="DL694" s="21" t="s">
        <v>851</v>
      </c>
      <c r="DM694" s="14" t="s">
        <v>198</v>
      </c>
      <c r="DN694" s="13" t="s">
        <v>13298</v>
      </c>
      <c r="DO694" s="20">
        <v>2022</v>
      </c>
      <c r="DP694" s="14" t="s">
        <v>166</v>
      </c>
      <c r="DQ694" s="14" t="s">
        <v>166</v>
      </c>
      <c r="DR694" s="18" t="s">
        <v>166</v>
      </c>
      <c r="DS694" s="16" t="s">
        <v>166</v>
      </c>
      <c r="DT694" s="19" t="s">
        <v>166</v>
      </c>
      <c r="DU694" s="14" t="s">
        <v>166</v>
      </c>
      <c r="DV694" s="18" t="s">
        <v>166</v>
      </c>
      <c r="DW694" s="18" t="s">
        <v>166</v>
      </c>
      <c r="DX694" s="16" t="s">
        <v>166</v>
      </c>
      <c r="DY694" s="16" t="s">
        <v>166</v>
      </c>
      <c r="DZ694" s="17" t="s">
        <v>166</v>
      </c>
      <c r="EA694" s="16" t="s">
        <v>166</v>
      </c>
      <c r="EB694" s="16" t="s">
        <v>166</v>
      </c>
      <c r="EC694" s="16" t="s">
        <v>166</v>
      </c>
      <c r="ED694" s="17" t="s">
        <v>166</v>
      </c>
      <c r="EE694" s="17" t="s">
        <v>166</v>
      </c>
      <c r="EF694" s="17" t="s">
        <v>166</v>
      </c>
      <c r="EG694" s="17" t="s">
        <v>166</v>
      </c>
      <c r="EH694" s="16" t="s">
        <v>166</v>
      </c>
      <c r="EI694" s="16" t="s">
        <v>166</v>
      </c>
      <c r="EJ694" s="16" t="s">
        <v>166</v>
      </c>
      <c r="EK694" s="16" t="s">
        <v>166</v>
      </c>
      <c r="EL694" s="16" t="s">
        <v>166</v>
      </c>
      <c r="EM694" s="16" t="s">
        <v>166</v>
      </c>
      <c r="EN694" s="16" t="s">
        <v>166</v>
      </c>
      <c r="EO694" s="16" t="s">
        <v>166</v>
      </c>
      <c r="EP694" s="16" t="s">
        <v>166</v>
      </c>
      <c r="EQ694" s="16" t="s">
        <v>166</v>
      </c>
      <c r="ER694" s="16" t="s">
        <v>166</v>
      </c>
      <c r="ES694" s="16" t="s">
        <v>166</v>
      </c>
      <c r="ET694" s="14" t="s">
        <v>166</v>
      </c>
      <c r="EU694" s="16" t="s">
        <v>166</v>
      </c>
      <c r="EV694" s="16" t="s">
        <v>166</v>
      </c>
      <c r="EW694" s="16" t="s">
        <v>166</v>
      </c>
      <c r="EX694" s="14" t="s">
        <v>190</v>
      </c>
      <c r="EY694" s="14" t="s">
        <v>166</v>
      </c>
      <c r="EZ694" s="16" t="s">
        <v>166</v>
      </c>
      <c r="FA694" s="15" t="s">
        <v>166</v>
      </c>
      <c r="FB694" s="15" t="s">
        <v>166</v>
      </c>
      <c r="FC694" s="15" t="s">
        <v>166</v>
      </c>
      <c r="FD694" s="15" t="s">
        <v>166</v>
      </c>
      <c r="FE694" s="15" t="s">
        <v>166</v>
      </c>
      <c r="FF694" s="15" t="s">
        <v>166</v>
      </c>
      <c r="FG694" s="14" t="s">
        <v>166</v>
      </c>
      <c r="FH694" s="3">
        <f>HYPERLINK("https://my.pitchbook.com?c=219161-62T","View Company Online")</f>
      </c>
    </row>
    <row r="695">
      <c r="A695" s="25" t="s">
        <v>13299</v>
      </c>
      <c r="B695" s="25" t="s">
        <v>13300</v>
      </c>
      <c r="C695" s="25" t="s">
        <v>13301</v>
      </c>
      <c r="D695" s="25" t="s">
        <v>166</v>
      </c>
      <c r="E695" s="34" t="s">
        <v>13302</v>
      </c>
      <c r="F695" s="32">
        <v>4</v>
      </c>
      <c r="G695" s="25" t="s">
        <v>13303</v>
      </c>
      <c r="H695" s="25" t="s">
        <v>166</v>
      </c>
      <c r="I695" s="25" t="s">
        <v>13304</v>
      </c>
      <c r="J695" s="25" t="s">
        <v>13305</v>
      </c>
      <c r="K695" s="25" t="s">
        <v>1455</v>
      </c>
      <c r="L695" s="25" t="s">
        <v>1456</v>
      </c>
      <c r="M695" s="25" t="s">
        <v>1457</v>
      </c>
      <c r="N695" s="25" t="s">
        <v>1841</v>
      </c>
      <c r="O695" s="25" t="s">
        <v>166</v>
      </c>
      <c r="P695" s="25" t="s">
        <v>13306</v>
      </c>
      <c r="Q695" s="25" t="s">
        <v>166</v>
      </c>
      <c r="R695" s="25" t="s">
        <v>177</v>
      </c>
      <c r="S695" s="25" t="s">
        <v>178</v>
      </c>
      <c r="T695" s="25" t="s">
        <v>179</v>
      </c>
      <c r="U695" s="25" t="s">
        <v>13307</v>
      </c>
      <c r="V695" s="25" t="s">
        <v>13308</v>
      </c>
      <c r="W695" s="32" t="s">
        <v>13309</v>
      </c>
      <c r="X695" s="25" t="s">
        <v>13310</v>
      </c>
      <c r="Y695" s="25" t="s">
        <v>13311</v>
      </c>
      <c r="Z695" s="25" t="s">
        <v>166</v>
      </c>
      <c r="AA695" s="25" t="s">
        <v>242</v>
      </c>
      <c r="AB695" s="25" t="s">
        <v>243</v>
      </c>
      <c r="AC695" s="25" t="s">
        <v>244</v>
      </c>
      <c r="AD695" s="25" t="s">
        <v>243</v>
      </c>
      <c r="AE695" s="25" t="s">
        <v>243</v>
      </c>
      <c r="AF695" s="25" t="s">
        <v>306</v>
      </c>
      <c r="AG695" s="25" t="s">
        <v>246</v>
      </c>
      <c r="AH695" s="32">
        <v>3</v>
      </c>
      <c r="AI695" s="4">
        <f>HYPERLINK("https://my.pitchbook.com/?d=135117-91T","135117-91T")</f>
      </c>
      <c r="AJ695" s="30" t="s">
        <v>166</v>
      </c>
      <c r="AK695" s="30">
        <v>43931</v>
      </c>
      <c r="AL695" s="29">
        <v>0.58</v>
      </c>
      <c r="AM695" s="25" t="s">
        <v>185</v>
      </c>
      <c r="AN695" s="29">
        <v>1.92</v>
      </c>
      <c r="AO695" s="29">
        <v>2.5</v>
      </c>
      <c r="AP695" s="25" t="s">
        <v>185</v>
      </c>
      <c r="AQ695" s="32" t="s">
        <v>166</v>
      </c>
      <c r="AR695" s="32" t="s">
        <v>166</v>
      </c>
      <c r="AS695" s="28">
        <v>23.3</v>
      </c>
      <c r="AT695" s="29">
        <v>0.66</v>
      </c>
      <c r="AU695" s="32" t="s">
        <v>186</v>
      </c>
      <c r="AV695" s="32" t="s">
        <v>166</v>
      </c>
      <c r="AW695" s="29">
        <v>2.58</v>
      </c>
      <c r="AX695" s="32" t="s">
        <v>166</v>
      </c>
      <c r="AY695" s="25" t="s">
        <v>217</v>
      </c>
      <c r="AZ695" s="25" t="s">
        <v>217</v>
      </c>
      <c r="BA695" s="25" t="s">
        <v>166</v>
      </c>
      <c r="BB695" s="32" t="s">
        <v>166</v>
      </c>
      <c r="BC695" s="25" t="s">
        <v>179</v>
      </c>
      <c r="BD695" s="25" t="s">
        <v>13312</v>
      </c>
      <c r="BE695" s="25" t="s">
        <v>189</v>
      </c>
      <c r="BF695" s="29">
        <v>0.58</v>
      </c>
      <c r="BG695" s="25" t="s">
        <v>190</v>
      </c>
      <c r="BH695" s="25" t="s">
        <v>166</v>
      </c>
      <c r="BI695" s="25" t="s">
        <v>166</v>
      </c>
      <c r="BJ695" s="29" t="s">
        <v>166</v>
      </c>
      <c r="BK695" s="29" t="s">
        <v>166</v>
      </c>
      <c r="BL695" s="25" t="s">
        <v>191</v>
      </c>
      <c r="BM695" s="25" t="s">
        <v>178</v>
      </c>
      <c r="BN695" s="25" t="s">
        <v>177</v>
      </c>
      <c r="BO695" s="33" t="s">
        <v>166</v>
      </c>
      <c r="BP695" s="25" t="s">
        <v>13313</v>
      </c>
      <c r="BQ695" s="32">
        <v>4</v>
      </c>
      <c r="BR695" s="25" t="s">
        <v>166</v>
      </c>
      <c r="BS695" s="32" t="s">
        <v>166</v>
      </c>
      <c r="BT695" s="25" t="s">
        <v>13314</v>
      </c>
      <c r="BU695" s="25" t="s">
        <v>166</v>
      </c>
      <c r="BV695" s="25" t="s">
        <v>13315</v>
      </c>
      <c r="BW695" s="25" t="s">
        <v>166</v>
      </c>
      <c r="BX695" s="25" t="s">
        <v>166</v>
      </c>
      <c r="BY695" s="25" t="s">
        <v>166</v>
      </c>
      <c r="BZ695" s="25" t="s">
        <v>13316</v>
      </c>
      <c r="CA695" s="25" t="s">
        <v>13316</v>
      </c>
      <c r="CB695" s="25" t="s">
        <v>166</v>
      </c>
      <c r="CC695" s="25" t="s">
        <v>166</v>
      </c>
      <c r="CD695" s="25" t="s">
        <v>166</v>
      </c>
      <c r="CE695" s="29" t="s">
        <v>166</v>
      </c>
      <c r="CF695" s="27" t="s">
        <v>166</v>
      </c>
      <c r="CG695" s="28" t="s">
        <v>166</v>
      </c>
      <c r="CH695" s="27" t="s">
        <v>166</v>
      </c>
      <c r="CI695" s="27" t="s">
        <v>166</v>
      </c>
      <c r="CJ695" s="27" t="s">
        <v>166</v>
      </c>
      <c r="CK695" s="27" t="s">
        <v>166</v>
      </c>
      <c r="CL695" s="27" t="s">
        <v>166</v>
      </c>
      <c r="CM695" s="31" t="s">
        <v>166</v>
      </c>
      <c r="CN695" s="27" t="s">
        <v>166</v>
      </c>
      <c r="CO695" s="27" t="s">
        <v>166</v>
      </c>
      <c r="CP695" s="27" t="s">
        <v>166</v>
      </c>
      <c r="CQ695" s="27" t="s">
        <v>166</v>
      </c>
      <c r="CR695" s="27" t="s">
        <v>166</v>
      </c>
      <c r="CS695" s="27" t="s">
        <v>166</v>
      </c>
      <c r="CT695" s="27" t="s">
        <v>166</v>
      </c>
      <c r="CU695" s="27" t="s">
        <v>166</v>
      </c>
      <c r="CV695" s="27" t="s">
        <v>166</v>
      </c>
      <c r="CW695" s="27" t="s">
        <v>166</v>
      </c>
      <c r="CX695" s="27" t="s">
        <v>166</v>
      </c>
      <c r="CY695" s="27" t="s">
        <v>166</v>
      </c>
      <c r="CZ695" s="27" t="s">
        <v>166</v>
      </c>
      <c r="DA695" s="27" t="s">
        <v>166</v>
      </c>
      <c r="DB695" s="27" t="s">
        <v>166</v>
      </c>
      <c r="DC695" s="27" t="s">
        <v>166</v>
      </c>
      <c r="DD695" s="27" t="s">
        <v>166</v>
      </c>
      <c r="DE695" s="28" t="s">
        <v>166</v>
      </c>
      <c r="DF695" s="33">
        <v>9</v>
      </c>
      <c r="DG695" s="25" t="s">
        <v>13317</v>
      </c>
      <c r="DH695" s="25" t="s">
        <v>193</v>
      </c>
      <c r="DI695" s="25" t="s">
        <v>194</v>
      </c>
      <c r="DJ695" s="25" t="s">
        <v>13318</v>
      </c>
      <c r="DK695" s="25" t="s">
        <v>2731</v>
      </c>
      <c r="DL695" s="32" t="s">
        <v>13319</v>
      </c>
      <c r="DM695" s="25" t="s">
        <v>198</v>
      </c>
      <c r="DN695" s="24" t="s">
        <v>13320</v>
      </c>
      <c r="DO695" s="31">
        <v>2015</v>
      </c>
      <c r="DP695" s="25" t="s">
        <v>166</v>
      </c>
      <c r="DQ695" s="25" t="s">
        <v>166</v>
      </c>
      <c r="DR695" s="29" t="s">
        <v>166</v>
      </c>
      <c r="DS695" s="27" t="s">
        <v>166</v>
      </c>
      <c r="DT695" s="30" t="s">
        <v>166</v>
      </c>
      <c r="DU695" s="25" t="s">
        <v>166</v>
      </c>
      <c r="DV695" s="29" t="s">
        <v>166</v>
      </c>
      <c r="DW695" s="29" t="s">
        <v>166</v>
      </c>
      <c r="DX695" s="27" t="s">
        <v>166</v>
      </c>
      <c r="DY695" s="27" t="s">
        <v>166</v>
      </c>
      <c r="DZ695" s="28" t="s">
        <v>166</v>
      </c>
      <c r="EA695" s="27" t="s">
        <v>166</v>
      </c>
      <c r="EB695" s="27" t="s">
        <v>166</v>
      </c>
      <c r="EC695" s="27" t="s">
        <v>166</v>
      </c>
      <c r="ED695" s="28" t="s">
        <v>166</v>
      </c>
      <c r="EE695" s="28" t="s">
        <v>166</v>
      </c>
      <c r="EF695" s="28" t="s">
        <v>166</v>
      </c>
      <c r="EG695" s="28" t="s">
        <v>166</v>
      </c>
      <c r="EH695" s="27" t="s">
        <v>166</v>
      </c>
      <c r="EI695" s="27" t="s">
        <v>166</v>
      </c>
      <c r="EJ695" s="27" t="s">
        <v>166</v>
      </c>
      <c r="EK695" s="27" t="s">
        <v>166</v>
      </c>
      <c r="EL695" s="27" t="s">
        <v>166</v>
      </c>
      <c r="EM695" s="27" t="s">
        <v>166</v>
      </c>
      <c r="EN695" s="27" t="s">
        <v>166</v>
      </c>
      <c r="EO695" s="27" t="s">
        <v>166</v>
      </c>
      <c r="EP695" s="27" t="s">
        <v>166</v>
      </c>
      <c r="EQ695" s="27" t="s">
        <v>166</v>
      </c>
      <c r="ER695" s="27" t="s">
        <v>166</v>
      </c>
      <c r="ES695" s="27" t="s">
        <v>166</v>
      </c>
      <c r="ET695" s="25" t="s">
        <v>166</v>
      </c>
      <c r="EU695" s="27" t="s">
        <v>166</v>
      </c>
      <c r="EV695" s="27" t="s">
        <v>166</v>
      </c>
      <c r="EW695" s="27" t="s">
        <v>166</v>
      </c>
      <c r="EX695" s="25" t="s">
        <v>190</v>
      </c>
      <c r="EY695" s="25" t="s">
        <v>166</v>
      </c>
      <c r="EZ695" s="27" t="s">
        <v>166</v>
      </c>
      <c r="FA695" s="26" t="s">
        <v>166</v>
      </c>
      <c r="FB695" s="26" t="s">
        <v>166</v>
      </c>
      <c r="FC695" s="26" t="s">
        <v>166</v>
      </c>
      <c r="FD695" s="26" t="s">
        <v>166</v>
      </c>
      <c r="FE695" s="26" t="s">
        <v>166</v>
      </c>
      <c r="FF695" s="26" t="s">
        <v>166</v>
      </c>
      <c r="FG695" s="25" t="s">
        <v>166</v>
      </c>
      <c r="FH695" s="4">
        <f>HYPERLINK("https://my.pitchbook.com?c=135117-91T","View Company Online")</f>
      </c>
    </row>
    <row r="696">
      <c r="A696" s="14" t="s">
        <v>13321</v>
      </c>
      <c r="B696" s="14" t="s">
        <v>13322</v>
      </c>
      <c r="C696" s="14" t="s">
        <v>13323</v>
      </c>
      <c r="D696" s="14" t="s">
        <v>166</v>
      </c>
      <c r="E696" s="23" t="s">
        <v>13324</v>
      </c>
      <c r="F696" s="21">
        <v>5</v>
      </c>
      <c r="G696" s="14" t="s">
        <v>13325</v>
      </c>
      <c r="H696" s="14" t="s">
        <v>166</v>
      </c>
      <c r="I696" s="14" t="s">
        <v>13326</v>
      </c>
      <c r="J696" s="14" t="s">
        <v>13327</v>
      </c>
      <c r="K696" s="14" t="s">
        <v>207</v>
      </c>
      <c r="L696" s="14" t="s">
        <v>208</v>
      </c>
      <c r="M696" s="14" t="s">
        <v>209</v>
      </c>
      <c r="N696" s="14" t="s">
        <v>3407</v>
      </c>
      <c r="O696" s="14" t="s">
        <v>800</v>
      </c>
      <c r="P696" s="14" t="s">
        <v>13328</v>
      </c>
      <c r="Q696" s="14" t="s">
        <v>166</v>
      </c>
      <c r="R696" s="14" t="s">
        <v>177</v>
      </c>
      <c r="S696" s="14" t="s">
        <v>178</v>
      </c>
      <c r="T696" s="14" t="s">
        <v>179</v>
      </c>
      <c r="U696" s="14" t="s">
        <v>13329</v>
      </c>
      <c r="V696" s="14" t="s">
        <v>13330</v>
      </c>
      <c r="W696" s="21" t="s">
        <v>166</v>
      </c>
      <c r="X696" s="14" t="s">
        <v>13331</v>
      </c>
      <c r="Y696" s="14" t="s">
        <v>13332</v>
      </c>
      <c r="Z696" s="14" t="s">
        <v>13333</v>
      </c>
      <c r="AA696" s="14" t="s">
        <v>166</v>
      </c>
      <c r="AB696" s="14" t="s">
        <v>166</v>
      </c>
      <c r="AC696" s="14" t="s">
        <v>166</v>
      </c>
      <c r="AD696" s="14" t="s">
        <v>166</v>
      </c>
      <c r="AE696" s="14" t="s">
        <v>166</v>
      </c>
      <c r="AF696" s="14" t="s">
        <v>166</v>
      </c>
      <c r="AG696" s="14" t="s">
        <v>166</v>
      </c>
      <c r="AH696" s="21">
        <v>1</v>
      </c>
      <c r="AI696" s="3">
        <f>HYPERLINK("https://my.pitchbook.com/?d=190840-33T","190840-33T")</f>
      </c>
      <c r="AJ696" s="19" t="s">
        <v>166</v>
      </c>
      <c r="AK696" s="19">
        <v>44553</v>
      </c>
      <c r="AL696" s="18">
        <v>2.2</v>
      </c>
      <c r="AM696" s="14" t="s">
        <v>185</v>
      </c>
      <c r="AN696" s="18" t="s">
        <v>166</v>
      </c>
      <c r="AO696" s="18" t="s">
        <v>166</v>
      </c>
      <c r="AP696" s="14" t="s">
        <v>166</v>
      </c>
      <c r="AQ696" s="21" t="s">
        <v>166</v>
      </c>
      <c r="AR696" s="21" t="s">
        <v>166</v>
      </c>
      <c r="AS696" s="17" t="s">
        <v>166</v>
      </c>
      <c r="AT696" s="18">
        <v>2.2</v>
      </c>
      <c r="AU696" s="21" t="s">
        <v>186</v>
      </c>
      <c r="AV696" s="21" t="s">
        <v>166</v>
      </c>
      <c r="AW696" s="18" t="s">
        <v>166</v>
      </c>
      <c r="AX696" s="21" t="s">
        <v>166</v>
      </c>
      <c r="AY696" s="14" t="s">
        <v>217</v>
      </c>
      <c r="AZ696" s="14" t="s">
        <v>217</v>
      </c>
      <c r="BA696" s="14" t="s">
        <v>166</v>
      </c>
      <c r="BB696" s="21" t="s">
        <v>166</v>
      </c>
      <c r="BC696" s="14" t="s">
        <v>179</v>
      </c>
      <c r="BD696" s="14" t="s">
        <v>13327</v>
      </c>
      <c r="BE696" s="14" t="s">
        <v>189</v>
      </c>
      <c r="BF696" s="18">
        <v>2.2</v>
      </c>
      <c r="BG696" s="14" t="s">
        <v>190</v>
      </c>
      <c r="BH696" s="14" t="s">
        <v>166</v>
      </c>
      <c r="BI696" s="14" t="s">
        <v>166</v>
      </c>
      <c r="BJ696" s="18" t="s">
        <v>166</v>
      </c>
      <c r="BK696" s="18" t="s">
        <v>166</v>
      </c>
      <c r="BL696" s="14" t="s">
        <v>191</v>
      </c>
      <c r="BM696" s="14" t="s">
        <v>178</v>
      </c>
      <c r="BN696" s="14" t="s">
        <v>177</v>
      </c>
      <c r="BO696" s="22" t="s">
        <v>166</v>
      </c>
      <c r="BP696" s="14" t="s">
        <v>13334</v>
      </c>
      <c r="BQ696" s="21">
        <v>5</v>
      </c>
      <c r="BR696" s="14" t="s">
        <v>166</v>
      </c>
      <c r="BS696" s="21" t="s">
        <v>166</v>
      </c>
      <c r="BT696" s="14" t="s">
        <v>166</v>
      </c>
      <c r="BU696" s="14" t="s">
        <v>166</v>
      </c>
      <c r="BV696" s="14" t="s">
        <v>13335</v>
      </c>
      <c r="BW696" s="14" t="s">
        <v>166</v>
      </c>
      <c r="BX696" s="14" t="s">
        <v>166</v>
      </c>
      <c r="BY696" s="14" t="s">
        <v>166</v>
      </c>
      <c r="BZ696" s="14" t="s">
        <v>166</v>
      </c>
      <c r="CA696" s="14" t="s">
        <v>166</v>
      </c>
      <c r="CB696" s="14" t="s">
        <v>166</v>
      </c>
      <c r="CC696" s="14" t="s">
        <v>166</v>
      </c>
      <c r="CD696" s="14" t="s">
        <v>166</v>
      </c>
      <c r="CE696" s="18" t="s">
        <v>166</v>
      </c>
      <c r="CF696" s="16" t="s">
        <v>166</v>
      </c>
      <c r="CG696" s="17" t="s">
        <v>166</v>
      </c>
      <c r="CH696" s="16" t="s">
        <v>166</v>
      </c>
      <c r="CI696" s="16" t="s">
        <v>166</v>
      </c>
      <c r="CJ696" s="16" t="s">
        <v>166</v>
      </c>
      <c r="CK696" s="16" t="s">
        <v>166</v>
      </c>
      <c r="CL696" s="16" t="s">
        <v>166</v>
      </c>
      <c r="CM696" s="20" t="s">
        <v>166</v>
      </c>
      <c r="CN696" s="16" t="s">
        <v>166</v>
      </c>
      <c r="CO696" s="16" t="s">
        <v>166</v>
      </c>
      <c r="CP696" s="16" t="s">
        <v>166</v>
      </c>
      <c r="CQ696" s="16" t="s">
        <v>166</v>
      </c>
      <c r="CR696" s="16" t="s">
        <v>166</v>
      </c>
      <c r="CS696" s="16" t="s">
        <v>166</v>
      </c>
      <c r="CT696" s="16" t="s">
        <v>166</v>
      </c>
      <c r="CU696" s="16" t="s">
        <v>166</v>
      </c>
      <c r="CV696" s="16" t="s">
        <v>166</v>
      </c>
      <c r="CW696" s="16" t="s">
        <v>166</v>
      </c>
      <c r="CX696" s="16" t="s">
        <v>166</v>
      </c>
      <c r="CY696" s="16" t="s">
        <v>166</v>
      </c>
      <c r="CZ696" s="16" t="s">
        <v>166</v>
      </c>
      <c r="DA696" s="16" t="s">
        <v>166</v>
      </c>
      <c r="DB696" s="16" t="s">
        <v>166</v>
      </c>
      <c r="DC696" s="16" t="s">
        <v>166</v>
      </c>
      <c r="DD696" s="16" t="s">
        <v>166</v>
      </c>
      <c r="DE696" s="17" t="s">
        <v>166</v>
      </c>
      <c r="DF696" s="22">
        <v>6</v>
      </c>
      <c r="DG696" s="14" t="s">
        <v>309</v>
      </c>
      <c r="DH696" s="14" t="s">
        <v>193</v>
      </c>
      <c r="DI696" s="14" t="s">
        <v>194</v>
      </c>
      <c r="DJ696" s="14" t="s">
        <v>310</v>
      </c>
      <c r="DK696" s="14" t="s">
        <v>310</v>
      </c>
      <c r="DL696" s="21" t="s">
        <v>311</v>
      </c>
      <c r="DM696" s="14" t="s">
        <v>198</v>
      </c>
      <c r="DN696" s="13" t="s">
        <v>13336</v>
      </c>
      <c r="DO696" s="20">
        <v>2021</v>
      </c>
      <c r="DP696" s="14" t="s">
        <v>166</v>
      </c>
      <c r="DQ696" s="14" t="s">
        <v>166</v>
      </c>
      <c r="DR696" s="18" t="s">
        <v>166</v>
      </c>
      <c r="DS696" s="16" t="s">
        <v>166</v>
      </c>
      <c r="DT696" s="19" t="s">
        <v>166</v>
      </c>
      <c r="DU696" s="14" t="s">
        <v>166</v>
      </c>
      <c r="DV696" s="18" t="s">
        <v>166</v>
      </c>
      <c r="DW696" s="18" t="s">
        <v>166</v>
      </c>
      <c r="DX696" s="16" t="s">
        <v>166</v>
      </c>
      <c r="DY696" s="16" t="s">
        <v>166</v>
      </c>
      <c r="DZ696" s="17" t="s">
        <v>166</v>
      </c>
      <c r="EA696" s="16" t="s">
        <v>166</v>
      </c>
      <c r="EB696" s="16" t="s">
        <v>166</v>
      </c>
      <c r="EC696" s="16" t="s">
        <v>166</v>
      </c>
      <c r="ED696" s="17" t="s">
        <v>166</v>
      </c>
      <c r="EE696" s="17" t="s">
        <v>166</v>
      </c>
      <c r="EF696" s="17" t="s">
        <v>166</v>
      </c>
      <c r="EG696" s="17" t="s">
        <v>166</v>
      </c>
      <c r="EH696" s="16" t="s">
        <v>166</v>
      </c>
      <c r="EI696" s="16" t="s">
        <v>166</v>
      </c>
      <c r="EJ696" s="16" t="s">
        <v>166</v>
      </c>
      <c r="EK696" s="16" t="s">
        <v>166</v>
      </c>
      <c r="EL696" s="16" t="s">
        <v>166</v>
      </c>
      <c r="EM696" s="16" t="s">
        <v>166</v>
      </c>
      <c r="EN696" s="16" t="s">
        <v>166</v>
      </c>
      <c r="EO696" s="16" t="s">
        <v>166</v>
      </c>
      <c r="EP696" s="16" t="s">
        <v>166</v>
      </c>
      <c r="EQ696" s="16" t="s">
        <v>166</v>
      </c>
      <c r="ER696" s="16" t="s">
        <v>166</v>
      </c>
      <c r="ES696" s="16" t="s">
        <v>166</v>
      </c>
      <c r="ET696" s="14" t="s">
        <v>166</v>
      </c>
      <c r="EU696" s="16" t="s">
        <v>166</v>
      </c>
      <c r="EV696" s="16" t="s">
        <v>166</v>
      </c>
      <c r="EW696" s="16" t="s">
        <v>166</v>
      </c>
      <c r="EX696" s="14" t="s">
        <v>190</v>
      </c>
      <c r="EY696" s="14" t="s">
        <v>166</v>
      </c>
      <c r="EZ696" s="16" t="s">
        <v>166</v>
      </c>
      <c r="FA696" s="15" t="s">
        <v>166</v>
      </c>
      <c r="FB696" s="15" t="s">
        <v>166</v>
      </c>
      <c r="FC696" s="15" t="s">
        <v>166</v>
      </c>
      <c r="FD696" s="15" t="s">
        <v>166</v>
      </c>
      <c r="FE696" s="15" t="s">
        <v>166</v>
      </c>
      <c r="FF696" s="15" t="s">
        <v>166</v>
      </c>
      <c r="FG696" s="14" t="s">
        <v>166</v>
      </c>
      <c r="FH696" s="3">
        <f>HYPERLINK("https://my.pitchbook.com?c=190840-33T","View Company Online")</f>
      </c>
    </row>
    <row r="697">
      <c r="A697" s="25" t="s">
        <v>13337</v>
      </c>
      <c r="B697" s="25" t="s">
        <v>13338</v>
      </c>
      <c r="C697" s="25" t="s">
        <v>13339</v>
      </c>
      <c r="D697" s="25" t="s">
        <v>166</v>
      </c>
      <c r="E697" s="34" t="s">
        <v>13340</v>
      </c>
      <c r="F697" s="32">
        <v>3</v>
      </c>
      <c r="G697" s="25" t="s">
        <v>13341</v>
      </c>
      <c r="H697" s="25" t="s">
        <v>166</v>
      </c>
      <c r="I697" s="25" t="s">
        <v>13342</v>
      </c>
      <c r="J697" s="25" t="s">
        <v>13343</v>
      </c>
      <c r="K697" s="25" t="s">
        <v>207</v>
      </c>
      <c r="L697" s="25" t="s">
        <v>208</v>
      </c>
      <c r="M697" s="25" t="s">
        <v>1181</v>
      </c>
      <c r="N697" s="25" t="s">
        <v>13344</v>
      </c>
      <c r="O697" s="25" t="s">
        <v>211</v>
      </c>
      <c r="P697" s="25" t="s">
        <v>13345</v>
      </c>
      <c r="Q697" s="25" t="s">
        <v>166</v>
      </c>
      <c r="R697" s="25" t="s">
        <v>177</v>
      </c>
      <c r="S697" s="25" t="s">
        <v>178</v>
      </c>
      <c r="T697" s="25" t="s">
        <v>179</v>
      </c>
      <c r="U697" s="25" t="s">
        <v>13346</v>
      </c>
      <c r="V697" s="25" t="s">
        <v>13347</v>
      </c>
      <c r="W697" s="32" t="s">
        <v>13348</v>
      </c>
      <c r="X697" s="25" t="s">
        <v>13349</v>
      </c>
      <c r="Y697" s="25" t="s">
        <v>13350</v>
      </c>
      <c r="Z697" s="25" t="s">
        <v>13351</v>
      </c>
      <c r="AA697" s="25" t="s">
        <v>166</v>
      </c>
      <c r="AB697" s="25" t="s">
        <v>166</v>
      </c>
      <c r="AC697" s="25" t="s">
        <v>166</v>
      </c>
      <c r="AD697" s="25" t="s">
        <v>166</v>
      </c>
      <c r="AE697" s="25" t="s">
        <v>166</v>
      </c>
      <c r="AF697" s="25" t="s">
        <v>166</v>
      </c>
      <c r="AG697" s="25" t="s">
        <v>166</v>
      </c>
      <c r="AH697" s="32">
        <v>1</v>
      </c>
      <c r="AI697" s="4">
        <f>HYPERLINK("https://my.pitchbook.com/?d=204772-78T","204772-78T")</f>
      </c>
      <c r="AJ697" s="30" t="s">
        <v>166</v>
      </c>
      <c r="AK697" s="30">
        <v>44655</v>
      </c>
      <c r="AL697" s="29">
        <v>0.74</v>
      </c>
      <c r="AM697" s="25" t="s">
        <v>185</v>
      </c>
      <c r="AN697" s="29">
        <v>3.06</v>
      </c>
      <c r="AO697" s="29">
        <v>3.8</v>
      </c>
      <c r="AP697" s="25" t="s">
        <v>185</v>
      </c>
      <c r="AQ697" s="32" t="s">
        <v>166</v>
      </c>
      <c r="AR697" s="32" t="s">
        <v>166</v>
      </c>
      <c r="AS697" s="28">
        <v>19.47</v>
      </c>
      <c r="AT697" s="29">
        <v>0.74</v>
      </c>
      <c r="AU697" s="32" t="s">
        <v>186</v>
      </c>
      <c r="AV697" s="32" t="s">
        <v>166</v>
      </c>
      <c r="AW697" s="29" t="s">
        <v>166</v>
      </c>
      <c r="AX697" s="32" t="s">
        <v>166</v>
      </c>
      <c r="AY697" s="25" t="s">
        <v>217</v>
      </c>
      <c r="AZ697" s="25" t="s">
        <v>217</v>
      </c>
      <c r="BA697" s="25" t="s">
        <v>166</v>
      </c>
      <c r="BB697" s="32" t="s">
        <v>166</v>
      </c>
      <c r="BC697" s="25" t="s">
        <v>179</v>
      </c>
      <c r="BD697" s="25" t="s">
        <v>13352</v>
      </c>
      <c r="BE697" s="25" t="s">
        <v>189</v>
      </c>
      <c r="BF697" s="29">
        <v>0.74</v>
      </c>
      <c r="BG697" s="25" t="s">
        <v>190</v>
      </c>
      <c r="BH697" s="25" t="s">
        <v>166</v>
      </c>
      <c r="BI697" s="25" t="s">
        <v>166</v>
      </c>
      <c r="BJ697" s="29" t="s">
        <v>166</v>
      </c>
      <c r="BK697" s="29" t="s">
        <v>166</v>
      </c>
      <c r="BL697" s="25" t="s">
        <v>191</v>
      </c>
      <c r="BM697" s="25" t="s">
        <v>178</v>
      </c>
      <c r="BN697" s="25" t="s">
        <v>177</v>
      </c>
      <c r="BO697" s="33" t="s">
        <v>166</v>
      </c>
      <c r="BP697" s="25" t="s">
        <v>13353</v>
      </c>
      <c r="BQ697" s="32">
        <v>3</v>
      </c>
      <c r="BR697" s="25" t="s">
        <v>166</v>
      </c>
      <c r="BS697" s="32" t="s">
        <v>166</v>
      </c>
      <c r="BT697" s="25" t="s">
        <v>13354</v>
      </c>
      <c r="BU697" s="25" t="s">
        <v>166</v>
      </c>
      <c r="BV697" s="25" t="s">
        <v>166</v>
      </c>
      <c r="BW697" s="25" t="s">
        <v>166</v>
      </c>
      <c r="BX697" s="25" t="s">
        <v>166</v>
      </c>
      <c r="BY697" s="25" t="s">
        <v>166</v>
      </c>
      <c r="BZ697" s="25" t="s">
        <v>166</v>
      </c>
      <c r="CA697" s="25" t="s">
        <v>166</v>
      </c>
      <c r="CB697" s="25" t="s">
        <v>166</v>
      </c>
      <c r="CC697" s="25" t="s">
        <v>166</v>
      </c>
      <c r="CD697" s="25" t="s">
        <v>166</v>
      </c>
      <c r="CE697" s="29" t="s">
        <v>166</v>
      </c>
      <c r="CF697" s="27" t="s">
        <v>166</v>
      </c>
      <c r="CG697" s="28" t="s">
        <v>166</v>
      </c>
      <c r="CH697" s="27" t="s">
        <v>166</v>
      </c>
      <c r="CI697" s="27" t="s">
        <v>166</v>
      </c>
      <c r="CJ697" s="27" t="s">
        <v>166</v>
      </c>
      <c r="CK697" s="27" t="s">
        <v>166</v>
      </c>
      <c r="CL697" s="27" t="s">
        <v>166</v>
      </c>
      <c r="CM697" s="31" t="s">
        <v>166</v>
      </c>
      <c r="CN697" s="27" t="s">
        <v>166</v>
      </c>
      <c r="CO697" s="27" t="s">
        <v>166</v>
      </c>
      <c r="CP697" s="27" t="s">
        <v>166</v>
      </c>
      <c r="CQ697" s="27" t="s">
        <v>166</v>
      </c>
      <c r="CR697" s="27" t="s">
        <v>166</v>
      </c>
      <c r="CS697" s="27" t="s">
        <v>166</v>
      </c>
      <c r="CT697" s="27" t="s">
        <v>166</v>
      </c>
      <c r="CU697" s="27" t="s">
        <v>166</v>
      </c>
      <c r="CV697" s="27" t="s">
        <v>166</v>
      </c>
      <c r="CW697" s="27" t="s">
        <v>166</v>
      </c>
      <c r="CX697" s="27" t="s">
        <v>166</v>
      </c>
      <c r="CY697" s="27" t="s">
        <v>166</v>
      </c>
      <c r="CZ697" s="27" t="s">
        <v>166</v>
      </c>
      <c r="DA697" s="27" t="s">
        <v>166</v>
      </c>
      <c r="DB697" s="27" t="s">
        <v>166</v>
      </c>
      <c r="DC697" s="27" t="s">
        <v>166</v>
      </c>
      <c r="DD697" s="27" t="s">
        <v>166</v>
      </c>
      <c r="DE697" s="28" t="s">
        <v>166</v>
      </c>
      <c r="DF697" s="33">
        <v>9</v>
      </c>
      <c r="DG697" s="25" t="s">
        <v>13355</v>
      </c>
      <c r="DH697" s="25" t="s">
        <v>193</v>
      </c>
      <c r="DI697" s="25" t="s">
        <v>194</v>
      </c>
      <c r="DJ697" s="25" t="s">
        <v>13356</v>
      </c>
      <c r="DK697" s="25" t="s">
        <v>13357</v>
      </c>
      <c r="DL697" s="32" t="s">
        <v>13358</v>
      </c>
      <c r="DM697" s="25" t="s">
        <v>198</v>
      </c>
      <c r="DN697" s="24" t="s">
        <v>13359</v>
      </c>
      <c r="DO697" s="31">
        <v>2020</v>
      </c>
      <c r="DP697" s="25" t="s">
        <v>166</v>
      </c>
      <c r="DQ697" s="25" t="s">
        <v>166</v>
      </c>
      <c r="DR697" s="29" t="s">
        <v>166</v>
      </c>
      <c r="DS697" s="27" t="s">
        <v>166</v>
      </c>
      <c r="DT697" s="30" t="s">
        <v>166</v>
      </c>
      <c r="DU697" s="25" t="s">
        <v>166</v>
      </c>
      <c r="DV697" s="29" t="s">
        <v>166</v>
      </c>
      <c r="DW697" s="29" t="s">
        <v>166</v>
      </c>
      <c r="DX697" s="27" t="s">
        <v>166</v>
      </c>
      <c r="DY697" s="27" t="s">
        <v>166</v>
      </c>
      <c r="DZ697" s="28" t="s">
        <v>166</v>
      </c>
      <c r="EA697" s="27" t="s">
        <v>166</v>
      </c>
      <c r="EB697" s="27" t="s">
        <v>166</v>
      </c>
      <c r="EC697" s="27" t="s">
        <v>166</v>
      </c>
      <c r="ED697" s="28" t="s">
        <v>166</v>
      </c>
      <c r="EE697" s="28" t="s">
        <v>166</v>
      </c>
      <c r="EF697" s="28" t="s">
        <v>166</v>
      </c>
      <c r="EG697" s="28" t="s">
        <v>166</v>
      </c>
      <c r="EH697" s="27" t="s">
        <v>166</v>
      </c>
      <c r="EI697" s="27" t="s">
        <v>166</v>
      </c>
      <c r="EJ697" s="27" t="s">
        <v>166</v>
      </c>
      <c r="EK697" s="27" t="s">
        <v>166</v>
      </c>
      <c r="EL697" s="27" t="s">
        <v>166</v>
      </c>
      <c r="EM697" s="27" t="s">
        <v>166</v>
      </c>
      <c r="EN697" s="27" t="s">
        <v>166</v>
      </c>
      <c r="EO697" s="27" t="s">
        <v>166</v>
      </c>
      <c r="EP697" s="27" t="s">
        <v>166</v>
      </c>
      <c r="EQ697" s="27" t="s">
        <v>166</v>
      </c>
      <c r="ER697" s="27" t="s">
        <v>166</v>
      </c>
      <c r="ES697" s="27" t="s">
        <v>166</v>
      </c>
      <c r="ET697" s="25" t="s">
        <v>166</v>
      </c>
      <c r="EU697" s="27" t="s">
        <v>166</v>
      </c>
      <c r="EV697" s="27" t="s">
        <v>166</v>
      </c>
      <c r="EW697" s="27" t="s">
        <v>166</v>
      </c>
      <c r="EX697" s="25" t="s">
        <v>190</v>
      </c>
      <c r="EY697" s="25" t="s">
        <v>166</v>
      </c>
      <c r="EZ697" s="27" t="s">
        <v>166</v>
      </c>
      <c r="FA697" s="26" t="s">
        <v>166</v>
      </c>
      <c r="FB697" s="26" t="s">
        <v>166</v>
      </c>
      <c r="FC697" s="26" t="s">
        <v>166</v>
      </c>
      <c r="FD697" s="26" t="s">
        <v>166</v>
      </c>
      <c r="FE697" s="26" t="s">
        <v>166</v>
      </c>
      <c r="FF697" s="26" t="s">
        <v>166</v>
      </c>
      <c r="FG697" s="25" t="s">
        <v>166</v>
      </c>
      <c r="FH697" s="4">
        <f>HYPERLINK("https://my.pitchbook.com?c=204772-78T","View Company Online")</f>
      </c>
    </row>
    <row r="698">
      <c r="A698" s="14" t="s">
        <v>13360</v>
      </c>
      <c r="B698" s="14" t="s">
        <v>13361</v>
      </c>
      <c r="C698" s="14" t="s">
        <v>13362</v>
      </c>
      <c r="D698" s="14" t="s">
        <v>166</v>
      </c>
      <c r="E698" s="23" t="s">
        <v>13363</v>
      </c>
      <c r="F698" s="21">
        <v>2</v>
      </c>
      <c r="G698" s="14" t="s">
        <v>13364</v>
      </c>
      <c r="H698" s="14" t="s">
        <v>166</v>
      </c>
      <c r="I698" s="14" t="s">
        <v>13365</v>
      </c>
      <c r="J698" s="14" t="s">
        <v>13366</v>
      </c>
      <c r="K698" s="14" t="s">
        <v>207</v>
      </c>
      <c r="L698" s="14" t="s">
        <v>208</v>
      </c>
      <c r="M698" s="14" t="s">
        <v>209</v>
      </c>
      <c r="N698" s="14" t="s">
        <v>13367</v>
      </c>
      <c r="O698" s="14" t="s">
        <v>211</v>
      </c>
      <c r="P698" s="14" t="s">
        <v>13368</v>
      </c>
      <c r="Q698" s="14" t="s">
        <v>166</v>
      </c>
      <c r="R698" s="14" t="s">
        <v>177</v>
      </c>
      <c r="S698" s="14" t="s">
        <v>178</v>
      </c>
      <c r="T698" s="14" t="s">
        <v>179</v>
      </c>
      <c r="U698" s="14" t="s">
        <v>13369</v>
      </c>
      <c r="V698" s="14" t="s">
        <v>13370</v>
      </c>
      <c r="W698" s="21" t="s">
        <v>6677</v>
      </c>
      <c r="X698" s="14" t="s">
        <v>13371</v>
      </c>
      <c r="Y698" s="14" t="s">
        <v>13372</v>
      </c>
      <c r="Z698" s="14" t="s">
        <v>13373</v>
      </c>
      <c r="AA698" s="14" t="s">
        <v>242</v>
      </c>
      <c r="AB698" s="14" t="s">
        <v>243</v>
      </c>
      <c r="AC698" s="14" t="s">
        <v>244</v>
      </c>
      <c r="AD698" s="14" t="s">
        <v>243</v>
      </c>
      <c r="AE698" s="14" t="s">
        <v>243</v>
      </c>
      <c r="AF698" s="14" t="s">
        <v>245</v>
      </c>
      <c r="AG698" s="14" t="s">
        <v>807</v>
      </c>
      <c r="AH698" s="21">
        <v>1</v>
      </c>
      <c r="AI698" s="3">
        <f>HYPERLINK("https://my.pitchbook.com/?d=131483-08T","131483-08T")</f>
      </c>
      <c r="AJ698" s="19" t="s">
        <v>166</v>
      </c>
      <c r="AK698" s="19">
        <v>43861</v>
      </c>
      <c r="AL698" s="18">
        <v>3</v>
      </c>
      <c r="AM698" s="14" t="s">
        <v>185</v>
      </c>
      <c r="AN698" s="18">
        <v>4.5</v>
      </c>
      <c r="AO698" s="18">
        <v>6</v>
      </c>
      <c r="AP698" s="14" t="s">
        <v>185</v>
      </c>
      <c r="AQ698" s="21" t="s">
        <v>166</v>
      </c>
      <c r="AR698" s="21" t="s">
        <v>166</v>
      </c>
      <c r="AS698" s="17">
        <v>25</v>
      </c>
      <c r="AT698" s="18">
        <v>3</v>
      </c>
      <c r="AU698" s="21" t="s">
        <v>186</v>
      </c>
      <c r="AV698" s="21" t="s">
        <v>166</v>
      </c>
      <c r="AW698" s="18">
        <v>0.42</v>
      </c>
      <c r="AX698" s="21" t="s">
        <v>248</v>
      </c>
      <c r="AY698" s="14" t="s">
        <v>249</v>
      </c>
      <c r="AZ698" s="14" t="s">
        <v>248</v>
      </c>
      <c r="BA698" s="14" t="s">
        <v>166</v>
      </c>
      <c r="BB698" s="21" t="s">
        <v>166</v>
      </c>
      <c r="BC698" s="14" t="s">
        <v>8539</v>
      </c>
      <c r="BD698" s="14" t="s">
        <v>13366</v>
      </c>
      <c r="BE698" s="14" t="s">
        <v>189</v>
      </c>
      <c r="BF698" s="18">
        <v>3</v>
      </c>
      <c r="BG698" s="14" t="s">
        <v>190</v>
      </c>
      <c r="BH698" s="14" t="s">
        <v>166</v>
      </c>
      <c r="BI698" s="14" t="s">
        <v>166</v>
      </c>
      <c r="BJ698" s="18" t="s">
        <v>166</v>
      </c>
      <c r="BK698" s="18" t="s">
        <v>166</v>
      </c>
      <c r="BL698" s="14" t="s">
        <v>191</v>
      </c>
      <c r="BM698" s="14" t="s">
        <v>178</v>
      </c>
      <c r="BN698" s="14" t="s">
        <v>177</v>
      </c>
      <c r="BO698" s="22" t="s">
        <v>166</v>
      </c>
      <c r="BP698" s="14" t="s">
        <v>13374</v>
      </c>
      <c r="BQ698" s="21">
        <v>2</v>
      </c>
      <c r="BR698" s="14" t="s">
        <v>166</v>
      </c>
      <c r="BS698" s="21" t="s">
        <v>166</v>
      </c>
      <c r="BT698" s="14" t="s">
        <v>166</v>
      </c>
      <c r="BU698" s="14" t="s">
        <v>166</v>
      </c>
      <c r="BV698" s="14" t="s">
        <v>166</v>
      </c>
      <c r="BW698" s="14" t="s">
        <v>166</v>
      </c>
      <c r="BX698" s="14" t="s">
        <v>166</v>
      </c>
      <c r="BY698" s="14" t="s">
        <v>166</v>
      </c>
      <c r="BZ698" s="14" t="s">
        <v>13375</v>
      </c>
      <c r="CA698" s="14" t="s">
        <v>166</v>
      </c>
      <c r="CB698" s="14" t="s">
        <v>166</v>
      </c>
      <c r="CC698" s="14" t="s">
        <v>13375</v>
      </c>
      <c r="CD698" s="14" t="s">
        <v>166</v>
      </c>
      <c r="CE698" s="18" t="s">
        <v>166</v>
      </c>
      <c r="CF698" s="16" t="s">
        <v>166</v>
      </c>
      <c r="CG698" s="17" t="s">
        <v>166</v>
      </c>
      <c r="CH698" s="16" t="s">
        <v>166</v>
      </c>
      <c r="CI698" s="16" t="s">
        <v>166</v>
      </c>
      <c r="CJ698" s="16" t="s">
        <v>166</v>
      </c>
      <c r="CK698" s="16" t="s">
        <v>166</v>
      </c>
      <c r="CL698" s="16" t="s">
        <v>166</v>
      </c>
      <c r="CM698" s="20" t="s">
        <v>166</v>
      </c>
      <c r="CN698" s="16" t="s">
        <v>166</v>
      </c>
      <c r="CO698" s="16" t="s">
        <v>166</v>
      </c>
      <c r="CP698" s="16" t="s">
        <v>166</v>
      </c>
      <c r="CQ698" s="16" t="s">
        <v>166</v>
      </c>
      <c r="CR698" s="16" t="s">
        <v>166</v>
      </c>
      <c r="CS698" s="16" t="s">
        <v>166</v>
      </c>
      <c r="CT698" s="16" t="s">
        <v>166</v>
      </c>
      <c r="CU698" s="16" t="s">
        <v>166</v>
      </c>
      <c r="CV698" s="16" t="s">
        <v>166</v>
      </c>
      <c r="CW698" s="16" t="s">
        <v>166</v>
      </c>
      <c r="CX698" s="16" t="s">
        <v>166</v>
      </c>
      <c r="CY698" s="16" t="s">
        <v>166</v>
      </c>
      <c r="CZ698" s="16" t="s">
        <v>166</v>
      </c>
      <c r="DA698" s="16" t="s">
        <v>166</v>
      </c>
      <c r="DB698" s="16" t="s">
        <v>166</v>
      </c>
      <c r="DC698" s="16" t="s">
        <v>166</v>
      </c>
      <c r="DD698" s="16" t="s">
        <v>166</v>
      </c>
      <c r="DE698" s="17" t="s">
        <v>166</v>
      </c>
      <c r="DF698" s="22">
        <v>9</v>
      </c>
      <c r="DG698" s="14" t="s">
        <v>6681</v>
      </c>
      <c r="DH698" s="14" t="s">
        <v>193</v>
      </c>
      <c r="DI698" s="14" t="s">
        <v>194</v>
      </c>
      <c r="DJ698" s="14" t="s">
        <v>6682</v>
      </c>
      <c r="DK698" s="14" t="s">
        <v>257</v>
      </c>
      <c r="DL698" s="21" t="s">
        <v>6683</v>
      </c>
      <c r="DM698" s="14" t="s">
        <v>198</v>
      </c>
      <c r="DN698" s="13" t="s">
        <v>13376</v>
      </c>
      <c r="DO698" s="20">
        <v>2010</v>
      </c>
      <c r="DP698" s="14" t="s">
        <v>166</v>
      </c>
      <c r="DQ698" s="14" t="s">
        <v>166</v>
      </c>
      <c r="DR698" s="18" t="s">
        <v>166</v>
      </c>
      <c r="DS698" s="16" t="s">
        <v>166</v>
      </c>
      <c r="DT698" s="19" t="s">
        <v>166</v>
      </c>
      <c r="DU698" s="14" t="s">
        <v>166</v>
      </c>
      <c r="DV698" s="18" t="s">
        <v>166</v>
      </c>
      <c r="DW698" s="18" t="s">
        <v>166</v>
      </c>
      <c r="DX698" s="16" t="s">
        <v>166</v>
      </c>
      <c r="DY698" s="16" t="s">
        <v>166</v>
      </c>
      <c r="DZ698" s="17" t="s">
        <v>166</v>
      </c>
      <c r="EA698" s="16" t="s">
        <v>166</v>
      </c>
      <c r="EB698" s="16" t="s">
        <v>166</v>
      </c>
      <c r="EC698" s="16" t="s">
        <v>166</v>
      </c>
      <c r="ED698" s="17" t="s">
        <v>166</v>
      </c>
      <c r="EE698" s="17" t="s">
        <v>166</v>
      </c>
      <c r="EF698" s="17" t="s">
        <v>166</v>
      </c>
      <c r="EG698" s="17" t="s">
        <v>166</v>
      </c>
      <c r="EH698" s="16" t="s">
        <v>166</v>
      </c>
      <c r="EI698" s="16" t="s">
        <v>166</v>
      </c>
      <c r="EJ698" s="16" t="s">
        <v>166</v>
      </c>
      <c r="EK698" s="16" t="s">
        <v>166</v>
      </c>
      <c r="EL698" s="16" t="s">
        <v>166</v>
      </c>
      <c r="EM698" s="16" t="s">
        <v>166</v>
      </c>
      <c r="EN698" s="16" t="s">
        <v>166</v>
      </c>
      <c r="EO698" s="16" t="s">
        <v>166</v>
      </c>
      <c r="EP698" s="16" t="s">
        <v>166</v>
      </c>
      <c r="EQ698" s="16" t="s">
        <v>166</v>
      </c>
      <c r="ER698" s="16" t="s">
        <v>166</v>
      </c>
      <c r="ES698" s="16" t="s">
        <v>166</v>
      </c>
      <c r="ET698" s="14" t="s">
        <v>166</v>
      </c>
      <c r="EU698" s="16" t="s">
        <v>166</v>
      </c>
      <c r="EV698" s="16" t="s">
        <v>166</v>
      </c>
      <c r="EW698" s="16" t="s">
        <v>166</v>
      </c>
      <c r="EX698" s="14" t="s">
        <v>190</v>
      </c>
      <c r="EY698" s="14" t="s">
        <v>166</v>
      </c>
      <c r="EZ698" s="16" t="s">
        <v>166</v>
      </c>
      <c r="FA698" s="15" t="s">
        <v>166</v>
      </c>
      <c r="FB698" s="15" t="s">
        <v>166</v>
      </c>
      <c r="FC698" s="15" t="s">
        <v>166</v>
      </c>
      <c r="FD698" s="15" t="s">
        <v>166</v>
      </c>
      <c r="FE698" s="15" t="s">
        <v>166</v>
      </c>
      <c r="FF698" s="15" t="s">
        <v>166</v>
      </c>
      <c r="FG698" s="14" t="s">
        <v>166</v>
      </c>
      <c r="FH698" s="3">
        <f>HYPERLINK("https://my.pitchbook.com?c=131483-08T","View Company Online")</f>
      </c>
    </row>
    <row r="699">
      <c r="A699" s="25" t="s">
        <v>13377</v>
      </c>
      <c r="B699" s="25" t="s">
        <v>13378</v>
      </c>
      <c r="C699" s="25" t="s">
        <v>13379</v>
      </c>
      <c r="D699" s="25" t="s">
        <v>166</v>
      </c>
      <c r="E699" s="34" t="s">
        <v>13380</v>
      </c>
      <c r="F699" s="32">
        <v>6</v>
      </c>
      <c r="G699" s="25" t="s">
        <v>13381</v>
      </c>
      <c r="H699" s="25" t="s">
        <v>166</v>
      </c>
      <c r="I699" s="25" t="s">
        <v>13382</v>
      </c>
      <c r="J699" s="25" t="s">
        <v>13383</v>
      </c>
      <c r="K699" s="25" t="s">
        <v>207</v>
      </c>
      <c r="L699" s="25" t="s">
        <v>208</v>
      </c>
      <c r="M699" s="25" t="s">
        <v>882</v>
      </c>
      <c r="N699" s="25" t="s">
        <v>1416</v>
      </c>
      <c r="O699" s="25" t="s">
        <v>13384</v>
      </c>
      <c r="P699" s="25" t="s">
        <v>13385</v>
      </c>
      <c r="Q699" s="25" t="s">
        <v>166</v>
      </c>
      <c r="R699" s="25" t="s">
        <v>177</v>
      </c>
      <c r="S699" s="25" t="s">
        <v>178</v>
      </c>
      <c r="T699" s="25" t="s">
        <v>179</v>
      </c>
      <c r="U699" s="25" t="s">
        <v>13386</v>
      </c>
      <c r="V699" s="25" t="s">
        <v>13387</v>
      </c>
      <c r="W699" s="32" t="s">
        <v>166</v>
      </c>
      <c r="X699" s="25" t="s">
        <v>13388</v>
      </c>
      <c r="Y699" s="25" t="s">
        <v>13389</v>
      </c>
      <c r="Z699" s="25" t="s">
        <v>166</v>
      </c>
      <c r="AA699" s="25" t="s">
        <v>242</v>
      </c>
      <c r="AB699" s="25" t="s">
        <v>243</v>
      </c>
      <c r="AC699" s="25" t="s">
        <v>244</v>
      </c>
      <c r="AD699" s="25" t="s">
        <v>243</v>
      </c>
      <c r="AE699" s="25" t="s">
        <v>243</v>
      </c>
      <c r="AF699" s="25" t="s">
        <v>166</v>
      </c>
      <c r="AG699" s="25" t="s">
        <v>246</v>
      </c>
      <c r="AH699" s="32">
        <v>1</v>
      </c>
      <c r="AI699" s="4">
        <f>HYPERLINK("https://my.pitchbook.com/?d=165105-28T","165105-28T")</f>
      </c>
      <c r="AJ699" s="30" t="s">
        <v>166</v>
      </c>
      <c r="AK699" s="30">
        <v>44409</v>
      </c>
      <c r="AL699" s="29">
        <v>1.45</v>
      </c>
      <c r="AM699" s="25" t="s">
        <v>185</v>
      </c>
      <c r="AN699" s="29">
        <v>18</v>
      </c>
      <c r="AO699" s="29">
        <v>19.45</v>
      </c>
      <c r="AP699" s="25" t="s">
        <v>185</v>
      </c>
      <c r="AQ699" s="32" t="s">
        <v>166</v>
      </c>
      <c r="AR699" s="32" t="s">
        <v>166</v>
      </c>
      <c r="AS699" s="28">
        <v>17.23</v>
      </c>
      <c r="AT699" s="29">
        <v>1.45</v>
      </c>
      <c r="AU699" s="32" t="s">
        <v>186</v>
      </c>
      <c r="AV699" s="32" t="s">
        <v>166</v>
      </c>
      <c r="AW699" s="29">
        <v>0.98</v>
      </c>
      <c r="AX699" s="32" t="s">
        <v>166</v>
      </c>
      <c r="AY699" s="25" t="s">
        <v>217</v>
      </c>
      <c r="AZ699" s="25" t="s">
        <v>217</v>
      </c>
      <c r="BA699" s="25" t="s">
        <v>166</v>
      </c>
      <c r="BB699" s="32" t="s">
        <v>166</v>
      </c>
      <c r="BC699" s="25" t="s">
        <v>179</v>
      </c>
      <c r="BD699" s="25" t="s">
        <v>13390</v>
      </c>
      <c r="BE699" s="25" t="s">
        <v>189</v>
      </c>
      <c r="BF699" s="29">
        <v>1.45</v>
      </c>
      <c r="BG699" s="25" t="s">
        <v>190</v>
      </c>
      <c r="BH699" s="25" t="s">
        <v>166</v>
      </c>
      <c r="BI699" s="25" t="s">
        <v>166</v>
      </c>
      <c r="BJ699" s="29" t="s">
        <v>166</v>
      </c>
      <c r="BK699" s="29" t="s">
        <v>166</v>
      </c>
      <c r="BL699" s="25" t="s">
        <v>191</v>
      </c>
      <c r="BM699" s="25" t="s">
        <v>178</v>
      </c>
      <c r="BN699" s="25" t="s">
        <v>177</v>
      </c>
      <c r="BO699" s="33" t="s">
        <v>166</v>
      </c>
      <c r="BP699" s="25" t="s">
        <v>13391</v>
      </c>
      <c r="BQ699" s="32">
        <v>6</v>
      </c>
      <c r="BR699" s="25" t="s">
        <v>166</v>
      </c>
      <c r="BS699" s="32" t="s">
        <v>166</v>
      </c>
      <c r="BT699" s="25" t="s">
        <v>166</v>
      </c>
      <c r="BU699" s="25" t="s">
        <v>166</v>
      </c>
      <c r="BV699" s="25" t="s">
        <v>13392</v>
      </c>
      <c r="BW699" s="25" t="s">
        <v>166</v>
      </c>
      <c r="BX699" s="25" t="s">
        <v>166</v>
      </c>
      <c r="BY699" s="25" t="s">
        <v>166</v>
      </c>
      <c r="BZ699" s="25" t="s">
        <v>166</v>
      </c>
      <c r="CA699" s="25" t="s">
        <v>166</v>
      </c>
      <c r="CB699" s="25" t="s">
        <v>166</v>
      </c>
      <c r="CC699" s="25" t="s">
        <v>166</v>
      </c>
      <c r="CD699" s="25" t="s">
        <v>166</v>
      </c>
      <c r="CE699" s="29" t="s">
        <v>166</v>
      </c>
      <c r="CF699" s="27" t="s">
        <v>166</v>
      </c>
      <c r="CG699" s="28" t="s">
        <v>166</v>
      </c>
      <c r="CH699" s="27" t="s">
        <v>166</v>
      </c>
      <c r="CI699" s="27" t="s">
        <v>166</v>
      </c>
      <c r="CJ699" s="27" t="s">
        <v>166</v>
      </c>
      <c r="CK699" s="27" t="s">
        <v>166</v>
      </c>
      <c r="CL699" s="27" t="s">
        <v>166</v>
      </c>
      <c r="CM699" s="31" t="s">
        <v>166</v>
      </c>
      <c r="CN699" s="27" t="s">
        <v>166</v>
      </c>
      <c r="CO699" s="27" t="s">
        <v>166</v>
      </c>
      <c r="CP699" s="27" t="s">
        <v>166</v>
      </c>
      <c r="CQ699" s="27" t="s">
        <v>166</v>
      </c>
      <c r="CR699" s="27" t="s">
        <v>166</v>
      </c>
      <c r="CS699" s="27" t="s">
        <v>166</v>
      </c>
      <c r="CT699" s="27" t="s">
        <v>166</v>
      </c>
      <c r="CU699" s="27" t="s">
        <v>166</v>
      </c>
      <c r="CV699" s="27" t="s">
        <v>166</v>
      </c>
      <c r="CW699" s="27" t="s">
        <v>166</v>
      </c>
      <c r="CX699" s="27" t="s">
        <v>166</v>
      </c>
      <c r="CY699" s="27" t="s">
        <v>166</v>
      </c>
      <c r="CZ699" s="27" t="s">
        <v>166</v>
      </c>
      <c r="DA699" s="27" t="s">
        <v>166</v>
      </c>
      <c r="DB699" s="27" t="s">
        <v>166</v>
      </c>
      <c r="DC699" s="27" t="s">
        <v>166</v>
      </c>
      <c r="DD699" s="27" t="s">
        <v>166</v>
      </c>
      <c r="DE699" s="28" t="s">
        <v>166</v>
      </c>
      <c r="DF699" s="33">
        <v>141</v>
      </c>
      <c r="DG699" s="25" t="s">
        <v>1634</v>
      </c>
      <c r="DH699" s="25" t="s">
        <v>193</v>
      </c>
      <c r="DI699" s="25" t="s">
        <v>194</v>
      </c>
      <c r="DJ699" s="25" t="s">
        <v>1635</v>
      </c>
      <c r="DK699" s="25" t="s">
        <v>408</v>
      </c>
      <c r="DL699" s="32" t="s">
        <v>5789</v>
      </c>
      <c r="DM699" s="25" t="s">
        <v>198</v>
      </c>
      <c r="DN699" s="24" t="s">
        <v>13393</v>
      </c>
      <c r="DO699" s="31">
        <v>2019</v>
      </c>
      <c r="DP699" s="25" t="s">
        <v>166</v>
      </c>
      <c r="DQ699" s="25" t="s">
        <v>166</v>
      </c>
      <c r="DR699" s="29" t="s">
        <v>166</v>
      </c>
      <c r="DS699" s="27" t="s">
        <v>166</v>
      </c>
      <c r="DT699" s="30" t="s">
        <v>166</v>
      </c>
      <c r="DU699" s="25" t="s">
        <v>166</v>
      </c>
      <c r="DV699" s="29" t="s">
        <v>166</v>
      </c>
      <c r="DW699" s="29" t="s">
        <v>166</v>
      </c>
      <c r="DX699" s="27" t="s">
        <v>166</v>
      </c>
      <c r="DY699" s="27" t="s">
        <v>166</v>
      </c>
      <c r="DZ699" s="28" t="s">
        <v>166</v>
      </c>
      <c r="EA699" s="27" t="s">
        <v>166</v>
      </c>
      <c r="EB699" s="27" t="s">
        <v>166</v>
      </c>
      <c r="EC699" s="27" t="s">
        <v>166</v>
      </c>
      <c r="ED699" s="28" t="s">
        <v>166</v>
      </c>
      <c r="EE699" s="28" t="s">
        <v>166</v>
      </c>
      <c r="EF699" s="28" t="s">
        <v>166</v>
      </c>
      <c r="EG699" s="28" t="s">
        <v>166</v>
      </c>
      <c r="EH699" s="27" t="s">
        <v>166</v>
      </c>
      <c r="EI699" s="27" t="s">
        <v>166</v>
      </c>
      <c r="EJ699" s="27" t="s">
        <v>166</v>
      </c>
      <c r="EK699" s="27" t="s">
        <v>166</v>
      </c>
      <c r="EL699" s="27" t="s">
        <v>166</v>
      </c>
      <c r="EM699" s="27" t="s">
        <v>166</v>
      </c>
      <c r="EN699" s="27" t="s">
        <v>166</v>
      </c>
      <c r="EO699" s="27" t="s">
        <v>166</v>
      </c>
      <c r="EP699" s="27" t="s">
        <v>166</v>
      </c>
      <c r="EQ699" s="27" t="s">
        <v>166</v>
      </c>
      <c r="ER699" s="27" t="s">
        <v>166</v>
      </c>
      <c r="ES699" s="27" t="s">
        <v>166</v>
      </c>
      <c r="ET699" s="25" t="s">
        <v>166</v>
      </c>
      <c r="EU699" s="27" t="s">
        <v>166</v>
      </c>
      <c r="EV699" s="27" t="s">
        <v>166</v>
      </c>
      <c r="EW699" s="27" t="s">
        <v>166</v>
      </c>
      <c r="EX699" s="25" t="s">
        <v>190</v>
      </c>
      <c r="EY699" s="25" t="s">
        <v>166</v>
      </c>
      <c r="EZ699" s="27" t="s">
        <v>166</v>
      </c>
      <c r="FA699" s="26" t="s">
        <v>166</v>
      </c>
      <c r="FB699" s="26" t="s">
        <v>166</v>
      </c>
      <c r="FC699" s="26" t="s">
        <v>166</v>
      </c>
      <c r="FD699" s="26" t="s">
        <v>166</v>
      </c>
      <c r="FE699" s="26" t="s">
        <v>166</v>
      </c>
      <c r="FF699" s="26" t="s">
        <v>166</v>
      </c>
      <c r="FG699" s="25" t="s">
        <v>166</v>
      </c>
      <c r="FH699" s="4">
        <f>HYPERLINK("https://my.pitchbook.com?c=165105-28T","View Company Online")</f>
      </c>
    </row>
    <row r="700">
      <c r="A700" s="14" t="s">
        <v>13394</v>
      </c>
      <c r="B700" s="14" t="s">
        <v>13395</v>
      </c>
      <c r="C700" s="14" t="s">
        <v>13396</v>
      </c>
      <c r="D700" s="14" t="s">
        <v>166</v>
      </c>
      <c r="E700" s="23" t="s">
        <v>13397</v>
      </c>
      <c r="F700" s="21">
        <v>5</v>
      </c>
      <c r="G700" s="14" t="s">
        <v>13398</v>
      </c>
      <c r="H700" s="14" t="s">
        <v>166</v>
      </c>
      <c r="I700" s="14" t="s">
        <v>13399</v>
      </c>
      <c r="J700" s="14" t="s">
        <v>13400</v>
      </c>
      <c r="K700" s="14" t="s">
        <v>171</v>
      </c>
      <c r="L700" s="14" t="s">
        <v>172</v>
      </c>
      <c r="M700" s="14" t="s">
        <v>173</v>
      </c>
      <c r="N700" s="14" t="s">
        <v>13401</v>
      </c>
      <c r="O700" s="14" t="s">
        <v>13402</v>
      </c>
      <c r="P700" s="14" t="s">
        <v>13403</v>
      </c>
      <c r="Q700" s="14" t="s">
        <v>166</v>
      </c>
      <c r="R700" s="14" t="s">
        <v>177</v>
      </c>
      <c r="S700" s="14" t="s">
        <v>178</v>
      </c>
      <c r="T700" s="14" t="s">
        <v>179</v>
      </c>
      <c r="U700" s="14" t="s">
        <v>13404</v>
      </c>
      <c r="V700" s="14" t="s">
        <v>13405</v>
      </c>
      <c r="W700" s="21" t="s">
        <v>166</v>
      </c>
      <c r="X700" s="14" t="s">
        <v>13406</v>
      </c>
      <c r="Y700" s="14" t="s">
        <v>13407</v>
      </c>
      <c r="Z700" s="14" t="s">
        <v>13408</v>
      </c>
      <c r="AA700" s="14" t="s">
        <v>166</v>
      </c>
      <c r="AB700" s="14" t="s">
        <v>166</v>
      </c>
      <c r="AC700" s="14" t="s">
        <v>166</v>
      </c>
      <c r="AD700" s="14" t="s">
        <v>166</v>
      </c>
      <c r="AE700" s="14" t="s">
        <v>166</v>
      </c>
      <c r="AF700" s="14" t="s">
        <v>166</v>
      </c>
      <c r="AG700" s="14" t="s">
        <v>166</v>
      </c>
      <c r="AH700" s="21">
        <v>2</v>
      </c>
      <c r="AI700" s="3">
        <f>HYPERLINK("https://my.pitchbook.com/?d=169503-40T","169503-40T")</f>
      </c>
      <c r="AJ700" s="19">
        <v>44124</v>
      </c>
      <c r="AK700" s="19">
        <v>44124</v>
      </c>
      <c r="AL700" s="18">
        <v>0.32</v>
      </c>
      <c r="AM700" s="14" t="s">
        <v>185</v>
      </c>
      <c r="AN700" s="18">
        <v>3</v>
      </c>
      <c r="AO700" s="18">
        <v>3.32</v>
      </c>
      <c r="AP700" s="14" t="s">
        <v>247</v>
      </c>
      <c r="AQ700" s="21" t="s">
        <v>166</v>
      </c>
      <c r="AR700" s="21" t="s">
        <v>166</v>
      </c>
      <c r="AS700" s="17" t="s">
        <v>166</v>
      </c>
      <c r="AT700" s="18">
        <v>0.32</v>
      </c>
      <c r="AU700" s="21" t="s">
        <v>186</v>
      </c>
      <c r="AV700" s="21" t="s">
        <v>166</v>
      </c>
      <c r="AW700" s="18" t="s">
        <v>166</v>
      </c>
      <c r="AX700" s="21" t="s">
        <v>166</v>
      </c>
      <c r="AY700" s="14" t="s">
        <v>187</v>
      </c>
      <c r="AZ700" s="14" t="s">
        <v>166</v>
      </c>
      <c r="BA700" s="14" t="s">
        <v>166</v>
      </c>
      <c r="BB700" s="21" t="s">
        <v>166</v>
      </c>
      <c r="BC700" s="14" t="s">
        <v>179</v>
      </c>
      <c r="BD700" s="14" t="s">
        <v>13409</v>
      </c>
      <c r="BE700" s="14" t="s">
        <v>189</v>
      </c>
      <c r="BF700" s="18">
        <v>0.32</v>
      </c>
      <c r="BG700" s="14" t="s">
        <v>190</v>
      </c>
      <c r="BH700" s="14" t="s">
        <v>166</v>
      </c>
      <c r="BI700" s="14" t="s">
        <v>166</v>
      </c>
      <c r="BJ700" s="18" t="s">
        <v>166</v>
      </c>
      <c r="BK700" s="18" t="s">
        <v>166</v>
      </c>
      <c r="BL700" s="14" t="s">
        <v>191</v>
      </c>
      <c r="BM700" s="14" t="s">
        <v>358</v>
      </c>
      <c r="BN700" s="14" t="s">
        <v>177</v>
      </c>
      <c r="BO700" s="22">
        <v>14</v>
      </c>
      <c r="BP700" s="14" t="s">
        <v>13410</v>
      </c>
      <c r="BQ700" s="21">
        <v>5</v>
      </c>
      <c r="BR700" s="14" t="s">
        <v>166</v>
      </c>
      <c r="BS700" s="21" t="s">
        <v>166</v>
      </c>
      <c r="BT700" s="14" t="s">
        <v>166</v>
      </c>
      <c r="BU700" s="14" t="s">
        <v>166</v>
      </c>
      <c r="BV700" s="14" t="s">
        <v>166</v>
      </c>
      <c r="BW700" s="14" t="s">
        <v>166</v>
      </c>
      <c r="BX700" s="14" t="s">
        <v>166</v>
      </c>
      <c r="BY700" s="14" t="s">
        <v>166</v>
      </c>
      <c r="BZ700" s="14" t="s">
        <v>166</v>
      </c>
      <c r="CA700" s="14" t="s">
        <v>166</v>
      </c>
      <c r="CB700" s="14" t="s">
        <v>166</v>
      </c>
      <c r="CC700" s="14" t="s">
        <v>166</v>
      </c>
      <c r="CD700" s="14" t="s">
        <v>166</v>
      </c>
      <c r="CE700" s="18" t="s">
        <v>166</v>
      </c>
      <c r="CF700" s="16" t="s">
        <v>166</v>
      </c>
      <c r="CG700" s="17" t="s">
        <v>166</v>
      </c>
      <c r="CH700" s="16" t="s">
        <v>166</v>
      </c>
      <c r="CI700" s="16" t="s">
        <v>166</v>
      </c>
      <c r="CJ700" s="16" t="s">
        <v>166</v>
      </c>
      <c r="CK700" s="16" t="s">
        <v>166</v>
      </c>
      <c r="CL700" s="16" t="s">
        <v>166</v>
      </c>
      <c r="CM700" s="20" t="s">
        <v>166</v>
      </c>
      <c r="CN700" s="16" t="s">
        <v>166</v>
      </c>
      <c r="CO700" s="16" t="s">
        <v>166</v>
      </c>
      <c r="CP700" s="16" t="s">
        <v>166</v>
      </c>
      <c r="CQ700" s="16" t="s">
        <v>166</v>
      </c>
      <c r="CR700" s="16" t="s">
        <v>166</v>
      </c>
      <c r="CS700" s="16" t="s">
        <v>166</v>
      </c>
      <c r="CT700" s="16" t="s">
        <v>166</v>
      </c>
      <c r="CU700" s="16" t="s">
        <v>166</v>
      </c>
      <c r="CV700" s="16" t="s">
        <v>166</v>
      </c>
      <c r="CW700" s="16" t="s">
        <v>166</v>
      </c>
      <c r="CX700" s="16" t="s">
        <v>166</v>
      </c>
      <c r="CY700" s="16" t="s">
        <v>166</v>
      </c>
      <c r="CZ700" s="16" t="s">
        <v>166</v>
      </c>
      <c r="DA700" s="16" t="s">
        <v>166</v>
      </c>
      <c r="DB700" s="16" t="s">
        <v>166</v>
      </c>
      <c r="DC700" s="16" t="s">
        <v>166</v>
      </c>
      <c r="DD700" s="16" t="s">
        <v>166</v>
      </c>
      <c r="DE700" s="17" t="s">
        <v>166</v>
      </c>
      <c r="DF700" s="22">
        <v>8</v>
      </c>
      <c r="DG700" s="14" t="s">
        <v>1191</v>
      </c>
      <c r="DH700" s="14" t="s">
        <v>193</v>
      </c>
      <c r="DI700" s="14" t="s">
        <v>194</v>
      </c>
      <c r="DJ700" s="14" t="s">
        <v>1192</v>
      </c>
      <c r="DK700" s="14" t="s">
        <v>1023</v>
      </c>
      <c r="DL700" s="21" t="s">
        <v>13411</v>
      </c>
      <c r="DM700" s="14" t="s">
        <v>198</v>
      </c>
      <c r="DN700" s="13" t="s">
        <v>13412</v>
      </c>
      <c r="DO700" s="20">
        <v>2018</v>
      </c>
      <c r="DP700" s="14" t="s">
        <v>166</v>
      </c>
      <c r="DQ700" s="14" t="s">
        <v>166</v>
      </c>
      <c r="DR700" s="18" t="s">
        <v>166</v>
      </c>
      <c r="DS700" s="16" t="s">
        <v>166</v>
      </c>
      <c r="DT700" s="19" t="s">
        <v>166</v>
      </c>
      <c r="DU700" s="14" t="s">
        <v>166</v>
      </c>
      <c r="DV700" s="18" t="s">
        <v>166</v>
      </c>
      <c r="DW700" s="18" t="s">
        <v>166</v>
      </c>
      <c r="DX700" s="16" t="s">
        <v>166</v>
      </c>
      <c r="DY700" s="16" t="s">
        <v>166</v>
      </c>
      <c r="DZ700" s="17" t="s">
        <v>166</v>
      </c>
      <c r="EA700" s="16" t="s">
        <v>166</v>
      </c>
      <c r="EB700" s="16" t="s">
        <v>166</v>
      </c>
      <c r="EC700" s="16" t="s">
        <v>166</v>
      </c>
      <c r="ED700" s="17" t="s">
        <v>166</v>
      </c>
      <c r="EE700" s="17" t="s">
        <v>166</v>
      </c>
      <c r="EF700" s="17" t="s">
        <v>166</v>
      </c>
      <c r="EG700" s="17" t="s">
        <v>166</v>
      </c>
      <c r="EH700" s="16" t="s">
        <v>166</v>
      </c>
      <c r="EI700" s="16" t="s">
        <v>166</v>
      </c>
      <c r="EJ700" s="16" t="s">
        <v>166</v>
      </c>
      <c r="EK700" s="16" t="s">
        <v>166</v>
      </c>
      <c r="EL700" s="16" t="s">
        <v>166</v>
      </c>
      <c r="EM700" s="16" t="s">
        <v>166</v>
      </c>
      <c r="EN700" s="16" t="s">
        <v>166</v>
      </c>
      <c r="EO700" s="16" t="s">
        <v>166</v>
      </c>
      <c r="EP700" s="16" t="s">
        <v>166</v>
      </c>
      <c r="EQ700" s="16" t="s">
        <v>166</v>
      </c>
      <c r="ER700" s="16" t="s">
        <v>166</v>
      </c>
      <c r="ES700" s="16" t="s">
        <v>166</v>
      </c>
      <c r="ET700" s="14" t="s">
        <v>166</v>
      </c>
      <c r="EU700" s="16" t="s">
        <v>166</v>
      </c>
      <c r="EV700" s="16" t="s">
        <v>166</v>
      </c>
      <c r="EW700" s="16" t="s">
        <v>166</v>
      </c>
      <c r="EX700" s="14" t="s">
        <v>190</v>
      </c>
      <c r="EY700" s="14" t="s">
        <v>166</v>
      </c>
      <c r="EZ700" s="16" t="s">
        <v>166</v>
      </c>
      <c r="FA700" s="15">
        <v>1</v>
      </c>
      <c r="FB700" s="15">
        <v>1</v>
      </c>
      <c r="FC700" s="15" t="s">
        <v>166</v>
      </c>
      <c r="FD700" s="15">
        <v>1</v>
      </c>
      <c r="FE700" s="15" t="s">
        <v>166</v>
      </c>
      <c r="FF700" s="15" t="s">
        <v>166</v>
      </c>
      <c r="FG700" s="14" t="s">
        <v>775</v>
      </c>
      <c r="FH700" s="3">
        <f>HYPERLINK("https://my.pitchbook.com?c=169503-40T","View Company Online")</f>
      </c>
    </row>
    <row r="701">
      <c r="A701" s="25" t="s">
        <v>13413</v>
      </c>
      <c r="B701" s="25" t="s">
        <v>13414</v>
      </c>
      <c r="C701" s="25" t="s">
        <v>13415</v>
      </c>
      <c r="D701" s="25" t="s">
        <v>166</v>
      </c>
      <c r="E701" s="34" t="s">
        <v>13416</v>
      </c>
      <c r="F701" s="32">
        <v>6</v>
      </c>
      <c r="G701" s="25" t="s">
        <v>13417</v>
      </c>
      <c r="H701" s="25" t="s">
        <v>166</v>
      </c>
      <c r="I701" s="25" t="s">
        <v>13418</v>
      </c>
      <c r="J701" s="25" t="s">
        <v>13419</v>
      </c>
      <c r="K701" s="25" t="s">
        <v>207</v>
      </c>
      <c r="L701" s="25" t="s">
        <v>208</v>
      </c>
      <c r="M701" s="25" t="s">
        <v>296</v>
      </c>
      <c r="N701" s="25" t="s">
        <v>13420</v>
      </c>
      <c r="O701" s="25" t="s">
        <v>6908</v>
      </c>
      <c r="P701" s="25" t="s">
        <v>13421</v>
      </c>
      <c r="Q701" s="25" t="s">
        <v>166</v>
      </c>
      <c r="R701" s="25" t="s">
        <v>177</v>
      </c>
      <c r="S701" s="25" t="s">
        <v>178</v>
      </c>
      <c r="T701" s="25" t="s">
        <v>179</v>
      </c>
      <c r="U701" s="25" t="s">
        <v>13422</v>
      </c>
      <c r="V701" s="25" t="s">
        <v>13423</v>
      </c>
      <c r="W701" s="32" t="s">
        <v>166</v>
      </c>
      <c r="X701" s="25" t="s">
        <v>166</v>
      </c>
      <c r="Y701" s="25" t="s">
        <v>13424</v>
      </c>
      <c r="Z701" s="25" t="s">
        <v>13425</v>
      </c>
      <c r="AA701" s="25" t="s">
        <v>166</v>
      </c>
      <c r="AB701" s="25" t="s">
        <v>166</v>
      </c>
      <c r="AC701" s="25" t="s">
        <v>166</v>
      </c>
      <c r="AD701" s="25" t="s">
        <v>166</v>
      </c>
      <c r="AE701" s="25" t="s">
        <v>166</v>
      </c>
      <c r="AF701" s="25" t="s">
        <v>166</v>
      </c>
      <c r="AG701" s="25" t="s">
        <v>166</v>
      </c>
      <c r="AH701" s="32">
        <v>1</v>
      </c>
      <c r="AI701" s="4">
        <f>HYPERLINK("https://my.pitchbook.com/?d=181039-51T","181039-51T")</f>
      </c>
      <c r="AJ701" s="30" t="s">
        <v>166</v>
      </c>
      <c r="AK701" s="30">
        <v>44424</v>
      </c>
      <c r="AL701" s="29">
        <v>8</v>
      </c>
      <c r="AM701" s="25" t="s">
        <v>185</v>
      </c>
      <c r="AN701" s="29" t="s">
        <v>166</v>
      </c>
      <c r="AO701" s="29" t="s">
        <v>166</v>
      </c>
      <c r="AP701" s="25" t="s">
        <v>166</v>
      </c>
      <c r="AQ701" s="32" t="s">
        <v>166</v>
      </c>
      <c r="AR701" s="32" t="s">
        <v>166</v>
      </c>
      <c r="AS701" s="28" t="s">
        <v>166</v>
      </c>
      <c r="AT701" s="29">
        <v>8</v>
      </c>
      <c r="AU701" s="32" t="s">
        <v>186</v>
      </c>
      <c r="AV701" s="32" t="s">
        <v>166</v>
      </c>
      <c r="AW701" s="29" t="s">
        <v>166</v>
      </c>
      <c r="AX701" s="32" t="s">
        <v>248</v>
      </c>
      <c r="AY701" s="25" t="s">
        <v>187</v>
      </c>
      <c r="AZ701" s="25" t="s">
        <v>248</v>
      </c>
      <c r="BA701" s="25" t="s">
        <v>166</v>
      </c>
      <c r="BB701" s="32" t="s">
        <v>166</v>
      </c>
      <c r="BC701" s="25" t="s">
        <v>179</v>
      </c>
      <c r="BD701" s="25" t="s">
        <v>13426</v>
      </c>
      <c r="BE701" s="25" t="s">
        <v>189</v>
      </c>
      <c r="BF701" s="29">
        <v>8</v>
      </c>
      <c r="BG701" s="25" t="s">
        <v>190</v>
      </c>
      <c r="BH701" s="25" t="s">
        <v>166</v>
      </c>
      <c r="BI701" s="25" t="s">
        <v>166</v>
      </c>
      <c r="BJ701" s="29" t="s">
        <v>166</v>
      </c>
      <c r="BK701" s="29" t="s">
        <v>166</v>
      </c>
      <c r="BL701" s="25" t="s">
        <v>191</v>
      </c>
      <c r="BM701" s="25" t="s">
        <v>178</v>
      </c>
      <c r="BN701" s="25" t="s">
        <v>177</v>
      </c>
      <c r="BO701" s="33" t="s">
        <v>166</v>
      </c>
      <c r="BP701" s="25" t="s">
        <v>13427</v>
      </c>
      <c r="BQ701" s="32">
        <v>6</v>
      </c>
      <c r="BR701" s="25" t="s">
        <v>166</v>
      </c>
      <c r="BS701" s="32" t="s">
        <v>166</v>
      </c>
      <c r="BT701" s="25" t="s">
        <v>13428</v>
      </c>
      <c r="BU701" s="25" t="s">
        <v>166</v>
      </c>
      <c r="BV701" s="25" t="s">
        <v>166</v>
      </c>
      <c r="BW701" s="25" t="s">
        <v>166</v>
      </c>
      <c r="BX701" s="25" t="s">
        <v>166</v>
      </c>
      <c r="BY701" s="25" t="s">
        <v>166</v>
      </c>
      <c r="BZ701" s="25" t="s">
        <v>166</v>
      </c>
      <c r="CA701" s="25" t="s">
        <v>166</v>
      </c>
      <c r="CB701" s="25" t="s">
        <v>166</v>
      </c>
      <c r="CC701" s="25" t="s">
        <v>166</v>
      </c>
      <c r="CD701" s="25" t="s">
        <v>166</v>
      </c>
      <c r="CE701" s="29" t="s">
        <v>166</v>
      </c>
      <c r="CF701" s="27" t="s">
        <v>166</v>
      </c>
      <c r="CG701" s="28" t="s">
        <v>166</v>
      </c>
      <c r="CH701" s="27" t="s">
        <v>166</v>
      </c>
      <c r="CI701" s="27" t="s">
        <v>166</v>
      </c>
      <c r="CJ701" s="27" t="s">
        <v>166</v>
      </c>
      <c r="CK701" s="27" t="s">
        <v>166</v>
      </c>
      <c r="CL701" s="27" t="s">
        <v>166</v>
      </c>
      <c r="CM701" s="31" t="s">
        <v>166</v>
      </c>
      <c r="CN701" s="27" t="s">
        <v>166</v>
      </c>
      <c r="CO701" s="27" t="s">
        <v>166</v>
      </c>
      <c r="CP701" s="27" t="s">
        <v>166</v>
      </c>
      <c r="CQ701" s="27" t="s">
        <v>166</v>
      </c>
      <c r="CR701" s="27" t="s">
        <v>166</v>
      </c>
      <c r="CS701" s="27" t="s">
        <v>166</v>
      </c>
      <c r="CT701" s="27" t="s">
        <v>166</v>
      </c>
      <c r="CU701" s="27" t="s">
        <v>166</v>
      </c>
      <c r="CV701" s="27" t="s">
        <v>166</v>
      </c>
      <c r="CW701" s="27" t="s">
        <v>166</v>
      </c>
      <c r="CX701" s="27" t="s">
        <v>166</v>
      </c>
      <c r="CY701" s="27" t="s">
        <v>166</v>
      </c>
      <c r="CZ701" s="27" t="s">
        <v>166</v>
      </c>
      <c r="DA701" s="27" t="s">
        <v>166</v>
      </c>
      <c r="DB701" s="27" t="s">
        <v>166</v>
      </c>
      <c r="DC701" s="27" t="s">
        <v>166</v>
      </c>
      <c r="DD701" s="27" t="s">
        <v>166</v>
      </c>
      <c r="DE701" s="28" t="s">
        <v>166</v>
      </c>
      <c r="DF701" s="33">
        <v>22</v>
      </c>
      <c r="DG701" s="25" t="s">
        <v>309</v>
      </c>
      <c r="DH701" s="25" t="s">
        <v>193</v>
      </c>
      <c r="DI701" s="25" t="s">
        <v>194</v>
      </c>
      <c r="DJ701" s="25" t="s">
        <v>310</v>
      </c>
      <c r="DK701" s="25" t="s">
        <v>310</v>
      </c>
      <c r="DL701" s="32" t="s">
        <v>13429</v>
      </c>
      <c r="DM701" s="25" t="s">
        <v>198</v>
      </c>
      <c r="DN701" s="24" t="s">
        <v>13430</v>
      </c>
      <c r="DO701" s="31">
        <v>2020</v>
      </c>
      <c r="DP701" s="25" t="s">
        <v>166</v>
      </c>
      <c r="DQ701" s="25" t="s">
        <v>166</v>
      </c>
      <c r="DR701" s="29" t="s">
        <v>166</v>
      </c>
      <c r="DS701" s="27" t="s">
        <v>166</v>
      </c>
      <c r="DT701" s="30" t="s">
        <v>166</v>
      </c>
      <c r="DU701" s="25" t="s">
        <v>166</v>
      </c>
      <c r="DV701" s="29" t="s">
        <v>166</v>
      </c>
      <c r="DW701" s="29" t="s">
        <v>166</v>
      </c>
      <c r="DX701" s="27" t="s">
        <v>166</v>
      </c>
      <c r="DY701" s="27" t="s">
        <v>166</v>
      </c>
      <c r="DZ701" s="28" t="s">
        <v>166</v>
      </c>
      <c r="EA701" s="27" t="s">
        <v>166</v>
      </c>
      <c r="EB701" s="27" t="s">
        <v>166</v>
      </c>
      <c r="EC701" s="27" t="s">
        <v>166</v>
      </c>
      <c r="ED701" s="28" t="s">
        <v>166</v>
      </c>
      <c r="EE701" s="28" t="s">
        <v>166</v>
      </c>
      <c r="EF701" s="28" t="s">
        <v>166</v>
      </c>
      <c r="EG701" s="28" t="s">
        <v>166</v>
      </c>
      <c r="EH701" s="27" t="s">
        <v>166</v>
      </c>
      <c r="EI701" s="27" t="s">
        <v>166</v>
      </c>
      <c r="EJ701" s="27" t="s">
        <v>166</v>
      </c>
      <c r="EK701" s="27" t="s">
        <v>166</v>
      </c>
      <c r="EL701" s="27" t="s">
        <v>166</v>
      </c>
      <c r="EM701" s="27" t="s">
        <v>166</v>
      </c>
      <c r="EN701" s="27" t="s">
        <v>166</v>
      </c>
      <c r="EO701" s="27" t="s">
        <v>166</v>
      </c>
      <c r="EP701" s="27" t="s">
        <v>166</v>
      </c>
      <c r="EQ701" s="27" t="s">
        <v>166</v>
      </c>
      <c r="ER701" s="27" t="s">
        <v>166</v>
      </c>
      <c r="ES701" s="27" t="s">
        <v>166</v>
      </c>
      <c r="ET701" s="25" t="s">
        <v>166</v>
      </c>
      <c r="EU701" s="27" t="s">
        <v>166</v>
      </c>
      <c r="EV701" s="27" t="s">
        <v>166</v>
      </c>
      <c r="EW701" s="27" t="s">
        <v>166</v>
      </c>
      <c r="EX701" s="25" t="s">
        <v>190</v>
      </c>
      <c r="EY701" s="25" t="s">
        <v>166</v>
      </c>
      <c r="EZ701" s="27" t="s">
        <v>166</v>
      </c>
      <c r="FA701" s="26" t="s">
        <v>166</v>
      </c>
      <c r="FB701" s="26" t="s">
        <v>166</v>
      </c>
      <c r="FC701" s="26" t="s">
        <v>166</v>
      </c>
      <c r="FD701" s="26" t="s">
        <v>166</v>
      </c>
      <c r="FE701" s="26" t="s">
        <v>166</v>
      </c>
      <c r="FF701" s="26" t="s">
        <v>166</v>
      </c>
      <c r="FG701" s="25" t="s">
        <v>166</v>
      </c>
      <c r="FH701" s="4">
        <f>HYPERLINK("https://my.pitchbook.com?c=181039-51T","View Company Online")</f>
      </c>
    </row>
    <row r="702">
      <c r="A702" s="14" t="s">
        <v>13431</v>
      </c>
      <c r="B702" s="14" t="s">
        <v>13432</v>
      </c>
      <c r="C702" s="14" t="s">
        <v>13433</v>
      </c>
      <c r="D702" s="14" t="s">
        <v>166</v>
      </c>
      <c r="E702" s="23" t="s">
        <v>13434</v>
      </c>
      <c r="F702" s="21">
        <v>1</v>
      </c>
      <c r="G702" s="14" t="s">
        <v>13435</v>
      </c>
      <c r="H702" s="14" t="s">
        <v>166</v>
      </c>
      <c r="I702" s="14" t="s">
        <v>13436</v>
      </c>
      <c r="J702" s="14" t="s">
        <v>13437</v>
      </c>
      <c r="K702" s="14" t="s">
        <v>207</v>
      </c>
      <c r="L702" s="14" t="s">
        <v>208</v>
      </c>
      <c r="M702" s="14" t="s">
        <v>296</v>
      </c>
      <c r="N702" s="14" t="s">
        <v>1052</v>
      </c>
      <c r="O702" s="14" t="s">
        <v>13438</v>
      </c>
      <c r="P702" s="14" t="s">
        <v>13439</v>
      </c>
      <c r="Q702" s="14" t="s">
        <v>166</v>
      </c>
      <c r="R702" s="14" t="s">
        <v>177</v>
      </c>
      <c r="S702" s="14" t="s">
        <v>178</v>
      </c>
      <c r="T702" s="14" t="s">
        <v>179</v>
      </c>
      <c r="U702" s="14" t="s">
        <v>13440</v>
      </c>
      <c r="V702" s="14" t="s">
        <v>13441</v>
      </c>
      <c r="W702" s="21" t="s">
        <v>13442</v>
      </c>
      <c r="X702" s="14" t="s">
        <v>13443</v>
      </c>
      <c r="Y702" s="14" t="s">
        <v>13444</v>
      </c>
      <c r="Z702" s="14" t="s">
        <v>13445</v>
      </c>
      <c r="AA702" s="14" t="s">
        <v>242</v>
      </c>
      <c r="AB702" s="14" t="s">
        <v>243</v>
      </c>
      <c r="AC702" s="14" t="s">
        <v>244</v>
      </c>
      <c r="AD702" s="14" t="s">
        <v>243</v>
      </c>
      <c r="AE702" s="14" t="s">
        <v>243</v>
      </c>
      <c r="AF702" s="14" t="s">
        <v>166</v>
      </c>
      <c r="AG702" s="14" t="s">
        <v>246</v>
      </c>
      <c r="AH702" s="21">
        <v>2</v>
      </c>
      <c r="AI702" s="3">
        <f>HYPERLINK("https://my.pitchbook.com/?d=165084-49T","165084-49T")</f>
      </c>
      <c r="AJ702" s="19" t="s">
        <v>166</v>
      </c>
      <c r="AK702" s="19">
        <v>44197</v>
      </c>
      <c r="AL702" s="18">
        <v>2.95</v>
      </c>
      <c r="AM702" s="14" t="s">
        <v>185</v>
      </c>
      <c r="AN702" s="18">
        <v>6</v>
      </c>
      <c r="AO702" s="18">
        <v>8.95</v>
      </c>
      <c r="AP702" s="14" t="s">
        <v>185</v>
      </c>
      <c r="AQ702" s="21" t="s">
        <v>166</v>
      </c>
      <c r="AR702" s="21" t="s">
        <v>166</v>
      </c>
      <c r="AS702" s="17">
        <v>32.96</v>
      </c>
      <c r="AT702" s="18">
        <v>5.95</v>
      </c>
      <c r="AU702" s="21" t="s">
        <v>186</v>
      </c>
      <c r="AV702" s="21" t="s">
        <v>166</v>
      </c>
      <c r="AW702" s="18">
        <v>0.49</v>
      </c>
      <c r="AX702" s="21" t="s">
        <v>166</v>
      </c>
      <c r="AY702" s="14" t="s">
        <v>217</v>
      </c>
      <c r="AZ702" s="14" t="s">
        <v>217</v>
      </c>
      <c r="BA702" s="14" t="s">
        <v>166</v>
      </c>
      <c r="BB702" s="21" t="s">
        <v>166</v>
      </c>
      <c r="BC702" s="14" t="s">
        <v>179</v>
      </c>
      <c r="BD702" s="14" t="s">
        <v>13446</v>
      </c>
      <c r="BE702" s="14" t="s">
        <v>189</v>
      </c>
      <c r="BF702" s="18">
        <v>2.95</v>
      </c>
      <c r="BG702" s="14" t="s">
        <v>190</v>
      </c>
      <c r="BH702" s="14" t="s">
        <v>166</v>
      </c>
      <c r="BI702" s="14" t="s">
        <v>166</v>
      </c>
      <c r="BJ702" s="18" t="s">
        <v>166</v>
      </c>
      <c r="BK702" s="18" t="s">
        <v>166</v>
      </c>
      <c r="BL702" s="14" t="s">
        <v>191</v>
      </c>
      <c r="BM702" s="14" t="s">
        <v>178</v>
      </c>
      <c r="BN702" s="14" t="s">
        <v>177</v>
      </c>
      <c r="BO702" s="22" t="s">
        <v>166</v>
      </c>
      <c r="BP702" s="14" t="s">
        <v>13447</v>
      </c>
      <c r="BQ702" s="21">
        <v>1</v>
      </c>
      <c r="BR702" s="14" t="s">
        <v>166</v>
      </c>
      <c r="BS702" s="21" t="s">
        <v>166</v>
      </c>
      <c r="BT702" s="14" t="s">
        <v>166</v>
      </c>
      <c r="BU702" s="14" t="s">
        <v>166</v>
      </c>
      <c r="BV702" s="14" t="s">
        <v>166</v>
      </c>
      <c r="BW702" s="14" t="s">
        <v>166</v>
      </c>
      <c r="BX702" s="14" t="s">
        <v>166</v>
      </c>
      <c r="BY702" s="14" t="s">
        <v>166</v>
      </c>
      <c r="BZ702" s="14" t="s">
        <v>166</v>
      </c>
      <c r="CA702" s="14" t="s">
        <v>166</v>
      </c>
      <c r="CB702" s="14" t="s">
        <v>166</v>
      </c>
      <c r="CC702" s="14" t="s">
        <v>166</v>
      </c>
      <c r="CD702" s="14" t="s">
        <v>166</v>
      </c>
      <c r="CE702" s="18" t="s">
        <v>166</v>
      </c>
      <c r="CF702" s="16" t="s">
        <v>166</v>
      </c>
      <c r="CG702" s="17" t="s">
        <v>166</v>
      </c>
      <c r="CH702" s="16" t="s">
        <v>166</v>
      </c>
      <c r="CI702" s="16" t="s">
        <v>166</v>
      </c>
      <c r="CJ702" s="16" t="s">
        <v>166</v>
      </c>
      <c r="CK702" s="16" t="s">
        <v>166</v>
      </c>
      <c r="CL702" s="16" t="s">
        <v>166</v>
      </c>
      <c r="CM702" s="20" t="s">
        <v>166</v>
      </c>
      <c r="CN702" s="16" t="s">
        <v>166</v>
      </c>
      <c r="CO702" s="16" t="s">
        <v>166</v>
      </c>
      <c r="CP702" s="16" t="s">
        <v>166</v>
      </c>
      <c r="CQ702" s="16" t="s">
        <v>166</v>
      </c>
      <c r="CR702" s="16" t="s">
        <v>166</v>
      </c>
      <c r="CS702" s="16" t="s">
        <v>166</v>
      </c>
      <c r="CT702" s="16" t="s">
        <v>166</v>
      </c>
      <c r="CU702" s="16" t="s">
        <v>166</v>
      </c>
      <c r="CV702" s="16" t="s">
        <v>166</v>
      </c>
      <c r="CW702" s="16" t="s">
        <v>166</v>
      </c>
      <c r="CX702" s="16" t="s">
        <v>166</v>
      </c>
      <c r="CY702" s="16" t="s">
        <v>166</v>
      </c>
      <c r="CZ702" s="16" t="s">
        <v>166</v>
      </c>
      <c r="DA702" s="16" t="s">
        <v>166</v>
      </c>
      <c r="DB702" s="16" t="s">
        <v>166</v>
      </c>
      <c r="DC702" s="16" t="s">
        <v>166</v>
      </c>
      <c r="DD702" s="16" t="s">
        <v>166</v>
      </c>
      <c r="DE702" s="17" t="s">
        <v>166</v>
      </c>
      <c r="DF702" s="22">
        <v>64</v>
      </c>
      <c r="DG702" s="14" t="s">
        <v>13448</v>
      </c>
      <c r="DH702" s="14" t="s">
        <v>193</v>
      </c>
      <c r="DI702" s="14" t="s">
        <v>194</v>
      </c>
      <c r="DJ702" s="14" t="s">
        <v>13449</v>
      </c>
      <c r="DK702" s="14" t="s">
        <v>196</v>
      </c>
      <c r="DL702" s="21" t="s">
        <v>13450</v>
      </c>
      <c r="DM702" s="14" t="s">
        <v>198</v>
      </c>
      <c r="DN702" s="13" t="s">
        <v>13451</v>
      </c>
      <c r="DO702" s="20">
        <v>2018</v>
      </c>
      <c r="DP702" s="14" t="s">
        <v>166</v>
      </c>
      <c r="DQ702" s="14" t="s">
        <v>166</v>
      </c>
      <c r="DR702" s="18" t="s">
        <v>166</v>
      </c>
      <c r="DS702" s="16" t="s">
        <v>166</v>
      </c>
      <c r="DT702" s="19" t="s">
        <v>166</v>
      </c>
      <c r="DU702" s="14" t="s">
        <v>166</v>
      </c>
      <c r="DV702" s="18" t="s">
        <v>166</v>
      </c>
      <c r="DW702" s="18" t="s">
        <v>166</v>
      </c>
      <c r="DX702" s="16" t="s">
        <v>166</v>
      </c>
      <c r="DY702" s="16" t="s">
        <v>166</v>
      </c>
      <c r="DZ702" s="17" t="s">
        <v>166</v>
      </c>
      <c r="EA702" s="16" t="s">
        <v>166</v>
      </c>
      <c r="EB702" s="16" t="s">
        <v>166</v>
      </c>
      <c r="EC702" s="16" t="s">
        <v>166</v>
      </c>
      <c r="ED702" s="17" t="s">
        <v>166</v>
      </c>
      <c r="EE702" s="17" t="s">
        <v>166</v>
      </c>
      <c r="EF702" s="17" t="s">
        <v>166</v>
      </c>
      <c r="EG702" s="17" t="s">
        <v>166</v>
      </c>
      <c r="EH702" s="16" t="s">
        <v>166</v>
      </c>
      <c r="EI702" s="16" t="s">
        <v>166</v>
      </c>
      <c r="EJ702" s="16" t="s">
        <v>166</v>
      </c>
      <c r="EK702" s="16" t="s">
        <v>166</v>
      </c>
      <c r="EL702" s="16" t="s">
        <v>166</v>
      </c>
      <c r="EM702" s="16" t="s">
        <v>166</v>
      </c>
      <c r="EN702" s="16" t="s">
        <v>166</v>
      </c>
      <c r="EO702" s="16" t="s">
        <v>166</v>
      </c>
      <c r="EP702" s="16" t="s">
        <v>166</v>
      </c>
      <c r="EQ702" s="16" t="s">
        <v>166</v>
      </c>
      <c r="ER702" s="16" t="s">
        <v>166</v>
      </c>
      <c r="ES702" s="16" t="s">
        <v>166</v>
      </c>
      <c r="ET702" s="14" t="s">
        <v>166</v>
      </c>
      <c r="EU702" s="16" t="s">
        <v>166</v>
      </c>
      <c r="EV702" s="16" t="s">
        <v>166</v>
      </c>
      <c r="EW702" s="16" t="s">
        <v>166</v>
      </c>
      <c r="EX702" s="14" t="s">
        <v>190</v>
      </c>
      <c r="EY702" s="14" t="s">
        <v>166</v>
      </c>
      <c r="EZ702" s="16" t="s">
        <v>166</v>
      </c>
      <c r="FA702" s="15">
        <v>1</v>
      </c>
      <c r="FB702" s="15">
        <v>1</v>
      </c>
      <c r="FC702" s="15" t="s">
        <v>166</v>
      </c>
      <c r="FD702" s="15" t="s">
        <v>166</v>
      </c>
      <c r="FE702" s="15" t="s">
        <v>166</v>
      </c>
      <c r="FF702" s="15">
        <v>1</v>
      </c>
      <c r="FG702" s="14" t="s">
        <v>166</v>
      </c>
      <c r="FH702" s="3">
        <f>HYPERLINK("https://my.pitchbook.com?c=165084-49T","View Company Online")</f>
      </c>
    </row>
    <row r="703">
      <c r="A703" s="25" t="s">
        <v>13452</v>
      </c>
      <c r="B703" s="25" t="s">
        <v>13453</v>
      </c>
      <c r="C703" s="25" t="s">
        <v>13454</v>
      </c>
      <c r="D703" s="25" t="s">
        <v>166</v>
      </c>
      <c r="E703" s="34" t="s">
        <v>13455</v>
      </c>
      <c r="F703" s="32">
        <v>6</v>
      </c>
      <c r="G703" s="25" t="s">
        <v>13456</v>
      </c>
      <c r="H703" s="25" t="s">
        <v>166</v>
      </c>
      <c r="I703" s="25" t="s">
        <v>13457</v>
      </c>
      <c r="J703" s="25" t="s">
        <v>13458</v>
      </c>
      <c r="K703" s="25" t="s">
        <v>207</v>
      </c>
      <c r="L703" s="25" t="s">
        <v>208</v>
      </c>
      <c r="M703" s="25" t="s">
        <v>209</v>
      </c>
      <c r="N703" s="25" t="s">
        <v>3407</v>
      </c>
      <c r="O703" s="25" t="s">
        <v>13459</v>
      </c>
      <c r="P703" s="25" t="s">
        <v>13460</v>
      </c>
      <c r="Q703" s="25" t="s">
        <v>166</v>
      </c>
      <c r="R703" s="25" t="s">
        <v>177</v>
      </c>
      <c r="S703" s="25" t="s">
        <v>178</v>
      </c>
      <c r="T703" s="25" t="s">
        <v>179</v>
      </c>
      <c r="U703" s="25" t="s">
        <v>13461</v>
      </c>
      <c r="V703" s="25" t="s">
        <v>13462</v>
      </c>
      <c r="W703" s="32" t="s">
        <v>13463</v>
      </c>
      <c r="X703" s="25" t="s">
        <v>13464</v>
      </c>
      <c r="Y703" s="25" t="s">
        <v>13465</v>
      </c>
      <c r="Z703" s="25" t="s">
        <v>13466</v>
      </c>
      <c r="AA703" s="25" t="s">
        <v>242</v>
      </c>
      <c r="AB703" s="25" t="s">
        <v>243</v>
      </c>
      <c r="AC703" s="25" t="s">
        <v>244</v>
      </c>
      <c r="AD703" s="25" t="s">
        <v>243</v>
      </c>
      <c r="AE703" s="25" t="s">
        <v>243</v>
      </c>
      <c r="AF703" s="25" t="s">
        <v>245</v>
      </c>
      <c r="AG703" s="25" t="s">
        <v>166</v>
      </c>
      <c r="AH703" s="32">
        <v>5</v>
      </c>
      <c r="AI703" s="4">
        <f>HYPERLINK("https://my.pitchbook.com/?d=136646-38T","136646-38T")</f>
      </c>
      <c r="AJ703" s="30" t="s">
        <v>166</v>
      </c>
      <c r="AK703" s="30">
        <v>43966</v>
      </c>
      <c r="AL703" s="29">
        <v>1.47</v>
      </c>
      <c r="AM703" s="25" t="s">
        <v>185</v>
      </c>
      <c r="AN703" s="29">
        <v>4</v>
      </c>
      <c r="AO703" s="29">
        <v>5.47</v>
      </c>
      <c r="AP703" s="25" t="s">
        <v>185</v>
      </c>
      <c r="AQ703" s="32" t="s">
        <v>166</v>
      </c>
      <c r="AR703" s="32" t="s">
        <v>166</v>
      </c>
      <c r="AS703" s="28">
        <v>26.9</v>
      </c>
      <c r="AT703" s="29">
        <v>1.59</v>
      </c>
      <c r="AU703" s="32" t="s">
        <v>186</v>
      </c>
      <c r="AV703" s="32" t="s">
        <v>166</v>
      </c>
      <c r="AW703" s="29" t="s">
        <v>166</v>
      </c>
      <c r="AX703" s="32" t="s">
        <v>166</v>
      </c>
      <c r="AY703" s="25" t="s">
        <v>217</v>
      </c>
      <c r="AZ703" s="25" t="s">
        <v>217</v>
      </c>
      <c r="BA703" s="25" t="s">
        <v>166</v>
      </c>
      <c r="BB703" s="32" t="s">
        <v>166</v>
      </c>
      <c r="BC703" s="25" t="s">
        <v>179</v>
      </c>
      <c r="BD703" s="25" t="s">
        <v>13467</v>
      </c>
      <c r="BE703" s="25" t="s">
        <v>189</v>
      </c>
      <c r="BF703" s="29">
        <v>1.47</v>
      </c>
      <c r="BG703" s="25" t="s">
        <v>190</v>
      </c>
      <c r="BH703" s="25" t="s">
        <v>166</v>
      </c>
      <c r="BI703" s="25" t="s">
        <v>166</v>
      </c>
      <c r="BJ703" s="29" t="s">
        <v>166</v>
      </c>
      <c r="BK703" s="29" t="s">
        <v>166</v>
      </c>
      <c r="BL703" s="25" t="s">
        <v>191</v>
      </c>
      <c r="BM703" s="25" t="s">
        <v>178</v>
      </c>
      <c r="BN703" s="25" t="s">
        <v>177</v>
      </c>
      <c r="BO703" s="33" t="s">
        <v>166</v>
      </c>
      <c r="BP703" s="25" t="s">
        <v>13468</v>
      </c>
      <c r="BQ703" s="32">
        <v>6</v>
      </c>
      <c r="BR703" s="25" t="s">
        <v>166</v>
      </c>
      <c r="BS703" s="32" t="s">
        <v>166</v>
      </c>
      <c r="BT703" s="25" t="s">
        <v>13469</v>
      </c>
      <c r="BU703" s="25" t="s">
        <v>166</v>
      </c>
      <c r="BV703" s="25" t="s">
        <v>13470</v>
      </c>
      <c r="BW703" s="25" t="s">
        <v>166</v>
      </c>
      <c r="BX703" s="25" t="s">
        <v>166</v>
      </c>
      <c r="BY703" s="25" t="s">
        <v>166</v>
      </c>
      <c r="BZ703" s="25" t="s">
        <v>166</v>
      </c>
      <c r="CA703" s="25" t="s">
        <v>166</v>
      </c>
      <c r="CB703" s="25" t="s">
        <v>166</v>
      </c>
      <c r="CC703" s="25" t="s">
        <v>166</v>
      </c>
      <c r="CD703" s="25" t="s">
        <v>166</v>
      </c>
      <c r="CE703" s="29" t="s">
        <v>166</v>
      </c>
      <c r="CF703" s="27" t="s">
        <v>166</v>
      </c>
      <c r="CG703" s="28" t="s">
        <v>166</v>
      </c>
      <c r="CH703" s="27" t="s">
        <v>166</v>
      </c>
      <c r="CI703" s="27" t="s">
        <v>166</v>
      </c>
      <c r="CJ703" s="27" t="s">
        <v>166</v>
      </c>
      <c r="CK703" s="27" t="s">
        <v>166</v>
      </c>
      <c r="CL703" s="27" t="s">
        <v>166</v>
      </c>
      <c r="CM703" s="31" t="s">
        <v>166</v>
      </c>
      <c r="CN703" s="27" t="s">
        <v>166</v>
      </c>
      <c r="CO703" s="27" t="s">
        <v>166</v>
      </c>
      <c r="CP703" s="27" t="s">
        <v>166</v>
      </c>
      <c r="CQ703" s="27" t="s">
        <v>166</v>
      </c>
      <c r="CR703" s="27" t="s">
        <v>166</v>
      </c>
      <c r="CS703" s="27" t="s">
        <v>166</v>
      </c>
      <c r="CT703" s="27" t="s">
        <v>166</v>
      </c>
      <c r="CU703" s="27" t="s">
        <v>166</v>
      </c>
      <c r="CV703" s="27" t="s">
        <v>166</v>
      </c>
      <c r="CW703" s="27" t="s">
        <v>166</v>
      </c>
      <c r="CX703" s="27" t="s">
        <v>166</v>
      </c>
      <c r="CY703" s="27" t="s">
        <v>166</v>
      </c>
      <c r="CZ703" s="27" t="s">
        <v>166</v>
      </c>
      <c r="DA703" s="27" t="s">
        <v>166</v>
      </c>
      <c r="DB703" s="27" t="s">
        <v>166</v>
      </c>
      <c r="DC703" s="27" t="s">
        <v>166</v>
      </c>
      <c r="DD703" s="27" t="s">
        <v>166</v>
      </c>
      <c r="DE703" s="28" t="s">
        <v>166</v>
      </c>
      <c r="DF703" s="33">
        <v>11</v>
      </c>
      <c r="DG703" s="25" t="s">
        <v>309</v>
      </c>
      <c r="DH703" s="25" t="s">
        <v>193</v>
      </c>
      <c r="DI703" s="25" t="s">
        <v>194</v>
      </c>
      <c r="DJ703" s="25" t="s">
        <v>310</v>
      </c>
      <c r="DK703" s="25" t="s">
        <v>310</v>
      </c>
      <c r="DL703" s="32" t="s">
        <v>873</v>
      </c>
      <c r="DM703" s="25" t="s">
        <v>198</v>
      </c>
      <c r="DN703" s="24" t="s">
        <v>13471</v>
      </c>
      <c r="DO703" s="31">
        <v>2014</v>
      </c>
      <c r="DP703" s="25" t="s">
        <v>166</v>
      </c>
      <c r="DQ703" s="25" t="s">
        <v>166</v>
      </c>
      <c r="DR703" s="29" t="s">
        <v>166</v>
      </c>
      <c r="DS703" s="27" t="s">
        <v>166</v>
      </c>
      <c r="DT703" s="30" t="s">
        <v>166</v>
      </c>
      <c r="DU703" s="25" t="s">
        <v>166</v>
      </c>
      <c r="DV703" s="29" t="s">
        <v>166</v>
      </c>
      <c r="DW703" s="29" t="s">
        <v>166</v>
      </c>
      <c r="DX703" s="27" t="s">
        <v>166</v>
      </c>
      <c r="DY703" s="27" t="s">
        <v>166</v>
      </c>
      <c r="DZ703" s="28" t="s">
        <v>166</v>
      </c>
      <c r="EA703" s="27" t="s">
        <v>166</v>
      </c>
      <c r="EB703" s="27" t="s">
        <v>166</v>
      </c>
      <c r="EC703" s="27" t="s">
        <v>166</v>
      </c>
      <c r="ED703" s="28" t="s">
        <v>166</v>
      </c>
      <c r="EE703" s="28" t="s">
        <v>166</v>
      </c>
      <c r="EF703" s="28" t="s">
        <v>166</v>
      </c>
      <c r="EG703" s="28" t="s">
        <v>166</v>
      </c>
      <c r="EH703" s="27" t="s">
        <v>166</v>
      </c>
      <c r="EI703" s="27" t="s">
        <v>166</v>
      </c>
      <c r="EJ703" s="27" t="s">
        <v>166</v>
      </c>
      <c r="EK703" s="27" t="s">
        <v>166</v>
      </c>
      <c r="EL703" s="27" t="s">
        <v>166</v>
      </c>
      <c r="EM703" s="27" t="s">
        <v>166</v>
      </c>
      <c r="EN703" s="27" t="s">
        <v>166</v>
      </c>
      <c r="EO703" s="27" t="s">
        <v>166</v>
      </c>
      <c r="EP703" s="27" t="s">
        <v>166</v>
      </c>
      <c r="EQ703" s="27" t="s">
        <v>166</v>
      </c>
      <c r="ER703" s="27" t="s">
        <v>166</v>
      </c>
      <c r="ES703" s="27" t="s">
        <v>166</v>
      </c>
      <c r="ET703" s="25" t="s">
        <v>166</v>
      </c>
      <c r="EU703" s="27" t="s">
        <v>166</v>
      </c>
      <c r="EV703" s="27" t="s">
        <v>166</v>
      </c>
      <c r="EW703" s="27" t="s">
        <v>166</v>
      </c>
      <c r="EX703" s="25" t="s">
        <v>190</v>
      </c>
      <c r="EY703" s="25" t="s">
        <v>166</v>
      </c>
      <c r="EZ703" s="27" t="s">
        <v>166</v>
      </c>
      <c r="FA703" s="26" t="s">
        <v>166</v>
      </c>
      <c r="FB703" s="26" t="s">
        <v>166</v>
      </c>
      <c r="FC703" s="26" t="s">
        <v>166</v>
      </c>
      <c r="FD703" s="26" t="s">
        <v>166</v>
      </c>
      <c r="FE703" s="26" t="s">
        <v>166</v>
      </c>
      <c r="FF703" s="26" t="s">
        <v>166</v>
      </c>
      <c r="FG703" s="25" t="s">
        <v>166</v>
      </c>
      <c r="FH703" s="4">
        <f>HYPERLINK("https://my.pitchbook.com?c=136646-38T","View Company Online")</f>
      </c>
    </row>
    <row r="704">
      <c r="A704" s="14" t="s">
        <v>13472</v>
      </c>
      <c r="B704" s="14" t="s">
        <v>13473</v>
      </c>
      <c r="C704" s="14" t="s">
        <v>13474</v>
      </c>
      <c r="D704" s="14" t="s">
        <v>166</v>
      </c>
      <c r="E704" s="23" t="s">
        <v>13475</v>
      </c>
      <c r="F704" s="21">
        <v>23</v>
      </c>
      <c r="G704" s="14" t="s">
        <v>13476</v>
      </c>
      <c r="H704" s="14" t="s">
        <v>166</v>
      </c>
      <c r="I704" s="14" t="s">
        <v>13477</v>
      </c>
      <c r="J704" s="14" t="s">
        <v>13478</v>
      </c>
      <c r="K704" s="14" t="s">
        <v>1455</v>
      </c>
      <c r="L704" s="14" t="s">
        <v>13479</v>
      </c>
      <c r="M704" s="14" t="s">
        <v>13480</v>
      </c>
      <c r="N704" s="14" t="s">
        <v>13481</v>
      </c>
      <c r="O704" s="14" t="s">
        <v>13482</v>
      </c>
      <c r="P704" s="14" t="s">
        <v>13483</v>
      </c>
      <c r="Q704" s="14" t="s">
        <v>166</v>
      </c>
      <c r="R704" s="14" t="s">
        <v>177</v>
      </c>
      <c r="S704" s="14" t="s">
        <v>178</v>
      </c>
      <c r="T704" s="14" t="s">
        <v>179</v>
      </c>
      <c r="U704" s="14" t="s">
        <v>13484</v>
      </c>
      <c r="V704" s="14" t="s">
        <v>13485</v>
      </c>
      <c r="W704" s="21" t="s">
        <v>13486</v>
      </c>
      <c r="X704" s="14" t="s">
        <v>13487</v>
      </c>
      <c r="Y704" s="14" t="s">
        <v>13488</v>
      </c>
      <c r="Z704" s="14" t="s">
        <v>166</v>
      </c>
      <c r="AA704" s="14" t="s">
        <v>166</v>
      </c>
      <c r="AB704" s="14" t="s">
        <v>166</v>
      </c>
      <c r="AC704" s="14" t="s">
        <v>166</v>
      </c>
      <c r="AD704" s="14" t="s">
        <v>166</v>
      </c>
      <c r="AE704" s="14" t="s">
        <v>166</v>
      </c>
      <c r="AF704" s="14" t="s">
        <v>166</v>
      </c>
      <c r="AG704" s="14" t="s">
        <v>166</v>
      </c>
      <c r="AH704" s="21">
        <v>1</v>
      </c>
      <c r="AI704" s="3">
        <f>HYPERLINK("https://my.pitchbook.com/?d=134371-54T","134371-54T")</f>
      </c>
      <c r="AJ704" s="19" t="s">
        <v>166</v>
      </c>
      <c r="AK704" s="19">
        <v>43862</v>
      </c>
      <c r="AL704" s="18">
        <v>0.8</v>
      </c>
      <c r="AM704" s="14" t="s">
        <v>185</v>
      </c>
      <c r="AN704" s="18">
        <v>1.7</v>
      </c>
      <c r="AO704" s="18">
        <v>2.5</v>
      </c>
      <c r="AP704" s="14" t="s">
        <v>185</v>
      </c>
      <c r="AQ704" s="21" t="s">
        <v>166</v>
      </c>
      <c r="AR704" s="21" t="s">
        <v>166</v>
      </c>
      <c r="AS704" s="17" t="s">
        <v>166</v>
      </c>
      <c r="AT704" s="18">
        <v>0.8</v>
      </c>
      <c r="AU704" s="21" t="s">
        <v>186</v>
      </c>
      <c r="AV704" s="21" t="s">
        <v>166</v>
      </c>
      <c r="AW704" s="18" t="s">
        <v>166</v>
      </c>
      <c r="AX704" s="21" t="s">
        <v>166</v>
      </c>
      <c r="AY704" s="14" t="s">
        <v>217</v>
      </c>
      <c r="AZ704" s="14" t="s">
        <v>217</v>
      </c>
      <c r="BA704" s="14" t="s">
        <v>166</v>
      </c>
      <c r="BB704" s="21" t="s">
        <v>166</v>
      </c>
      <c r="BC704" s="14" t="s">
        <v>179</v>
      </c>
      <c r="BD704" s="14" t="s">
        <v>13489</v>
      </c>
      <c r="BE704" s="14" t="s">
        <v>189</v>
      </c>
      <c r="BF704" s="18">
        <v>0.8</v>
      </c>
      <c r="BG704" s="14" t="s">
        <v>190</v>
      </c>
      <c r="BH704" s="14" t="s">
        <v>166</v>
      </c>
      <c r="BI704" s="14" t="s">
        <v>166</v>
      </c>
      <c r="BJ704" s="18" t="s">
        <v>166</v>
      </c>
      <c r="BK704" s="18" t="s">
        <v>166</v>
      </c>
      <c r="BL704" s="14" t="s">
        <v>191</v>
      </c>
      <c r="BM704" s="14" t="s">
        <v>178</v>
      </c>
      <c r="BN704" s="14" t="s">
        <v>177</v>
      </c>
      <c r="BO704" s="22">
        <v>2</v>
      </c>
      <c r="BP704" s="14" t="s">
        <v>13490</v>
      </c>
      <c r="BQ704" s="21">
        <v>23</v>
      </c>
      <c r="BR704" s="14" t="s">
        <v>166</v>
      </c>
      <c r="BS704" s="21" t="s">
        <v>166</v>
      </c>
      <c r="BT704" s="14" t="s">
        <v>13491</v>
      </c>
      <c r="BU704" s="14" t="s">
        <v>166</v>
      </c>
      <c r="BV704" s="14" t="s">
        <v>13492</v>
      </c>
      <c r="BW704" s="14" t="s">
        <v>166</v>
      </c>
      <c r="BX704" s="14" t="s">
        <v>166</v>
      </c>
      <c r="BY704" s="14" t="s">
        <v>166</v>
      </c>
      <c r="BZ704" s="14" t="s">
        <v>166</v>
      </c>
      <c r="CA704" s="14" t="s">
        <v>166</v>
      </c>
      <c r="CB704" s="14" t="s">
        <v>166</v>
      </c>
      <c r="CC704" s="14" t="s">
        <v>166</v>
      </c>
      <c r="CD704" s="14" t="s">
        <v>166</v>
      </c>
      <c r="CE704" s="18" t="s">
        <v>166</v>
      </c>
      <c r="CF704" s="16" t="s">
        <v>166</v>
      </c>
      <c r="CG704" s="17" t="s">
        <v>166</v>
      </c>
      <c r="CH704" s="16" t="s">
        <v>166</v>
      </c>
      <c r="CI704" s="16" t="s">
        <v>166</v>
      </c>
      <c r="CJ704" s="16" t="s">
        <v>166</v>
      </c>
      <c r="CK704" s="16" t="s">
        <v>166</v>
      </c>
      <c r="CL704" s="16" t="s">
        <v>166</v>
      </c>
      <c r="CM704" s="20" t="s">
        <v>166</v>
      </c>
      <c r="CN704" s="16" t="s">
        <v>166</v>
      </c>
      <c r="CO704" s="16" t="s">
        <v>166</v>
      </c>
      <c r="CP704" s="16" t="s">
        <v>166</v>
      </c>
      <c r="CQ704" s="16" t="s">
        <v>166</v>
      </c>
      <c r="CR704" s="16" t="s">
        <v>166</v>
      </c>
      <c r="CS704" s="16" t="s">
        <v>166</v>
      </c>
      <c r="CT704" s="16" t="s">
        <v>166</v>
      </c>
      <c r="CU704" s="16" t="s">
        <v>166</v>
      </c>
      <c r="CV704" s="16" t="s">
        <v>166</v>
      </c>
      <c r="CW704" s="16" t="s">
        <v>166</v>
      </c>
      <c r="CX704" s="16" t="s">
        <v>166</v>
      </c>
      <c r="CY704" s="16" t="s">
        <v>166</v>
      </c>
      <c r="CZ704" s="16" t="s">
        <v>166</v>
      </c>
      <c r="DA704" s="16" t="s">
        <v>166</v>
      </c>
      <c r="DB704" s="16" t="s">
        <v>166</v>
      </c>
      <c r="DC704" s="16" t="s">
        <v>166</v>
      </c>
      <c r="DD704" s="16" t="s">
        <v>166</v>
      </c>
      <c r="DE704" s="17" t="s">
        <v>166</v>
      </c>
      <c r="DF704" s="22">
        <v>10</v>
      </c>
      <c r="DG704" s="14" t="s">
        <v>673</v>
      </c>
      <c r="DH704" s="14" t="s">
        <v>193</v>
      </c>
      <c r="DI704" s="14" t="s">
        <v>194</v>
      </c>
      <c r="DJ704" s="14" t="s">
        <v>674</v>
      </c>
      <c r="DK704" s="14" t="s">
        <v>257</v>
      </c>
      <c r="DL704" s="21" t="s">
        <v>1599</v>
      </c>
      <c r="DM704" s="14" t="s">
        <v>198</v>
      </c>
      <c r="DN704" s="13" t="s">
        <v>13493</v>
      </c>
      <c r="DO704" s="20">
        <v>2019</v>
      </c>
      <c r="DP704" s="14" t="s">
        <v>166</v>
      </c>
      <c r="DQ704" s="14" t="s">
        <v>166</v>
      </c>
      <c r="DR704" s="18" t="s">
        <v>166</v>
      </c>
      <c r="DS704" s="16" t="s">
        <v>166</v>
      </c>
      <c r="DT704" s="19" t="s">
        <v>166</v>
      </c>
      <c r="DU704" s="14" t="s">
        <v>166</v>
      </c>
      <c r="DV704" s="18" t="s">
        <v>166</v>
      </c>
      <c r="DW704" s="18" t="s">
        <v>166</v>
      </c>
      <c r="DX704" s="16" t="s">
        <v>166</v>
      </c>
      <c r="DY704" s="16" t="s">
        <v>166</v>
      </c>
      <c r="DZ704" s="17" t="s">
        <v>166</v>
      </c>
      <c r="EA704" s="16" t="s">
        <v>166</v>
      </c>
      <c r="EB704" s="16" t="s">
        <v>166</v>
      </c>
      <c r="EC704" s="16" t="s">
        <v>166</v>
      </c>
      <c r="ED704" s="17" t="s">
        <v>166</v>
      </c>
      <c r="EE704" s="17" t="s">
        <v>166</v>
      </c>
      <c r="EF704" s="17" t="s">
        <v>166</v>
      </c>
      <c r="EG704" s="17" t="s">
        <v>166</v>
      </c>
      <c r="EH704" s="16" t="s">
        <v>166</v>
      </c>
      <c r="EI704" s="16" t="s">
        <v>166</v>
      </c>
      <c r="EJ704" s="16" t="s">
        <v>166</v>
      </c>
      <c r="EK704" s="16" t="s">
        <v>166</v>
      </c>
      <c r="EL704" s="16" t="s">
        <v>166</v>
      </c>
      <c r="EM704" s="16" t="s">
        <v>166</v>
      </c>
      <c r="EN704" s="16" t="s">
        <v>166</v>
      </c>
      <c r="EO704" s="16" t="s">
        <v>166</v>
      </c>
      <c r="EP704" s="16" t="s">
        <v>166</v>
      </c>
      <c r="EQ704" s="16" t="s">
        <v>166</v>
      </c>
      <c r="ER704" s="16" t="s">
        <v>166</v>
      </c>
      <c r="ES704" s="16" t="s">
        <v>166</v>
      </c>
      <c r="ET704" s="14" t="s">
        <v>166</v>
      </c>
      <c r="EU704" s="16" t="s">
        <v>166</v>
      </c>
      <c r="EV704" s="16" t="s">
        <v>166</v>
      </c>
      <c r="EW704" s="16" t="s">
        <v>166</v>
      </c>
      <c r="EX704" s="14" t="s">
        <v>190</v>
      </c>
      <c r="EY704" s="14" t="s">
        <v>166</v>
      </c>
      <c r="EZ704" s="16" t="s">
        <v>166</v>
      </c>
      <c r="FA704" s="15">
        <v>1</v>
      </c>
      <c r="FB704" s="15">
        <v>1</v>
      </c>
      <c r="FC704" s="15" t="s">
        <v>166</v>
      </c>
      <c r="FD704" s="15">
        <v>1</v>
      </c>
      <c r="FE704" s="15" t="s">
        <v>166</v>
      </c>
      <c r="FF704" s="15" t="s">
        <v>166</v>
      </c>
      <c r="FG704" s="14" t="s">
        <v>7389</v>
      </c>
      <c r="FH704" s="3">
        <f>HYPERLINK("https://my.pitchbook.com?c=134371-54T","View Company Online")</f>
      </c>
    </row>
    <row r="705">
      <c r="A705" s="25" t="s">
        <v>13494</v>
      </c>
      <c r="B705" s="25" t="s">
        <v>13495</v>
      </c>
      <c r="C705" s="25" t="s">
        <v>13496</v>
      </c>
      <c r="D705" s="25" t="s">
        <v>166</v>
      </c>
      <c r="E705" s="34" t="s">
        <v>13497</v>
      </c>
      <c r="F705" s="32">
        <v>2</v>
      </c>
      <c r="G705" s="25" t="s">
        <v>13498</v>
      </c>
      <c r="H705" s="25" t="s">
        <v>166</v>
      </c>
      <c r="I705" s="25" t="s">
        <v>13499</v>
      </c>
      <c r="J705" s="25" t="s">
        <v>13500</v>
      </c>
      <c r="K705" s="25" t="s">
        <v>207</v>
      </c>
      <c r="L705" s="25" t="s">
        <v>208</v>
      </c>
      <c r="M705" s="25" t="s">
        <v>209</v>
      </c>
      <c r="N705" s="25" t="s">
        <v>1824</v>
      </c>
      <c r="O705" s="25" t="s">
        <v>665</v>
      </c>
      <c r="P705" s="25" t="s">
        <v>13501</v>
      </c>
      <c r="Q705" s="25" t="s">
        <v>166</v>
      </c>
      <c r="R705" s="25" t="s">
        <v>177</v>
      </c>
      <c r="S705" s="25" t="s">
        <v>178</v>
      </c>
      <c r="T705" s="25" t="s">
        <v>179</v>
      </c>
      <c r="U705" s="25" t="s">
        <v>13502</v>
      </c>
      <c r="V705" s="25" t="s">
        <v>13503</v>
      </c>
      <c r="W705" s="32" t="s">
        <v>13504</v>
      </c>
      <c r="X705" s="25" t="s">
        <v>13505</v>
      </c>
      <c r="Y705" s="25" t="s">
        <v>13506</v>
      </c>
      <c r="Z705" s="25" t="s">
        <v>13507</v>
      </c>
      <c r="AA705" s="25" t="s">
        <v>242</v>
      </c>
      <c r="AB705" s="25" t="s">
        <v>243</v>
      </c>
      <c r="AC705" s="25" t="s">
        <v>244</v>
      </c>
      <c r="AD705" s="25" t="s">
        <v>243</v>
      </c>
      <c r="AE705" s="25" t="s">
        <v>243</v>
      </c>
      <c r="AF705" s="25" t="s">
        <v>245</v>
      </c>
      <c r="AG705" s="25" t="s">
        <v>807</v>
      </c>
      <c r="AH705" s="32">
        <v>1</v>
      </c>
      <c r="AI705" s="4">
        <f>HYPERLINK("https://my.pitchbook.com/?d=185150-98T","185150-98T")</f>
      </c>
      <c r="AJ705" s="30">
        <v>44536</v>
      </c>
      <c r="AK705" s="30">
        <v>44544</v>
      </c>
      <c r="AL705" s="29">
        <v>2</v>
      </c>
      <c r="AM705" s="25" t="s">
        <v>185</v>
      </c>
      <c r="AN705" s="29">
        <v>5</v>
      </c>
      <c r="AO705" s="29">
        <v>7</v>
      </c>
      <c r="AP705" s="25" t="s">
        <v>185</v>
      </c>
      <c r="AQ705" s="32" t="s">
        <v>166</v>
      </c>
      <c r="AR705" s="32" t="s">
        <v>166</v>
      </c>
      <c r="AS705" s="28">
        <v>28.57</v>
      </c>
      <c r="AT705" s="29">
        <v>2</v>
      </c>
      <c r="AU705" s="32" t="s">
        <v>186</v>
      </c>
      <c r="AV705" s="32" t="s">
        <v>166</v>
      </c>
      <c r="AW705" s="29">
        <v>0.44</v>
      </c>
      <c r="AX705" s="32" t="s">
        <v>166</v>
      </c>
      <c r="AY705" s="25" t="s">
        <v>217</v>
      </c>
      <c r="AZ705" s="25" t="s">
        <v>217</v>
      </c>
      <c r="BA705" s="25" t="s">
        <v>166</v>
      </c>
      <c r="BB705" s="32" t="s">
        <v>166</v>
      </c>
      <c r="BC705" s="25" t="s">
        <v>179</v>
      </c>
      <c r="BD705" s="25" t="s">
        <v>13508</v>
      </c>
      <c r="BE705" s="25" t="s">
        <v>189</v>
      </c>
      <c r="BF705" s="29">
        <v>2</v>
      </c>
      <c r="BG705" s="25" t="s">
        <v>190</v>
      </c>
      <c r="BH705" s="25" t="s">
        <v>166</v>
      </c>
      <c r="BI705" s="25" t="s">
        <v>166</v>
      </c>
      <c r="BJ705" s="29" t="s">
        <v>166</v>
      </c>
      <c r="BK705" s="29" t="s">
        <v>166</v>
      </c>
      <c r="BL705" s="25" t="s">
        <v>191</v>
      </c>
      <c r="BM705" s="25" t="s">
        <v>178</v>
      </c>
      <c r="BN705" s="25" t="s">
        <v>177</v>
      </c>
      <c r="BO705" s="33" t="s">
        <v>166</v>
      </c>
      <c r="BP705" s="25" t="s">
        <v>13509</v>
      </c>
      <c r="BQ705" s="32">
        <v>2</v>
      </c>
      <c r="BR705" s="25" t="s">
        <v>166</v>
      </c>
      <c r="BS705" s="32" t="s">
        <v>166</v>
      </c>
      <c r="BT705" s="25" t="s">
        <v>166</v>
      </c>
      <c r="BU705" s="25" t="s">
        <v>166</v>
      </c>
      <c r="BV705" s="25" t="s">
        <v>166</v>
      </c>
      <c r="BW705" s="25" t="s">
        <v>166</v>
      </c>
      <c r="BX705" s="25" t="s">
        <v>166</v>
      </c>
      <c r="BY705" s="25" t="s">
        <v>166</v>
      </c>
      <c r="BZ705" s="25" t="s">
        <v>13510</v>
      </c>
      <c r="CA705" s="25" t="s">
        <v>13510</v>
      </c>
      <c r="CB705" s="25" t="s">
        <v>166</v>
      </c>
      <c r="CC705" s="25" t="s">
        <v>166</v>
      </c>
      <c r="CD705" s="25" t="s">
        <v>166</v>
      </c>
      <c r="CE705" s="29" t="s">
        <v>166</v>
      </c>
      <c r="CF705" s="27" t="s">
        <v>166</v>
      </c>
      <c r="CG705" s="28" t="s">
        <v>166</v>
      </c>
      <c r="CH705" s="27" t="s">
        <v>166</v>
      </c>
      <c r="CI705" s="27" t="s">
        <v>166</v>
      </c>
      <c r="CJ705" s="27" t="s">
        <v>166</v>
      </c>
      <c r="CK705" s="27" t="s">
        <v>166</v>
      </c>
      <c r="CL705" s="27" t="s">
        <v>166</v>
      </c>
      <c r="CM705" s="31" t="s">
        <v>166</v>
      </c>
      <c r="CN705" s="27" t="s">
        <v>166</v>
      </c>
      <c r="CO705" s="27" t="s">
        <v>166</v>
      </c>
      <c r="CP705" s="27" t="s">
        <v>166</v>
      </c>
      <c r="CQ705" s="27" t="s">
        <v>166</v>
      </c>
      <c r="CR705" s="27" t="s">
        <v>166</v>
      </c>
      <c r="CS705" s="27" t="s">
        <v>166</v>
      </c>
      <c r="CT705" s="27" t="s">
        <v>166</v>
      </c>
      <c r="CU705" s="27" t="s">
        <v>166</v>
      </c>
      <c r="CV705" s="27" t="s">
        <v>166</v>
      </c>
      <c r="CW705" s="27" t="s">
        <v>166</v>
      </c>
      <c r="CX705" s="27" t="s">
        <v>166</v>
      </c>
      <c r="CY705" s="27" t="s">
        <v>166</v>
      </c>
      <c r="CZ705" s="27" t="s">
        <v>166</v>
      </c>
      <c r="DA705" s="27" t="s">
        <v>166</v>
      </c>
      <c r="DB705" s="27" t="s">
        <v>166</v>
      </c>
      <c r="DC705" s="27" t="s">
        <v>166</v>
      </c>
      <c r="DD705" s="27" t="s">
        <v>166</v>
      </c>
      <c r="DE705" s="28" t="s">
        <v>166</v>
      </c>
      <c r="DF705" s="33">
        <v>10</v>
      </c>
      <c r="DG705" s="25" t="s">
        <v>4993</v>
      </c>
      <c r="DH705" s="25" t="s">
        <v>193</v>
      </c>
      <c r="DI705" s="25" t="s">
        <v>194</v>
      </c>
      <c r="DJ705" s="25" t="s">
        <v>4994</v>
      </c>
      <c r="DK705" s="25" t="s">
        <v>1251</v>
      </c>
      <c r="DL705" s="32" t="s">
        <v>13511</v>
      </c>
      <c r="DM705" s="25" t="s">
        <v>198</v>
      </c>
      <c r="DN705" s="24" t="s">
        <v>13512</v>
      </c>
      <c r="DO705" s="31">
        <v>2021</v>
      </c>
      <c r="DP705" s="25" t="s">
        <v>166</v>
      </c>
      <c r="DQ705" s="25" t="s">
        <v>166</v>
      </c>
      <c r="DR705" s="29" t="s">
        <v>166</v>
      </c>
      <c r="DS705" s="27" t="s">
        <v>166</v>
      </c>
      <c r="DT705" s="30" t="s">
        <v>166</v>
      </c>
      <c r="DU705" s="25" t="s">
        <v>166</v>
      </c>
      <c r="DV705" s="29" t="s">
        <v>166</v>
      </c>
      <c r="DW705" s="29" t="s">
        <v>166</v>
      </c>
      <c r="DX705" s="27" t="s">
        <v>166</v>
      </c>
      <c r="DY705" s="27" t="s">
        <v>166</v>
      </c>
      <c r="DZ705" s="28" t="s">
        <v>166</v>
      </c>
      <c r="EA705" s="27" t="s">
        <v>166</v>
      </c>
      <c r="EB705" s="27" t="s">
        <v>166</v>
      </c>
      <c r="EC705" s="27" t="s">
        <v>166</v>
      </c>
      <c r="ED705" s="28" t="s">
        <v>166</v>
      </c>
      <c r="EE705" s="28" t="s">
        <v>166</v>
      </c>
      <c r="EF705" s="28" t="s">
        <v>166</v>
      </c>
      <c r="EG705" s="28" t="s">
        <v>166</v>
      </c>
      <c r="EH705" s="27" t="s">
        <v>166</v>
      </c>
      <c r="EI705" s="27" t="s">
        <v>166</v>
      </c>
      <c r="EJ705" s="27" t="s">
        <v>166</v>
      </c>
      <c r="EK705" s="27" t="s">
        <v>166</v>
      </c>
      <c r="EL705" s="27" t="s">
        <v>166</v>
      </c>
      <c r="EM705" s="27" t="s">
        <v>166</v>
      </c>
      <c r="EN705" s="27" t="s">
        <v>166</v>
      </c>
      <c r="EO705" s="27" t="s">
        <v>166</v>
      </c>
      <c r="EP705" s="27" t="s">
        <v>166</v>
      </c>
      <c r="EQ705" s="27" t="s">
        <v>166</v>
      </c>
      <c r="ER705" s="27" t="s">
        <v>166</v>
      </c>
      <c r="ES705" s="27" t="s">
        <v>166</v>
      </c>
      <c r="ET705" s="25" t="s">
        <v>166</v>
      </c>
      <c r="EU705" s="27" t="s">
        <v>166</v>
      </c>
      <c r="EV705" s="27" t="s">
        <v>166</v>
      </c>
      <c r="EW705" s="27" t="s">
        <v>166</v>
      </c>
      <c r="EX705" s="25" t="s">
        <v>190</v>
      </c>
      <c r="EY705" s="25" t="s">
        <v>166</v>
      </c>
      <c r="EZ705" s="27" t="s">
        <v>166</v>
      </c>
      <c r="FA705" s="26" t="s">
        <v>166</v>
      </c>
      <c r="FB705" s="26" t="s">
        <v>166</v>
      </c>
      <c r="FC705" s="26" t="s">
        <v>166</v>
      </c>
      <c r="FD705" s="26" t="s">
        <v>166</v>
      </c>
      <c r="FE705" s="26" t="s">
        <v>166</v>
      </c>
      <c r="FF705" s="26" t="s">
        <v>166</v>
      </c>
      <c r="FG705" s="25" t="s">
        <v>166</v>
      </c>
      <c r="FH705" s="4">
        <f>HYPERLINK("https://my.pitchbook.com?c=185150-98T","View Company Online")</f>
      </c>
    </row>
    <row r="706">
      <c r="A706" s="14" t="s">
        <v>13513</v>
      </c>
      <c r="B706" s="14" t="s">
        <v>13514</v>
      </c>
      <c r="C706" s="14" t="s">
        <v>13515</v>
      </c>
      <c r="D706" s="14" t="s">
        <v>166</v>
      </c>
      <c r="E706" s="23" t="s">
        <v>13516</v>
      </c>
      <c r="F706" s="21">
        <v>2</v>
      </c>
      <c r="G706" s="14" t="s">
        <v>13517</v>
      </c>
      <c r="H706" s="14" t="s">
        <v>166</v>
      </c>
      <c r="I706" s="14" t="s">
        <v>13518</v>
      </c>
      <c r="J706" s="14" t="s">
        <v>13519</v>
      </c>
      <c r="K706" s="14" t="s">
        <v>207</v>
      </c>
      <c r="L706" s="14" t="s">
        <v>208</v>
      </c>
      <c r="M706" s="14" t="s">
        <v>209</v>
      </c>
      <c r="N706" s="14" t="s">
        <v>269</v>
      </c>
      <c r="O706" s="14" t="s">
        <v>665</v>
      </c>
      <c r="P706" s="14" t="s">
        <v>13520</v>
      </c>
      <c r="Q706" s="14" t="s">
        <v>166</v>
      </c>
      <c r="R706" s="14" t="s">
        <v>177</v>
      </c>
      <c r="S706" s="14" t="s">
        <v>785</v>
      </c>
      <c r="T706" s="14" t="s">
        <v>9044</v>
      </c>
      <c r="U706" s="14" t="s">
        <v>13521</v>
      </c>
      <c r="V706" s="14" t="s">
        <v>13522</v>
      </c>
      <c r="W706" s="21" t="s">
        <v>166</v>
      </c>
      <c r="X706" s="14" t="s">
        <v>166</v>
      </c>
      <c r="Y706" s="14" t="s">
        <v>13523</v>
      </c>
      <c r="Z706" s="14" t="s">
        <v>13524</v>
      </c>
      <c r="AA706" s="14" t="s">
        <v>166</v>
      </c>
      <c r="AB706" s="14" t="s">
        <v>166</v>
      </c>
      <c r="AC706" s="14" t="s">
        <v>166</v>
      </c>
      <c r="AD706" s="14" t="s">
        <v>166</v>
      </c>
      <c r="AE706" s="14" t="s">
        <v>166</v>
      </c>
      <c r="AF706" s="14" t="s">
        <v>166</v>
      </c>
      <c r="AG706" s="14" t="s">
        <v>166</v>
      </c>
      <c r="AH706" s="21">
        <v>2</v>
      </c>
      <c r="AI706" s="3">
        <f>HYPERLINK("https://my.pitchbook.com/?d=228073-87T","228073-87T")</f>
      </c>
      <c r="AJ706" s="19" t="s">
        <v>166</v>
      </c>
      <c r="AK706" s="19">
        <v>45118</v>
      </c>
      <c r="AL706" s="18">
        <v>1.2</v>
      </c>
      <c r="AM706" s="14" t="s">
        <v>185</v>
      </c>
      <c r="AN706" s="18" t="s">
        <v>166</v>
      </c>
      <c r="AO706" s="18" t="s">
        <v>166</v>
      </c>
      <c r="AP706" s="14" t="s">
        <v>166</v>
      </c>
      <c r="AQ706" s="21" t="s">
        <v>166</v>
      </c>
      <c r="AR706" s="21" t="s">
        <v>166</v>
      </c>
      <c r="AS706" s="17" t="s">
        <v>166</v>
      </c>
      <c r="AT706" s="18">
        <v>1.3</v>
      </c>
      <c r="AU706" s="21" t="s">
        <v>186</v>
      </c>
      <c r="AV706" s="21" t="s">
        <v>166</v>
      </c>
      <c r="AW706" s="18" t="s">
        <v>166</v>
      </c>
      <c r="AX706" s="21" t="s">
        <v>166</v>
      </c>
      <c r="AY706" s="14" t="s">
        <v>217</v>
      </c>
      <c r="AZ706" s="14" t="s">
        <v>217</v>
      </c>
      <c r="BA706" s="14" t="s">
        <v>166</v>
      </c>
      <c r="BB706" s="21" t="s">
        <v>166</v>
      </c>
      <c r="BC706" s="14" t="s">
        <v>179</v>
      </c>
      <c r="BD706" s="14" t="s">
        <v>13525</v>
      </c>
      <c r="BE706" s="14" t="s">
        <v>189</v>
      </c>
      <c r="BF706" s="18">
        <v>1.2</v>
      </c>
      <c r="BG706" s="14" t="s">
        <v>190</v>
      </c>
      <c r="BH706" s="14" t="s">
        <v>166</v>
      </c>
      <c r="BI706" s="14" t="s">
        <v>166</v>
      </c>
      <c r="BJ706" s="18" t="s">
        <v>166</v>
      </c>
      <c r="BK706" s="18" t="s">
        <v>166</v>
      </c>
      <c r="BL706" s="14" t="s">
        <v>191</v>
      </c>
      <c r="BM706" s="14" t="s">
        <v>785</v>
      </c>
      <c r="BN706" s="14" t="s">
        <v>177</v>
      </c>
      <c r="BO706" s="22" t="s">
        <v>166</v>
      </c>
      <c r="BP706" s="14" t="s">
        <v>13526</v>
      </c>
      <c r="BQ706" s="21">
        <v>1</v>
      </c>
      <c r="BR706" s="14" t="s">
        <v>13527</v>
      </c>
      <c r="BS706" s="21">
        <v>1</v>
      </c>
      <c r="BT706" s="14" t="s">
        <v>13526</v>
      </c>
      <c r="BU706" s="14" t="s">
        <v>166</v>
      </c>
      <c r="BV706" s="14" t="s">
        <v>166</v>
      </c>
      <c r="BW706" s="14" t="s">
        <v>166</v>
      </c>
      <c r="BX706" s="14" t="s">
        <v>166</v>
      </c>
      <c r="BY706" s="14" t="s">
        <v>166</v>
      </c>
      <c r="BZ706" s="14" t="s">
        <v>166</v>
      </c>
      <c r="CA706" s="14" t="s">
        <v>166</v>
      </c>
      <c r="CB706" s="14" t="s">
        <v>166</v>
      </c>
      <c r="CC706" s="14" t="s">
        <v>166</v>
      </c>
      <c r="CD706" s="14" t="s">
        <v>166</v>
      </c>
      <c r="CE706" s="18" t="s">
        <v>166</v>
      </c>
      <c r="CF706" s="16" t="s">
        <v>166</v>
      </c>
      <c r="CG706" s="17" t="s">
        <v>166</v>
      </c>
      <c r="CH706" s="16" t="s">
        <v>166</v>
      </c>
      <c r="CI706" s="16" t="s">
        <v>166</v>
      </c>
      <c r="CJ706" s="16" t="s">
        <v>166</v>
      </c>
      <c r="CK706" s="16" t="s">
        <v>166</v>
      </c>
      <c r="CL706" s="16" t="s">
        <v>166</v>
      </c>
      <c r="CM706" s="20" t="s">
        <v>166</v>
      </c>
      <c r="CN706" s="16" t="s">
        <v>166</v>
      </c>
      <c r="CO706" s="16" t="s">
        <v>166</v>
      </c>
      <c r="CP706" s="16" t="s">
        <v>166</v>
      </c>
      <c r="CQ706" s="16" t="s">
        <v>166</v>
      </c>
      <c r="CR706" s="16" t="s">
        <v>166</v>
      </c>
      <c r="CS706" s="16" t="s">
        <v>166</v>
      </c>
      <c r="CT706" s="16" t="s">
        <v>166</v>
      </c>
      <c r="CU706" s="16" t="s">
        <v>166</v>
      </c>
      <c r="CV706" s="16" t="s">
        <v>166</v>
      </c>
      <c r="CW706" s="16" t="s">
        <v>166</v>
      </c>
      <c r="CX706" s="16" t="s">
        <v>166</v>
      </c>
      <c r="CY706" s="16" t="s">
        <v>166</v>
      </c>
      <c r="CZ706" s="16" t="s">
        <v>166</v>
      </c>
      <c r="DA706" s="16" t="s">
        <v>166</v>
      </c>
      <c r="DB706" s="16" t="s">
        <v>166</v>
      </c>
      <c r="DC706" s="16" t="s">
        <v>166</v>
      </c>
      <c r="DD706" s="16" t="s">
        <v>166</v>
      </c>
      <c r="DE706" s="17" t="s">
        <v>166</v>
      </c>
      <c r="DF706" s="22">
        <v>10</v>
      </c>
      <c r="DG706" s="14" t="s">
        <v>429</v>
      </c>
      <c r="DH706" s="14" t="s">
        <v>193</v>
      </c>
      <c r="DI706" s="14" t="s">
        <v>194</v>
      </c>
      <c r="DJ706" s="14" t="s">
        <v>430</v>
      </c>
      <c r="DK706" s="14" t="s">
        <v>431</v>
      </c>
      <c r="DL706" s="21" t="s">
        <v>166</v>
      </c>
      <c r="DM706" s="14" t="s">
        <v>198</v>
      </c>
      <c r="DN706" s="13" t="s">
        <v>13528</v>
      </c>
      <c r="DO706" s="20">
        <v>2023</v>
      </c>
      <c r="DP706" s="14" t="s">
        <v>166</v>
      </c>
      <c r="DQ706" s="14" t="s">
        <v>166</v>
      </c>
      <c r="DR706" s="18" t="s">
        <v>166</v>
      </c>
      <c r="DS706" s="16" t="s">
        <v>166</v>
      </c>
      <c r="DT706" s="19" t="s">
        <v>166</v>
      </c>
      <c r="DU706" s="14" t="s">
        <v>166</v>
      </c>
      <c r="DV706" s="18" t="s">
        <v>166</v>
      </c>
      <c r="DW706" s="18" t="s">
        <v>166</v>
      </c>
      <c r="DX706" s="16" t="s">
        <v>166</v>
      </c>
      <c r="DY706" s="16" t="s">
        <v>166</v>
      </c>
      <c r="DZ706" s="17" t="s">
        <v>166</v>
      </c>
      <c r="EA706" s="16" t="s">
        <v>166</v>
      </c>
      <c r="EB706" s="16" t="s">
        <v>166</v>
      </c>
      <c r="EC706" s="16" t="s">
        <v>166</v>
      </c>
      <c r="ED706" s="17" t="s">
        <v>166</v>
      </c>
      <c r="EE706" s="17" t="s">
        <v>166</v>
      </c>
      <c r="EF706" s="17" t="s">
        <v>166</v>
      </c>
      <c r="EG706" s="17" t="s">
        <v>166</v>
      </c>
      <c r="EH706" s="16" t="s">
        <v>166</v>
      </c>
      <c r="EI706" s="16" t="s">
        <v>166</v>
      </c>
      <c r="EJ706" s="16" t="s">
        <v>166</v>
      </c>
      <c r="EK706" s="16" t="s">
        <v>166</v>
      </c>
      <c r="EL706" s="16" t="s">
        <v>166</v>
      </c>
      <c r="EM706" s="16" t="s">
        <v>166</v>
      </c>
      <c r="EN706" s="16" t="s">
        <v>166</v>
      </c>
      <c r="EO706" s="16" t="s">
        <v>166</v>
      </c>
      <c r="EP706" s="16" t="s">
        <v>166</v>
      </c>
      <c r="EQ706" s="16" t="s">
        <v>166</v>
      </c>
      <c r="ER706" s="16" t="s">
        <v>166</v>
      </c>
      <c r="ES706" s="16" t="s">
        <v>166</v>
      </c>
      <c r="ET706" s="14" t="s">
        <v>166</v>
      </c>
      <c r="EU706" s="16" t="s">
        <v>166</v>
      </c>
      <c r="EV706" s="16" t="s">
        <v>166</v>
      </c>
      <c r="EW706" s="16" t="s">
        <v>166</v>
      </c>
      <c r="EX706" s="14" t="s">
        <v>190</v>
      </c>
      <c r="EY706" s="14" t="s">
        <v>166</v>
      </c>
      <c r="EZ706" s="16" t="s">
        <v>166</v>
      </c>
      <c r="FA706" s="15" t="s">
        <v>166</v>
      </c>
      <c r="FB706" s="15" t="s">
        <v>166</v>
      </c>
      <c r="FC706" s="15" t="s">
        <v>166</v>
      </c>
      <c r="FD706" s="15" t="s">
        <v>166</v>
      </c>
      <c r="FE706" s="15" t="s">
        <v>166</v>
      </c>
      <c r="FF706" s="15" t="s">
        <v>166</v>
      </c>
      <c r="FG706" s="14" t="s">
        <v>166</v>
      </c>
      <c r="FH706" s="3">
        <f>HYPERLINK("https://my.pitchbook.com?c=228073-87T","View Company Online")</f>
      </c>
    </row>
    <row r="707">
      <c r="A707" s="25" t="s">
        <v>13529</v>
      </c>
      <c r="B707" s="25" t="s">
        <v>13530</v>
      </c>
      <c r="C707" s="25" t="s">
        <v>13531</v>
      </c>
      <c r="D707" s="25" t="s">
        <v>166</v>
      </c>
      <c r="E707" s="34" t="s">
        <v>13532</v>
      </c>
      <c r="F707" s="32">
        <v>1</v>
      </c>
      <c r="G707" s="25" t="s">
        <v>13533</v>
      </c>
      <c r="H707" s="25" t="s">
        <v>166</v>
      </c>
      <c r="I707" s="25" t="s">
        <v>13534</v>
      </c>
      <c r="J707" s="25" t="s">
        <v>13535</v>
      </c>
      <c r="K707" s="25" t="s">
        <v>207</v>
      </c>
      <c r="L707" s="25" t="s">
        <v>418</v>
      </c>
      <c r="M707" s="25" t="s">
        <v>7278</v>
      </c>
      <c r="N707" s="25" t="s">
        <v>13536</v>
      </c>
      <c r="O707" s="25" t="s">
        <v>13537</v>
      </c>
      <c r="P707" s="25" t="s">
        <v>13538</v>
      </c>
      <c r="Q707" s="25" t="s">
        <v>166</v>
      </c>
      <c r="R707" s="25" t="s">
        <v>177</v>
      </c>
      <c r="S707" s="25" t="s">
        <v>178</v>
      </c>
      <c r="T707" s="25" t="s">
        <v>179</v>
      </c>
      <c r="U707" s="25" t="s">
        <v>13539</v>
      </c>
      <c r="V707" s="25" t="s">
        <v>13540</v>
      </c>
      <c r="W707" s="32" t="s">
        <v>166</v>
      </c>
      <c r="X707" s="25" t="s">
        <v>13541</v>
      </c>
      <c r="Y707" s="25" t="s">
        <v>13542</v>
      </c>
      <c r="Z707" s="25" t="s">
        <v>166</v>
      </c>
      <c r="AA707" s="25" t="s">
        <v>166</v>
      </c>
      <c r="AB707" s="25" t="s">
        <v>166</v>
      </c>
      <c r="AC707" s="25" t="s">
        <v>166</v>
      </c>
      <c r="AD707" s="25" t="s">
        <v>166</v>
      </c>
      <c r="AE707" s="25" t="s">
        <v>166</v>
      </c>
      <c r="AF707" s="25" t="s">
        <v>166</v>
      </c>
      <c r="AG707" s="25" t="s">
        <v>166</v>
      </c>
      <c r="AH707" s="32">
        <v>1</v>
      </c>
      <c r="AI707" s="4">
        <f>HYPERLINK("https://my.pitchbook.com/?d=156117-52T","156117-52T")</f>
      </c>
      <c r="AJ707" s="30" t="s">
        <v>166</v>
      </c>
      <c r="AK707" s="30">
        <v>43983</v>
      </c>
      <c r="AL707" s="29">
        <v>1.7</v>
      </c>
      <c r="AM707" s="25" t="s">
        <v>185</v>
      </c>
      <c r="AN707" s="29" t="s">
        <v>166</v>
      </c>
      <c r="AO707" s="29" t="s">
        <v>166</v>
      </c>
      <c r="AP707" s="25" t="s">
        <v>166</v>
      </c>
      <c r="AQ707" s="32" t="s">
        <v>166</v>
      </c>
      <c r="AR707" s="32" t="s">
        <v>166</v>
      </c>
      <c r="AS707" s="28" t="s">
        <v>166</v>
      </c>
      <c r="AT707" s="29">
        <v>1.7</v>
      </c>
      <c r="AU707" s="32" t="s">
        <v>186</v>
      </c>
      <c r="AV707" s="32" t="s">
        <v>166</v>
      </c>
      <c r="AW707" s="29" t="s">
        <v>166</v>
      </c>
      <c r="AX707" s="32" t="s">
        <v>746</v>
      </c>
      <c r="AY707" s="25" t="s">
        <v>187</v>
      </c>
      <c r="AZ707" s="25" t="s">
        <v>746</v>
      </c>
      <c r="BA707" s="25" t="s">
        <v>166</v>
      </c>
      <c r="BB707" s="32" t="s">
        <v>166</v>
      </c>
      <c r="BC707" s="25" t="s">
        <v>179</v>
      </c>
      <c r="BD707" s="25" t="s">
        <v>13543</v>
      </c>
      <c r="BE707" s="25" t="s">
        <v>189</v>
      </c>
      <c r="BF707" s="29">
        <v>1.7</v>
      </c>
      <c r="BG707" s="25" t="s">
        <v>190</v>
      </c>
      <c r="BH707" s="25" t="s">
        <v>166</v>
      </c>
      <c r="BI707" s="25" t="s">
        <v>166</v>
      </c>
      <c r="BJ707" s="29" t="s">
        <v>166</v>
      </c>
      <c r="BK707" s="29" t="s">
        <v>166</v>
      </c>
      <c r="BL707" s="25" t="s">
        <v>191</v>
      </c>
      <c r="BM707" s="25" t="s">
        <v>785</v>
      </c>
      <c r="BN707" s="25" t="s">
        <v>177</v>
      </c>
      <c r="BO707" s="33" t="s">
        <v>166</v>
      </c>
      <c r="BP707" s="25" t="s">
        <v>13532</v>
      </c>
      <c r="BQ707" s="32">
        <v>1</v>
      </c>
      <c r="BR707" s="25" t="s">
        <v>166</v>
      </c>
      <c r="BS707" s="32" t="s">
        <v>166</v>
      </c>
      <c r="BT707" s="25" t="s">
        <v>13532</v>
      </c>
      <c r="BU707" s="25" t="s">
        <v>166</v>
      </c>
      <c r="BV707" s="25" t="s">
        <v>13544</v>
      </c>
      <c r="BW707" s="25" t="s">
        <v>166</v>
      </c>
      <c r="BX707" s="25" t="s">
        <v>166</v>
      </c>
      <c r="BY707" s="25" t="s">
        <v>166</v>
      </c>
      <c r="BZ707" s="25" t="s">
        <v>166</v>
      </c>
      <c r="CA707" s="25" t="s">
        <v>166</v>
      </c>
      <c r="CB707" s="25" t="s">
        <v>166</v>
      </c>
      <c r="CC707" s="25" t="s">
        <v>166</v>
      </c>
      <c r="CD707" s="25" t="s">
        <v>166</v>
      </c>
      <c r="CE707" s="29" t="s">
        <v>166</v>
      </c>
      <c r="CF707" s="27" t="s">
        <v>166</v>
      </c>
      <c r="CG707" s="28" t="s">
        <v>166</v>
      </c>
      <c r="CH707" s="27" t="s">
        <v>166</v>
      </c>
      <c r="CI707" s="27" t="s">
        <v>166</v>
      </c>
      <c r="CJ707" s="27" t="s">
        <v>166</v>
      </c>
      <c r="CK707" s="27" t="s">
        <v>166</v>
      </c>
      <c r="CL707" s="27" t="s">
        <v>166</v>
      </c>
      <c r="CM707" s="31" t="s">
        <v>166</v>
      </c>
      <c r="CN707" s="27" t="s">
        <v>166</v>
      </c>
      <c r="CO707" s="27" t="s">
        <v>166</v>
      </c>
      <c r="CP707" s="27" t="s">
        <v>166</v>
      </c>
      <c r="CQ707" s="27" t="s">
        <v>166</v>
      </c>
      <c r="CR707" s="27" t="s">
        <v>166</v>
      </c>
      <c r="CS707" s="27" t="s">
        <v>166</v>
      </c>
      <c r="CT707" s="27" t="s">
        <v>166</v>
      </c>
      <c r="CU707" s="27" t="s">
        <v>166</v>
      </c>
      <c r="CV707" s="27" t="s">
        <v>166</v>
      </c>
      <c r="CW707" s="27" t="s">
        <v>166</v>
      </c>
      <c r="CX707" s="27" t="s">
        <v>166</v>
      </c>
      <c r="CY707" s="27" t="s">
        <v>166</v>
      </c>
      <c r="CZ707" s="27" t="s">
        <v>166</v>
      </c>
      <c r="DA707" s="27" t="s">
        <v>166</v>
      </c>
      <c r="DB707" s="27" t="s">
        <v>166</v>
      </c>
      <c r="DC707" s="27" t="s">
        <v>166</v>
      </c>
      <c r="DD707" s="27" t="s">
        <v>166</v>
      </c>
      <c r="DE707" s="28" t="s">
        <v>166</v>
      </c>
      <c r="DF707" s="33">
        <v>80</v>
      </c>
      <c r="DG707" s="25" t="s">
        <v>5506</v>
      </c>
      <c r="DH707" s="25" t="s">
        <v>193</v>
      </c>
      <c r="DI707" s="25" t="s">
        <v>194</v>
      </c>
      <c r="DJ707" s="25" t="s">
        <v>5507</v>
      </c>
      <c r="DK707" s="25" t="s">
        <v>5508</v>
      </c>
      <c r="DL707" s="32" t="s">
        <v>13545</v>
      </c>
      <c r="DM707" s="25" t="s">
        <v>198</v>
      </c>
      <c r="DN707" s="24" t="s">
        <v>13546</v>
      </c>
      <c r="DO707" s="31">
        <v>2020</v>
      </c>
      <c r="DP707" s="25" t="s">
        <v>166</v>
      </c>
      <c r="DQ707" s="25" t="s">
        <v>166</v>
      </c>
      <c r="DR707" s="29" t="s">
        <v>166</v>
      </c>
      <c r="DS707" s="27" t="s">
        <v>166</v>
      </c>
      <c r="DT707" s="30" t="s">
        <v>166</v>
      </c>
      <c r="DU707" s="25" t="s">
        <v>166</v>
      </c>
      <c r="DV707" s="29" t="s">
        <v>166</v>
      </c>
      <c r="DW707" s="29" t="s">
        <v>166</v>
      </c>
      <c r="DX707" s="27" t="s">
        <v>166</v>
      </c>
      <c r="DY707" s="27" t="s">
        <v>166</v>
      </c>
      <c r="DZ707" s="28" t="s">
        <v>166</v>
      </c>
      <c r="EA707" s="27" t="s">
        <v>166</v>
      </c>
      <c r="EB707" s="27" t="s">
        <v>166</v>
      </c>
      <c r="EC707" s="27" t="s">
        <v>166</v>
      </c>
      <c r="ED707" s="28" t="s">
        <v>166</v>
      </c>
      <c r="EE707" s="28" t="s">
        <v>166</v>
      </c>
      <c r="EF707" s="28" t="s">
        <v>166</v>
      </c>
      <c r="EG707" s="28" t="s">
        <v>166</v>
      </c>
      <c r="EH707" s="27" t="s">
        <v>166</v>
      </c>
      <c r="EI707" s="27" t="s">
        <v>166</v>
      </c>
      <c r="EJ707" s="27" t="s">
        <v>166</v>
      </c>
      <c r="EK707" s="27" t="s">
        <v>166</v>
      </c>
      <c r="EL707" s="27" t="s">
        <v>166</v>
      </c>
      <c r="EM707" s="27" t="s">
        <v>166</v>
      </c>
      <c r="EN707" s="27" t="s">
        <v>166</v>
      </c>
      <c r="EO707" s="27" t="s">
        <v>166</v>
      </c>
      <c r="EP707" s="27" t="s">
        <v>166</v>
      </c>
      <c r="EQ707" s="27" t="s">
        <v>166</v>
      </c>
      <c r="ER707" s="27" t="s">
        <v>166</v>
      </c>
      <c r="ES707" s="27" t="s">
        <v>166</v>
      </c>
      <c r="ET707" s="25" t="s">
        <v>166</v>
      </c>
      <c r="EU707" s="27" t="s">
        <v>166</v>
      </c>
      <c r="EV707" s="27" t="s">
        <v>166</v>
      </c>
      <c r="EW707" s="27" t="s">
        <v>166</v>
      </c>
      <c r="EX707" s="25" t="s">
        <v>190</v>
      </c>
      <c r="EY707" s="25" t="s">
        <v>166</v>
      </c>
      <c r="EZ707" s="27" t="s">
        <v>166</v>
      </c>
      <c r="FA707" s="26">
        <v>15</v>
      </c>
      <c r="FB707" s="26">
        <v>8</v>
      </c>
      <c r="FC707" s="26">
        <v>10</v>
      </c>
      <c r="FD707" s="26">
        <v>1</v>
      </c>
      <c r="FE707" s="26">
        <v>3</v>
      </c>
      <c r="FF707" s="26">
        <v>4</v>
      </c>
      <c r="FG707" s="25" t="s">
        <v>13547</v>
      </c>
      <c r="FH707" s="4">
        <f>HYPERLINK("https://my.pitchbook.com?c=156117-52T","View Company Online")</f>
      </c>
    </row>
    <row r="708">
      <c r="A708" s="14" t="s">
        <v>13548</v>
      </c>
      <c r="B708" s="14" t="s">
        <v>13549</v>
      </c>
      <c r="C708" s="14" t="s">
        <v>13550</v>
      </c>
      <c r="D708" s="14" t="s">
        <v>166</v>
      </c>
      <c r="E708" s="23" t="s">
        <v>13551</v>
      </c>
      <c r="F708" s="21">
        <v>5</v>
      </c>
      <c r="G708" s="14" t="s">
        <v>13552</v>
      </c>
      <c r="H708" s="14" t="s">
        <v>166</v>
      </c>
      <c r="I708" s="14" t="s">
        <v>13553</v>
      </c>
      <c r="J708" s="14" t="s">
        <v>13554</v>
      </c>
      <c r="K708" s="14" t="s">
        <v>207</v>
      </c>
      <c r="L708" s="14" t="s">
        <v>208</v>
      </c>
      <c r="M708" s="14" t="s">
        <v>209</v>
      </c>
      <c r="N708" s="14" t="s">
        <v>13555</v>
      </c>
      <c r="O708" s="14" t="s">
        <v>13556</v>
      </c>
      <c r="P708" s="14" t="s">
        <v>13557</v>
      </c>
      <c r="Q708" s="14" t="s">
        <v>166</v>
      </c>
      <c r="R708" s="14" t="s">
        <v>177</v>
      </c>
      <c r="S708" s="14" t="s">
        <v>178</v>
      </c>
      <c r="T708" s="14" t="s">
        <v>179</v>
      </c>
      <c r="U708" s="14" t="s">
        <v>13558</v>
      </c>
      <c r="V708" s="14" t="s">
        <v>13559</v>
      </c>
      <c r="W708" s="21" t="s">
        <v>13560</v>
      </c>
      <c r="X708" s="14" t="s">
        <v>13561</v>
      </c>
      <c r="Y708" s="14" t="s">
        <v>13562</v>
      </c>
      <c r="Z708" s="14" t="s">
        <v>13563</v>
      </c>
      <c r="AA708" s="14" t="s">
        <v>166</v>
      </c>
      <c r="AB708" s="14" t="s">
        <v>166</v>
      </c>
      <c r="AC708" s="14" t="s">
        <v>166</v>
      </c>
      <c r="AD708" s="14" t="s">
        <v>166</v>
      </c>
      <c r="AE708" s="14" t="s">
        <v>166</v>
      </c>
      <c r="AF708" s="14" t="s">
        <v>166</v>
      </c>
      <c r="AG708" s="14" t="s">
        <v>166</v>
      </c>
      <c r="AH708" s="21">
        <v>2</v>
      </c>
      <c r="AI708" s="3">
        <f>HYPERLINK("https://my.pitchbook.com/?d=189119-80T","189119-80T")</f>
      </c>
      <c r="AJ708" s="19">
        <v>44208</v>
      </c>
      <c r="AK708" s="19">
        <v>44673</v>
      </c>
      <c r="AL708" s="18">
        <v>1.5</v>
      </c>
      <c r="AM708" s="14" t="s">
        <v>185</v>
      </c>
      <c r="AN708" s="18">
        <v>8.5</v>
      </c>
      <c r="AO708" s="18">
        <v>10</v>
      </c>
      <c r="AP708" s="14" t="s">
        <v>185</v>
      </c>
      <c r="AQ708" s="21">
        <v>0.85</v>
      </c>
      <c r="AR708" s="21" t="s">
        <v>166</v>
      </c>
      <c r="AS708" s="17">
        <v>15</v>
      </c>
      <c r="AT708" s="18">
        <v>1.55</v>
      </c>
      <c r="AU708" s="21" t="s">
        <v>186</v>
      </c>
      <c r="AV708" s="21" t="s">
        <v>13564</v>
      </c>
      <c r="AW708" s="18" t="s">
        <v>166</v>
      </c>
      <c r="AX708" s="21" t="s">
        <v>746</v>
      </c>
      <c r="AY708" s="14" t="s">
        <v>217</v>
      </c>
      <c r="AZ708" s="14" t="s">
        <v>746</v>
      </c>
      <c r="BA708" s="14" t="s">
        <v>166</v>
      </c>
      <c r="BB708" s="21" t="s">
        <v>166</v>
      </c>
      <c r="BC708" s="14" t="s">
        <v>179</v>
      </c>
      <c r="BD708" s="14" t="s">
        <v>13565</v>
      </c>
      <c r="BE708" s="14" t="s">
        <v>189</v>
      </c>
      <c r="BF708" s="18">
        <v>1.5</v>
      </c>
      <c r="BG708" s="14" t="s">
        <v>190</v>
      </c>
      <c r="BH708" s="14" t="s">
        <v>166</v>
      </c>
      <c r="BI708" s="14" t="s">
        <v>166</v>
      </c>
      <c r="BJ708" s="18" t="s">
        <v>166</v>
      </c>
      <c r="BK708" s="18" t="s">
        <v>166</v>
      </c>
      <c r="BL708" s="14" t="s">
        <v>191</v>
      </c>
      <c r="BM708" s="14" t="s">
        <v>178</v>
      </c>
      <c r="BN708" s="14" t="s">
        <v>177</v>
      </c>
      <c r="BO708" s="22">
        <v>6</v>
      </c>
      <c r="BP708" s="14" t="s">
        <v>13566</v>
      </c>
      <c r="BQ708" s="21">
        <v>5</v>
      </c>
      <c r="BR708" s="14" t="s">
        <v>166</v>
      </c>
      <c r="BS708" s="21" t="s">
        <v>166</v>
      </c>
      <c r="BT708" s="14" t="s">
        <v>13567</v>
      </c>
      <c r="BU708" s="14" t="s">
        <v>166</v>
      </c>
      <c r="BV708" s="14" t="s">
        <v>13568</v>
      </c>
      <c r="BW708" s="14" t="s">
        <v>166</v>
      </c>
      <c r="BX708" s="14" t="s">
        <v>166</v>
      </c>
      <c r="BY708" s="14" t="s">
        <v>166</v>
      </c>
      <c r="BZ708" s="14" t="s">
        <v>13569</v>
      </c>
      <c r="CA708" s="14" t="s">
        <v>13569</v>
      </c>
      <c r="CB708" s="14" t="s">
        <v>166</v>
      </c>
      <c r="CC708" s="14" t="s">
        <v>166</v>
      </c>
      <c r="CD708" s="14" t="s">
        <v>166</v>
      </c>
      <c r="CE708" s="18" t="s">
        <v>166</v>
      </c>
      <c r="CF708" s="16" t="s">
        <v>166</v>
      </c>
      <c r="CG708" s="17" t="s">
        <v>166</v>
      </c>
      <c r="CH708" s="16" t="s">
        <v>166</v>
      </c>
      <c r="CI708" s="16" t="s">
        <v>166</v>
      </c>
      <c r="CJ708" s="16" t="s">
        <v>166</v>
      </c>
      <c r="CK708" s="16" t="s">
        <v>166</v>
      </c>
      <c r="CL708" s="16" t="s">
        <v>166</v>
      </c>
      <c r="CM708" s="20" t="s">
        <v>166</v>
      </c>
      <c r="CN708" s="16" t="s">
        <v>166</v>
      </c>
      <c r="CO708" s="16" t="s">
        <v>166</v>
      </c>
      <c r="CP708" s="16" t="s">
        <v>166</v>
      </c>
      <c r="CQ708" s="16" t="s">
        <v>166</v>
      </c>
      <c r="CR708" s="16" t="s">
        <v>166</v>
      </c>
      <c r="CS708" s="16" t="s">
        <v>166</v>
      </c>
      <c r="CT708" s="16" t="s">
        <v>166</v>
      </c>
      <c r="CU708" s="16" t="s">
        <v>166</v>
      </c>
      <c r="CV708" s="16" t="s">
        <v>166</v>
      </c>
      <c r="CW708" s="16" t="s">
        <v>166</v>
      </c>
      <c r="CX708" s="16" t="s">
        <v>166</v>
      </c>
      <c r="CY708" s="16" t="s">
        <v>166</v>
      </c>
      <c r="CZ708" s="16" t="s">
        <v>166</v>
      </c>
      <c r="DA708" s="16" t="s">
        <v>166</v>
      </c>
      <c r="DB708" s="16" t="s">
        <v>166</v>
      </c>
      <c r="DC708" s="16" t="s">
        <v>166</v>
      </c>
      <c r="DD708" s="16" t="s">
        <v>166</v>
      </c>
      <c r="DE708" s="17" t="s">
        <v>166</v>
      </c>
      <c r="DF708" s="22">
        <v>4</v>
      </c>
      <c r="DG708" s="14" t="s">
        <v>309</v>
      </c>
      <c r="DH708" s="14" t="s">
        <v>193</v>
      </c>
      <c r="DI708" s="14" t="s">
        <v>194</v>
      </c>
      <c r="DJ708" s="14" t="s">
        <v>310</v>
      </c>
      <c r="DK708" s="14" t="s">
        <v>310</v>
      </c>
      <c r="DL708" s="21" t="s">
        <v>1910</v>
      </c>
      <c r="DM708" s="14" t="s">
        <v>198</v>
      </c>
      <c r="DN708" s="13" t="s">
        <v>13570</v>
      </c>
      <c r="DO708" s="20">
        <v>2021</v>
      </c>
      <c r="DP708" s="14" t="s">
        <v>166</v>
      </c>
      <c r="DQ708" s="14" t="s">
        <v>166</v>
      </c>
      <c r="DR708" s="18" t="s">
        <v>166</v>
      </c>
      <c r="DS708" s="16" t="s">
        <v>166</v>
      </c>
      <c r="DT708" s="19" t="s">
        <v>166</v>
      </c>
      <c r="DU708" s="14" t="s">
        <v>166</v>
      </c>
      <c r="DV708" s="18" t="s">
        <v>166</v>
      </c>
      <c r="DW708" s="18" t="s">
        <v>166</v>
      </c>
      <c r="DX708" s="16" t="s">
        <v>166</v>
      </c>
      <c r="DY708" s="16" t="s">
        <v>166</v>
      </c>
      <c r="DZ708" s="17" t="s">
        <v>166</v>
      </c>
      <c r="EA708" s="16" t="s">
        <v>166</v>
      </c>
      <c r="EB708" s="16" t="s">
        <v>166</v>
      </c>
      <c r="EC708" s="16" t="s">
        <v>166</v>
      </c>
      <c r="ED708" s="17" t="s">
        <v>166</v>
      </c>
      <c r="EE708" s="17" t="s">
        <v>166</v>
      </c>
      <c r="EF708" s="17" t="s">
        <v>166</v>
      </c>
      <c r="EG708" s="17" t="s">
        <v>166</v>
      </c>
      <c r="EH708" s="16" t="s">
        <v>166</v>
      </c>
      <c r="EI708" s="16" t="s">
        <v>166</v>
      </c>
      <c r="EJ708" s="16" t="s">
        <v>166</v>
      </c>
      <c r="EK708" s="16" t="s">
        <v>166</v>
      </c>
      <c r="EL708" s="16" t="s">
        <v>166</v>
      </c>
      <c r="EM708" s="16" t="s">
        <v>166</v>
      </c>
      <c r="EN708" s="16" t="s">
        <v>166</v>
      </c>
      <c r="EO708" s="16" t="s">
        <v>166</v>
      </c>
      <c r="EP708" s="16" t="s">
        <v>166</v>
      </c>
      <c r="EQ708" s="16" t="s">
        <v>166</v>
      </c>
      <c r="ER708" s="16" t="s">
        <v>166</v>
      </c>
      <c r="ES708" s="16" t="s">
        <v>166</v>
      </c>
      <c r="ET708" s="14" t="s">
        <v>166</v>
      </c>
      <c r="EU708" s="16" t="s">
        <v>166</v>
      </c>
      <c r="EV708" s="16" t="s">
        <v>166</v>
      </c>
      <c r="EW708" s="16" t="s">
        <v>166</v>
      </c>
      <c r="EX708" s="14" t="s">
        <v>190</v>
      </c>
      <c r="EY708" s="14" t="s">
        <v>166</v>
      </c>
      <c r="EZ708" s="16" t="s">
        <v>166</v>
      </c>
      <c r="FA708" s="15" t="s">
        <v>166</v>
      </c>
      <c r="FB708" s="15" t="s">
        <v>166</v>
      </c>
      <c r="FC708" s="15" t="s">
        <v>166</v>
      </c>
      <c r="FD708" s="15" t="s">
        <v>166</v>
      </c>
      <c r="FE708" s="15" t="s">
        <v>166</v>
      </c>
      <c r="FF708" s="15" t="s">
        <v>166</v>
      </c>
      <c r="FG708" s="14" t="s">
        <v>166</v>
      </c>
      <c r="FH708" s="3">
        <f>HYPERLINK("https://my.pitchbook.com?c=189119-80T","View Company Online")</f>
      </c>
    </row>
    <row r="709">
      <c r="A709" s="25" t="s">
        <v>13571</v>
      </c>
      <c r="B709" s="25" t="s">
        <v>13572</v>
      </c>
      <c r="C709" s="25" t="s">
        <v>13573</v>
      </c>
      <c r="D709" s="25" t="s">
        <v>166</v>
      </c>
      <c r="E709" s="34" t="s">
        <v>13574</v>
      </c>
      <c r="F709" s="32">
        <v>3</v>
      </c>
      <c r="G709" s="25" t="s">
        <v>13575</v>
      </c>
      <c r="H709" s="25" t="s">
        <v>166</v>
      </c>
      <c r="I709" s="25" t="s">
        <v>13576</v>
      </c>
      <c r="J709" s="25" t="s">
        <v>13577</v>
      </c>
      <c r="K709" s="25" t="s">
        <v>207</v>
      </c>
      <c r="L709" s="25" t="s">
        <v>208</v>
      </c>
      <c r="M709" s="25" t="s">
        <v>839</v>
      </c>
      <c r="N709" s="25" t="s">
        <v>6472</v>
      </c>
      <c r="O709" s="25" t="s">
        <v>2046</v>
      </c>
      <c r="P709" s="25" t="s">
        <v>13578</v>
      </c>
      <c r="Q709" s="25" t="s">
        <v>13579</v>
      </c>
      <c r="R709" s="25" t="s">
        <v>177</v>
      </c>
      <c r="S709" s="25" t="s">
        <v>178</v>
      </c>
      <c r="T709" s="25" t="s">
        <v>179</v>
      </c>
      <c r="U709" s="25" t="s">
        <v>13580</v>
      </c>
      <c r="V709" s="25" t="s">
        <v>13581</v>
      </c>
      <c r="W709" s="32" t="s">
        <v>13582</v>
      </c>
      <c r="X709" s="25" t="s">
        <v>13583</v>
      </c>
      <c r="Y709" s="25" t="s">
        <v>13584</v>
      </c>
      <c r="Z709" s="25" t="s">
        <v>13585</v>
      </c>
      <c r="AA709" s="25" t="s">
        <v>379</v>
      </c>
      <c r="AB709" s="25" t="s">
        <v>243</v>
      </c>
      <c r="AC709" s="25" t="s">
        <v>244</v>
      </c>
      <c r="AD709" s="25" t="s">
        <v>243</v>
      </c>
      <c r="AE709" s="25" t="s">
        <v>243</v>
      </c>
      <c r="AF709" s="25" t="s">
        <v>245</v>
      </c>
      <c r="AG709" s="25" t="s">
        <v>246</v>
      </c>
      <c r="AH709" s="32">
        <v>1</v>
      </c>
      <c r="AI709" s="4">
        <f>HYPERLINK("https://my.pitchbook.com/?d=186614-38T","186614-38T")</f>
      </c>
      <c r="AJ709" s="30">
        <v>44558</v>
      </c>
      <c r="AK709" s="30">
        <v>44572</v>
      </c>
      <c r="AL709" s="29">
        <v>5.72</v>
      </c>
      <c r="AM709" s="25" t="s">
        <v>185</v>
      </c>
      <c r="AN709" s="29">
        <v>12</v>
      </c>
      <c r="AO709" s="29">
        <v>17.72</v>
      </c>
      <c r="AP709" s="25" t="s">
        <v>185</v>
      </c>
      <c r="AQ709" s="32" t="s">
        <v>166</v>
      </c>
      <c r="AR709" s="32" t="s">
        <v>166</v>
      </c>
      <c r="AS709" s="28">
        <v>33.91</v>
      </c>
      <c r="AT709" s="29">
        <v>5.72</v>
      </c>
      <c r="AU709" s="32" t="s">
        <v>186</v>
      </c>
      <c r="AV709" s="32" t="s">
        <v>166</v>
      </c>
      <c r="AW709" s="29">
        <v>1.26</v>
      </c>
      <c r="AX709" s="32" t="s">
        <v>166</v>
      </c>
      <c r="AY709" s="25" t="s">
        <v>217</v>
      </c>
      <c r="AZ709" s="25" t="s">
        <v>217</v>
      </c>
      <c r="BA709" s="25" t="s">
        <v>166</v>
      </c>
      <c r="BB709" s="32" t="s">
        <v>166</v>
      </c>
      <c r="BC709" s="25" t="s">
        <v>179</v>
      </c>
      <c r="BD709" s="25" t="s">
        <v>13586</v>
      </c>
      <c r="BE709" s="25" t="s">
        <v>189</v>
      </c>
      <c r="BF709" s="29">
        <v>5.72</v>
      </c>
      <c r="BG709" s="25" t="s">
        <v>190</v>
      </c>
      <c r="BH709" s="25" t="s">
        <v>166</v>
      </c>
      <c r="BI709" s="25" t="s">
        <v>166</v>
      </c>
      <c r="BJ709" s="29" t="s">
        <v>166</v>
      </c>
      <c r="BK709" s="29" t="s">
        <v>166</v>
      </c>
      <c r="BL709" s="25" t="s">
        <v>191</v>
      </c>
      <c r="BM709" s="25" t="s">
        <v>178</v>
      </c>
      <c r="BN709" s="25" t="s">
        <v>177</v>
      </c>
      <c r="BO709" s="33" t="s">
        <v>166</v>
      </c>
      <c r="BP709" s="25" t="s">
        <v>13587</v>
      </c>
      <c r="BQ709" s="32">
        <v>3</v>
      </c>
      <c r="BR709" s="25" t="s">
        <v>166</v>
      </c>
      <c r="BS709" s="32" t="s">
        <v>166</v>
      </c>
      <c r="BT709" s="25" t="s">
        <v>13588</v>
      </c>
      <c r="BU709" s="25" t="s">
        <v>166</v>
      </c>
      <c r="BV709" s="25" t="s">
        <v>13589</v>
      </c>
      <c r="BW709" s="25" t="s">
        <v>166</v>
      </c>
      <c r="BX709" s="25" t="s">
        <v>166</v>
      </c>
      <c r="BY709" s="25" t="s">
        <v>166</v>
      </c>
      <c r="BZ709" s="25" t="s">
        <v>13590</v>
      </c>
      <c r="CA709" s="25" t="s">
        <v>166</v>
      </c>
      <c r="CB709" s="25" t="s">
        <v>166</v>
      </c>
      <c r="CC709" s="25" t="s">
        <v>13590</v>
      </c>
      <c r="CD709" s="25" t="s">
        <v>166</v>
      </c>
      <c r="CE709" s="29" t="s">
        <v>166</v>
      </c>
      <c r="CF709" s="27" t="s">
        <v>166</v>
      </c>
      <c r="CG709" s="28" t="s">
        <v>166</v>
      </c>
      <c r="CH709" s="27" t="s">
        <v>166</v>
      </c>
      <c r="CI709" s="27" t="s">
        <v>166</v>
      </c>
      <c r="CJ709" s="27" t="s">
        <v>166</v>
      </c>
      <c r="CK709" s="27" t="s">
        <v>166</v>
      </c>
      <c r="CL709" s="27" t="s">
        <v>166</v>
      </c>
      <c r="CM709" s="31" t="s">
        <v>166</v>
      </c>
      <c r="CN709" s="27" t="s">
        <v>166</v>
      </c>
      <c r="CO709" s="27" t="s">
        <v>166</v>
      </c>
      <c r="CP709" s="27" t="s">
        <v>166</v>
      </c>
      <c r="CQ709" s="27" t="s">
        <v>166</v>
      </c>
      <c r="CR709" s="27" t="s">
        <v>166</v>
      </c>
      <c r="CS709" s="27" t="s">
        <v>166</v>
      </c>
      <c r="CT709" s="27" t="s">
        <v>166</v>
      </c>
      <c r="CU709" s="27" t="s">
        <v>166</v>
      </c>
      <c r="CV709" s="27" t="s">
        <v>166</v>
      </c>
      <c r="CW709" s="27" t="s">
        <v>166</v>
      </c>
      <c r="CX709" s="27" t="s">
        <v>166</v>
      </c>
      <c r="CY709" s="27" t="s">
        <v>166</v>
      </c>
      <c r="CZ709" s="27" t="s">
        <v>166</v>
      </c>
      <c r="DA709" s="27" t="s">
        <v>166</v>
      </c>
      <c r="DB709" s="27" t="s">
        <v>166</v>
      </c>
      <c r="DC709" s="27" t="s">
        <v>166</v>
      </c>
      <c r="DD709" s="27" t="s">
        <v>166</v>
      </c>
      <c r="DE709" s="28" t="s">
        <v>166</v>
      </c>
      <c r="DF709" s="33">
        <v>30</v>
      </c>
      <c r="DG709" s="25" t="s">
        <v>673</v>
      </c>
      <c r="DH709" s="25" t="s">
        <v>193</v>
      </c>
      <c r="DI709" s="25" t="s">
        <v>194</v>
      </c>
      <c r="DJ709" s="25" t="s">
        <v>674</v>
      </c>
      <c r="DK709" s="25" t="s">
        <v>257</v>
      </c>
      <c r="DL709" s="32" t="s">
        <v>13591</v>
      </c>
      <c r="DM709" s="25" t="s">
        <v>198</v>
      </c>
      <c r="DN709" s="24" t="s">
        <v>13592</v>
      </c>
      <c r="DO709" s="31">
        <v>2021</v>
      </c>
      <c r="DP709" s="25" t="s">
        <v>166</v>
      </c>
      <c r="DQ709" s="25" t="s">
        <v>166</v>
      </c>
      <c r="DR709" s="29" t="s">
        <v>166</v>
      </c>
      <c r="DS709" s="27" t="s">
        <v>166</v>
      </c>
      <c r="DT709" s="30" t="s">
        <v>166</v>
      </c>
      <c r="DU709" s="25" t="s">
        <v>166</v>
      </c>
      <c r="DV709" s="29" t="s">
        <v>166</v>
      </c>
      <c r="DW709" s="29" t="s">
        <v>166</v>
      </c>
      <c r="DX709" s="27" t="s">
        <v>166</v>
      </c>
      <c r="DY709" s="27" t="s">
        <v>166</v>
      </c>
      <c r="DZ709" s="28" t="s">
        <v>166</v>
      </c>
      <c r="EA709" s="27" t="s">
        <v>166</v>
      </c>
      <c r="EB709" s="27" t="s">
        <v>166</v>
      </c>
      <c r="EC709" s="27" t="s">
        <v>166</v>
      </c>
      <c r="ED709" s="28" t="s">
        <v>166</v>
      </c>
      <c r="EE709" s="28" t="s">
        <v>166</v>
      </c>
      <c r="EF709" s="28" t="s">
        <v>166</v>
      </c>
      <c r="EG709" s="28" t="s">
        <v>166</v>
      </c>
      <c r="EH709" s="27" t="s">
        <v>166</v>
      </c>
      <c r="EI709" s="27" t="s">
        <v>166</v>
      </c>
      <c r="EJ709" s="27" t="s">
        <v>166</v>
      </c>
      <c r="EK709" s="27" t="s">
        <v>166</v>
      </c>
      <c r="EL709" s="27" t="s">
        <v>166</v>
      </c>
      <c r="EM709" s="27" t="s">
        <v>166</v>
      </c>
      <c r="EN709" s="27" t="s">
        <v>166</v>
      </c>
      <c r="EO709" s="27" t="s">
        <v>166</v>
      </c>
      <c r="EP709" s="27" t="s">
        <v>166</v>
      </c>
      <c r="EQ709" s="27" t="s">
        <v>166</v>
      </c>
      <c r="ER709" s="27" t="s">
        <v>166</v>
      </c>
      <c r="ES709" s="27" t="s">
        <v>166</v>
      </c>
      <c r="ET709" s="25" t="s">
        <v>166</v>
      </c>
      <c r="EU709" s="27" t="s">
        <v>166</v>
      </c>
      <c r="EV709" s="27" t="s">
        <v>166</v>
      </c>
      <c r="EW709" s="27" t="s">
        <v>166</v>
      </c>
      <c r="EX709" s="25" t="s">
        <v>190</v>
      </c>
      <c r="EY709" s="25" t="s">
        <v>166</v>
      </c>
      <c r="EZ709" s="27" t="s">
        <v>166</v>
      </c>
      <c r="FA709" s="26" t="s">
        <v>166</v>
      </c>
      <c r="FB709" s="26" t="s">
        <v>166</v>
      </c>
      <c r="FC709" s="26" t="s">
        <v>166</v>
      </c>
      <c r="FD709" s="26" t="s">
        <v>166</v>
      </c>
      <c r="FE709" s="26" t="s">
        <v>166</v>
      </c>
      <c r="FF709" s="26" t="s">
        <v>166</v>
      </c>
      <c r="FG709" s="25" t="s">
        <v>166</v>
      </c>
      <c r="FH709" s="4">
        <f>HYPERLINK("https://my.pitchbook.com?c=186614-38T","View Company Online")</f>
      </c>
    </row>
    <row r="710">
      <c r="A710" s="14" t="s">
        <v>13593</v>
      </c>
      <c r="B710" s="14" t="s">
        <v>13594</v>
      </c>
      <c r="C710" s="14" t="s">
        <v>13595</v>
      </c>
      <c r="D710" s="14" t="s">
        <v>166</v>
      </c>
      <c r="E710" s="23" t="s">
        <v>13596</v>
      </c>
      <c r="F710" s="21">
        <v>1</v>
      </c>
      <c r="G710" s="14" t="s">
        <v>6527</v>
      </c>
      <c r="H710" s="14" t="s">
        <v>166</v>
      </c>
      <c r="I710" s="14" t="s">
        <v>13597</v>
      </c>
      <c r="J710" s="14" t="s">
        <v>13598</v>
      </c>
      <c r="K710" s="14" t="s">
        <v>171</v>
      </c>
      <c r="L710" s="14" t="s">
        <v>231</v>
      </c>
      <c r="M710" s="14" t="s">
        <v>13599</v>
      </c>
      <c r="N710" s="14" t="s">
        <v>13600</v>
      </c>
      <c r="O710" s="14" t="s">
        <v>13601</v>
      </c>
      <c r="P710" s="14" t="s">
        <v>13602</v>
      </c>
      <c r="Q710" s="14" t="s">
        <v>166</v>
      </c>
      <c r="R710" s="14" t="s">
        <v>177</v>
      </c>
      <c r="S710" s="14" t="s">
        <v>178</v>
      </c>
      <c r="T710" s="14" t="s">
        <v>179</v>
      </c>
      <c r="U710" s="14" t="s">
        <v>13603</v>
      </c>
      <c r="V710" s="14" t="s">
        <v>13604</v>
      </c>
      <c r="W710" s="21" t="s">
        <v>13605</v>
      </c>
      <c r="X710" s="14" t="s">
        <v>13606</v>
      </c>
      <c r="Y710" s="14" t="s">
        <v>13607</v>
      </c>
      <c r="Z710" s="14" t="s">
        <v>166</v>
      </c>
      <c r="AA710" s="14" t="s">
        <v>166</v>
      </c>
      <c r="AB710" s="14" t="s">
        <v>166</v>
      </c>
      <c r="AC710" s="14" t="s">
        <v>166</v>
      </c>
      <c r="AD710" s="14" t="s">
        <v>166</v>
      </c>
      <c r="AE710" s="14" t="s">
        <v>166</v>
      </c>
      <c r="AF710" s="14" t="s">
        <v>166</v>
      </c>
      <c r="AG710" s="14" t="s">
        <v>166</v>
      </c>
      <c r="AH710" s="21">
        <v>2</v>
      </c>
      <c r="AI710" s="3">
        <f>HYPERLINK("https://my.pitchbook.com/?d=201731-95T","201731-95T")</f>
      </c>
      <c r="AJ710" s="19" t="s">
        <v>166</v>
      </c>
      <c r="AK710" s="19">
        <v>44567</v>
      </c>
      <c r="AL710" s="18">
        <v>0.27</v>
      </c>
      <c r="AM710" s="14" t="s">
        <v>185</v>
      </c>
      <c r="AN710" s="18" t="s">
        <v>166</v>
      </c>
      <c r="AO710" s="18" t="s">
        <v>166</v>
      </c>
      <c r="AP710" s="14" t="s">
        <v>166</v>
      </c>
      <c r="AQ710" s="21" t="s">
        <v>166</v>
      </c>
      <c r="AR710" s="21" t="s">
        <v>166</v>
      </c>
      <c r="AS710" s="17" t="s">
        <v>166</v>
      </c>
      <c r="AT710" s="18">
        <v>0.33</v>
      </c>
      <c r="AU710" s="21" t="s">
        <v>186</v>
      </c>
      <c r="AV710" s="21" t="s">
        <v>166</v>
      </c>
      <c r="AW710" s="18" t="s">
        <v>166</v>
      </c>
      <c r="AX710" s="21" t="s">
        <v>746</v>
      </c>
      <c r="AY710" s="14" t="s">
        <v>217</v>
      </c>
      <c r="AZ710" s="14" t="s">
        <v>746</v>
      </c>
      <c r="BA710" s="14" t="s">
        <v>166</v>
      </c>
      <c r="BB710" s="21" t="s">
        <v>166</v>
      </c>
      <c r="BC710" s="14" t="s">
        <v>179</v>
      </c>
      <c r="BD710" s="14" t="s">
        <v>13608</v>
      </c>
      <c r="BE710" s="14" t="s">
        <v>189</v>
      </c>
      <c r="BF710" s="18">
        <v>0.27</v>
      </c>
      <c r="BG710" s="14" t="s">
        <v>190</v>
      </c>
      <c r="BH710" s="14" t="s">
        <v>166</v>
      </c>
      <c r="BI710" s="14" t="s">
        <v>166</v>
      </c>
      <c r="BJ710" s="18" t="s">
        <v>166</v>
      </c>
      <c r="BK710" s="18" t="s">
        <v>166</v>
      </c>
      <c r="BL710" s="14" t="s">
        <v>191</v>
      </c>
      <c r="BM710" s="14" t="s">
        <v>178</v>
      </c>
      <c r="BN710" s="14" t="s">
        <v>177</v>
      </c>
      <c r="BO710" s="22" t="s">
        <v>166</v>
      </c>
      <c r="BP710" s="14" t="s">
        <v>13596</v>
      </c>
      <c r="BQ710" s="21">
        <v>1</v>
      </c>
      <c r="BR710" s="14" t="s">
        <v>166</v>
      </c>
      <c r="BS710" s="21" t="s">
        <v>166</v>
      </c>
      <c r="BT710" s="14" t="s">
        <v>166</v>
      </c>
      <c r="BU710" s="14" t="s">
        <v>166</v>
      </c>
      <c r="BV710" s="14" t="s">
        <v>166</v>
      </c>
      <c r="BW710" s="14" t="s">
        <v>166</v>
      </c>
      <c r="BX710" s="14" t="s">
        <v>166</v>
      </c>
      <c r="BY710" s="14" t="s">
        <v>166</v>
      </c>
      <c r="BZ710" s="14" t="s">
        <v>166</v>
      </c>
      <c r="CA710" s="14" t="s">
        <v>166</v>
      </c>
      <c r="CB710" s="14" t="s">
        <v>166</v>
      </c>
      <c r="CC710" s="14" t="s">
        <v>166</v>
      </c>
      <c r="CD710" s="14" t="s">
        <v>166</v>
      </c>
      <c r="CE710" s="18" t="s">
        <v>166</v>
      </c>
      <c r="CF710" s="16" t="s">
        <v>166</v>
      </c>
      <c r="CG710" s="17" t="s">
        <v>166</v>
      </c>
      <c r="CH710" s="16" t="s">
        <v>166</v>
      </c>
      <c r="CI710" s="16" t="s">
        <v>166</v>
      </c>
      <c r="CJ710" s="16" t="s">
        <v>166</v>
      </c>
      <c r="CK710" s="16" t="s">
        <v>166</v>
      </c>
      <c r="CL710" s="16" t="s">
        <v>166</v>
      </c>
      <c r="CM710" s="20" t="s">
        <v>166</v>
      </c>
      <c r="CN710" s="16" t="s">
        <v>166</v>
      </c>
      <c r="CO710" s="16" t="s">
        <v>166</v>
      </c>
      <c r="CP710" s="16" t="s">
        <v>166</v>
      </c>
      <c r="CQ710" s="16" t="s">
        <v>166</v>
      </c>
      <c r="CR710" s="16" t="s">
        <v>166</v>
      </c>
      <c r="CS710" s="16" t="s">
        <v>166</v>
      </c>
      <c r="CT710" s="16" t="s">
        <v>166</v>
      </c>
      <c r="CU710" s="16" t="s">
        <v>166</v>
      </c>
      <c r="CV710" s="16" t="s">
        <v>166</v>
      </c>
      <c r="CW710" s="16" t="s">
        <v>166</v>
      </c>
      <c r="CX710" s="16" t="s">
        <v>166</v>
      </c>
      <c r="CY710" s="16" t="s">
        <v>166</v>
      </c>
      <c r="CZ710" s="16" t="s">
        <v>166</v>
      </c>
      <c r="DA710" s="16" t="s">
        <v>166</v>
      </c>
      <c r="DB710" s="16" t="s">
        <v>166</v>
      </c>
      <c r="DC710" s="16" t="s">
        <v>166</v>
      </c>
      <c r="DD710" s="16" t="s">
        <v>166</v>
      </c>
      <c r="DE710" s="17" t="s">
        <v>166</v>
      </c>
      <c r="DF710" s="22">
        <v>10</v>
      </c>
      <c r="DG710" s="14" t="s">
        <v>8034</v>
      </c>
      <c r="DH710" s="14" t="s">
        <v>193</v>
      </c>
      <c r="DI710" s="14" t="s">
        <v>194</v>
      </c>
      <c r="DJ710" s="14" t="s">
        <v>8035</v>
      </c>
      <c r="DK710" s="14" t="s">
        <v>6539</v>
      </c>
      <c r="DL710" s="21" t="s">
        <v>13609</v>
      </c>
      <c r="DM710" s="14" t="s">
        <v>198</v>
      </c>
      <c r="DN710" s="13" t="s">
        <v>13610</v>
      </c>
      <c r="DO710" s="20">
        <v>2020</v>
      </c>
      <c r="DP710" s="14" t="s">
        <v>166</v>
      </c>
      <c r="DQ710" s="14" t="s">
        <v>166</v>
      </c>
      <c r="DR710" s="18" t="s">
        <v>166</v>
      </c>
      <c r="DS710" s="16" t="s">
        <v>166</v>
      </c>
      <c r="DT710" s="19" t="s">
        <v>166</v>
      </c>
      <c r="DU710" s="14" t="s">
        <v>166</v>
      </c>
      <c r="DV710" s="18" t="s">
        <v>166</v>
      </c>
      <c r="DW710" s="18" t="s">
        <v>166</v>
      </c>
      <c r="DX710" s="16" t="s">
        <v>166</v>
      </c>
      <c r="DY710" s="16" t="s">
        <v>166</v>
      </c>
      <c r="DZ710" s="17" t="s">
        <v>166</v>
      </c>
      <c r="EA710" s="16" t="s">
        <v>166</v>
      </c>
      <c r="EB710" s="16" t="s">
        <v>166</v>
      </c>
      <c r="EC710" s="16" t="s">
        <v>166</v>
      </c>
      <c r="ED710" s="17" t="s">
        <v>166</v>
      </c>
      <c r="EE710" s="17" t="s">
        <v>166</v>
      </c>
      <c r="EF710" s="17" t="s">
        <v>166</v>
      </c>
      <c r="EG710" s="17" t="s">
        <v>166</v>
      </c>
      <c r="EH710" s="16" t="s">
        <v>166</v>
      </c>
      <c r="EI710" s="16" t="s">
        <v>166</v>
      </c>
      <c r="EJ710" s="16" t="s">
        <v>166</v>
      </c>
      <c r="EK710" s="16" t="s">
        <v>166</v>
      </c>
      <c r="EL710" s="16" t="s">
        <v>166</v>
      </c>
      <c r="EM710" s="16" t="s">
        <v>166</v>
      </c>
      <c r="EN710" s="16" t="s">
        <v>166</v>
      </c>
      <c r="EO710" s="16" t="s">
        <v>166</v>
      </c>
      <c r="EP710" s="16" t="s">
        <v>166</v>
      </c>
      <c r="EQ710" s="16" t="s">
        <v>166</v>
      </c>
      <c r="ER710" s="16" t="s">
        <v>166</v>
      </c>
      <c r="ES710" s="16" t="s">
        <v>166</v>
      </c>
      <c r="ET710" s="14" t="s">
        <v>166</v>
      </c>
      <c r="EU710" s="16" t="s">
        <v>166</v>
      </c>
      <c r="EV710" s="16" t="s">
        <v>166</v>
      </c>
      <c r="EW710" s="16" t="s">
        <v>166</v>
      </c>
      <c r="EX710" s="14" t="s">
        <v>190</v>
      </c>
      <c r="EY710" s="14" t="s">
        <v>166</v>
      </c>
      <c r="EZ710" s="16" t="s">
        <v>166</v>
      </c>
      <c r="FA710" s="15" t="s">
        <v>166</v>
      </c>
      <c r="FB710" s="15" t="s">
        <v>166</v>
      </c>
      <c r="FC710" s="15" t="s">
        <v>166</v>
      </c>
      <c r="FD710" s="15" t="s">
        <v>166</v>
      </c>
      <c r="FE710" s="15" t="s">
        <v>166</v>
      </c>
      <c r="FF710" s="15" t="s">
        <v>166</v>
      </c>
      <c r="FG710" s="14" t="s">
        <v>166</v>
      </c>
      <c r="FH710" s="3">
        <f>HYPERLINK("https://my.pitchbook.com?c=201731-95T","View Company Online")</f>
      </c>
    </row>
    <row r="711">
      <c r="A711" s="25" t="s">
        <v>13611</v>
      </c>
      <c r="B711" s="25" t="s">
        <v>13612</v>
      </c>
      <c r="C711" s="25" t="s">
        <v>13613</v>
      </c>
      <c r="D711" s="25" t="s">
        <v>166</v>
      </c>
      <c r="E711" s="34" t="s">
        <v>13614</v>
      </c>
      <c r="F711" s="32">
        <v>1</v>
      </c>
      <c r="G711" s="25" t="s">
        <v>13615</v>
      </c>
      <c r="H711" s="25" t="s">
        <v>166</v>
      </c>
      <c r="I711" s="25" t="s">
        <v>13616</v>
      </c>
      <c r="J711" s="25" t="s">
        <v>13617</v>
      </c>
      <c r="K711" s="25" t="s">
        <v>207</v>
      </c>
      <c r="L711" s="25" t="s">
        <v>5931</v>
      </c>
      <c r="M711" s="25" t="s">
        <v>5932</v>
      </c>
      <c r="N711" s="25" t="s">
        <v>13618</v>
      </c>
      <c r="O711" s="25" t="s">
        <v>166</v>
      </c>
      <c r="P711" s="25" t="s">
        <v>13619</v>
      </c>
      <c r="Q711" s="25" t="s">
        <v>166</v>
      </c>
      <c r="R711" s="25" t="s">
        <v>177</v>
      </c>
      <c r="S711" s="25" t="s">
        <v>178</v>
      </c>
      <c r="T711" s="25" t="s">
        <v>179</v>
      </c>
      <c r="U711" s="25" t="s">
        <v>13620</v>
      </c>
      <c r="V711" s="25" t="s">
        <v>13621</v>
      </c>
      <c r="W711" s="32" t="s">
        <v>13622</v>
      </c>
      <c r="X711" s="25" t="s">
        <v>13623</v>
      </c>
      <c r="Y711" s="25" t="s">
        <v>13624</v>
      </c>
      <c r="Z711" s="25" t="s">
        <v>13625</v>
      </c>
      <c r="AA711" s="25" t="s">
        <v>166</v>
      </c>
      <c r="AB711" s="25" t="s">
        <v>166</v>
      </c>
      <c r="AC711" s="25" t="s">
        <v>166</v>
      </c>
      <c r="AD711" s="25" t="s">
        <v>166</v>
      </c>
      <c r="AE711" s="25" t="s">
        <v>166</v>
      </c>
      <c r="AF711" s="25" t="s">
        <v>166</v>
      </c>
      <c r="AG711" s="25" t="s">
        <v>166</v>
      </c>
      <c r="AH711" s="32">
        <v>1</v>
      </c>
      <c r="AI711" s="4">
        <f>HYPERLINK("https://my.pitchbook.com/?d=256612-78T","256612-78T")</f>
      </c>
      <c r="AJ711" s="30" t="s">
        <v>166</v>
      </c>
      <c r="AK711" s="30">
        <v>45392</v>
      </c>
      <c r="AL711" s="29">
        <v>60</v>
      </c>
      <c r="AM711" s="25" t="s">
        <v>185</v>
      </c>
      <c r="AN711" s="29" t="s">
        <v>166</v>
      </c>
      <c r="AO711" s="29" t="s">
        <v>166</v>
      </c>
      <c r="AP711" s="25" t="s">
        <v>166</v>
      </c>
      <c r="AQ711" s="32" t="s">
        <v>166</v>
      </c>
      <c r="AR711" s="32" t="s">
        <v>166</v>
      </c>
      <c r="AS711" s="28" t="s">
        <v>166</v>
      </c>
      <c r="AT711" s="29">
        <v>60</v>
      </c>
      <c r="AU711" s="32" t="s">
        <v>186</v>
      </c>
      <c r="AV711" s="32" t="s">
        <v>166</v>
      </c>
      <c r="AW711" s="29" t="s">
        <v>166</v>
      </c>
      <c r="AX711" s="32" t="s">
        <v>166</v>
      </c>
      <c r="AY711" s="25" t="s">
        <v>249</v>
      </c>
      <c r="AZ711" s="25" t="s">
        <v>166</v>
      </c>
      <c r="BA711" s="25" t="s">
        <v>166</v>
      </c>
      <c r="BB711" s="32" t="s">
        <v>166</v>
      </c>
      <c r="BC711" s="25" t="s">
        <v>179</v>
      </c>
      <c r="BD711" s="25" t="s">
        <v>13617</v>
      </c>
      <c r="BE711" s="25" t="s">
        <v>189</v>
      </c>
      <c r="BF711" s="29">
        <v>60</v>
      </c>
      <c r="BG711" s="25" t="s">
        <v>190</v>
      </c>
      <c r="BH711" s="25" t="s">
        <v>166</v>
      </c>
      <c r="BI711" s="25" t="s">
        <v>166</v>
      </c>
      <c r="BJ711" s="29" t="s">
        <v>166</v>
      </c>
      <c r="BK711" s="29" t="s">
        <v>166</v>
      </c>
      <c r="BL711" s="25" t="s">
        <v>191</v>
      </c>
      <c r="BM711" s="25" t="s">
        <v>178</v>
      </c>
      <c r="BN711" s="25" t="s">
        <v>177</v>
      </c>
      <c r="BO711" s="33" t="s">
        <v>166</v>
      </c>
      <c r="BP711" s="25" t="s">
        <v>13626</v>
      </c>
      <c r="BQ711" s="32">
        <v>1</v>
      </c>
      <c r="BR711" s="25" t="s">
        <v>166</v>
      </c>
      <c r="BS711" s="32" t="s">
        <v>166</v>
      </c>
      <c r="BT711" s="25" t="s">
        <v>166</v>
      </c>
      <c r="BU711" s="25" t="s">
        <v>166</v>
      </c>
      <c r="BV711" s="25" t="s">
        <v>166</v>
      </c>
      <c r="BW711" s="25" t="s">
        <v>166</v>
      </c>
      <c r="BX711" s="25" t="s">
        <v>166</v>
      </c>
      <c r="BY711" s="25" t="s">
        <v>166</v>
      </c>
      <c r="BZ711" s="25" t="s">
        <v>13627</v>
      </c>
      <c r="CA711" s="25" t="s">
        <v>13628</v>
      </c>
      <c r="CB711" s="25" t="s">
        <v>166</v>
      </c>
      <c r="CC711" s="25" t="s">
        <v>13629</v>
      </c>
      <c r="CD711" s="25" t="s">
        <v>166</v>
      </c>
      <c r="CE711" s="29" t="s">
        <v>166</v>
      </c>
      <c r="CF711" s="27">
        <v>100</v>
      </c>
      <c r="CG711" s="28" t="s">
        <v>166</v>
      </c>
      <c r="CH711" s="27" t="s">
        <v>166</v>
      </c>
      <c r="CI711" s="27" t="s">
        <v>166</v>
      </c>
      <c r="CJ711" s="27" t="s">
        <v>166</v>
      </c>
      <c r="CK711" s="27" t="s">
        <v>166</v>
      </c>
      <c r="CL711" s="27" t="s">
        <v>166</v>
      </c>
      <c r="CM711" s="31">
        <v>2023</v>
      </c>
      <c r="CN711" s="27" t="s">
        <v>166</v>
      </c>
      <c r="CO711" s="27" t="s">
        <v>166</v>
      </c>
      <c r="CP711" s="27" t="s">
        <v>166</v>
      </c>
      <c r="CQ711" s="27" t="s">
        <v>166</v>
      </c>
      <c r="CR711" s="27" t="s">
        <v>166</v>
      </c>
      <c r="CS711" s="27" t="s">
        <v>166</v>
      </c>
      <c r="CT711" s="27" t="s">
        <v>166</v>
      </c>
      <c r="CU711" s="27" t="s">
        <v>166</v>
      </c>
      <c r="CV711" s="27">
        <v>0.6</v>
      </c>
      <c r="CW711" s="27" t="s">
        <v>166</v>
      </c>
      <c r="CX711" s="27" t="s">
        <v>166</v>
      </c>
      <c r="CY711" s="27" t="s">
        <v>166</v>
      </c>
      <c r="CZ711" s="27" t="s">
        <v>166</v>
      </c>
      <c r="DA711" s="27" t="s">
        <v>166</v>
      </c>
      <c r="DB711" s="27" t="s">
        <v>166</v>
      </c>
      <c r="DC711" s="27" t="s">
        <v>166</v>
      </c>
      <c r="DD711" s="27" t="s">
        <v>166</v>
      </c>
      <c r="DE711" s="28" t="s">
        <v>166</v>
      </c>
      <c r="DF711" s="33">
        <v>300</v>
      </c>
      <c r="DG711" s="25" t="s">
        <v>13630</v>
      </c>
      <c r="DH711" s="25" t="s">
        <v>193</v>
      </c>
      <c r="DI711" s="25" t="s">
        <v>194</v>
      </c>
      <c r="DJ711" s="25" t="s">
        <v>13631</v>
      </c>
      <c r="DK711" s="25" t="s">
        <v>1251</v>
      </c>
      <c r="DL711" s="32" t="s">
        <v>13632</v>
      </c>
      <c r="DM711" s="25" t="s">
        <v>198</v>
      </c>
      <c r="DN711" s="24" t="s">
        <v>13633</v>
      </c>
      <c r="DO711" s="31">
        <v>2018</v>
      </c>
      <c r="DP711" s="25" t="s">
        <v>166</v>
      </c>
      <c r="DQ711" s="25" t="s">
        <v>166</v>
      </c>
      <c r="DR711" s="29" t="s">
        <v>166</v>
      </c>
      <c r="DS711" s="27" t="s">
        <v>166</v>
      </c>
      <c r="DT711" s="30" t="s">
        <v>166</v>
      </c>
      <c r="DU711" s="25" t="s">
        <v>166</v>
      </c>
      <c r="DV711" s="29" t="s">
        <v>166</v>
      </c>
      <c r="DW711" s="29" t="s">
        <v>166</v>
      </c>
      <c r="DX711" s="27" t="s">
        <v>166</v>
      </c>
      <c r="DY711" s="27" t="s">
        <v>166</v>
      </c>
      <c r="DZ711" s="28" t="s">
        <v>166</v>
      </c>
      <c r="EA711" s="27" t="s">
        <v>166</v>
      </c>
      <c r="EB711" s="27" t="s">
        <v>166</v>
      </c>
      <c r="EC711" s="27" t="s">
        <v>166</v>
      </c>
      <c r="ED711" s="28" t="s">
        <v>166</v>
      </c>
      <c r="EE711" s="28" t="s">
        <v>166</v>
      </c>
      <c r="EF711" s="28" t="s">
        <v>166</v>
      </c>
      <c r="EG711" s="28" t="s">
        <v>166</v>
      </c>
      <c r="EH711" s="27" t="s">
        <v>166</v>
      </c>
      <c r="EI711" s="27" t="s">
        <v>166</v>
      </c>
      <c r="EJ711" s="27" t="s">
        <v>166</v>
      </c>
      <c r="EK711" s="27" t="s">
        <v>166</v>
      </c>
      <c r="EL711" s="27" t="s">
        <v>166</v>
      </c>
      <c r="EM711" s="27" t="s">
        <v>166</v>
      </c>
      <c r="EN711" s="27" t="s">
        <v>166</v>
      </c>
      <c r="EO711" s="27" t="s">
        <v>166</v>
      </c>
      <c r="EP711" s="27" t="s">
        <v>166</v>
      </c>
      <c r="EQ711" s="27" t="s">
        <v>166</v>
      </c>
      <c r="ER711" s="27" t="s">
        <v>166</v>
      </c>
      <c r="ES711" s="27" t="s">
        <v>166</v>
      </c>
      <c r="ET711" s="25" t="s">
        <v>166</v>
      </c>
      <c r="EU711" s="27" t="s">
        <v>166</v>
      </c>
      <c r="EV711" s="27" t="s">
        <v>166</v>
      </c>
      <c r="EW711" s="27" t="s">
        <v>166</v>
      </c>
      <c r="EX711" s="25" t="s">
        <v>190</v>
      </c>
      <c r="EY711" s="25" t="s">
        <v>166</v>
      </c>
      <c r="EZ711" s="27" t="s">
        <v>166</v>
      </c>
      <c r="FA711" s="26" t="s">
        <v>166</v>
      </c>
      <c r="FB711" s="26" t="s">
        <v>166</v>
      </c>
      <c r="FC711" s="26" t="s">
        <v>166</v>
      </c>
      <c r="FD711" s="26" t="s">
        <v>166</v>
      </c>
      <c r="FE711" s="26" t="s">
        <v>166</v>
      </c>
      <c r="FF711" s="26" t="s">
        <v>166</v>
      </c>
      <c r="FG711" s="25" t="s">
        <v>166</v>
      </c>
      <c r="FH711" s="4">
        <f>HYPERLINK("https://my.pitchbook.com?c=256612-78T","View Company Online")</f>
      </c>
    </row>
    <row r="712">
      <c r="A712" s="14" t="s">
        <v>13634</v>
      </c>
      <c r="B712" s="14" t="s">
        <v>13635</v>
      </c>
      <c r="C712" s="14" t="s">
        <v>13636</v>
      </c>
      <c r="D712" s="14" t="s">
        <v>166</v>
      </c>
      <c r="E712" s="23" t="s">
        <v>13637</v>
      </c>
      <c r="F712" s="21">
        <v>2</v>
      </c>
      <c r="G712" s="14" t="s">
        <v>13638</v>
      </c>
      <c r="H712" s="14" t="s">
        <v>166</v>
      </c>
      <c r="I712" s="14" t="s">
        <v>13639</v>
      </c>
      <c r="J712" s="14" t="s">
        <v>13640</v>
      </c>
      <c r="K712" s="14" t="s">
        <v>207</v>
      </c>
      <c r="L712" s="14" t="s">
        <v>5931</v>
      </c>
      <c r="M712" s="14" t="s">
        <v>5932</v>
      </c>
      <c r="N712" s="14" t="s">
        <v>13641</v>
      </c>
      <c r="O712" s="14" t="s">
        <v>13642</v>
      </c>
      <c r="P712" s="14" t="s">
        <v>13643</v>
      </c>
      <c r="Q712" s="14" t="s">
        <v>166</v>
      </c>
      <c r="R712" s="14" t="s">
        <v>177</v>
      </c>
      <c r="S712" s="14" t="s">
        <v>178</v>
      </c>
      <c r="T712" s="14" t="s">
        <v>179</v>
      </c>
      <c r="U712" s="14" t="s">
        <v>13644</v>
      </c>
      <c r="V712" s="14" t="s">
        <v>13645</v>
      </c>
      <c r="W712" s="21" t="s">
        <v>166</v>
      </c>
      <c r="X712" s="14" t="s">
        <v>13646</v>
      </c>
      <c r="Y712" s="14" t="s">
        <v>13647</v>
      </c>
      <c r="Z712" s="14" t="s">
        <v>13648</v>
      </c>
      <c r="AA712" s="14" t="s">
        <v>242</v>
      </c>
      <c r="AB712" s="14" t="s">
        <v>243</v>
      </c>
      <c r="AC712" s="14" t="s">
        <v>244</v>
      </c>
      <c r="AD712" s="14" t="s">
        <v>243</v>
      </c>
      <c r="AE712" s="14" t="s">
        <v>243</v>
      </c>
      <c r="AF712" s="14" t="s">
        <v>245</v>
      </c>
      <c r="AG712" s="14" t="s">
        <v>246</v>
      </c>
      <c r="AH712" s="21">
        <v>1</v>
      </c>
      <c r="AI712" s="3">
        <f>HYPERLINK("https://my.pitchbook.com/?d=163947-25T","163947-25T")</f>
      </c>
      <c r="AJ712" s="19" t="s">
        <v>166</v>
      </c>
      <c r="AK712" s="19">
        <v>44181</v>
      </c>
      <c r="AL712" s="18">
        <v>3</v>
      </c>
      <c r="AM712" s="14" t="s">
        <v>185</v>
      </c>
      <c r="AN712" s="18">
        <v>7</v>
      </c>
      <c r="AO712" s="18">
        <v>10</v>
      </c>
      <c r="AP712" s="14" t="s">
        <v>185</v>
      </c>
      <c r="AQ712" s="21" t="s">
        <v>166</v>
      </c>
      <c r="AR712" s="21" t="s">
        <v>166</v>
      </c>
      <c r="AS712" s="17">
        <v>30</v>
      </c>
      <c r="AT712" s="18">
        <v>3</v>
      </c>
      <c r="AU712" s="21" t="s">
        <v>186</v>
      </c>
      <c r="AV712" s="21" t="s">
        <v>166</v>
      </c>
      <c r="AW712" s="18">
        <v>1.52</v>
      </c>
      <c r="AX712" s="21" t="s">
        <v>248</v>
      </c>
      <c r="AY712" s="14" t="s">
        <v>249</v>
      </c>
      <c r="AZ712" s="14" t="s">
        <v>248</v>
      </c>
      <c r="BA712" s="14" t="s">
        <v>166</v>
      </c>
      <c r="BB712" s="21" t="s">
        <v>166</v>
      </c>
      <c r="BC712" s="14" t="s">
        <v>179</v>
      </c>
      <c r="BD712" s="14" t="s">
        <v>13649</v>
      </c>
      <c r="BE712" s="14" t="s">
        <v>189</v>
      </c>
      <c r="BF712" s="18">
        <v>3</v>
      </c>
      <c r="BG712" s="14" t="s">
        <v>190</v>
      </c>
      <c r="BH712" s="14" t="s">
        <v>166</v>
      </c>
      <c r="BI712" s="14" t="s">
        <v>166</v>
      </c>
      <c r="BJ712" s="18" t="s">
        <v>166</v>
      </c>
      <c r="BK712" s="18" t="s">
        <v>166</v>
      </c>
      <c r="BL712" s="14" t="s">
        <v>191</v>
      </c>
      <c r="BM712" s="14" t="s">
        <v>178</v>
      </c>
      <c r="BN712" s="14" t="s">
        <v>177</v>
      </c>
      <c r="BO712" s="22" t="s">
        <v>166</v>
      </c>
      <c r="BP712" s="14" t="s">
        <v>13650</v>
      </c>
      <c r="BQ712" s="21">
        <v>2</v>
      </c>
      <c r="BR712" s="14" t="s">
        <v>166</v>
      </c>
      <c r="BS712" s="21" t="s">
        <v>166</v>
      </c>
      <c r="BT712" s="14" t="s">
        <v>13651</v>
      </c>
      <c r="BU712" s="14" t="s">
        <v>166</v>
      </c>
      <c r="BV712" s="14" t="s">
        <v>13652</v>
      </c>
      <c r="BW712" s="14" t="s">
        <v>166</v>
      </c>
      <c r="BX712" s="14" t="s">
        <v>166</v>
      </c>
      <c r="BY712" s="14" t="s">
        <v>166</v>
      </c>
      <c r="BZ712" s="14" t="s">
        <v>166</v>
      </c>
      <c r="CA712" s="14" t="s">
        <v>166</v>
      </c>
      <c r="CB712" s="14" t="s">
        <v>166</v>
      </c>
      <c r="CC712" s="14" t="s">
        <v>166</v>
      </c>
      <c r="CD712" s="14" t="s">
        <v>166</v>
      </c>
      <c r="CE712" s="18" t="s">
        <v>166</v>
      </c>
      <c r="CF712" s="16" t="s">
        <v>166</v>
      </c>
      <c r="CG712" s="17" t="s">
        <v>166</v>
      </c>
      <c r="CH712" s="16" t="s">
        <v>166</v>
      </c>
      <c r="CI712" s="16" t="s">
        <v>166</v>
      </c>
      <c r="CJ712" s="16" t="s">
        <v>166</v>
      </c>
      <c r="CK712" s="16" t="s">
        <v>166</v>
      </c>
      <c r="CL712" s="16" t="s">
        <v>166</v>
      </c>
      <c r="CM712" s="20" t="s">
        <v>166</v>
      </c>
      <c r="CN712" s="16" t="s">
        <v>166</v>
      </c>
      <c r="CO712" s="16" t="s">
        <v>166</v>
      </c>
      <c r="CP712" s="16" t="s">
        <v>166</v>
      </c>
      <c r="CQ712" s="16" t="s">
        <v>166</v>
      </c>
      <c r="CR712" s="16" t="s">
        <v>166</v>
      </c>
      <c r="CS712" s="16" t="s">
        <v>166</v>
      </c>
      <c r="CT712" s="16" t="s">
        <v>166</v>
      </c>
      <c r="CU712" s="16" t="s">
        <v>166</v>
      </c>
      <c r="CV712" s="16" t="s">
        <v>166</v>
      </c>
      <c r="CW712" s="16" t="s">
        <v>166</v>
      </c>
      <c r="CX712" s="16" t="s">
        <v>166</v>
      </c>
      <c r="CY712" s="16" t="s">
        <v>166</v>
      </c>
      <c r="CZ712" s="16" t="s">
        <v>166</v>
      </c>
      <c r="DA712" s="16" t="s">
        <v>166</v>
      </c>
      <c r="DB712" s="16" t="s">
        <v>166</v>
      </c>
      <c r="DC712" s="16" t="s">
        <v>166</v>
      </c>
      <c r="DD712" s="16" t="s">
        <v>166</v>
      </c>
      <c r="DE712" s="17" t="s">
        <v>166</v>
      </c>
      <c r="DF712" s="22">
        <v>114</v>
      </c>
      <c r="DG712" s="14" t="s">
        <v>13653</v>
      </c>
      <c r="DH712" s="14" t="s">
        <v>193</v>
      </c>
      <c r="DI712" s="14" t="s">
        <v>194</v>
      </c>
      <c r="DJ712" s="14" t="s">
        <v>13654</v>
      </c>
      <c r="DK712" s="14" t="s">
        <v>2775</v>
      </c>
      <c r="DL712" s="21" t="s">
        <v>13655</v>
      </c>
      <c r="DM712" s="14" t="s">
        <v>198</v>
      </c>
      <c r="DN712" s="13" t="s">
        <v>13656</v>
      </c>
      <c r="DO712" s="20">
        <v>1998</v>
      </c>
      <c r="DP712" s="14" t="s">
        <v>166</v>
      </c>
      <c r="DQ712" s="14" t="s">
        <v>166</v>
      </c>
      <c r="DR712" s="18" t="s">
        <v>166</v>
      </c>
      <c r="DS712" s="16" t="s">
        <v>166</v>
      </c>
      <c r="DT712" s="19" t="s">
        <v>166</v>
      </c>
      <c r="DU712" s="14" t="s">
        <v>166</v>
      </c>
      <c r="DV712" s="18" t="s">
        <v>166</v>
      </c>
      <c r="DW712" s="18" t="s">
        <v>166</v>
      </c>
      <c r="DX712" s="16" t="s">
        <v>166</v>
      </c>
      <c r="DY712" s="16" t="s">
        <v>166</v>
      </c>
      <c r="DZ712" s="17" t="s">
        <v>166</v>
      </c>
      <c r="EA712" s="16" t="s">
        <v>166</v>
      </c>
      <c r="EB712" s="16" t="s">
        <v>166</v>
      </c>
      <c r="EC712" s="16" t="s">
        <v>166</v>
      </c>
      <c r="ED712" s="17" t="s">
        <v>166</v>
      </c>
      <c r="EE712" s="17" t="s">
        <v>166</v>
      </c>
      <c r="EF712" s="17" t="s">
        <v>166</v>
      </c>
      <c r="EG712" s="17" t="s">
        <v>166</v>
      </c>
      <c r="EH712" s="16" t="s">
        <v>166</v>
      </c>
      <c r="EI712" s="16" t="s">
        <v>166</v>
      </c>
      <c r="EJ712" s="16" t="s">
        <v>166</v>
      </c>
      <c r="EK712" s="16" t="s">
        <v>166</v>
      </c>
      <c r="EL712" s="16" t="s">
        <v>166</v>
      </c>
      <c r="EM712" s="16" t="s">
        <v>166</v>
      </c>
      <c r="EN712" s="16" t="s">
        <v>166</v>
      </c>
      <c r="EO712" s="16" t="s">
        <v>166</v>
      </c>
      <c r="EP712" s="16" t="s">
        <v>166</v>
      </c>
      <c r="EQ712" s="16" t="s">
        <v>166</v>
      </c>
      <c r="ER712" s="16" t="s">
        <v>166</v>
      </c>
      <c r="ES712" s="16" t="s">
        <v>166</v>
      </c>
      <c r="ET712" s="14" t="s">
        <v>166</v>
      </c>
      <c r="EU712" s="16" t="s">
        <v>166</v>
      </c>
      <c r="EV712" s="16" t="s">
        <v>166</v>
      </c>
      <c r="EW712" s="16" t="s">
        <v>166</v>
      </c>
      <c r="EX712" s="14" t="s">
        <v>190</v>
      </c>
      <c r="EY712" s="14" t="s">
        <v>166</v>
      </c>
      <c r="EZ712" s="16" t="s">
        <v>166</v>
      </c>
      <c r="FA712" s="15" t="s">
        <v>166</v>
      </c>
      <c r="FB712" s="15" t="s">
        <v>166</v>
      </c>
      <c r="FC712" s="15" t="s">
        <v>166</v>
      </c>
      <c r="FD712" s="15" t="s">
        <v>166</v>
      </c>
      <c r="FE712" s="15" t="s">
        <v>166</v>
      </c>
      <c r="FF712" s="15" t="s">
        <v>166</v>
      </c>
      <c r="FG712" s="14" t="s">
        <v>166</v>
      </c>
      <c r="FH712" s="3">
        <f>HYPERLINK("https://my.pitchbook.com?c=163947-25T","View Company Online")</f>
      </c>
    </row>
    <row r="713">
      <c r="A713" s="25" t="s">
        <v>13657</v>
      </c>
      <c r="B713" s="25" t="s">
        <v>13658</v>
      </c>
      <c r="C713" s="25" t="s">
        <v>13659</v>
      </c>
      <c r="D713" s="25" t="s">
        <v>166</v>
      </c>
      <c r="E713" s="34" t="s">
        <v>252</v>
      </c>
      <c r="F713" s="32">
        <v>1</v>
      </c>
      <c r="G713" s="25" t="s">
        <v>13660</v>
      </c>
      <c r="H713" s="25" t="s">
        <v>166</v>
      </c>
      <c r="I713" s="25" t="s">
        <v>13661</v>
      </c>
      <c r="J713" s="25" t="s">
        <v>13662</v>
      </c>
      <c r="K713" s="25" t="s">
        <v>321</v>
      </c>
      <c r="L713" s="25" t="s">
        <v>322</v>
      </c>
      <c r="M713" s="25" t="s">
        <v>322</v>
      </c>
      <c r="N713" s="25" t="s">
        <v>13663</v>
      </c>
      <c r="O713" s="25" t="s">
        <v>325</v>
      </c>
      <c r="P713" s="25" t="s">
        <v>13664</v>
      </c>
      <c r="Q713" s="25" t="s">
        <v>166</v>
      </c>
      <c r="R713" s="25" t="s">
        <v>177</v>
      </c>
      <c r="S713" s="25" t="s">
        <v>178</v>
      </c>
      <c r="T713" s="25" t="s">
        <v>179</v>
      </c>
      <c r="U713" s="25" t="s">
        <v>13665</v>
      </c>
      <c r="V713" s="25" t="s">
        <v>13666</v>
      </c>
      <c r="W713" s="32" t="s">
        <v>13667</v>
      </c>
      <c r="X713" s="25" t="s">
        <v>13668</v>
      </c>
      <c r="Y713" s="25" t="s">
        <v>13669</v>
      </c>
      <c r="Z713" s="25" t="s">
        <v>13670</v>
      </c>
      <c r="AA713" s="25" t="s">
        <v>166</v>
      </c>
      <c r="AB713" s="25" t="s">
        <v>166</v>
      </c>
      <c r="AC713" s="25" t="s">
        <v>166</v>
      </c>
      <c r="AD713" s="25" t="s">
        <v>166</v>
      </c>
      <c r="AE713" s="25" t="s">
        <v>166</v>
      </c>
      <c r="AF713" s="25" t="s">
        <v>166</v>
      </c>
      <c r="AG713" s="25" t="s">
        <v>166</v>
      </c>
      <c r="AH713" s="32">
        <v>7</v>
      </c>
      <c r="AI713" s="4">
        <f>HYPERLINK("https://my.pitchbook.com/?d=205544-53T","205544-53T")</f>
      </c>
      <c r="AJ713" s="30" t="s">
        <v>166</v>
      </c>
      <c r="AK713" s="30">
        <v>44827</v>
      </c>
      <c r="AL713" s="29">
        <v>1.2</v>
      </c>
      <c r="AM713" s="25" t="s">
        <v>185</v>
      </c>
      <c r="AN713" s="29" t="s">
        <v>166</v>
      </c>
      <c r="AO713" s="29" t="s">
        <v>166</v>
      </c>
      <c r="AP713" s="25" t="s">
        <v>166</v>
      </c>
      <c r="AQ713" s="32" t="s">
        <v>166</v>
      </c>
      <c r="AR713" s="32" t="s">
        <v>166</v>
      </c>
      <c r="AS713" s="28" t="s">
        <v>166</v>
      </c>
      <c r="AT713" s="29">
        <v>2.54</v>
      </c>
      <c r="AU713" s="32" t="s">
        <v>186</v>
      </c>
      <c r="AV713" s="32" t="s">
        <v>166</v>
      </c>
      <c r="AW713" s="29" t="s">
        <v>166</v>
      </c>
      <c r="AX713" s="32" t="s">
        <v>166</v>
      </c>
      <c r="AY713" s="25" t="s">
        <v>217</v>
      </c>
      <c r="AZ713" s="25" t="s">
        <v>217</v>
      </c>
      <c r="BA713" s="25" t="s">
        <v>166</v>
      </c>
      <c r="BB713" s="32" t="s">
        <v>166</v>
      </c>
      <c r="BC713" s="25" t="s">
        <v>179</v>
      </c>
      <c r="BD713" s="25" t="s">
        <v>13671</v>
      </c>
      <c r="BE713" s="25" t="s">
        <v>189</v>
      </c>
      <c r="BF713" s="29">
        <v>1.2</v>
      </c>
      <c r="BG713" s="25" t="s">
        <v>190</v>
      </c>
      <c r="BH713" s="25" t="s">
        <v>166</v>
      </c>
      <c r="BI713" s="25" t="s">
        <v>166</v>
      </c>
      <c r="BJ713" s="29" t="s">
        <v>166</v>
      </c>
      <c r="BK713" s="29" t="s">
        <v>166</v>
      </c>
      <c r="BL713" s="25" t="s">
        <v>191</v>
      </c>
      <c r="BM713" s="25" t="s">
        <v>178</v>
      </c>
      <c r="BN713" s="25" t="s">
        <v>177</v>
      </c>
      <c r="BO713" s="33" t="s">
        <v>166</v>
      </c>
      <c r="BP713" s="25" t="s">
        <v>166</v>
      </c>
      <c r="BQ713" s="32" t="s">
        <v>166</v>
      </c>
      <c r="BR713" s="25" t="s">
        <v>252</v>
      </c>
      <c r="BS713" s="32">
        <v>1</v>
      </c>
      <c r="BT713" s="25" t="s">
        <v>166</v>
      </c>
      <c r="BU713" s="25" t="s">
        <v>166</v>
      </c>
      <c r="BV713" s="25" t="s">
        <v>166</v>
      </c>
      <c r="BW713" s="25" t="s">
        <v>166</v>
      </c>
      <c r="BX713" s="25" t="s">
        <v>166</v>
      </c>
      <c r="BY713" s="25" t="s">
        <v>166</v>
      </c>
      <c r="BZ713" s="25" t="s">
        <v>166</v>
      </c>
      <c r="CA713" s="25" t="s">
        <v>166</v>
      </c>
      <c r="CB713" s="25" t="s">
        <v>166</v>
      </c>
      <c r="CC713" s="25" t="s">
        <v>166</v>
      </c>
      <c r="CD713" s="25" t="s">
        <v>166</v>
      </c>
      <c r="CE713" s="29" t="s">
        <v>166</v>
      </c>
      <c r="CF713" s="27">
        <v>0.26</v>
      </c>
      <c r="CG713" s="28">
        <v>-26.71</v>
      </c>
      <c r="CH713" s="27" t="s">
        <v>166</v>
      </c>
      <c r="CI713" s="27">
        <v>-0.93</v>
      </c>
      <c r="CJ713" s="27" t="s">
        <v>166</v>
      </c>
      <c r="CK713" s="27" t="s">
        <v>166</v>
      </c>
      <c r="CL713" s="27" t="s">
        <v>166</v>
      </c>
      <c r="CM713" s="31">
        <v>2022</v>
      </c>
      <c r="CN713" s="27" t="s">
        <v>166</v>
      </c>
      <c r="CO713" s="27" t="s">
        <v>166</v>
      </c>
      <c r="CP713" s="27" t="s">
        <v>166</v>
      </c>
      <c r="CQ713" s="27" t="s">
        <v>166</v>
      </c>
      <c r="CR713" s="27" t="s">
        <v>166</v>
      </c>
      <c r="CS713" s="27" t="s">
        <v>166</v>
      </c>
      <c r="CT713" s="27" t="s">
        <v>166</v>
      </c>
      <c r="CU713" s="27">
        <v>-1.29</v>
      </c>
      <c r="CV713" s="27">
        <v>4.55</v>
      </c>
      <c r="CW713" s="27" t="s">
        <v>166</v>
      </c>
      <c r="CX713" s="27" t="s">
        <v>166</v>
      </c>
      <c r="CY713" s="27" t="s">
        <v>166</v>
      </c>
      <c r="CZ713" s="27" t="s">
        <v>166</v>
      </c>
      <c r="DA713" s="27" t="s">
        <v>166</v>
      </c>
      <c r="DB713" s="27" t="s">
        <v>166</v>
      </c>
      <c r="DC713" s="27" t="s">
        <v>166</v>
      </c>
      <c r="DD713" s="27" t="s">
        <v>166</v>
      </c>
      <c r="DE713" s="28" t="s">
        <v>166</v>
      </c>
      <c r="DF713" s="33">
        <v>9</v>
      </c>
      <c r="DG713" s="25" t="s">
        <v>1021</v>
      </c>
      <c r="DH713" s="25" t="s">
        <v>193</v>
      </c>
      <c r="DI713" s="25" t="s">
        <v>194</v>
      </c>
      <c r="DJ713" s="25" t="s">
        <v>1022</v>
      </c>
      <c r="DK713" s="25" t="s">
        <v>1023</v>
      </c>
      <c r="DL713" s="32" t="s">
        <v>1024</v>
      </c>
      <c r="DM713" s="25" t="s">
        <v>198</v>
      </c>
      <c r="DN713" s="24" t="s">
        <v>13672</v>
      </c>
      <c r="DO713" s="31">
        <v>2018</v>
      </c>
      <c r="DP713" s="25" t="s">
        <v>166</v>
      </c>
      <c r="DQ713" s="25" t="s">
        <v>166</v>
      </c>
      <c r="DR713" s="29" t="s">
        <v>166</v>
      </c>
      <c r="DS713" s="27" t="s">
        <v>166</v>
      </c>
      <c r="DT713" s="30" t="s">
        <v>166</v>
      </c>
      <c r="DU713" s="25" t="s">
        <v>166</v>
      </c>
      <c r="DV713" s="29" t="s">
        <v>166</v>
      </c>
      <c r="DW713" s="29" t="s">
        <v>166</v>
      </c>
      <c r="DX713" s="27" t="s">
        <v>166</v>
      </c>
      <c r="DY713" s="27" t="s">
        <v>166</v>
      </c>
      <c r="DZ713" s="28" t="s">
        <v>166</v>
      </c>
      <c r="EA713" s="27" t="s">
        <v>166</v>
      </c>
      <c r="EB713" s="27" t="s">
        <v>166</v>
      </c>
      <c r="EC713" s="27" t="s">
        <v>166</v>
      </c>
      <c r="ED713" s="28" t="s">
        <v>166</v>
      </c>
      <c r="EE713" s="28" t="s">
        <v>166</v>
      </c>
      <c r="EF713" s="28" t="s">
        <v>166</v>
      </c>
      <c r="EG713" s="28" t="s">
        <v>166</v>
      </c>
      <c r="EH713" s="27" t="s">
        <v>166</v>
      </c>
      <c r="EI713" s="27" t="s">
        <v>166</v>
      </c>
      <c r="EJ713" s="27" t="s">
        <v>166</v>
      </c>
      <c r="EK713" s="27" t="s">
        <v>166</v>
      </c>
      <c r="EL713" s="27" t="s">
        <v>166</v>
      </c>
      <c r="EM713" s="27" t="s">
        <v>166</v>
      </c>
      <c r="EN713" s="27" t="s">
        <v>166</v>
      </c>
      <c r="EO713" s="27" t="s">
        <v>166</v>
      </c>
      <c r="EP713" s="27" t="s">
        <v>166</v>
      </c>
      <c r="EQ713" s="27" t="s">
        <v>166</v>
      </c>
      <c r="ER713" s="27" t="s">
        <v>166</v>
      </c>
      <c r="ES713" s="27" t="s">
        <v>166</v>
      </c>
      <c r="ET713" s="25" t="s">
        <v>166</v>
      </c>
      <c r="EU713" s="27" t="s">
        <v>166</v>
      </c>
      <c r="EV713" s="27" t="s">
        <v>166</v>
      </c>
      <c r="EW713" s="27" t="s">
        <v>166</v>
      </c>
      <c r="EX713" s="25" t="s">
        <v>190</v>
      </c>
      <c r="EY713" s="25" t="s">
        <v>166</v>
      </c>
      <c r="EZ713" s="27" t="s">
        <v>166</v>
      </c>
      <c r="FA713" s="26" t="s">
        <v>166</v>
      </c>
      <c r="FB713" s="26" t="s">
        <v>166</v>
      </c>
      <c r="FC713" s="26" t="s">
        <v>166</v>
      </c>
      <c r="FD713" s="26" t="s">
        <v>166</v>
      </c>
      <c r="FE713" s="26" t="s">
        <v>166</v>
      </c>
      <c r="FF713" s="26" t="s">
        <v>166</v>
      </c>
      <c r="FG713" s="25" t="s">
        <v>166</v>
      </c>
      <c r="FH713" s="4">
        <f>HYPERLINK("https://my.pitchbook.com?c=205544-53T","View Company Online")</f>
      </c>
    </row>
    <row r="714">
      <c r="A714" s="14" t="s">
        <v>13673</v>
      </c>
      <c r="B714" s="14" t="s">
        <v>13674</v>
      </c>
      <c r="C714" s="14" t="s">
        <v>13675</v>
      </c>
      <c r="D714" s="14" t="s">
        <v>166</v>
      </c>
      <c r="E714" s="23" t="s">
        <v>13676</v>
      </c>
      <c r="F714" s="21">
        <v>10</v>
      </c>
      <c r="G714" s="14" t="s">
        <v>13677</v>
      </c>
      <c r="H714" s="14" t="s">
        <v>166</v>
      </c>
      <c r="I714" s="14" t="s">
        <v>13678</v>
      </c>
      <c r="J714" s="14" t="s">
        <v>13679</v>
      </c>
      <c r="K714" s="14" t="s">
        <v>207</v>
      </c>
      <c r="L714" s="14" t="s">
        <v>418</v>
      </c>
      <c r="M714" s="14" t="s">
        <v>7278</v>
      </c>
      <c r="N714" s="14" t="s">
        <v>13680</v>
      </c>
      <c r="O714" s="14" t="s">
        <v>13681</v>
      </c>
      <c r="P714" s="14" t="s">
        <v>13682</v>
      </c>
      <c r="Q714" s="14" t="s">
        <v>166</v>
      </c>
      <c r="R714" s="14" t="s">
        <v>177</v>
      </c>
      <c r="S714" s="14" t="s">
        <v>178</v>
      </c>
      <c r="T714" s="14" t="s">
        <v>179</v>
      </c>
      <c r="U714" s="14" t="s">
        <v>13683</v>
      </c>
      <c r="V714" s="14" t="s">
        <v>13684</v>
      </c>
      <c r="W714" s="21" t="s">
        <v>13685</v>
      </c>
      <c r="X714" s="14" t="s">
        <v>13686</v>
      </c>
      <c r="Y714" s="14" t="s">
        <v>13687</v>
      </c>
      <c r="Z714" s="14" t="s">
        <v>13688</v>
      </c>
      <c r="AA714" s="14" t="s">
        <v>166</v>
      </c>
      <c r="AB714" s="14" t="s">
        <v>166</v>
      </c>
      <c r="AC714" s="14" t="s">
        <v>166</v>
      </c>
      <c r="AD714" s="14" t="s">
        <v>166</v>
      </c>
      <c r="AE714" s="14" t="s">
        <v>166</v>
      </c>
      <c r="AF714" s="14" t="s">
        <v>166</v>
      </c>
      <c r="AG714" s="14" t="s">
        <v>166</v>
      </c>
      <c r="AH714" s="21">
        <v>5</v>
      </c>
      <c r="AI714" s="3">
        <f>HYPERLINK("https://my.pitchbook.com/?d=160369-75T","160369-75T")</f>
      </c>
      <c r="AJ714" s="19">
        <v>43166</v>
      </c>
      <c r="AK714" s="19">
        <v>45462</v>
      </c>
      <c r="AL714" s="18">
        <v>14.94</v>
      </c>
      <c r="AM714" s="14" t="s">
        <v>185</v>
      </c>
      <c r="AN714" s="18" t="s">
        <v>166</v>
      </c>
      <c r="AO714" s="18" t="s">
        <v>166</v>
      </c>
      <c r="AP714" s="14" t="s">
        <v>166</v>
      </c>
      <c r="AQ714" s="21" t="s">
        <v>166</v>
      </c>
      <c r="AR714" s="21" t="s">
        <v>166</v>
      </c>
      <c r="AS714" s="17" t="s">
        <v>166</v>
      </c>
      <c r="AT714" s="18">
        <v>14.94</v>
      </c>
      <c r="AU714" s="21" t="s">
        <v>186</v>
      </c>
      <c r="AV714" s="21" t="s">
        <v>166</v>
      </c>
      <c r="AW714" s="18" t="s">
        <v>166</v>
      </c>
      <c r="AX714" s="21" t="s">
        <v>248</v>
      </c>
      <c r="AY714" s="14" t="s">
        <v>249</v>
      </c>
      <c r="AZ714" s="14" t="s">
        <v>248</v>
      </c>
      <c r="BA714" s="14" t="s">
        <v>166</v>
      </c>
      <c r="BB714" s="21" t="s">
        <v>166</v>
      </c>
      <c r="BC714" s="14" t="s">
        <v>179</v>
      </c>
      <c r="BD714" s="14" t="s">
        <v>13679</v>
      </c>
      <c r="BE714" s="14" t="s">
        <v>189</v>
      </c>
      <c r="BF714" s="18">
        <v>14.94</v>
      </c>
      <c r="BG714" s="14" t="s">
        <v>190</v>
      </c>
      <c r="BH714" s="14" t="s">
        <v>166</v>
      </c>
      <c r="BI714" s="14" t="s">
        <v>166</v>
      </c>
      <c r="BJ714" s="18" t="s">
        <v>166</v>
      </c>
      <c r="BK714" s="18" t="s">
        <v>166</v>
      </c>
      <c r="BL714" s="14" t="s">
        <v>191</v>
      </c>
      <c r="BM714" s="14" t="s">
        <v>178</v>
      </c>
      <c r="BN714" s="14" t="s">
        <v>177</v>
      </c>
      <c r="BO714" s="22" t="s">
        <v>166</v>
      </c>
      <c r="BP714" s="14" t="s">
        <v>13689</v>
      </c>
      <c r="BQ714" s="21">
        <v>9</v>
      </c>
      <c r="BR714" s="14" t="s">
        <v>8854</v>
      </c>
      <c r="BS714" s="21">
        <v>1</v>
      </c>
      <c r="BT714" s="14" t="s">
        <v>13690</v>
      </c>
      <c r="BU714" s="14" t="s">
        <v>166</v>
      </c>
      <c r="BV714" s="14" t="s">
        <v>13691</v>
      </c>
      <c r="BW714" s="14" t="s">
        <v>166</v>
      </c>
      <c r="BX714" s="14" t="s">
        <v>166</v>
      </c>
      <c r="BY714" s="14" t="s">
        <v>166</v>
      </c>
      <c r="BZ714" s="14" t="s">
        <v>13692</v>
      </c>
      <c r="CA714" s="14" t="s">
        <v>13693</v>
      </c>
      <c r="CB714" s="14" t="s">
        <v>166</v>
      </c>
      <c r="CC714" s="14" t="s">
        <v>13694</v>
      </c>
      <c r="CD714" s="14" t="s">
        <v>166</v>
      </c>
      <c r="CE714" s="18" t="s">
        <v>166</v>
      </c>
      <c r="CF714" s="16" t="s">
        <v>166</v>
      </c>
      <c r="CG714" s="17" t="s">
        <v>166</v>
      </c>
      <c r="CH714" s="16" t="s">
        <v>166</v>
      </c>
      <c r="CI714" s="16" t="s">
        <v>166</v>
      </c>
      <c r="CJ714" s="16" t="s">
        <v>166</v>
      </c>
      <c r="CK714" s="16" t="s">
        <v>166</v>
      </c>
      <c r="CL714" s="16" t="s">
        <v>166</v>
      </c>
      <c r="CM714" s="20" t="s">
        <v>166</v>
      </c>
      <c r="CN714" s="16" t="s">
        <v>166</v>
      </c>
      <c r="CO714" s="16" t="s">
        <v>166</v>
      </c>
      <c r="CP714" s="16" t="s">
        <v>166</v>
      </c>
      <c r="CQ714" s="16" t="s">
        <v>166</v>
      </c>
      <c r="CR714" s="16" t="s">
        <v>166</v>
      </c>
      <c r="CS714" s="16" t="s">
        <v>166</v>
      </c>
      <c r="CT714" s="16" t="s">
        <v>166</v>
      </c>
      <c r="CU714" s="16" t="s">
        <v>166</v>
      </c>
      <c r="CV714" s="16" t="s">
        <v>166</v>
      </c>
      <c r="CW714" s="16" t="s">
        <v>166</v>
      </c>
      <c r="CX714" s="16" t="s">
        <v>166</v>
      </c>
      <c r="CY714" s="16" t="s">
        <v>166</v>
      </c>
      <c r="CZ714" s="16" t="s">
        <v>166</v>
      </c>
      <c r="DA714" s="16" t="s">
        <v>166</v>
      </c>
      <c r="DB714" s="16" t="s">
        <v>166</v>
      </c>
      <c r="DC714" s="16" t="s">
        <v>166</v>
      </c>
      <c r="DD714" s="16" t="s">
        <v>166</v>
      </c>
      <c r="DE714" s="17" t="s">
        <v>166</v>
      </c>
      <c r="DF714" s="22">
        <v>35</v>
      </c>
      <c r="DG714" s="14" t="s">
        <v>13695</v>
      </c>
      <c r="DH714" s="14" t="s">
        <v>193</v>
      </c>
      <c r="DI714" s="14" t="s">
        <v>194</v>
      </c>
      <c r="DJ714" s="14" t="s">
        <v>13696</v>
      </c>
      <c r="DK714" s="14" t="s">
        <v>10504</v>
      </c>
      <c r="DL714" s="21" t="s">
        <v>13697</v>
      </c>
      <c r="DM714" s="14" t="s">
        <v>198</v>
      </c>
      <c r="DN714" s="13" t="s">
        <v>13698</v>
      </c>
      <c r="DO714" s="20">
        <v>2017</v>
      </c>
      <c r="DP714" s="14" t="s">
        <v>166</v>
      </c>
      <c r="DQ714" s="14" t="s">
        <v>166</v>
      </c>
      <c r="DR714" s="18" t="s">
        <v>166</v>
      </c>
      <c r="DS714" s="16" t="s">
        <v>166</v>
      </c>
      <c r="DT714" s="19" t="s">
        <v>166</v>
      </c>
      <c r="DU714" s="14" t="s">
        <v>166</v>
      </c>
      <c r="DV714" s="18" t="s">
        <v>166</v>
      </c>
      <c r="DW714" s="18" t="s">
        <v>166</v>
      </c>
      <c r="DX714" s="16" t="s">
        <v>166</v>
      </c>
      <c r="DY714" s="16" t="s">
        <v>166</v>
      </c>
      <c r="DZ714" s="17" t="s">
        <v>166</v>
      </c>
      <c r="EA714" s="16" t="s">
        <v>166</v>
      </c>
      <c r="EB714" s="16" t="s">
        <v>166</v>
      </c>
      <c r="EC714" s="16" t="s">
        <v>166</v>
      </c>
      <c r="ED714" s="17" t="s">
        <v>166</v>
      </c>
      <c r="EE714" s="17" t="s">
        <v>166</v>
      </c>
      <c r="EF714" s="17" t="s">
        <v>166</v>
      </c>
      <c r="EG714" s="17" t="s">
        <v>166</v>
      </c>
      <c r="EH714" s="16" t="s">
        <v>166</v>
      </c>
      <c r="EI714" s="16" t="s">
        <v>166</v>
      </c>
      <c r="EJ714" s="16" t="s">
        <v>166</v>
      </c>
      <c r="EK714" s="16" t="s">
        <v>166</v>
      </c>
      <c r="EL714" s="16" t="s">
        <v>166</v>
      </c>
      <c r="EM714" s="16" t="s">
        <v>166</v>
      </c>
      <c r="EN714" s="16" t="s">
        <v>166</v>
      </c>
      <c r="EO714" s="16" t="s">
        <v>166</v>
      </c>
      <c r="EP714" s="16" t="s">
        <v>166</v>
      </c>
      <c r="EQ714" s="16" t="s">
        <v>166</v>
      </c>
      <c r="ER714" s="16" t="s">
        <v>166</v>
      </c>
      <c r="ES714" s="16" t="s">
        <v>166</v>
      </c>
      <c r="ET714" s="14" t="s">
        <v>166</v>
      </c>
      <c r="EU714" s="16" t="s">
        <v>166</v>
      </c>
      <c r="EV714" s="16" t="s">
        <v>166</v>
      </c>
      <c r="EW714" s="16" t="s">
        <v>166</v>
      </c>
      <c r="EX714" s="14" t="s">
        <v>190</v>
      </c>
      <c r="EY714" s="14" t="s">
        <v>166</v>
      </c>
      <c r="EZ714" s="16" t="s">
        <v>166</v>
      </c>
      <c r="FA714" s="15">
        <v>3</v>
      </c>
      <c r="FB714" s="15">
        <v>1</v>
      </c>
      <c r="FC714" s="15">
        <v>2</v>
      </c>
      <c r="FD714" s="15" t="s">
        <v>166</v>
      </c>
      <c r="FE714" s="15" t="s">
        <v>166</v>
      </c>
      <c r="FF714" s="15">
        <v>1</v>
      </c>
      <c r="FG714" s="14" t="s">
        <v>13699</v>
      </c>
      <c r="FH714" s="3">
        <f>HYPERLINK("https://my.pitchbook.com?c=160369-75T","View Company Online")</f>
      </c>
    </row>
    <row r="715">
      <c r="A715" s="25" t="s">
        <v>13700</v>
      </c>
      <c r="B715" s="25" t="s">
        <v>13701</v>
      </c>
      <c r="C715" s="25" t="s">
        <v>13702</v>
      </c>
      <c r="D715" s="25" t="s">
        <v>166</v>
      </c>
      <c r="E715" s="34" t="s">
        <v>13703</v>
      </c>
      <c r="F715" s="32">
        <v>4</v>
      </c>
      <c r="G715" s="25" t="s">
        <v>13704</v>
      </c>
      <c r="H715" s="25" t="s">
        <v>166</v>
      </c>
      <c r="I715" s="25" t="s">
        <v>13705</v>
      </c>
      <c r="J715" s="25" t="s">
        <v>13706</v>
      </c>
      <c r="K715" s="25" t="s">
        <v>207</v>
      </c>
      <c r="L715" s="25" t="s">
        <v>418</v>
      </c>
      <c r="M715" s="25" t="s">
        <v>7278</v>
      </c>
      <c r="N715" s="25" t="s">
        <v>13707</v>
      </c>
      <c r="O715" s="25" t="s">
        <v>13708</v>
      </c>
      <c r="P715" s="25" t="s">
        <v>13709</v>
      </c>
      <c r="Q715" s="25" t="s">
        <v>166</v>
      </c>
      <c r="R715" s="25" t="s">
        <v>177</v>
      </c>
      <c r="S715" s="25" t="s">
        <v>178</v>
      </c>
      <c r="T715" s="25" t="s">
        <v>1401</v>
      </c>
      <c r="U715" s="25" t="s">
        <v>13710</v>
      </c>
      <c r="V715" s="25" t="s">
        <v>13711</v>
      </c>
      <c r="W715" s="32" t="s">
        <v>13712</v>
      </c>
      <c r="X715" s="25" t="s">
        <v>13713</v>
      </c>
      <c r="Y715" s="25" t="s">
        <v>13714</v>
      </c>
      <c r="Z715" s="25" t="s">
        <v>13715</v>
      </c>
      <c r="AA715" s="25" t="s">
        <v>242</v>
      </c>
      <c r="AB715" s="25" t="s">
        <v>243</v>
      </c>
      <c r="AC715" s="25" t="s">
        <v>244</v>
      </c>
      <c r="AD715" s="25" t="s">
        <v>243</v>
      </c>
      <c r="AE715" s="25" t="s">
        <v>243</v>
      </c>
      <c r="AF715" s="25" t="s">
        <v>166</v>
      </c>
      <c r="AG715" s="25" t="s">
        <v>246</v>
      </c>
      <c r="AH715" s="32">
        <v>1</v>
      </c>
      <c r="AI715" s="4">
        <f>HYPERLINK("https://my.pitchbook.com/?d=159785-74T","159785-74T")</f>
      </c>
      <c r="AJ715" s="30" t="s">
        <v>166</v>
      </c>
      <c r="AK715" s="30">
        <v>44153</v>
      </c>
      <c r="AL715" s="29">
        <v>5.47</v>
      </c>
      <c r="AM715" s="25" t="s">
        <v>185</v>
      </c>
      <c r="AN715" s="29">
        <v>8</v>
      </c>
      <c r="AO715" s="29">
        <v>13.47</v>
      </c>
      <c r="AP715" s="25" t="s">
        <v>185</v>
      </c>
      <c r="AQ715" s="32" t="s">
        <v>166</v>
      </c>
      <c r="AR715" s="32" t="s">
        <v>166</v>
      </c>
      <c r="AS715" s="28">
        <v>40.62</v>
      </c>
      <c r="AT715" s="29">
        <v>5.47</v>
      </c>
      <c r="AU715" s="32" t="s">
        <v>186</v>
      </c>
      <c r="AV715" s="32" t="s">
        <v>166</v>
      </c>
      <c r="AW715" s="29">
        <v>0.82</v>
      </c>
      <c r="AX715" s="32" t="s">
        <v>166</v>
      </c>
      <c r="AY715" s="25" t="s">
        <v>217</v>
      </c>
      <c r="AZ715" s="25" t="s">
        <v>217</v>
      </c>
      <c r="BA715" s="25" t="s">
        <v>166</v>
      </c>
      <c r="BB715" s="32" t="s">
        <v>166</v>
      </c>
      <c r="BC715" s="25" t="s">
        <v>179</v>
      </c>
      <c r="BD715" s="25" t="s">
        <v>13716</v>
      </c>
      <c r="BE715" s="25" t="s">
        <v>189</v>
      </c>
      <c r="BF715" s="29">
        <v>5.47</v>
      </c>
      <c r="BG715" s="25" t="s">
        <v>190</v>
      </c>
      <c r="BH715" s="25" t="s">
        <v>166</v>
      </c>
      <c r="BI715" s="25" t="s">
        <v>166</v>
      </c>
      <c r="BJ715" s="29" t="s">
        <v>166</v>
      </c>
      <c r="BK715" s="29" t="s">
        <v>166</v>
      </c>
      <c r="BL715" s="25" t="s">
        <v>191</v>
      </c>
      <c r="BM715" s="25" t="s">
        <v>178</v>
      </c>
      <c r="BN715" s="25" t="s">
        <v>177</v>
      </c>
      <c r="BO715" s="33" t="s">
        <v>166</v>
      </c>
      <c r="BP715" s="25" t="s">
        <v>13717</v>
      </c>
      <c r="BQ715" s="32">
        <v>4</v>
      </c>
      <c r="BR715" s="25" t="s">
        <v>166</v>
      </c>
      <c r="BS715" s="32" t="s">
        <v>166</v>
      </c>
      <c r="BT715" s="25" t="s">
        <v>13718</v>
      </c>
      <c r="BU715" s="25" t="s">
        <v>166</v>
      </c>
      <c r="BV715" s="25" t="s">
        <v>13719</v>
      </c>
      <c r="BW715" s="25" t="s">
        <v>166</v>
      </c>
      <c r="BX715" s="25" t="s">
        <v>166</v>
      </c>
      <c r="BY715" s="25" t="s">
        <v>166</v>
      </c>
      <c r="BZ715" s="25" t="s">
        <v>13720</v>
      </c>
      <c r="CA715" s="25" t="s">
        <v>13720</v>
      </c>
      <c r="CB715" s="25" t="s">
        <v>166</v>
      </c>
      <c r="CC715" s="25" t="s">
        <v>166</v>
      </c>
      <c r="CD715" s="25" t="s">
        <v>166</v>
      </c>
      <c r="CE715" s="29" t="s">
        <v>166</v>
      </c>
      <c r="CF715" s="27" t="s">
        <v>166</v>
      </c>
      <c r="CG715" s="28" t="s">
        <v>166</v>
      </c>
      <c r="CH715" s="27" t="s">
        <v>166</v>
      </c>
      <c r="CI715" s="27" t="s">
        <v>166</v>
      </c>
      <c r="CJ715" s="27" t="s">
        <v>166</v>
      </c>
      <c r="CK715" s="27" t="s">
        <v>166</v>
      </c>
      <c r="CL715" s="27" t="s">
        <v>166</v>
      </c>
      <c r="CM715" s="31" t="s">
        <v>166</v>
      </c>
      <c r="CN715" s="27" t="s">
        <v>166</v>
      </c>
      <c r="CO715" s="27" t="s">
        <v>166</v>
      </c>
      <c r="CP715" s="27" t="s">
        <v>166</v>
      </c>
      <c r="CQ715" s="27" t="s">
        <v>166</v>
      </c>
      <c r="CR715" s="27" t="s">
        <v>166</v>
      </c>
      <c r="CS715" s="27" t="s">
        <v>166</v>
      </c>
      <c r="CT715" s="27" t="s">
        <v>166</v>
      </c>
      <c r="CU715" s="27" t="s">
        <v>166</v>
      </c>
      <c r="CV715" s="27" t="s">
        <v>166</v>
      </c>
      <c r="CW715" s="27" t="s">
        <v>166</v>
      </c>
      <c r="CX715" s="27" t="s">
        <v>166</v>
      </c>
      <c r="CY715" s="27" t="s">
        <v>166</v>
      </c>
      <c r="CZ715" s="27" t="s">
        <v>166</v>
      </c>
      <c r="DA715" s="27" t="s">
        <v>166</v>
      </c>
      <c r="DB715" s="27" t="s">
        <v>166</v>
      </c>
      <c r="DC715" s="27" t="s">
        <v>166</v>
      </c>
      <c r="DD715" s="27" t="s">
        <v>166</v>
      </c>
      <c r="DE715" s="28" t="s">
        <v>166</v>
      </c>
      <c r="DF715" s="33">
        <v>59</v>
      </c>
      <c r="DG715" s="25" t="s">
        <v>673</v>
      </c>
      <c r="DH715" s="25" t="s">
        <v>193</v>
      </c>
      <c r="DI715" s="25" t="s">
        <v>194</v>
      </c>
      <c r="DJ715" s="25" t="s">
        <v>674</v>
      </c>
      <c r="DK715" s="25" t="s">
        <v>257</v>
      </c>
      <c r="DL715" s="32" t="s">
        <v>1599</v>
      </c>
      <c r="DM715" s="25" t="s">
        <v>198</v>
      </c>
      <c r="DN715" s="24" t="s">
        <v>13721</v>
      </c>
      <c r="DO715" s="31">
        <v>2019</v>
      </c>
      <c r="DP715" s="25" t="s">
        <v>166</v>
      </c>
      <c r="DQ715" s="25" t="s">
        <v>166</v>
      </c>
      <c r="DR715" s="29" t="s">
        <v>166</v>
      </c>
      <c r="DS715" s="27" t="s">
        <v>166</v>
      </c>
      <c r="DT715" s="30" t="s">
        <v>166</v>
      </c>
      <c r="DU715" s="25" t="s">
        <v>166</v>
      </c>
      <c r="DV715" s="29" t="s">
        <v>166</v>
      </c>
      <c r="DW715" s="29" t="s">
        <v>166</v>
      </c>
      <c r="DX715" s="27" t="s">
        <v>166</v>
      </c>
      <c r="DY715" s="27" t="s">
        <v>166</v>
      </c>
      <c r="DZ715" s="28" t="s">
        <v>166</v>
      </c>
      <c r="EA715" s="27" t="s">
        <v>166</v>
      </c>
      <c r="EB715" s="27" t="s">
        <v>166</v>
      </c>
      <c r="EC715" s="27" t="s">
        <v>166</v>
      </c>
      <c r="ED715" s="28" t="s">
        <v>166</v>
      </c>
      <c r="EE715" s="28" t="s">
        <v>166</v>
      </c>
      <c r="EF715" s="28" t="s">
        <v>166</v>
      </c>
      <c r="EG715" s="28" t="s">
        <v>166</v>
      </c>
      <c r="EH715" s="27" t="s">
        <v>166</v>
      </c>
      <c r="EI715" s="27" t="s">
        <v>166</v>
      </c>
      <c r="EJ715" s="27" t="s">
        <v>166</v>
      </c>
      <c r="EK715" s="27" t="s">
        <v>166</v>
      </c>
      <c r="EL715" s="27" t="s">
        <v>166</v>
      </c>
      <c r="EM715" s="27" t="s">
        <v>166</v>
      </c>
      <c r="EN715" s="27" t="s">
        <v>166</v>
      </c>
      <c r="EO715" s="27" t="s">
        <v>166</v>
      </c>
      <c r="EP715" s="27" t="s">
        <v>166</v>
      </c>
      <c r="EQ715" s="27" t="s">
        <v>166</v>
      </c>
      <c r="ER715" s="27" t="s">
        <v>166</v>
      </c>
      <c r="ES715" s="27" t="s">
        <v>166</v>
      </c>
      <c r="ET715" s="25" t="s">
        <v>166</v>
      </c>
      <c r="EU715" s="27" t="s">
        <v>166</v>
      </c>
      <c r="EV715" s="27" t="s">
        <v>166</v>
      </c>
      <c r="EW715" s="27" t="s">
        <v>166</v>
      </c>
      <c r="EX715" s="25" t="s">
        <v>190</v>
      </c>
      <c r="EY715" s="25" t="s">
        <v>166</v>
      </c>
      <c r="EZ715" s="27" t="s">
        <v>166</v>
      </c>
      <c r="FA715" s="26" t="s">
        <v>166</v>
      </c>
      <c r="FB715" s="26" t="s">
        <v>166</v>
      </c>
      <c r="FC715" s="26" t="s">
        <v>166</v>
      </c>
      <c r="FD715" s="26" t="s">
        <v>166</v>
      </c>
      <c r="FE715" s="26" t="s">
        <v>166</v>
      </c>
      <c r="FF715" s="26" t="s">
        <v>166</v>
      </c>
      <c r="FG715" s="25" t="s">
        <v>166</v>
      </c>
      <c r="FH715" s="4">
        <f>HYPERLINK("https://my.pitchbook.com?c=159785-74T","View Company Online")</f>
      </c>
    </row>
    <row r="716">
      <c r="A716" s="14" t="s">
        <v>13722</v>
      </c>
      <c r="B716" s="14" t="s">
        <v>13723</v>
      </c>
      <c r="C716" s="14" t="s">
        <v>13724</v>
      </c>
      <c r="D716" s="14" t="s">
        <v>166</v>
      </c>
      <c r="E716" s="23" t="s">
        <v>13725</v>
      </c>
      <c r="F716" s="21">
        <v>5</v>
      </c>
      <c r="G716" s="14" t="s">
        <v>13726</v>
      </c>
      <c r="H716" s="14" t="s">
        <v>166</v>
      </c>
      <c r="I716" s="14" t="s">
        <v>13727</v>
      </c>
      <c r="J716" s="14" t="s">
        <v>13728</v>
      </c>
      <c r="K716" s="14" t="s">
        <v>1455</v>
      </c>
      <c r="L716" s="14" t="s">
        <v>1984</v>
      </c>
      <c r="M716" s="14" t="s">
        <v>7178</v>
      </c>
      <c r="N716" s="14" t="s">
        <v>13729</v>
      </c>
      <c r="O716" s="14" t="s">
        <v>13730</v>
      </c>
      <c r="P716" s="14" t="s">
        <v>13731</v>
      </c>
      <c r="Q716" s="14" t="s">
        <v>166</v>
      </c>
      <c r="R716" s="14" t="s">
        <v>177</v>
      </c>
      <c r="S716" s="14" t="s">
        <v>178</v>
      </c>
      <c r="T716" s="14" t="s">
        <v>179</v>
      </c>
      <c r="U716" s="14" t="s">
        <v>13732</v>
      </c>
      <c r="V716" s="14" t="s">
        <v>13733</v>
      </c>
      <c r="W716" s="21" t="s">
        <v>13734</v>
      </c>
      <c r="X716" s="14" t="s">
        <v>13735</v>
      </c>
      <c r="Y716" s="14" t="s">
        <v>13736</v>
      </c>
      <c r="Z716" s="14" t="s">
        <v>13737</v>
      </c>
      <c r="AA716" s="14" t="s">
        <v>166</v>
      </c>
      <c r="AB716" s="14" t="s">
        <v>166</v>
      </c>
      <c r="AC716" s="14" t="s">
        <v>166</v>
      </c>
      <c r="AD716" s="14" t="s">
        <v>166</v>
      </c>
      <c r="AE716" s="14" t="s">
        <v>166</v>
      </c>
      <c r="AF716" s="14" t="s">
        <v>166</v>
      </c>
      <c r="AG716" s="14" t="s">
        <v>166</v>
      </c>
      <c r="AH716" s="21">
        <v>3</v>
      </c>
      <c r="AI716" s="3">
        <f>HYPERLINK("https://my.pitchbook.com/?d=219679-93T","219679-93T")</f>
      </c>
      <c r="AJ716" s="19">
        <v>44986</v>
      </c>
      <c r="AK716" s="19">
        <v>45152</v>
      </c>
      <c r="AL716" s="18">
        <v>1.1</v>
      </c>
      <c r="AM716" s="14" t="s">
        <v>185</v>
      </c>
      <c r="AN716" s="18" t="s">
        <v>166</v>
      </c>
      <c r="AO716" s="18" t="s">
        <v>166</v>
      </c>
      <c r="AP716" s="14" t="s">
        <v>166</v>
      </c>
      <c r="AQ716" s="21" t="s">
        <v>166</v>
      </c>
      <c r="AR716" s="21" t="s">
        <v>166</v>
      </c>
      <c r="AS716" s="17" t="s">
        <v>166</v>
      </c>
      <c r="AT716" s="18">
        <v>2.21</v>
      </c>
      <c r="AU716" s="21" t="s">
        <v>186</v>
      </c>
      <c r="AV716" s="21" t="s">
        <v>166</v>
      </c>
      <c r="AW716" s="18" t="s">
        <v>166</v>
      </c>
      <c r="AX716" s="21" t="s">
        <v>166</v>
      </c>
      <c r="AY716" s="14" t="s">
        <v>217</v>
      </c>
      <c r="AZ716" s="14" t="s">
        <v>217</v>
      </c>
      <c r="BA716" s="14" t="s">
        <v>166</v>
      </c>
      <c r="BB716" s="21" t="s">
        <v>166</v>
      </c>
      <c r="BC716" s="14" t="s">
        <v>179</v>
      </c>
      <c r="BD716" s="14" t="s">
        <v>13728</v>
      </c>
      <c r="BE716" s="14" t="s">
        <v>189</v>
      </c>
      <c r="BF716" s="18">
        <v>1.1</v>
      </c>
      <c r="BG716" s="14" t="s">
        <v>190</v>
      </c>
      <c r="BH716" s="14" t="s">
        <v>166</v>
      </c>
      <c r="BI716" s="14" t="s">
        <v>166</v>
      </c>
      <c r="BJ716" s="18" t="s">
        <v>166</v>
      </c>
      <c r="BK716" s="18" t="s">
        <v>166</v>
      </c>
      <c r="BL716" s="14" t="s">
        <v>191</v>
      </c>
      <c r="BM716" s="14" t="s">
        <v>178</v>
      </c>
      <c r="BN716" s="14" t="s">
        <v>177</v>
      </c>
      <c r="BO716" s="22" t="s">
        <v>166</v>
      </c>
      <c r="BP716" s="14" t="s">
        <v>13738</v>
      </c>
      <c r="BQ716" s="21">
        <v>5</v>
      </c>
      <c r="BR716" s="14" t="s">
        <v>166</v>
      </c>
      <c r="BS716" s="21" t="s">
        <v>166</v>
      </c>
      <c r="BT716" s="14" t="s">
        <v>166</v>
      </c>
      <c r="BU716" s="14" t="s">
        <v>166</v>
      </c>
      <c r="BV716" s="14" t="s">
        <v>166</v>
      </c>
      <c r="BW716" s="14" t="s">
        <v>166</v>
      </c>
      <c r="BX716" s="14" t="s">
        <v>166</v>
      </c>
      <c r="BY716" s="14" t="s">
        <v>166</v>
      </c>
      <c r="BZ716" s="14" t="s">
        <v>166</v>
      </c>
      <c r="CA716" s="14" t="s">
        <v>166</v>
      </c>
      <c r="CB716" s="14" t="s">
        <v>166</v>
      </c>
      <c r="CC716" s="14" t="s">
        <v>166</v>
      </c>
      <c r="CD716" s="14" t="s">
        <v>166</v>
      </c>
      <c r="CE716" s="18" t="s">
        <v>166</v>
      </c>
      <c r="CF716" s="16" t="s">
        <v>166</v>
      </c>
      <c r="CG716" s="17" t="s">
        <v>166</v>
      </c>
      <c r="CH716" s="16" t="s">
        <v>166</v>
      </c>
      <c r="CI716" s="16" t="s">
        <v>166</v>
      </c>
      <c r="CJ716" s="16" t="s">
        <v>166</v>
      </c>
      <c r="CK716" s="16" t="s">
        <v>166</v>
      </c>
      <c r="CL716" s="16" t="s">
        <v>166</v>
      </c>
      <c r="CM716" s="20" t="s">
        <v>166</v>
      </c>
      <c r="CN716" s="16" t="s">
        <v>166</v>
      </c>
      <c r="CO716" s="16" t="s">
        <v>166</v>
      </c>
      <c r="CP716" s="16" t="s">
        <v>166</v>
      </c>
      <c r="CQ716" s="16" t="s">
        <v>166</v>
      </c>
      <c r="CR716" s="16" t="s">
        <v>166</v>
      </c>
      <c r="CS716" s="16" t="s">
        <v>166</v>
      </c>
      <c r="CT716" s="16" t="s">
        <v>166</v>
      </c>
      <c r="CU716" s="16" t="s">
        <v>166</v>
      </c>
      <c r="CV716" s="16" t="s">
        <v>166</v>
      </c>
      <c r="CW716" s="16" t="s">
        <v>166</v>
      </c>
      <c r="CX716" s="16" t="s">
        <v>166</v>
      </c>
      <c r="CY716" s="16" t="s">
        <v>166</v>
      </c>
      <c r="CZ716" s="16" t="s">
        <v>166</v>
      </c>
      <c r="DA716" s="16" t="s">
        <v>166</v>
      </c>
      <c r="DB716" s="16" t="s">
        <v>166</v>
      </c>
      <c r="DC716" s="16" t="s">
        <v>166</v>
      </c>
      <c r="DD716" s="16" t="s">
        <v>166</v>
      </c>
      <c r="DE716" s="17" t="s">
        <v>166</v>
      </c>
      <c r="DF716" s="22">
        <v>18</v>
      </c>
      <c r="DG716" s="14" t="s">
        <v>5506</v>
      </c>
      <c r="DH716" s="14" t="s">
        <v>193</v>
      </c>
      <c r="DI716" s="14" t="s">
        <v>194</v>
      </c>
      <c r="DJ716" s="14" t="s">
        <v>5507</v>
      </c>
      <c r="DK716" s="14" t="s">
        <v>5508</v>
      </c>
      <c r="DL716" s="21" t="s">
        <v>13545</v>
      </c>
      <c r="DM716" s="14" t="s">
        <v>198</v>
      </c>
      <c r="DN716" s="13" t="s">
        <v>13739</v>
      </c>
      <c r="DO716" s="20">
        <v>2022</v>
      </c>
      <c r="DP716" s="14" t="s">
        <v>166</v>
      </c>
      <c r="DQ716" s="14" t="s">
        <v>166</v>
      </c>
      <c r="DR716" s="18" t="s">
        <v>166</v>
      </c>
      <c r="DS716" s="16" t="s">
        <v>166</v>
      </c>
      <c r="DT716" s="19" t="s">
        <v>166</v>
      </c>
      <c r="DU716" s="14" t="s">
        <v>166</v>
      </c>
      <c r="DV716" s="18" t="s">
        <v>166</v>
      </c>
      <c r="DW716" s="18" t="s">
        <v>166</v>
      </c>
      <c r="DX716" s="16" t="s">
        <v>166</v>
      </c>
      <c r="DY716" s="16" t="s">
        <v>166</v>
      </c>
      <c r="DZ716" s="17" t="s">
        <v>166</v>
      </c>
      <c r="EA716" s="16" t="s">
        <v>166</v>
      </c>
      <c r="EB716" s="16" t="s">
        <v>166</v>
      </c>
      <c r="EC716" s="16" t="s">
        <v>166</v>
      </c>
      <c r="ED716" s="17" t="s">
        <v>166</v>
      </c>
      <c r="EE716" s="17" t="s">
        <v>166</v>
      </c>
      <c r="EF716" s="17" t="s">
        <v>166</v>
      </c>
      <c r="EG716" s="17" t="s">
        <v>166</v>
      </c>
      <c r="EH716" s="16" t="s">
        <v>166</v>
      </c>
      <c r="EI716" s="16" t="s">
        <v>166</v>
      </c>
      <c r="EJ716" s="16" t="s">
        <v>166</v>
      </c>
      <c r="EK716" s="16" t="s">
        <v>166</v>
      </c>
      <c r="EL716" s="16" t="s">
        <v>166</v>
      </c>
      <c r="EM716" s="16" t="s">
        <v>166</v>
      </c>
      <c r="EN716" s="16" t="s">
        <v>166</v>
      </c>
      <c r="EO716" s="16" t="s">
        <v>166</v>
      </c>
      <c r="EP716" s="16" t="s">
        <v>166</v>
      </c>
      <c r="EQ716" s="16" t="s">
        <v>166</v>
      </c>
      <c r="ER716" s="16" t="s">
        <v>166</v>
      </c>
      <c r="ES716" s="16" t="s">
        <v>166</v>
      </c>
      <c r="ET716" s="14" t="s">
        <v>166</v>
      </c>
      <c r="EU716" s="16" t="s">
        <v>166</v>
      </c>
      <c r="EV716" s="16" t="s">
        <v>166</v>
      </c>
      <c r="EW716" s="16" t="s">
        <v>166</v>
      </c>
      <c r="EX716" s="14" t="s">
        <v>190</v>
      </c>
      <c r="EY716" s="14" t="s">
        <v>166</v>
      </c>
      <c r="EZ716" s="16" t="s">
        <v>166</v>
      </c>
      <c r="FA716" s="15" t="s">
        <v>166</v>
      </c>
      <c r="FB716" s="15" t="s">
        <v>166</v>
      </c>
      <c r="FC716" s="15" t="s">
        <v>166</v>
      </c>
      <c r="FD716" s="15" t="s">
        <v>166</v>
      </c>
      <c r="FE716" s="15" t="s">
        <v>166</v>
      </c>
      <c r="FF716" s="15" t="s">
        <v>166</v>
      </c>
      <c r="FG716" s="14" t="s">
        <v>166</v>
      </c>
      <c r="FH716" s="3">
        <f>HYPERLINK("https://my.pitchbook.com?c=219679-93T","View Company Online")</f>
      </c>
    </row>
    <row r="717">
      <c r="A717" s="25" t="s">
        <v>13740</v>
      </c>
      <c r="B717" s="25" t="s">
        <v>13741</v>
      </c>
      <c r="C717" s="25" t="s">
        <v>13742</v>
      </c>
      <c r="D717" s="25" t="s">
        <v>166</v>
      </c>
      <c r="E717" s="34" t="s">
        <v>13743</v>
      </c>
      <c r="F717" s="32">
        <v>3</v>
      </c>
      <c r="G717" s="25" t="s">
        <v>13744</v>
      </c>
      <c r="H717" s="25" t="s">
        <v>166</v>
      </c>
      <c r="I717" s="25" t="s">
        <v>13745</v>
      </c>
      <c r="J717" s="25" t="s">
        <v>13746</v>
      </c>
      <c r="K717" s="25" t="s">
        <v>13747</v>
      </c>
      <c r="L717" s="25" t="s">
        <v>13748</v>
      </c>
      <c r="M717" s="25" t="s">
        <v>13749</v>
      </c>
      <c r="N717" s="25" t="s">
        <v>13750</v>
      </c>
      <c r="O717" s="25" t="s">
        <v>13751</v>
      </c>
      <c r="P717" s="25" t="s">
        <v>13752</v>
      </c>
      <c r="Q717" s="25" t="s">
        <v>13753</v>
      </c>
      <c r="R717" s="25" t="s">
        <v>177</v>
      </c>
      <c r="S717" s="25" t="s">
        <v>178</v>
      </c>
      <c r="T717" s="25" t="s">
        <v>179</v>
      </c>
      <c r="U717" s="25" t="s">
        <v>13754</v>
      </c>
      <c r="V717" s="25" t="s">
        <v>13755</v>
      </c>
      <c r="W717" s="32" t="s">
        <v>13756</v>
      </c>
      <c r="X717" s="25" t="s">
        <v>13757</v>
      </c>
      <c r="Y717" s="25" t="s">
        <v>13758</v>
      </c>
      <c r="Z717" s="25" t="s">
        <v>13759</v>
      </c>
      <c r="AA717" s="25" t="s">
        <v>242</v>
      </c>
      <c r="AB717" s="25" t="s">
        <v>243</v>
      </c>
      <c r="AC717" s="25" t="s">
        <v>244</v>
      </c>
      <c r="AD717" s="25" t="s">
        <v>243</v>
      </c>
      <c r="AE717" s="25" t="s">
        <v>243</v>
      </c>
      <c r="AF717" s="25" t="s">
        <v>166</v>
      </c>
      <c r="AG717" s="25" t="s">
        <v>246</v>
      </c>
      <c r="AH717" s="32">
        <v>1</v>
      </c>
      <c r="AI717" s="4">
        <f>HYPERLINK("https://my.pitchbook.com/?d=193584-97T","193584-97T")</f>
      </c>
      <c r="AJ717" s="30">
        <v>44281</v>
      </c>
      <c r="AK717" s="30">
        <v>44316</v>
      </c>
      <c r="AL717" s="29">
        <v>1.05</v>
      </c>
      <c r="AM717" s="25" t="s">
        <v>185</v>
      </c>
      <c r="AN717" s="29">
        <v>4.95</v>
      </c>
      <c r="AO717" s="29">
        <v>6</v>
      </c>
      <c r="AP717" s="25" t="s">
        <v>185</v>
      </c>
      <c r="AQ717" s="32" t="s">
        <v>166</v>
      </c>
      <c r="AR717" s="32" t="s">
        <v>166</v>
      </c>
      <c r="AS717" s="28" t="s">
        <v>166</v>
      </c>
      <c r="AT717" s="29">
        <v>1.05</v>
      </c>
      <c r="AU717" s="32" t="s">
        <v>186</v>
      </c>
      <c r="AV717" s="32" t="s">
        <v>166</v>
      </c>
      <c r="AW717" s="29">
        <v>0.63</v>
      </c>
      <c r="AX717" s="32" t="s">
        <v>166</v>
      </c>
      <c r="AY717" s="25" t="s">
        <v>217</v>
      </c>
      <c r="AZ717" s="25" t="s">
        <v>217</v>
      </c>
      <c r="BA717" s="25" t="s">
        <v>166</v>
      </c>
      <c r="BB717" s="32" t="s">
        <v>166</v>
      </c>
      <c r="BC717" s="25" t="s">
        <v>179</v>
      </c>
      <c r="BD717" s="25" t="s">
        <v>13760</v>
      </c>
      <c r="BE717" s="25" t="s">
        <v>189</v>
      </c>
      <c r="BF717" s="29">
        <v>1.05</v>
      </c>
      <c r="BG717" s="25" t="s">
        <v>190</v>
      </c>
      <c r="BH717" s="25" t="s">
        <v>166</v>
      </c>
      <c r="BI717" s="25" t="s">
        <v>166</v>
      </c>
      <c r="BJ717" s="29" t="s">
        <v>166</v>
      </c>
      <c r="BK717" s="29" t="s">
        <v>166</v>
      </c>
      <c r="BL717" s="25" t="s">
        <v>191</v>
      </c>
      <c r="BM717" s="25" t="s">
        <v>358</v>
      </c>
      <c r="BN717" s="25" t="s">
        <v>177</v>
      </c>
      <c r="BO717" s="33">
        <v>3</v>
      </c>
      <c r="BP717" s="25" t="s">
        <v>13743</v>
      </c>
      <c r="BQ717" s="32">
        <v>3</v>
      </c>
      <c r="BR717" s="25" t="s">
        <v>166</v>
      </c>
      <c r="BS717" s="32" t="s">
        <v>166</v>
      </c>
      <c r="BT717" s="25" t="s">
        <v>166</v>
      </c>
      <c r="BU717" s="25" t="s">
        <v>166</v>
      </c>
      <c r="BV717" s="25" t="s">
        <v>13761</v>
      </c>
      <c r="BW717" s="25" t="s">
        <v>166</v>
      </c>
      <c r="BX717" s="25" t="s">
        <v>166</v>
      </c>
      <c r="BY717" s="25" t="s">
        <v>166</v>
      </c>
      <c r="BZ717" s="25" t="s">
        <v>166</v>
      </c>
      <c r="CA717" s="25" t="s">
        <v>166</v>
      </c>
      <c r="CB717" s="25" t="s">
        <v>166</v>
      </c>
      <c r="CC717" s="25" t="s">
        <v>166</v>
      </c>
      <c r="CD717" s="25" t="s">
        <v>166</v>
      </c>
      <c r="CE717" s="29" t="s">
        <v>166</v>
      </c>
      <c r="CF717" s="27" t="s">
        <v>166</v>
      </c>
      <c r="CG717" s="28" t="s">
        <v>166</v>
      </c>
      <c r="CH717" s="27" t="s">
        <v>166</v>
      </c>
      <c r="CI717" s="27" t="s">
        <v>166</v>
      </c>
      <c r="CJ717" s="27" t="s">
        <v>166</v>
      </c>
      <c r="CK717" s="27" t="s">
        <v>166</v>
      </c>
      <c r="CL717" s="27" t="s">
        <v>166</v>
      </c>
      <c r="CM717" s="31" t="s">
        <v>166</v>
      </c>
      <c r="CN717" s="27" t="s">
        <v>166</v>
      </c>
      <c r="CO717" s="27" t="s">
        <v>166</v>
      </c>
      <c r="CP717" s="27" t="s">
        <v>166</v>
      </c>
      <c r="CQ717" s="27" t="s">
        <v>166</v>
      </c>
      <c r="CR717" s="27" t="s">
        <v>166</v>
      </c>
      <c r="CS717" s="27" t="s">
        <v>166</v>
      </c>
      <c r="CT717" s="27" t="s">
        <v>166</v>
      </c>
      <c r="CU717" s="27" t="s">
        <v>166</v>
      </c>
      <c r="CV717" s="27" t="s">
        <v>166</v>
      </c>
      <c r="CW717" s="27" t="s">
        <v>166</v>
      </c>
      <c r="CX717" s="27" t="s">
        <v>166</v>
      </c>
      <c r="CY717" s="27" t="s">
        <v>166</v>
      </c>
      <c r="CZ717" s="27" t="s">
        <v>166</v>
      </c>
      <c r="DA717" s="27" t="s">
        <v>166</v>
      </c>
      <c r="DB717" s="27" t="s">
        <v>166</v>
      </c>
      <c r="DC717" s="27" t="s">
        <v>166</v>
      </c>
      <c r="DD717" s="27" t="s">
        <v>166</v>
      </c>
      <c r="DE717" s="28" t="s">
        <v>166</v>
      </c>
      <c r="DF717" s="33">
        <v>22</v>
      </c>
      <c r="DG717" s="25" t="s">
        <v>309</v>
      </c>
      <c r="DH717" s="25" t="s">
        <v>193</v>
      </c>
      <c r="DI717" s="25" t="s">
        <v>194</v>
      </c>
      <c r="DJ717" s="25" t="s">
        <v>310</v>
      </c>
      <c r="DK717" s="25" t="s">
        <v>310</v>
      </c>
      <c r="DL717" s="32" t="s">
        <v>13762</v>
      </c>
      <c r="DM717" s="25" t="s">
        <v>198</v>
      </c>
      <c r="DN717" s="24" t="s">
        <v>13763</v>
      </c>
      <c r="DO717" s="31">
        <v>2020</v>
      </c>
      <c r="DP717" s="25" t="s">
        <v>166</v>
      </c>
      <c r="DQ717" s="25" t="s">
        <v>166</v>
      </c>
      <c r="DR717" s="29" t="s">
        <v>166</v>
      </c>
      <c r="DS717" s="27" t="s">
        <v>166</v>
      </c>
      <c r="DT717" s="30" t="s">
        <v>166</v>
      </c>
      <c r="DU717" s="25" t="s">
        <v>166</v>
      </c>
      <c r="DV717" s="29" t="s">
        <v>166</v>
      </c>
      <c r="DW717" s="29" t="s">
        <v>166</v>
      </c>
      <c r="DX717" s="27" t="s">
        <v>166</v>
      </c>
      <c r="DY717" s="27" t="s">
        <v>166</v>
      </c>
      <c r="DZ717" s="28" t="s">
        <v>166</v>
      </c>
      <c r="EA717" s="27" t="s">
        <v>166</v>
      </c>
      <c r="EB717" s="27" t="s">
        <v>166</v>
      </c>
      <c r="EC717" s="27" t="s">
        <v>166</v>
      </c>
      <c r="ED717" s="28" t="s">
        <v>166</v>
      </c>
      <c r="EE717" s="28" t="s">
        <v>166</v>
      </c>
      <c r="EF717" s="28" t="s">
        <v>166</v>
      </c>
      <c r="EG717" s="28" t="s">
        <v>166</v>
      </c>
      <c r="EH717" s="27" t="s">
        <v>166</v>
      </c>
      <c r="EI717" s="27" t="s">
        <v>166</v>
      </c>
      <c r="EJ717" s="27" t="s">
        <v>166</v>
      </c>
      <c r="EK717" s="27" t="s">
        <v>166</v>
      </c>
      <c r="EL717" s="27" t="s">
        <v>166</v>
      </c>
      <c r="EM717" s="27" t="s">
        <v>166</v>
      </c>
      <c r="EN717" s="27" t="s">
        <v>166</v>
      </c>
      <c r="EO717" s="27" t="s">
        <v>166</v>
      </c>
      <c r="EP717" s="27" t="s">
        <v>166</v>
      </c>
      <c r="EQ717" s="27" t="s">
        <v>166</v>
      </c>
      <c r="ER717" s="27" t="s">
        <v>166</v>
      </c>
      <c r="ES717" s="27" t="s">
        <v>166</v>
      </c>
      <c r="ET717" s="25" t="s">
        <v>166</v>
      </c>
      <c r="EU717" s="27" t="s">
        <v>166</v>
      </c>
      <c r="EV717" s="27" t="s">
        <v>166</v>
      </c>
      <c r="EW717" s="27" t="s">
        <v>166</v>
      </c>
      <c r="EX717" s="25" t="s">
        <v>190</v>
      </c>
      <c r="EY717" s="25" t="s">
        <v>166</v>
      </c>
      <c r="EZ717" s="27" t="s">
        <v>166</v>
      </c>
      <c r="FA717" s="26" t="s">
        <v>166</v>
      </c>
      <c r="FB717" s="26" t="s">
        <v>166</v>
      </c>
      <c r="FC717" s="26" t="s">
        <v>166</v>
      </c>
      <c r="FD717" s="26" t="s">
        <v>166</v>
      </c>
      <c r="FE717" s="26" t="s">
        <v>166</v>
      </c>
      <c r="FF717" s="26" t="s">
        <v>166</v>
      </c>
      <c r="FG717" s="25" t="s">
        <v>166</v>
      </c>
      <c r="FH717" s="4">
        <f>HYPERLINK("https://my.pitchbook.com?c=193584-97T","View Company Online")</f>
      </c>
    </row>
    <row r="718">
      <c r="A718" s="14" t="s">
        <v>13764</v>
      </c>
      <c r="B718" s="14" t="s">
        <v>13765</v>
      </c>
      <c r="C718" s="14" t="s">
        <v>13766</v>
      </c>
      <c r="D718" s="14" t="s">
        <v>166</v>
      </c>
      <c r="E718" s="23" t="s">
        <v>13767</v>
      </c>
      <c r="F718" s="21">
        <v>4</v>
      </c>
      <c r="G718" s="14" t="s">
        <v>13768</v>
      </c>
      <c r="H718" s="14" t="s">
        <v>166</v>
      </c>
      <c r="I718" s="14" t="s">
        <v>13769</v>
      </c>
      <c r="J718" s="14" t="s">
        <v>13770</v>
      </c>
      <c r="K718" s="14" t="s">
        <v>207</v>
      </c>
      <c r="L718" s="14" t="s">
        <v>208</v>
      </c>
      <c r="M718" s="14" t="s">
        <v>209</v>
      </c>
      <c r="N718" s="14" t="s">
        <v>13771</v>
      </c>
      <c r="O718" s="14" t="s">
        <v>3837</v>
      </c>
      <c r="P718" s="14" t="s">
        <v>13772</v>
      </c>
      <c r="Q718" s="14" t="s">
        <v>166</v>
      </c>
      <c r="R718" s="14" t="s">
        <v>3334</v>
      </c>
      <c r="S718" s="14" t="s">
        <v>178</v>
      </c>
      <c r="T718" s="14" t="s">
        <v>4119</v>
      </c>
      <c r="U718" s="14" t="s">
        <v>13773</v>
      </c>
      <c r="V718" s="14" t="s">
        <v>13774</v>
      </c>
      <c r="W718" s="21" t="s">
        <v>166</v>
      </c>
      <c r="X718" s="14" t="s">
        <v>13775</v>
      </c>
      <c r="Y718" s="14" t="s">
        <v>13776</v>
      </c>
      <c r="Z718" s="14" t="s">
        <v>166</v>
      </c>
      <c r="AA718" s="14" t="s">
        <v>242</v>
      </c>
      <c r="AB718" s="14" t="s">
        <v>243</v>
      </c>
      <c r="AC718" s="14" t="s">
        <v>244</v>
      </c>
      <c r="AD718" s="14" t="s">
        <v>243</v>
      </c>
      <c r="AE718" s="14" t="s">
        <v>243</v>
      </c>
      <c r="AF718" s="14" t="s">
        <v>245</v>
      </c>
      <c r="AG718" s="14" t="s">
        <v>246</v>
      </c>
      <c r="AH718" s="21">
        <v>1</v>
      </c>
      <c r="AI718" s="3">
        <f>HYPERLINK("https://my.pitchbook.com/?d=173932-48T","173932-48T")</f>
      </c>
      <c r="AJ718" s="19" t="s">
        <v>166</v>
      </c>
      <c r="AK718" s="19">
        <v>44239</v>
      </c>
      <c r="AL718" s="18">
        <v>4.9</v>
      </c>
      <c r="AM718" s="14" t="s">
        <v>185</v>
      </c>
      <c r="AN718" s="18">
        <v>15</v>
      </c>
      <c r="AO718" s="18">
        <v>19.9</v>
      </c>
      <c r="AP718" s="14" t="s">
        <v>185</v>
      </c>
      <c r="AQ718" s="21" t="s">
        <v>166</v>
      </c>
      <c r="AR718" s="21" t="s">
        <v>166</v>
      </c>
      <c r="AS718" s="17">
        <v>25.06</v>
      </c>
      <c r="AT718" s="18">
        <v>4.9</v>
      </c>
      <c r="AU718" s="21" t="s">
        <v>186</v>
      </c>
      <c r="AV718" s="21" t="s">
        <v>166</v>
      </c>
      <c r="AW718" s="18">
        <v>1.84</v>
      </c>
      <c r="AX718" s="21" t="s">
        <v>166</v>
      </c>
      <c r="AY718" s="14" t="s">
        <v>217</v>
      </c>
      <c r="AZ718" s="14" t="s">
        <v>217</v>
      </c>
      <c r="BA718" s="14" t="s">
        <v>166</v>
      </c>
      <c r="BB718" s="21" t="s">
        <v>166</v>
      </c>
      <c r="BC718" s="14" t="s">
        <v>179</v>
      </c>
      <c r="BD718" s="14" t="s">
        <v>13777</v>
      </c>
      <c r="BE718" s="14" t="s">
        <v>189</v>
      </c>
      <c r="BF718" s="18">
        <v>4.9</v>
      </c>
      <c r="BG718" s="14" t="s">
        <v>190</v>
      </c>
      <c r="BH718" s="14" t="s">
        <v>166</v>
      </c>
      <c r="BI718" s="14" t="s">
        <v>166</v>
      </c>
      <c r="BJ718" s="18" t="s">
        <v>166</v>
      </c>
      <c r="BK718" s="18" t="s">
        <v>166</v>
      </c>
      <c r="BL718" s="14" t="s">
        <v>191</v>
      </c>
      <c r="BM718" s="14" t="s">
        <v>358</v>
      </c>
      <c r="BN718" s="14" t="s">
        <v>177</v>
      </c>
      <c r="BO718" s="22" t="s">
        <v>166</v>
      </c>
      <c r="BP718" s="14" t="s">
        <v>13778</v>
      </c>
      <c r="BQ718" s="21">
        <v>4</v>
      </c>
      <c r="BR718" s="14" t="s">
        <v>166</v>
      </c>
      <c r="BS718" s="21" t="s">
        <v>166</v>
      </c>
      <c r="BT718" s="14" t="s">
        <v>13779</v>
      </c>
      <c r="BU718" s="14" t="s">
        <v>166</v>
      </c>
      <c r="BV718" s="14" t="s">
        <v>13780</v>
      </c>
      <c r="BW718" s="14" t="s">
        <v>166</v>
      </c>
      <c r="BX718" s="14" t="s">
        <v>166</v>
      </c>
      <c r="BY718" s="14" t="s">
        <v>166</v>
      </c>
      <c r="BZ718" s="14" t="s">
        <v>996</v>
      </c>
      <c r="CA718" s="14" t="s">
        <v>996</v>
      </c>
      <c r="CB718" s="14" t="s">
        <v>166</v>
      </c>
      <c r="CC718" s="14" t="s">
        <v>166</v>
      </c>
      <c r="CD718" s="14" t="s">
        <v>166</v>
      </c>
      <c r="CE718" s="18" t="s">
        <v>166</v>
      </c>
      <c r="CF718" s="16" t="s">
        <v>166</v>
      </c>
      <c r="CG718" s="17" t="s">
        <v>166</v>
      </c>
      <c r="CH718" s="16" t="s">
        <v>166</v>
      </c>
      <c r="CI718" s="16" t="s">
        <v>166</v>
      </c>
      <c r="CJ718" s="16" t="s">
        <v>166</v>
      </c>
      <c r="CK718" s="16" t="s">
        <v>166</v>
      </c>
      <c r="CL718" s="16" t="s">
        <v>166</v>
      </c>
      <c r="CM718" s="20" t="s">
        <v>166</v>
      </c>
      <c r="CN718" s="16" t="s">
        <v>166</v>
      </c>
      <c r="CO718" s="16" t="s">
        <v>166</v>
      </c>
      <c r="CP718" s="16" t="s">
        <v>166</v>
      </c>
      <c r="CQ718" s="16" t="s">
        <v>166</v>
      </c>
      <c r="CR718" s="16" t="s">
        <v>166</v>
      </c>
      <c r="CS718" s="16" t="s">
        <v>166</v>
      </c>
      <c r="CT718" s="16" t="s">
        <v>166</v>
      </c>
      <c r="CU718" s="16" t="s">
        <v>166</v>
      </c>
      <c r="CV718" s="16" t="s">
        <v>166</v>
      </c>
      <c r="CW718" s="16" t="s">
        <v>166</v>
      </c>
      <c r="CX718" s="16" t="s">
        <v>166</v>
      </c>
      <c r="CY718" s="16" t="s">
        <v>166</v>
      </c>
      <c r="CZ718" s="16" t="s">
        <v>166</v>
      </c>
      <c r="DA718" s="16" t="s">
        <v>166</v>
      </c>
      <c r="DB718" s="16" t="s">
        <v>166</v>
      </c>
      <c r="DC718" s="16" t="s">
        <v>166</v>
      </c>
      <c r="DD718" s="16" t="s">
        <v>166</v>
      </c>
      <c r="DE718" s="17" t="s">
        <v>166</v>
      </c>
      <c r="DF718" s="22">
        <v>26</v>
      </c>
      <c r="DG718" s="14" t="s">
        <v>2672</v>
      </c>
      <c r="DH718" s="14" t="s">
        <v>193</v>
      </c>
      <c r="DI718" s="14" t="s">
        <v>194</v>
      </c>
      <c r="DJ718" s="14" t="s">
        <v>2673</v>
      </c>
      <c r="DK718" s="14" t="s">
        <v>257</v>
      </c>
      <c r="DL718" s="21" t="s">
        <v>2674</v>
      </c>
      <c r="DM718" s="14" t="s">
        <v>198</v>
      </c>
      <c r="DN718" s="13" t="s">
        <v>13781</v>
      </c>
      <c r="DO718" s="20">
        <v>2020</v>
      </c>
      <c r="DP718" s="14" t="s">
        <v>166</v>
      </c>
      <c r="DQ718" s="14" t="s">
        <v>166</v>
      </c>
      <c r="DR718" s="18" t="s">
        <v>166</v>
      </c>
      <c r="DS718" s="16" t="s">
        <v>166</v>
      </c>
      <c r="DT718" s="19" t="s">
        <v>166</v>
      </c>
      <c r="DU718" s="14" t="s">
        <v>166</v>
      </c>
      <c r="DV718" s="18" t="s">
        <v>166</v>
      </c>
      <c r="DW718" s="18" t="s">
        <v>166</v>
      </c>
      <c r="DX718" s="16" t="s">
        <v>166</v>
      </c>
      <c r="DY718" s="16" t="s">
        <v>166</v>
      </c>
      <c r="DZ718" s="17" t="s">
        <v>166</v>
      </c>
      <c r="EA718" s="16" t="s">
        <v>166</v>
      </c>
      <c r="EB718" s="16" t="s">
        <v>166</v>
      </c>
      <c r="EC718" s="16" t="s">
        <v>166</v>
      </c>
      <c r="ED718" s="17" t="s">
        <v>166</v>
      </c>
      <c r="EE718" s="17" t="s">
        <v>166</v>
      </c>
      <c r="EF718" s="17" t="s">
        <v>166</v>
      </c>
      <c r="EG718" s="17" t="s">
        <v>166</v>
      </c>
      <c r="EH718" s="16" t="s">
        <v>166</v>
      </c>
      <c r="EI718" s="16" t="s">
        <v>166</v>
      </c>
      <c r="EJ718" s="16" t="s">
        <v>166</v>
      </c>
      <c r="EK718" s="16" t="s">
        <v>166</v>
      </c>
      <c r="EL718" s="16" t="s">
        <v>166</v>
      </c>
      <c r="EM718" s="16" t="s">
        <v>166</v>
      </c>
      <c r="EN718" s="16" t="s">
        <v>166</v>
      </c>
      <c r="EO718" s="16" t="s">
        <v>166</v>
      </c>
      <c r="EP718" s="16" t="s">
        <v>166</v>
      </c>
      <c r="EQ718" s="16" t="s">
        <v>166</v>
      </c>
      <c r="ER718" s="16" t="s">
        <v>166</v>
      </c>
      <c r="ES718" s="16" t="s">
        <v>166</v>
      </c>
      <c r="ET718" s="14" t="s">
        <v>166</v>
      </c>
      <c r="EU718" s="16" t="s">
        <v>166</v>
      </c>
      <c r="EV718" s="16" t="s">
        <v>166</v>
      </c>
      <c r="EW718" s="16" t="s">
        <v>166</v>
      </c>
      <c r="EX718" s="14" t="s">
        <v>190</v>
      </c>
      <c r="EY718" s="14" t="s">
        <v>166</v>
      </c>
      <c r="EZ718" s="16" t="s">
        <v>166</v>
      </c>
      <c r="FA718" s="15" t="s">
        <v>166</v>
      </c>
      <c r="FB718" s="15" t="s">
        <v>166</v>
      </c>
      <c r="FC718" s="15" t="s">
        <v>166</v>
      </c>
      <c r="FD718" s="15" t="s">
        <v>166</v>
      </c>
      <c r="FE718" s="15" t="s">
        <v>166</v>
      </c>
      <c r="FF718" s="15" t="s">
        <v>166</v>
      </c>
      <c r="FG718" s="14" t="s">
        <v>166</v>
      </c>
      <c r="FH718" s="3">
        <f>HYPERLINK("https://my.pitchbook.com?c=173932-48T","View Company Online")</f>
      </c>
    </row>
    <row r="719">
      <c r="A719" s="25" t="s">
        <v>13782</v>
      </c>
      <c r="B719" s="25" t="s">
        <v>13783</v>
      </c>
      <c r="C719" s="25" t="s">
        <v>13784</v>
      </c>
      <c r="D719" s="25" t="s">
        <v>166</v>
      </c>
      <c r="E719" s="34" t="s">
        <v>13785</v>
      </c>
      <c r="F719" s="32">
        <v>2</v>
      </c>
      <c r="G719" s="25" t="s">
        <v>13786</v>
      </c>
      <c r="H719" s="25" t="s">
        <v>166</v>
      </c>
      <c r="I719" s="25" t="s">
        <v>13787</v>
      </c>
      <c r="J719" s="25" t="s">
        <v>13788</v>
      </c>
      <c r="K719" s="25" t="s">
        <v>1455</v>
      </c>
      <c r="L719" s="25" t="s">
        <v>1984</v>
      </c>
      <c r="M719" s="25" t="s">
        <v>3597</v>
      </c>
      <c r="N719" s="25" t="s">
        <v>3598</v>
      </c>
      <c r="O719" s="25" t="s">
        <v>7057</v>
      </c>
      <c r="P719" s="25" t="s">
        <v>13789</v>
      </c>
      <c r="Q719" s="25" t="s">
        <v>166</v>
      </c>
      <c r="R719" s="25" t="s">
        <v>177</v>
      </c>
      <c r="S719" s="25" t="s">
        <v>178</v>
      </c>
      <c r="T719" s="25" t="s">
        <v>1401</v>
      </c>
      <c r="U719" s="25" t="s">
        <v>13790</v>
      </c>
      <c r="V719" s="25" t="s">
        <v>13791</v>
      </c>
      <c r="W719" s="32" t="s">
        <v>13792</v>
      </c>
      <c r="X719" s="25" t="s">
        <v>13793</v>
      </c>
      <c r="Y719" s="25" t="s">
        <v>13794</v>
      </c>
      <c r="Z719" s="25" t="s">
        <v>13795</v>
      </c>
      <c r="AA719" s="25" t="s">
        <v>242</v>
      </c>
      <c r="AB719" s="25" t="s">
        <v>243</v>
      </c>
      <c r="AC719" s="25" t="s">
        <v>244</v>
      </c>
      <c r="AD719" s="25" t="s">
        <v>243</v>
      </c>
      <c r="AE719" s="25" t="s">
        <v>243</v>
      </c>
      <c r="AF719" s="25" t="s">
        <v>166</v>
      </c>
      <c r="AG719" s="25" t="s">
        <v>246</v>
      </c>
      <c r="AH719" s="32">
        <v>1</v>
      </c>
      <c r="AI719" s="4">
        <f>HYPERLINK("https://my.pitchbook.com/?d=140512-96T","140512-96T")</f>
      </c>
      <c r="AJ719" s="30">
        <v>44075</v>
      </c>
      <c r="AK719" s="30">
        <v>44089</v>
      </c>
      <c r="AL719" s="29">
        <v>2.95</v>
      </c>
      <c r="AM719" s="25" t="s">
        <v>185</v>
      </c>
      <c r="AN719" s="29">
        <v>6</v>
      </c>
      <c r="AO719" s="29">
        <v>8.95</v>
      </c>
      <c r="AP719" s="25" t="s">
        <v>185</v>
      </c>
      <c r="AQ719" s="32" t="s">
        <v>166</v>
      </c>
      <c r="AR719" s="32" t="s">
        <v>166</v>
      </c>
      <c r="AS719" s="28">
        <v>34.48</v>
      </c>
      <c r="AT719" s="29">
        <v>2.95</v>
      </c>
      <c r="AU719" s="32" t="s">
        <v>186</v>
      </c>
      <c r="AV719" s="32" t="s">
        <v>166</v>
      </c>
      <c r="AW719" s="29">
        <v>1.23</v>
      </c>
      <c r="AX719" s="32" t="s">
        <v>166</v>
      </c>
      <c r="AY719" s="25" t="s">
        <v>217</v>
      </c>
      <c r="AZ719" s="25" t="s">
        <v>217</v>
      </c>
      <c r="BA719" s="25" t="s">
        <v>166</v>
      </c>
      <c r="BB719" s="32" t="s">
        <v>166</v>
      </c>
      <c r="BC719" s="25" t="s">
        <v>179</v>
      </c>
      <c r="BD719" s="25" t="s">
        <v>13796</v>
      </c>
      <c r="BE719" s="25" t="s">
        <v>189</v>
      </c>
      <c r="BF719" s="29">
        <v>2.95</v>
      </c>
      <c r="BG719" s="25" t="s">
        <v>190</v>
      </c>
      <c r="BH719" s="25" t="s">
        <v>166</v>
      </c>
      <c r="BI719" s="25" t="s">
        <v>166</v>
      </c>
      <c r="BJ719" s="29" t="s">
        <v>166</v>
      </c>
      <c r="BK719" s="29" t="s">
        <v>166</v>
      </c>
      <c r="BL719" s="25" t="s">
        <v>191</v>
      </c>
      <c r="BM719" s="25" t="s">
        <v>178</v>
      </c>
      <c r="BN719" s="25" t="s">
        <v>177</v>
      </c>
      <c r="BO719" s="33" t="s">
        <v>166</v>
      </c>
      <c r="BP719" s="25" t="s">
        <v>13785</v>
      </c>
      <c r="BQ719" s="32">
        <v>2</v>
      </c>
      <c r="BR719" s="25" t="s">
        <v>166</v>
      </c>
      <c r="BS719" s="32" t="s">
        <v>166</v>
      </c>
      <c r="BT719" s="25" t="s">
        <v>166</v>
      </c>
      <c r="BU719" s="25" t="s">
        <v>166</v>
      </c>
      <c r="BV719" s="25" t="s">
        <v>13797</v>
      </c>
      <c r="BW719" s="25" t="s">
        <v>166</v>
      </c>
      <c r="BX719" s="25" t="s">
        <v>166</v>
      </c>
      <c r="BY719" s="25" t="s">
        <v>166</v>
      </c>
      <c r="BZ719" s="25" t="s">
        <v>996</v>
      </c>
      <c r="CA719" s="25" t="s">
        <v>996</v>
      </c>
      <c r="CB719" s="25" t="s">
        <v>166</v>
      </c>
      <c r="CC719" s="25" t="s">
        <v>166</v>
      </c>
      <c r="CD719" s="25" t="s">
        <v>166</v>
      </c>
      <c r="CE719" s="29" t="s">
        <v>166</v>
      </c>
      <c r="CF719" s="27" t="s">
        <v>166</v>
      </c>
      <c r="CG719" s="28" t="s">
        <v>166</v>
      </c>
      <c r="CH719" s="27" t="s">
        <v>166</v>
      </c>
      <c r="CI719" s="27" t="s">
        <v>166</v>
      </c>
      <c r="CJ719" s="27" t="s">
        <v>166</v>
      </c>
      <c r="CK719" s="27" t="s">
        <v>166</v>
      </c>
      <c r="CL719" s="27" t="s">
        <v>166</v>
      </c>
      <c r="CM719" s="31" t="s">
        <v>166</v>
      </c>
      <c r="CN719" s="27" t="s">
        <v>166</v>
      </c>
      <c r="CO719" s="27" t="s">
        <v>166</v>
      </c>
      <c r="CP719" s="27" t="s">
        <v>166</v>
      </c>
      <c r="CQ719" s="27" t="s">
        <v>166</v>
      </c>
      <c r="CR719" s="27" t="s">
        <v>166</v>
      </c>
      <c r="CS719" s="27" t="s">
        <v>166</v>
      </c>
      <c r="CT719" s="27" t="s">
        <v>166</v>
      </c>
      <c r="CU719" s="27" t="s">
        <v>166</v>
      </c>
      <c r="CV719" s="27" t="s">
        <v>166</v>
      </c>
      <c r="CW719" s="27" t="s">
        <v>166</v>
      </c>
      <c r="CX719" s="27" t="s">
        <v>166</v>
      </c>
      <c r="CY719" s="27" t="s">
        <v>166</v>
      </c>
      <c r="CZ719" s="27" t="s">
        <v>166</v>
      </c>
      <c r="DA719" s="27" t="s">
        <v>166</v>
      </c>
      <c r="DB719" s="27" t="s">
        <v>166</v>
      </c>
      <c r="DC719" s="27" t="s">
        <v>166</v>
      </c>
      <c r="DD719" s="27" t="s">
        <v>166</v>
      </c>
      <c r="DE719" s="28" t="s">
        <v>166</v>
      </c>
      <c r="DF719" s="33">
        <v>49</v>
      </c>
      <c r="DG719" s="25" t="s">
        <v>309</v>
      </c>
      <c r="DH719" s="25" t="s">
        <v>193</v>
      </c>
      <c r="DI719" s="25" t="s">
        <v>194</v>
      </c>
      <c r="DJ719" s="25" t="s">
        <v>310</v>
      </c>
      <c r="DK719" s="25" t="s">
        <v>310</v>
      </c>
      <c r="DL719" s="32" t="s">
        <v>479</v>
      </c>
      <c r="DM719" s="25" t="s">
        <v>198</v>
      </c>
      <c r="DN719" s="24" t="s">
        <v>13798</v>
      </c>
      <c r="DO719" s="31">
        <v>2019</v>
      </c>
      <c r="DP719" s="25" t="s">
        <v>166</v>
      </c>
      <c r="DQ719" s="25" t="s">
        <v>166</v>
      </c>
      <c r="DR719" s="29" t="s">
        <v>166</v>
      </c>
      <c r="DS719" s="27" t="s">
        <v>166</v>
      </c>
      <c r="DT719" s="30" t="s">
        <v>166</v>
      </c>
      <c r="DU719" s="25" t="s">
        <v>166</v>
      </c>
      <c r="DV719" s="29" t="s">
        <v>166</v>
      </c>
      <c r="DW719" s="29" t="s">
        <v>166</v>
      </c>
      <c r="DX719" s="27" t="s">
        <v>166</v>
      </c>
      <c r="DY719" s="27" t="s">
        <v>166</v>
      </c>
      <c r="DZ719" s="28" t="s">
        <v>166</v>
      </c>
      <c r="EA719" s="27" t="s">
        <v>166</v>
      </c>
      <c r="EB719" s="27" t="s">
        <v>166</v>
      </c>
      <c r="EC719" s="27" t="s">
        <v>166</v>
      </c>
      <c r="ED719" s="28" t="s">
        <v>166</v>
      </c>
      <c r="EE719" s="28" t="s">
        <v>166</v>
      </c>
      <c r="EF719" s="28" t="s">
        <v>166</v>
      </c>
      <c r="EG719" s="28" t="s">
        <v>166</v>
      </c>
      <c r="EH719" s="27" t="s">
        <v>166</v>
      </c>
      <c r="EI719" s="27" t="s">
        <v>166</v>
      </c>
      <c r="EJ719" s="27" t="s">
        <v>166</v>
      </c>
      <c r="EK719" s="27" t="s">
        <v>166</v>
      </c>
      <c r="EL719" s="27" t="s">
        <v>166</v>
      </c>
      <c r="EM719" s="27" t="s">
        <v>166</v>
      </c>
      <c r="EN719" s="27" t="s">
        <v>166</v>
      </c>
      <c r="EO719" s="27" t="s">
        <v>166</v>
      </c>
      <c r="EP719" s="27" t="s">
        <v>166</v>
      </c>
      <c r="EQ719" s="27" t="s">
        <v>166</v>
      </c>
      <c r="ER719" s="27" t="s">
        <v>166</v>
      </c>
      <c r="ES719" s="27" t="s">
        <v>166</v>
      </c>
      <c r="ET719" s="25" t="s">
        <v>166</v>
      </c>
      <c r="EU719" s="27" t="s">
        <v>166</v>
      </c>
      <c r="EV719" s="27" t="s">
        <v>166</v>
      </c>
      <c r="EW719" s="27" t="s">
        <v>166</v>
      </c>
      <c r="EX719" s="25" t="s">
        <v>190</v>
      </c>
      <c r="EY719" s="25" t="s">
        <v>166</v>
      </c>
      <c r="EZ719" s="27" t="s">
        <v>166</v>
      </c>
      <c r="FA719" s="26" t="s">
        <v>166</v>
      </c>
      <c r="FB719" s="26" t="s">
        <v>166</v>
      </c>
      <c r="FC719" s="26" t="s">
        <v>166</v>
      </c>
      <c r="FD719" s="26" t="s">
        <v>166</v>
      </c>
      <c r="FE719" s="26" t="s">
        <v>166</v>
      </c>
      <c r="FF719" s="26" t="s">
        <v>166</v>
      </c>
      <c r="FG719" s="25" t="s">
        <v>166</v>
      </c>
      <c r="FH719" s="4">
        <f>HYPERLINK("https://my.pitchbook.com?c=140512-96T","View Company Online")</f>
      </c>
    </row>
    <row r="720">
      <c r="A720" s="14" t="s">
        <v>13799</v>
      </c>
      <c r="B720" s="14" t="s">
        <v>13800</v>
      </c>
      <c r="C720" s="14" t="s">
        <v>13801</v>
      </c>
      <c r="D720" s="14" t="s">
        <v>166</v>
      </c>
      <c r="E720" s="23" t="s">
        <v>13802</v>
      </c>
      <c r="F720" s="21">
        <v>14</v>
      </c>
      <c r="G720" s="14" t="s">
        <v>13803</v>
      </c>
      <c r="H720" s="14" t="s">
        <v>166</v>
      </c>
      <c r="I720" s="14" t="s">
        <v>13804</v>
      </c>
      <c r="J720" s="14" t="s">
        <v>13805</v>
      </c>
      <c r="K720" s="14" t="s">
        <v>1455</v>
      </c>
      <c r="L720" s="14" t="s">
        <v>1456</v>
      </c>
      <c r="M720" s="14" t="s">
        <v>1457</v>
      </c>
      <c r="N720" s="14" t="s">
        <v>1841</v>
      </c>
      <c r="O720" s="14" t="s">
        <v>3678</v>
      </c>
      <c r="P720" s="14" t="s">
        <v>13806</v>
      </c>
      <c r="Q720" s="14" t="s">
        <v>166</v>
      </c>
      <c r="R720" s="14" t="s">
        <v>177</v>
      </c>
      <c r="S720" s="14" t="s">
        <v>178</v>
      </c>
      <c r="T720" s="14" t="s">
        <v>179</v>
      </c>
      <c r="U720" s="14" t="s">
        <v>13807</v>
      </c>
      <c r="V720" s="14" t="s">
        <v>13808</v>
      </c>
      <c r="W720" s="21" t="s">
        <v>13809</v>
      </c>
      <c r="X720" s="14" t="s">
        <v>13810</v>
      </c>
      <c r="Y720" s="14" t="s">
        <v>13811</v>
      </c>
      <c r="Z720" s="14" t="s">
        <v>13812</v>
      </c>
      <c r="AA720" s="14" t="s">
        <v>242</v>
      </c>
      <c r="AB720" s="14" t="s">
        <v>243</v>
      </c>
      <c r="AC720" s="14" t="s">
        <v>244</v>
      </c>
      <c r="AD720" s="14" t="s">
        <v>243</v>
      </c>
      <c r="AE720" s="14" t="s">
        <v>243</v>
      </c>
      <c r="AF720" s="14" t="s">
        <v>166</v>
      </c>
      <c r="AG720" s="14" t="s">
        <v>246</v>
      </c>
      <c r="AH720" s="21">
        <v>1</v>
      </c>
      <c r="AI720" s="3">
        <f>HYPERLINK("https://my.pitchbook.com/?d=169207-66T","169207-66T")</f>
      </c>
      <c r="AJ720" s="19">
        <v>44267</v>
      </c>
      <c r="AK720" s="19">
        <v>44295</v>
      </c>
      <c r="AL720" s="18">
        <v>4.68</v>
      </c>
      <c r="AM720" s="14" t="s">
        <v>185</v>
      </c>
      <c r="AN720" s="18">
        <v>6</v>
      </c>
      <c r="AO720" s="18">
        <v>10.68</v>
      </c>
      <c r="AP720" s="14" t="s">
        <v>185</v>
      </c>
      <c r="AQ720" s="21" t="s">
        <v>166</v>
      </c>
      <c r="AR720" s="21" t="s">
        <v>166</v>
      </c>
      <c r="AS720" s="17">
        <v>46.84</v>
      </c>
      <c r="AT720" s="18">
        <v>4.68</v>
      </c>
      <c r="AU720" s="21" t="s">
        <v>186</v>
      </c>
      <c r="AV720" s="21" t="s">
        <v>166</v>
      </c>
      <c r="AW720" s="18">
        <v>0.53</v>
      </c>
      <c r="AX720" s="21" t="s">
        <v>166</v>
      </c>
      <c r="AY720" s="14" t="s">
        <v>217</v>
      </c>
      <c r="AZ720" s="14" t="s">
        <v>217</v>
      </c>
      <c r="BA720" s="14" t="s">
        <v>166</v>
      </c>
      <c r="BB720" s="21" t="s">
        <v>166</v>
      </c>
      <c r="BC720" s="14" t="s">
        <v>179</v>
      </c>
      <c r="BD720" s="14" t="s">
        <v>13813</v>
      </c>
      <c r="BE720" s="14" t="s">
        <v>189</v>
      </c>
      <c r="BF720" s="18">
        <v>4.68</v>
      </c>
      <c r="BG720" s="14" t="s">
        <v>190</v>
      </c>
      <c r="BH720" s="14" t="s">
        <v>166</v>
      </c>
      <c r="BI720" s="14" t="s">
        <v>166</v>
      </c>
      <c r="BJ720" s="18" t="s">
        <v>166</v>
      </c>
      <c r="BK720" s="18" t="s">
        <v>166</v>
      </c>
      <c r="BL720" s="14" t="s">
        <v>191</v>
      </c>
      <c r="BM720" s="14" t="s">
        <v>178</v>
      </c>
      <c r="BN720" s="14" t="s">
        <v>177</v>
      </c>
      <c r="BO720" s="22" t="s">
        <v>166</v>
      </c>
      <c r="BP720" s="14" t="s">
        <v>13814</v>
      </c>
      <c r="BQ720" s="21">
        <v>14</v>
      </c>
      <c r="BR720" s="14" t="s">
        <v>166</v>
      </c>
      <c r="BS720" s="21" t="s">
        <v>166</v>
      </c>
      <c r="BT720" s="14" t="s">
        <v>13815</v>
      </c>
      <c r="BU720" s="14" t="s">
        <v>166</v>
      </c>
      <c r="BV720" s="14" t="s">
        <v>13816</v>
      </c>
      <c r="BW720" s="14" t="s">
        <v>166</v>
      </c>
      <c r="BX720" s="14" t="s">
        <v>166</v>
      </c>
      <c r="BY720" s="14" t="s">
        <v>166</v>
      </c>
      <c r="BZ720" s="14" t="s">
        <v>13817</v>
      </c>
      <c r="CA720" s="14" t="s">
        <v>1232</v>
      </c>
      <c r="CB720" s="14" t="s">
        <v>166</v>
      </c>
      <c r="CC720" s="14" t="s">
        <v>13818</v>
      </c>
      <c r="CD720" s="14" t="s">
        <v>166</v>
      </c>
      <c r="CE720" s="18" t="s">
        <v>166</v>
      </c>
      <c r="CF720" s="16" t="s">
        <v>166</v>
      </c>
      <c r="CG720" s="17" t="s">
        <v>166</v>
      </c>
      <c r="CH720" s="16" t="s">
        <v>166</v>
      </c>
      <c r="CI720" s="16" t="s">
        <v>166</v>
      </c>
      <c r="CJ720" s="16" t="s">
        <v>166</v>
      </c>
      <c r="CK720" s="16" t="s">
        <v>166</v>
      </c>
      <c r="CL720" s="16" t="s">
        <v>166</v>
      </c>
      <c r="CM720" s="20" t="s">
        <v>166</v>
      </c>
      <c r="CN720" s="16" t="s">
        <v>166</v>
      </c>
      <c r="CO720" s="16" t="s">
        <v>166</v>
      </c>
      <c r="CP720" s="16" t="s">
        <v>166</v>
      </c>
      <c r="CQ720" s="16" t="s">
        <v>166</v>
      </c>
      <c r="CR720" s="16" t="s">
        <v>166</v>
      </c>
      <c r="CS720" s="16" t="s">
        <v>166</v>
      </c>
      <c r="CT720" s="16" t="s">
        <v>166</v>
      </c>
      <c r="CU720" s="16" t="s">
        <v>166</v>
      </c>
      <c r="CV720" s="16" t="s">
        <v>166</v>
      </c>
      <c r="CW720" s="16" t="s">
        <v>166</v>
      </c>
      <c r="CX720" s="16" t="s">
        <v>166</v>
      </c>
      <c r="CY720" s="16" t="s">
        <v>166</v>
      </c>
      <c r="CZ720" s="16" t="s">
        <v>166</v>
      </c>
      <c r="DA720" s="16" t="s">
        <v>166</v>
      </c>
      <c r="DB720" s="16" t="s">
        <v>166</v>
      </c>
      <c r="DC720" s="16" t="s">
        <v>166</v>
      </c>
      <c r="DD720" s="16" t="s">
        <v>166</v>
      </c>
      <c r="DE720" s="17" t="s">
        <v>166</v>
      </c>
      <c r="DF720" s="22">
        <v>20</v>
      </c>
      <c r="DG720" s="14" t="s">
        <v>309</v>
      </c>
      <c r="DH720" s="14" t="s">
        <v>193</v>
      </c>
      <c r="DI720" s="14" t="s">
        <v>194</v>
      </c>
      <c r="DJ720" s="14" t="s">
        <v>310</v>
      </c>
      <c r="DK720" s="14" t="s">
        <v>310</v>
      </c>
      <c r="DL720" s="21" t="s">
        <v>2881</v>
      </c>
      <c r="DM720" s="14" t="s">
        <v>198</v>
      </c>
      <c r="DN720" s="13" t="s">
        <v>13819</v>
      </c>
      <c r="DO720" s="20">
        <v>2017</v>
      </c>
      <c r="DP720" s="14" t="s">
        <v>166</v>
      </c>
      <c r="DQ720" s="14" t="s">
        <v>166</v>
      </c>
      <c r="DR720" s="18" t="s">
        <v>166</v>
      </c>
      <c r="DS720" s="16" t="s">
        <v>166</v>
      </c>
      <c r="DT720" s="19" t="s">
        <v>166</v>
      </c>
      <c r="DU720" s="14" t="s">
        <v>166</v>
      </c>
      <c r="DV720" s="18" t="s">
        <v>166</v>
      </c>
      <c r="DW720" s="18" t="s">
        <v>166</v>
      </c>
      <c r="DX720" s="16" t="s">
        <v>166</v>
      </c>
      <c r="DY720" s="16" t="s">
        <v>166</v>
      </c>
      <c r="DZ720" s="17" t="s">
        <v>166</v>
      </c>
      <c r="EA720" s="16" t="s">
        <v>166</v>
      </c>
      <c r="EB720" s="16" t="s">
        <v>166</v>
      </c>
      <c r="EC720" s="16" t="s">
        <v>166</v>
      </c>
      <c r="ED720" s="17" t="s">
        <v>166</v>
      </c>
      <c r="EE720" s="17" t="s">
        <v>166</v>
      </c>
      <c r="EF720" s="17" t="s">
        <v>166</v>
      </c>
      <c r="EG720" s="17" t="s">
        <v>166</v>
      </c>
      <c r="EH720" s="16" t="s">
        <v>166</v>
      </c>
      <c r="EI720" s="16" t="s">
        <v>166</v>
      </c>
      <c r="EJ720" s="16" t="s">
        <v>166</v>
      </c>
      <c r="EK720" s="16" t="s">
        <v>166</v>
      </c>
      <c r="EL720" s="16" t="s">
        <v>166</v>
      </c>
      <c r="EM720" s="16" t="s">
        <v>166</v>
      </c>
      <c r="EN720" s="16" t="s">
        <v>166</v>
      </c>
      <c r="EO720" s="16" t="s">
        <v>166</v>
      </c>
      <c r="EP720" s="16" t="s">
        <v>166</v>
      </c>
      <c r="EQ720" s="16" t="s">
        <v>166</v>
      </c>
      <c r="ER720" s="16" t="s">
        <v>166</v>
      </c>
      <c r="ES720" s="16" t="s">
        <v>166</v>
      </c>
      <c r="ET720" s="14" t="s">
        <v>166</v>
      </c>
      <c r="EU720" s="16" t="s">
        <v>166</v>
      </c>
      <c r="EV720" s="16" t="s">
        <v>166</v>
      </c>
      <c r="EW720" s="16" t="s">
        <v>166</v>
      </c>
      <c r="EX720" s="14" t="s">
        <v>190</v>
      </c>
      <c r="EY720" s="14" t="s">
        <v>166</v>
      </c>
      <c r="EZ720" s="16" t="s">
        <v>166</v>
      </c>
      <c r="FA720" s="15" t="s">
        <v>166</v>
      </c>
      <c r="FB720" s="15" t="s">
        <v>166</v>
      </c>
      <c r="FC720" s="15" t="s">
        <v>166</v>
      </c>
      <c r="FD720" s="15" t="s">
        <v>166</v>
      </c>
      <c r="FE720" s="15" t="s">
        <v>166</v>
      </c>
      <c r="FF720" s="15" t="s">
        <v>166</v>
      </c>
      <c r="FG720" s="14" t="s">
        <v>166</v>
      </c>
      <c r="FH720" s="3">
        <f>HYPERLINK("https://my.pitchbook.com?c=169207-66T","View Company Online")</f>
      </c>
    </row>
    <row r="721">
      <c r="A721" s="25" t="s">
        <v>13820</v>
      </c>
      <c r="B721" s="25" t="s">
        <v>13821</v>
      </c>
      <c r="C721" s="25" t="s">
        <v>13822</v>
      </c>
      <c r="D721" s="25" t="s">
        <v>166</v>
      </c>
      <c r="E721" s="34" t="s">
        <v>13823</v>
      </c>
      <c r="F721" s="32">
        <v>15</v>
      </c>
      <c r="G721" s="25" t="s">
        <v>13824</v>
      </c>
      <c r="H721" s="25" t="s">
        <v>166</v>
      </c>
      <c r="I721" s="25" t="s">
        <v>13825</v>
      </c>
      <c r="J721" s="25" t="s">
        <v>13826</v>
      </c>
      <c r="K721" s="25" t="s">
        <v>1455</v>
      </c>
      <c r="L721" s="25" t="s">
        <v>1456</v>
      </c>
      <c r="M721" s="25" t="s">
        <v>13827</v>
      </c>
      <c r="N721" s="25" t="s">
        <v>13828</v>
      </c>
      <c r="O721" s="25" t="s">
        <v>1842</v>
      </c>
      <c r="P721" s="25" t="s">
        <v>13829</v>
      </c>
      <c r="Q721" s="25" t="s">
        <v>166</v>
      </c>
      <c r="R721" s="25" t="s">
        <v>177</v>
      </c>
      <c r="S721" s="25" t="s">
        <v>178</v>
      </c>
      <c r="T721" s="25" t="s">
        <v>179</v>
      </c>
      <c r="U721" s="25" t="s">
        <v>13830</v>
      </c>
      <c r="V721" s="25" t="s">
        <v>13831</v>
      </c>
      <c r="W721" s="32" t="s">
        <v>166</v>
      </c>
      <c r="X721" s="25" t="s">
        <v>13832</v>
      </c>
      <c r="Y721" s="25" t="s">
        <v>13833</v>
      </c>
      <c r="Z721" s="25" t="s">
        <v>13834</v>
      </c>
      <c r="AA721" s="25" t="s">
        <v>242</v>
      </c>
      <c r="AB721" s="25" t="s">
        <v>243</v>
      </c>
      <c r="AC721" s="25" t="s">
        <v>244</v>
      </c>
      <c r="AD721" s="25" t="s">
        <v>243</v>
      </c>
      <c r="AE721" s="25" t="s">
        <v>243</v>
      </c>
      <c r="AF721" s="25" t="s">
        <v>245</v>
      </c>
      <c r="AG721" s="25" t="s">
        <v>807</v>
      </c>
      <c r="AH721" s="32">
        <v>8</v>
      </c>
      <c r="AI721" s="4">
        <f>HYPERLINK("https://my.pitchbook.com/?d=167083-66T","167083-66T")</f>
      </c>
      <c r="AJ721" s="30" t="s">
        <v>166</v>
      </c>
      <c r="AK721" s="30">
        <v>44106</v>
      </c>
      <c r="AL721" s="29">
        <v>8.5</v>
      </c>
      <c r="AM721" s="25" t="s">
        <v>185</v>
      </c>
      <c r="AN721" s="29">
        <v>17.5</v>
      </c>
      <c r="AO721" s="29">
        <v>26</v>
      </c>
      <c r="AP721" s="25" t="s">
        <v>185</v>
      </c>
      <c r="AQ721" s="32" t="s">
        <v>166</v>
      </c>
      <c r="AR721" s="32" t="s">
        <v>166</v>
      </c>
      <c r="AS721" s="28">
        <v>32.69</v>
      </c>
      <c r="AT721" s="29">
        <v>8.64</v>
      </c>
      <c r="AU721" s="32" t="s">
        <v>186</v>
      </c>
      <c r="AV721" s="32" t="s">
        <v>166</v>
      </c>
      <c r="AW721" s="29">
        <v>1.69</v>
      </c>
      <c r="AX721" s="32" t="s">
        <v>166</v>
      </c>
      <c r="AY721" s="25" t="s">
        <v>217</v>
      </c>
      <c r="AZ721" s="25" t="s">
        <v>217</v>
      </c>
      <c r="BA721" s="25" t="s">
        <v>166</v>
      </c>
      <c r="BB721" s="32" t="s">
        <v>166</v>
      </c>
      <c r="BC721" s="25" t="s">
        <v>179</v>
      </c>
      <c r="BD721" s="25" t="s">
        <v>13835</v>
      </c>
      <c r="BE721" s="25" t="s">
        <v>189</v>
      </c>
      <c r="BF721" s="29">
        <v>8.5</v>
      </c>
      <c r="BG721" s="25" t="s">
        <v>190</v>
      </c>
      <c r="BH721" s="25" t="s">
        <v>166</v>
      </c>
      <c r="BI721" s="25" t="s">
        <v>166</v>
      </c>
      <c r="BJ721" s="29" t="s">
        <v>166</v>
      </c>
      <c r="BK721" s="29" t="s">
        <v>166</v>
      </c>
      <c r="BL721" s="25" t="s">
        <v>191</v>
      </c>
      <c r="BM721" s="25" t="s">
        <v>178</v>
      </c>
      <c r="BN721" s="25" t="s">
        <v>177</v>
      </c>
      <c r="BO721" s="33" t="s">
        <v>166</v>
      </c>
      <c r="BP721" s="25" t="s">
        <v>13836</v>
      </c>
      <c r="BQ721" s="32">
        <v>15</v>
      </c>
      <c r="BR721" s="25" t="s">
        <v>166</v>
      </c>
      <c r="BS721" s="32" t="s">
        <v>166</v>
      </c>
      <c r="BT721" s="25" t="s">
        <v>13837</v>
      </c>
      <c r="BU721" s="25" t="s">
        <v>166</v>
      </c>
      <c r="BV721" s="25" t="s">
        <v>13838</v>
      </c>
      <c r="BW721" s="25" t="s">
        <v>166</v>
      </c>
      <c r="BX721" s="25" t="s">
        <v>166</v>
      </c>
      <c r="BY721" s="25" t="s">
        <v>166</v>
      </c>
      <c r="BZ721" s="25" t="s">
        <v>1232</v>
      </c>
      <c r="CA721" s="25" t="s">
        <v>1232</v>
      </c>
      <c r="CB721" s="25" t="s">
        <v>166</v>
      </c>
      <c r="CC721" s="25" t="s">
        <v>166</v>
      </c>
      <c r="CD721" s="25" t="s">
        <v>166</v>
      </c>
      <c r="CE721" s="29" t="s">
        <v>166</v>
      </c>
      <c r="CF721" s="27" t="s">
        <v>166</v>
      </c>
      <c r="CG721" s="28" t="s">
        <v>166</v>
      </c>
      <c r="CH721" s="27" t="s">
        <v>166</v>
      </c>
      <c r="CI721" s="27" t="s">
        <v>166</v>
      </c>
      <c r="CJ721" s="27" t="s">
        <v>166</v>
      </c>
      <c r="CK721" s="27" t="s">
        <v>166</v>
      </c>
      <c r="CL721" s="27" t="s">
        <v>166</v>
      </c>
      <c r="CM721" s="31" t="s">
        <v>166</v>
      </c>
      <c r="CN721" s="27" t="s">
        <v>166</v>
      </c>
      <c r="CO721" s="27" t="s">
        <v>166</v>
      </c>
      <c r="CP721" s="27" t="s">
        <v>166</v>
      </c>
      <c r="CQ721" s="27" t="s">
        <v>166</v>
      </c>
      <c r="CR721" s="27" t="s">
        <v>166</v>
      </c>
      <c r="CS721" s="27" t="s">
        <v>166</v>
      </c>
      <c r="CT721" s="27" t="s">
        <v>166</v>
      </c>
      <c r="CU721" s="27" t="s">
        <v>166</v>
      </c>
      <c r="CV721" s="27" t="s">
        <v>166</v>
      </c>
      <c r="CW721" s="27" t="s">
        <v>166</v>
      </c>
      <c r="CX721" s="27" t="s">
        <v>166</v>
      </c>
      <c r="CY721" s="27" t="s">
        <v>166</v>
      </c>
      <c r="CZ721" s="27" t="s">
        <v>166</v>
      </c>
      <c r="DA721" s="27" t="s">
        <v>166</v>
      </c>
      <c r="DB721" s="27" t="s">
        <v>166</v>
      </c>
      <c r="DC721" s="27" t="s">
        <v>166</v>
      </c>
      <c r="DD721" s="27" t="s">
        <v>166</v>
      </c>
      <c r="DE721" s="28" t="s">
        <v>166</v>
      </c>
      <c r="DF721" s="33">
        <v>56</v>
      </c>
      <c r="DG721" s="25" t="s">
        <v>309</v>
      </c>
      <c r="DH721" s="25" t="s">
        <v>193</v>
      </c>
      <c r="DI721" s="25" t="s">
        <v>194</v>
      </c>
      <c r="DJ721" s="25" t="s">
        <v>310</v>
      </c>
      <c r="DK721" s="25" t="s">
        <v>310</v>
      </c>
      <c r="DL721" s="32" t="s">
        <v>2036</v>
      </c>
      <c r="DM721" s="25" t="s">
        <v>198</v>
      </c>
      <c r="DN721" s="24" t="s">
        <v>13839</v>
      </c>
      <c r="DO721" s="31">
        <v>2012</v>
      </c>
      <c r="DP721" s="25" t="s">
        <v>166</v>
      </c>
      <c r="DQ721" s="25" t="s">
        <v>166</v>
      </c>
      <c r="DR721" s="29" t="s">
        <v>166</v>
      </c>
      <c r="DS721" s="27" t="s">
        <v>166</v>
      </c>
      <c r="DT721" s="30" t="s">
        <v>166</v>
      </c>
      <c r="DU721" s="25" t="s">
        <v>166</v>
      </c>
      <c r="DV721" s="29" t="s">
        <v>166</v>
      </c>
      <c r="DW721" s="29" t="s">
        <v>166</v>
      </c>
      <c r="DX721" s="27" t="s">
        <v>166</v>
      </c>
      <c r="DY721" s="27" t="s">
        <v>166</v>
      </c>
      <c r="DZ721" s="28" t="s">
        <v>166</v>
      </c>
      <c r="EA721" s="27" t="s">
        <v>166</v>
      </c>
      <c r="EB721" s="27" t="s">
        <v>166</v>
      </c>
      <c r="EC721" s="27" t="s">
        <v>166</v>
      </c>
      <c r="ED721" s="28" t="s">
        <v>166</v>
      </c>
      <c r="EE721" s="28" t="s">
        <v>166</v>
      </c>
      <c r="EF721" s="28" t="s">
        <v>166</v>
      </c>
      <c r="EG721" s="28" t="s">
        <v>166</v>
      </c>
      <c r="EH721" s="27" t="s">
        <v>166</v>
      </c>
      <c r="EI721" s="27" t="s">
        <v>166</v>
      </c>
      <c r="EJ721" s="27" t="s">
        <v>166</v>
      </c>
      <c r="EK721" s="27" t="s">
        <v>166</v>
      </c>
      <c r="EL721" s="27" t="s">
        <v>166</v>
      </c>
      <c r="EM721" s="27" t="s">
        <v>166</v>
      </c>
      <c r="EN721" s="27" t="s">
        <v>166</v>
      </c>
      <c r="EO721" s="27" t="s">
        <v>166</v>
      </c>
      <c r="EP721" s="27" t="s">
        <v>166</v>
      </c>
      <c r="EQ721" s="27" t="s">
        <v>166</v>
      </c>
      <c r="ER721" s="27" t="s">
        <v>166</v>
      </c>
      <c r="ES721" s="27" t="s">
        <v>166</v>
      </c>
      <c r="ET721" s="25" t="s">
        <v>166</v>
      </c>
      <c r="EU721" s="27" t="s">
        <v>166</v>
      </c>
      <c r="EV721" s="27" t="s">
        <v>166</v>
      </c>
      <c r="EW721" s="27" t="s">
        <v>166</v>
      </c>
      <c r="EX721" s="25" t="s">
        <v>190</v>
      </c>
      <c r="EY721" s="25" t="s">
        <v>166</v>
      </c>
      <c r="EZ721" s="27" t="s">
        <v>166</v>
      </c>
      <c r="FA721" s="26" t="s">
        <v>166</v>
      </c>
      <c r="FB721" s="26" t="s">
        <v>166</v>
      </c>
      <c r="FC721" s="26" t="s">
        <v>166</v>
      </c>
      <c r="FD721" s="26" t="s">
        <v>166</v>
      </c>
      <c r="FE721" s="26" t="s">
        <v>166</v>
      </c>
      <c r="FF721" s="26" t="s">
        <v>166</v>
      </c>
      <c r="FG721" s="25" t="s">
        <v>166</v>
      </c>
      <c r="FH721" s="4">
        <f>HYPERLINK("https://my.pitchbook.com?c=167083-66T","View Company Online")</f>
      </c>
    </row>
    <row r="722">
      <c r="A722" s="14" t="s">
        <v>13840</v>
      </c>
      <c r="B722" s="14" t="s">
        <v>13841</v>
      </c>
      <c r="C722" s="14" t="s">
        <v>13842</v>
      </c>
      <c r="D722" s="14" t="s">
        <v>166</v>
      </c>
      <c r="E722" s="23" t="s">
        <v>13843</v>
      </c>
      <c r="F722" s="21">
        <v>2</v>
      </c>
      <c r="G722" s="14" t="s">
        <v>13844</v>
      </c>
      <c r="H722" s="14" t="s">
        <v>166</v>
      </c>
      <c r="I722" s="14" t="s">
        <v>13845</v>
      </c>
      <c r="J722" s="14" t="s">
        <v>13846</v>
      </c>
      <c r="K722" s="14" t="s">
        <v>171</v>
      </c>
      <c r="L722" s="14" t="s">
        <v>10228</v>
      </c>
      <c r="M722" s="14" t="s">
        <v>10229</v>
      </c>
      <c r="N722" s="14" t="s">
        <v>13847</v>
      </c>
      <c r="O722" s="14" t="s">
        <v>13848</v>
      </c>
      <c r="P722" s="14" t="s">
        <v>13849</v>
      </c>
      <c r="Q722" s="14" t="s">
        <v>4762</v>
      </c>
      <c r="R722" s="14" t="s">
        <v>177</v>
      </c>
      <c r="S722" s="14" t="s">
        <v>178</v>
      </c>
      <c r="T722" s="14" t="s">
        <v>179</v>
      </c>
      <c r="U722" s="14" t="s">
        <v>13850</v>
      </c>
      <c r="V722" s="14" t="s">
        <v>13851</v>
      </c>
      <c r="W722" s="21" t="s">
        <v>166</v>
      </c>
      <c r="X722" s="14" t="s">
        <v>13852</v>
      </c>
      <c r="Y722" s="14" t="s">
        <v>13853</v>
      </c>
      <c r="Z722" s="14" t="s">
        <v>13854</v>
      </c>
      <c r="AA722" s="14" t="s">
        <v>242</v>
      </c>
      <c r="AB722" s="14" t="s">
        <v>243</v>
      </c>
      <c r="AC722" s="14" t="s">
        <v>244</v>
      </c>
      <c r="AD722" s="14" t="s">
        <v>243</v>
      </c>
      <c r="AE722" s="14" t="s">
        <v>243</v>
      </c>
      <c r="AF722" s="14" t="s">
        <v>245</v>
      </c>
      <c r="AG722" s="14" t="s">
        <v>246</v>
      </c>
      <c r="AH722" s="21">
        <v>1</v>
      </c>
      <c r="AI722" s="3">
        <f>HYPERLINK("https://my.pitchbook.com/?d=177096-43T","177096-43T")</f>
      </c>
      <c r="AJ722" s="19" t="s">
        <v>166</v>
      </c>
      <c r="AK722" s="19">
        <v>44390</v>
      </c>
      <c r="AL722" s="18">
        <v>0.2</v>
      </c>
      <c r="AM722" s="14" t="s">
        <v>185</v>
      </c>
      <c r="AN722" s="18">
        <v>1</v>
      </c>
      <c r="AO722" s="18">
        <v>1.15</v>
      </c>
      <c r="AP722" s="14" t="s">
        <v>185</v>
      </c>
      <c r="AQ722" s="21" t="s">
        <v>166</v>
      </c>
      <c r="AR722" s="21" t="s">
        <v>166</v>
      </c>
      <c r="AS722" s="17">
        <v>13.33</v>
      </c>
      <c r="AT722" s="18">
        <v>0.2</v>
      </c>
      <c r="AU722" s="21" t="s">
        <v>186</v>
      </c>
      <c r="AV722" s="21" t="s">
        <v>166</v>
      </c>
      <c r="AW722" s="18">
        <v>0.24</v>
      </c>
      <c r="AX722" s="21" t="s">
        <v>166</v>
      </c>
      <c r="AY722" s="14" t="s">
        <v>217</v>
      </c>
      <c r="AZ722" s="14" t="s">
        <v>217</v>
      </c>
      <c r="BA722" s="14" t="s">
        <v>166</v>
      </c>
      <c r="BB722" s="21" t="s">
        <v>166</v>
      </c>
      <c r="BC722" s="14" t="s">
        <v>179</v>
      </c>
      <c r="BD722" s="14" t="s">
        <v>13855</v>
      </c>
      <c r="BE722" s="14" t="s">
        <v>189</v>
      </c>
      <c r="BF722" s="18">
        <v>0.15</v>
      </c>
      <c r="BG722" s="14" t="s">
        <v>190</v>
      </c>
      <c r="BH722" s="14" t="s">
        <v>166</v>
      </c>
      <c r="BI722" s="14" t="s">
        <v>166</v>
      </c>
      <c r="BJ722" s="18">
        <v>0.05</v>
      </c>
      <c r="BK722" s="18" t="s">
        <v>166</v>
      </c>
      <c r="BL722" s="14" t="s">
        <v>191</v>
      </c>
      <c r="BM722" s="14" t="s">
        <v>358</v>
      </c>
      <c r="BN722" s="14" t="s">
        <v>177</v>
      </c>
      <c r="BO722" s="22" t="s">
        <v>166</v>
      </c>
      <c r="BP722" s="14" t="s">
        <v>13843</v>
      </c>
      <c r="BQ722" s="21">
        <v>2</v>
      </c>
      <c r="BR722" s="14" t="s">
        <v>166</v>
      </c>
      <c r="BS722" s="21" t="s">
        <v>166</v>
      </c>
      <c r="BT722" s="14" t="s">
        <v>166</v>
      </c>
      <c r="BU722" s="14" t="s">
        <v>166</v>
      </c>
      <c r="BV722" s="14" t="s">
        <v>166</v>
      </c>
      <c r="BW722" s="14" t="s">
        <v>166</v>
      </c>
      <c r="BX722" s="14" t="s">
        <v>166</v>
      </c>
      <c r="BY722" s="14" t="s">
        <v>166</v>
      </c>
      <c r="BZ722" s="14" t="s">
        <v>166</v>
      </c>
      <c r="CA722" s="14" t="s">
        <v>166</v>
      </c>
      <c r="CB722" s="14" t="s">
        <v>166</v>
      </c>
      <c r="CC722" s="14" t="s">
        <v>166</v>
      </c>
      <c r="CD722" s="14" t="s">
        <v>166</v>
      </c>
      <c r="CE722" s="18" t="s">
        <v>166</v>
      </c>
      <c r="CF722" s="16" t="s">
        <v>166</v>
      </c>
      <c r="CG722" s="17" t="s">
        <v>166</v>
      </c>
      <c r="CH722" s="16" t="s">
        <v>166</v>
      </c>
      <c r="CI722" s="16" t="s">
        <v>166</v>
      </c>
      <c r="CJ722" s="16" t="s">
        <v>166</v>
      </c>
      <c r="CK722" s="16" t="s">
        <v>166</v>
      </c>
      <c r="CL722" s="16" t="s">
        <v>166</v>
      </c>
      <c r="CM722" s="20" t="s">
        <v>166</v>
      </c>
      <c r="CN722" s="16" t="s">
        <v>166</v>
      </c>
      <c r="CO722" s="16" t="s">
        <v>166</v>
      </c>
      <c r="CP722" s="16" t="s">
        <v>166</v>
      </c>
      <c r="CQ722" s="16" t="s">
        <v>166</v>
      </c>
      <c r="CR722" s="16" t="s">
        <v>166</v>
      </c>
      <c r="CS722" s="16" t="s">
        <v>166</v>
      </c>
      <c r="CT722" s="16" t="s">
        <v>166</v>
      </c>
      <c r="CU722" s="16" t="s">
        <v>166</v>
      </c>
      <c r="CV722" s="16" t="s">
        <v>166</v>
      </c>
      <c r="CW722" s="16" t="s">
        <v>166</v>
      </c>
      <c r="CX722" s="16" t="s">
        <v>166</v>
      </c>
      <c r="CY722" s="16">
        <v>0.3</v>
      </c>
      <c r="CZ722" s="16" t="s">
        <v>166</v>
      </c>
      <c r="DA722" s="16" t="s">
        <v>166</v>
      </c>
      <c r="DB722" s="16" t="s">
        <v>166</v>
      </c>
      <c r="DC722" s="16" t="s">
        <v>166</v>
      </c>
      <c r="DD722" s="16" t="s">
        <v>166</v>
      </c>
      <c r="DE722" s="17" t="s">
        <v>166</v>
      </c>
      <c r="DF722" s="22">
        <v>10</v>
      </c>
      <c r="DG722" s="14" t="s">
        <v>3872</v>
      </c>
      <c r="DH722" s="14" t="s">
        <v>193</v>
      </c>
      <c r="DI722" s="14" t="s">
        <v>194</v>
      </c>
      <c r="DJ722" s="14" t="s">
        <v>3873</v>
      </c>
      <c r="DK722" s="14" t="s">
        <v>257</v>
      </c>
      <c r="DL722" s="21" t="s">
        <v>13856</v>
      </c>
      <c r="DM722" s="14" t="s">
        <v>198</v>
      </c>
      <c r="DN722" s="13" t="s">
        <v>13857</v>
      </c>
      <c r="DO722" s="20">
        <v>2019</v>
      </c>
      <c r="DP722" s="14" t="s">
        <v>166</v>
      </c>
      <c r="DQ722" s="14" t="s">
        <v>5771</v>
      </c>
      <c r="DR722" s="18">
        <v>0.05</v>
      </c>
      <c r="DS722" s="16" t="s">
        <v>166</v>
      </c>
      <c r="DT722" s="19" t="s">
        <v>166</v>
      </c>
      <c r="DU722" s="14" t="s">
        <v>166</v>
      </c>
      <c r="DV722" s="18" t="s">
        <v>166</v>
      </c>
      <c r="DW722" s="18" t="s">
        <v>166</v>
      </c>
      <c r="DX722" s="16" t="s">
        <v>166</v>
      </c>
      <c r="DY722" s="16" t="s">
        <v>166</v>
      </c>
      <c r="DZ722" s="17" t="s">
        <v>166</v>
      </c>
      <c r="EA722" s="16" t="s">
        <v>166</v>
      </c>
      <c r="EB722" s="16" t="s">
        <v>166</v>
      </c>
      <c r="EC722" s="16" t="s">
        <v>166</v>
      </c>
      <c r="ED722" s="17" t="s">
        <v>166</v>
      </c>
      <c r="EE722" s="17" t="s">
        <v>166</v>
      </c>
      <c r="EF722" s="17" t="s">
        <v>166</v>
      </c>
      <c r="EG722" s="17" t="s">
        <v>166</v>
      </c>
      <c r="EH722" s="16" t="s">
        <v>166</v>
      </c>
      <c r="EI722" s="16" t="s">
        <v>166</v>
      </c>
      <c r="EJ722" s="16" t="s">
        <v>166</v>
      </c>
      <c r="EK722" s="16" t="s">
        <v>166</v>
      </c>
      <c r="EL722" s="16" t="s">
        <v>166</v>
      </c>
      <c r="EM722" s="16" t="s">
        <v>166</v>
      </c>
      <c r="EN722" s="16" t="s">
        <v>166</v>
      </c>
      <c r="EO722" s="16" t="s">
        <v>166</v>
      </c>
      <c r="EP722" s="16" t="s">
        <v>166</v>
      </c>
      <c r="EQ722" s="16" t="s">
        <v>166</v>
      </c>
      <c r="ER722" s="16" t="s">
        <v>166</v>
      </c>
      <c r="ES722" s="16" t="s">
        <v>166</v>
      </c>
      <c r="ET722" s="14" t="s">
        <v>166</v>
      </c>
      <c r="EU722" s="16" t="s">
        <v>166</v>
      </c>
      <c r="EV722" s="16" t="s">
        <v>166</v>
      </c>
      <c r="EW722" s="16" t="s">
        <v>166</v>
      </c>
      <c r="EX722" s="14" t="s">
        <v>190</v>
      </c>
      <c r="EY722" s="14" t="s">
        <v>190</v>
      </c>
      <c r="EZ722" s="16" t="s">
        <v>166</v>
      </c>
      <c r="FA722" s="15" t="s">
        <v>166</v>
      </c>
      <c r="FB722" s="15" t="s">
        <v>166</v>
      </c>
      <c r="FC722" s="15" t="s">
        <v>166</v>
      </c>
      <c r="FD722" s="15" t="s">
        <v>166</v>
      </c>
      <c r="FE722" s="15" t="s">
        <v>166</v>
      </c>
      <c r="FF722" s="15" t="s">
        <v>166</v>
      </c>
      <c r="FG722" s="14" t="s">
        <v>166</v>
      </c>
      <c r="FH722" s="3">
        <f>HYPERLINK("https://my.pitchbook.com?c=177096-43T","View Company Online")</f>
      </c>
    </row>
    <row r="723">
      <c r="A723" s="25" t="s">
        <v>13858</v>
      </c>
      <c r="B723" s="25" t="s">
        <v>13859</v>
      </c>
      <c r="C723" s="25" t="s">
        <v>13860</v>
      </c>
      <c r="D723" s="25" t="s">
        <v>166</v>
      </c>
      <c r="E723" s="34" t="s">
        <v>13861</v>
      </c>
      <c r="F723" s="32">
        <v>8</v>
      </c>
      <c r="G723" s="25" t="s">
        <v>13862</v>
      </c>
      <c r="H723" s="25" t="s">
        <v>166</v>
      </c>
      <c r="I723" s="25" t="s">
        <v>13863</v>
      </c>
      <c r="J723" s="25" t="s">
        <v>13864</v>
      </c>
      <c r="K723" s="25" t="s">
        <v>207</v>
      </c>
      <c r="L723" s="25" t="s">
        <v>208</v>
      </c>
      <c r="M723" s="25" t="s">
        <v>209</v>
      </c>
      <c r="N723" s="25" t="s">
        <v>269</v>
      </c>
      <c r="O723" s="25" t="s">
        <v>13865</v>
      </c>
      <c r="P723" s="25" t="s">
        <v>13866</v>
      </c>
      <c r="Q723" s="25" t="s">
        <v>166</v>
      </c>
      <c r="R723" s="25" t="s">
        <v>177</v>
      </c>
      <c r="S723" s="25" t="s">
        <v>178</v>
      </c>
      <c r="T723" s="25" t="s">
        <v>179</v>
      </c>
      <c r="U723" s="25" t="s">
        <v>13867</v>
      </c>
      <c r="V723" s="25" t="s">
        <v>13868</v>
      </c>
      <c r="W723" s="32" t="s">
        <v>166</v>
      </c>
      <c r="X723" s="25" t="s">
        <v>166</v>
      </c>
      <c r="Y723" s="25" t="s">
        <v>13869</v>
      </c>
      <c r="Z723" s="25" t="s">
        <v>166</v>
      </c>
      <c r="AA723" s="25" t="s">
        <v>166</v>
      </c>
      <c r="AB723" s="25" t="s">
        <v>166</v>
      </c>
      <c r="AC723" s="25" t="s">
        <v>166</v>
      </c>
      <c r="AD723" s="25" t="s">
        <v>166</v>
      </c>
      <c r="AE723" s="25" t="s">
        <v>166</v>
      </c>
      <c r="AF723" s="25" t="s">
        <v>166</v>
      </c>
      <c r="AG723" s="25" t="s">
        <v>166</v>
      </c>
      <c r="AH723" s="32">
        <v>1</v>
      </c>
      <c r="AI723" s="4">
        <f>HYPERLINK("https://my.pitchbook.com/?d=249659-74T","249659-74T")</f>
      </c>
      <c r="AJ723" s="30" t="s">
        <v>166</v>
      </c>
      <c r="AK723" s="30">
        <v>45309</v>
      </c>
      <c r="AL723" s="29">
        <v>12</v>
      </c>
      <c r="AM723" s="25" t="s">
        <v>185</v>
      </c>
      <c r="AN723" s="29" t="s">
        <v>166</v>
      </c>
      <c r="AO723" s="29" t="s">
        <v>166</v>
      </c>
      <c r="AP723" s="25" t="s">
        <v>166</v>
      </c>
      <c r="AQ723" s="32" t="s">
        <v>166</v>
      </c>
      <c r="AR723" s="32" t="s">
        <v>166</v>
      </c>
      <c r="AS723" s="28" t="s">
        <v>166</v>
      </c>
      <c r="AT723" s="29">
        <v>12</v>
      </c>
      <c r="AU723" s="32" t="s">
        <v>186</v>
      </c>
      <c r="AV723" s="32" t="s">
        <v>166</v>
      </c>
      <c r="AW723" s="29" t="s">
        <v>166</v>
      </c>
      <c r="AX723" s="32" t="s">
        <v>248</v>
      </c>
      <c r="AY723" s="25" t="s">
        <v>187</v>
      </c>
      <c r="AZ723" s="25" t="s">
        <v>248</v>
      </c>
      <c r="BA723" s="25" t="s">
        <v>166</v>
      </c>
      <c r="BB723" s="32" t="s">
        <v>166</v>
      </c>
      <c r="BC723" s="25" t="s">
        <v>179</v>
      </c>
      <c r="BD723" s="25" t="s">
        <v>13870</v>
      </c>
      <c r="BE723" s="25" t="s">
        <v>189</v>
      </c>
      <c r="BF723" s="29">
        <v>12</v>
      </c>
      <c r="BG723" s="25" t="s">
        <v>190</v>
      </c>
      <c r="BH723" s="25" t="s">
        <v>166</v>
      </c>
      <c r="BI723" s="25" t="s">
        <v>166</v>
      </c>
      <c r="BJ723" s="29" t="s">
        <v>166</v>
      </c>
      <c r="BK723" s="29" t="s">
        <v>166</v>
      </c>
      <c r="BL723" s="25" t="s">
        <v>191</v>
      </c>
      <c r="BM723" s="25" t="s">
        <v>178</v>
      </c>
      <c r="BN723" s="25" t="s">
        <v>177</v>
      </c>
      <c r="BO723" s="33" t="s">
        <v>166</v>
      </c>
      <c r="BP723" s="25" t="s">
        <v>13871</v>
      </c>
      <c r="BQ723" s="32">
        <v>8</v>
      </c>
      <c r="BR723" s="25" t="s">
        <v>166</v>
      </c>
      <c r="BS723" s="32" t="s">
        <v>166</v>
      </c>
      <c r="BT723" s="25" t="s">
        <v>13872</v>
      </c>
      <c r="BU723" s="25" t="s">
        <v>166</v>
      </c>
      <c r="BV723" s="25" t="s">
        <v>13873</v>
      </c>
      <c r="BW723" s="25" t="s">
        <v>166</v>
      </c>
      <c r="BX723" s="25" t="s">
        <v>166</v>
      </c>
      <c r="BY723" s="25" t="s">
        <v>166</v>
      </c>
      <c r="BZ723" s="25" t="s">
        <v>166</v>
      </c>
      <c r="CA723" s="25" t="s">
        <v>166</v>
      </c>
      <c r="CB723" s="25" t="s">
        <v>166</v>
      </c>
      <c r="CC723" s="25" t="s">
        <v>166</v>
      </c>
      <c r="CD723" s="25" t="s">
        <v>166</v>
      </c>
      <c r="CE723" s="29" t="s">
        <v>166</v>
      </c>
      <c r="CF723" s="27" t="s">
        <v>166</v>
      </c>
      <c r="CG723" s="28" t="s">
        <v>166</v>
      </c>
      <c r="CH723" s="27" t="s">
        <v>166</v>
      </c>
      <c r="CI723" s="27" t="s">
        <v>166</v>
      </c>
      <c r="CJ723" s="27" t="s">
        <v>166</v>
      </c>
      <c r="CK723" s="27" t="s">
        <v>166</v>
      </c>
      <c r="CL723" s="27" t="s">
        <v>166</v>
      </c>
      <c r="CM723" s="31" t="s">
        <v>166</v>
      </c>
      <c r="CN723" s="27" t="s">
        <v>166</v>
      </c>
      <c r="CO723" s="27" t="s">
        <v>166</v>
      </c>
      <c r="CP723" s="27" t="s">
        <v>166</v>
      </c>
      <c r="CQ723" s="27" t="s">
        <v>166</v>
      </c>
      <c r="CR723" s="27" t="s">
        <v>166</v>
      </c>
      <c r="CS723" s="27" t="s">
        <v>166</v>
      </c>
      <c r="CT723" s="27" t="s">
        <v>166</v>
      </c>
      <c r="CU723" s="27" t="s">
        <v>166</v>
      </c>
      <c r="CV723" s="27" t="s">
        <v>166</v>
      </c>
      <c r="CW723" s="27" t="s">
        <v>166</v>
      </c>
      <c r="CX723" s="27" t="s">
        <v>166</v>
      </c>
      <c r="CY723" s="27" t="s">
        <v>166</v>
      </c>
      <c r="CZ723" s="27" t="s">
        <v>166</v>
      </c>
      <c r="DA723" s="27" t="s">
        <v>166</v>
      </c>
      <c r="DB723" s="27" t="s">
        <v>166</v>
      </c>
      <c r="DC723" s="27" t="s">
        <v>166</v>
      </c>
      <c r="DD723" s="27" t="s">
        <v>166</v>
      </c>
      <c r="DE723" s="28" t="s">
        <v>166</v>
      </c>
      <c r="DF723" s="33">
        <v>18</v>
      </c>
      <c r="DG723" s="25" t="s">
        <v>673</v>
      </c>
      <c r="DH723" s="25" t="s">
        <v>193</v>
      </c>
      <c r="DI723" s="25" t="s">
        <v>194</v>
      </c>
      <c r="DJ723" s="25" t="s">
        <v>674</v>
      </c>
      <c r="DK723" s="25" t="s">
        <v>257</v>
      </c>
      <c r="DL723" s="32" t="s">
        <v>1599</v>
      </c>
      <c r="DM723" s="25" t="s">
        <v>198</v>
      </c>
      <c r="DN723" s="24" t="s">
        <v>13874</v>
      </c>
      <c r="DO723" s="31">
        <v>2022</v>
      </c>
      <c r="DP723" s="25" t="s">
        <v>166</v>
      </c>
      <c r="DQ723" s="25" t="s">
        <v>166</v>
      </c>
      <c r="DR723" s="29" t="s">
        <v>166</v>
      </c>
      <c r="DS723" s="27" t="s">
        <v>166</v>
      </c>
      <c r="DT723" s="30" t="s">
        <v>166</v>
      </c>
      <c r="DU723" s="25" t="s">
        <v>166</v>
      </c>
      <c r="DV723" s="29" t="s">
        <v>166</v>
      </c>
      <c r="DW723" s="29" t="s">
        <v>166</v>
      </c>
      <c r="DX723" s="27" t="s">
        <v>166</v>
      </c>
      <c r="DY723" s="27" t="s">
        <v>166</v>
      </c>
      <c r="DZ723" s="28" t="s">
        <v>166</v>
      </c>
      <c r="EA723" s="27" t="s">
        <v>166</v>
      </c>
      <c r="EB723" s="27" t="s">
        <v>166</v>
      </c>
      <c r="EC723" s="27" t="s">
        <v>166</v>
      </c>
      <c r="ED723" s="28" t="s">
        <v>166</v>
      </c>
      <c r="EE723" s="28" t="s">
        <v>166</v>
      </c>
      <c r="EF723" s="28" t="s">
        <v>166</v>
      </c>
      <c r="EG723" s="28" t="s">
        <v>166</v>
      </c>
      <c r="EH723" s="27" t="s">
        <v>166</v>
      </c>
      <c r="EI723" s="27" t="s">
        <v>166</v>
      </c>
      <c r="EJ723" s="27" t="s">
        <v>166</v>
      </c>
      <c r="EK723" s="27" t="s">
        <v>166</v>
      </c>
      <c r="EL723" s="27" t="s">
        <v>166</v>
      </c>
      <c r="EM723" s="27" t="s">
        <v>166</v>
      </c>
      <c r="EN723" s="27" t="s">
        <v>166</v>
      </c>
      <c r="EO723" s="27" t="s">
        <v>166</v>
      </c>
      <c r="EP723" s="27" t="s">
        <v>166</v>
      </c>
      <c r="EQ723" s="27" t="s">
        <v>166</v>
      </c>
      <c r="ER723" s="27" t="s">
        <v>166</v>
      </c>
      <c r="ES723" s="27" t="s">
        <v>166</v>
      </c>
      <c r="ET723" s="25" t="s">
        <v>166</v>
      </c>
      <c r="EU723" s="27" t="s">
        <v>166</v>
      </c>
      <c r="EV723" s="27" t="s">
        <v>166</v>
      </c>
      <c r="EW723" s="27" t="s">
        <v>166</v>
      </c>
      <c r="EX723" s="25" t="s">
        <v>190</v>
      </c>
      <c r="EY723" s="25" t="s">
        <v>166</v>
      </c>
      <c r="EZ723" s="27" t="s">
        <v>166</v>
      </c>
      <c r="FA723" s="26" t="s">
        <v>166</v>
      </c>
      <c r="FB723" s="26" t="s">
        <v>166</v>
      </c>
      <c r="FC723" s="26" t="s">
        <v>166</v>
      </c>
      <c r="FD723" s="26" t="s">
        <v>166</v>
      </c>
      <c r="FE723" s="26" t="s">
        <v>166</v>
      </c>
      <c r="FF723" s="26" t="s">
        <v>166</v>
      </c>
      <c r="FG723" s="25" t="s">
        <v>166</v>
      </c>
      <c r="FH723" s="4">
        <f>HYPERLINK("https://my.pitchbook.com?c=249659-74T","View Company Online")</f>
      </c>
    </row>
    <row r="724">
      <c r="A724" s="14" t="s">
        <v>13875</v>
      </c>
      <c r="B724" s="14" t="s">
        <v>13876</v>
      </c>
      <c r="C724" s="14" t="s">
        <v>13877</v>
      </c>
      <c r="D724" s="14" t="s">
        <v>166</v>
      </c>
      <c r="E724" s="23" t="s">
        <v>13878</v>
      </c>
      <c r="F724" s="21">
        <v>19</v>
      </c>
      <c r="G724" s="14" t="s">
        <v>13879</v>
      </c>
      <c r="H724" s="14" t="s">
        <v>166</v>
      </c>
      <c r="I724" s="14" t="s">
        <v>13880</v>
      </c>
      <c r="J724" s="14" t="s">
        <v>13881</v>
      </c>
      <c r="K724" s="14" t="s">
        <v>207</v>
      </c>
      <c r="L724" s="14" t="s">
        <v>208</v>
      </c>
      <c r="M724" s="14" t="s">
        <v>209</v>
      </c>
      <c r="N724" s="14" t="s">
        <v>396</v>
      </c>
      <c r="O724" s="14" t="s">
        <v>800</v>
      </c>
      <c r="P724" s="14" t="s">
        <v>13882</v>
      </c>
      <c r="Q724" s="14" t="s">
        <v>166</v>
      </c>
      <c r="R724" s="14" t="s">
        <v>177</v>
      </c>
      <c r="S724" s="14" t="s">
        <v>178</v>
      </c>
      <c r="T724" s="14" t="s">
        <v>179</v>
      </c>
      <c r="U724" s="14" t="s">
        <v>13883</v>
      </c>
      <c r="V724" s="14" t="s">
        <v>13884</v>
      </c>
      <c r="W724" s="21" t="s">
        <v>13885</v>
      </c>
      <c r="X724" s="14" t="s">
        <v>13886</v>
      </c>
      <c r="Y724" s="14" t="s">
        <v>13887</v>
      </c>
      <c r="Z724" s="14" t="s">
        <v>166</v>
      </c>
      <c r="AA724" s="14" t="s">
        <v>166</v>
      </c>
      <c r="AB724" s="14" t="s">
        <v>166</v>
      </c>
      <c r="AC724" s="14" t="s">
        <v>166</v>
      </c>
      <c r="AD724" s="14" t="s">
        <v>166</v>
      </c>
      <c r="AE724" s="14" t="s">
        <v>166</v>
      </c>
      <c r="AF724" s="14" t="s">
        <v>166</v>
      </c>
      <c r="AG724" s="14" t="s">
        <v>166</v>
      </c>
      <c r="AH724" s="21">
        <v>4</v>
      </c>
      <c r="AI724" s="3">
        <f>HYPERLINK("https://my.pitchbook.com/?d=175150-00T","175150-00T")</f>
      </c>
      <c r="AJ724" s="19">
        <v>44589</v>
      </c>
      <c r="AK724" s="19">
        <v>44595</v>
      </c>
      <c r="AL724" s="18">
        <v>1.3</v>
      </c>
      <c r="AM724" s="14" t="s">
        <v>185</v>
      </c>
      <c r="AN724" s="18">
        <v>15</v>
      </c>
      <c r="AO724" s="18">
        <v>16.3</v>
      </c>
      <c r="AP724" s="14" t="s">
        <v>185</v>
      </c>
      <c r="AQ724" s="21" t="s">
        <v>166</v>
      </c>
      <c r="AR724" s="21" t="s">
        <v>166</v>
      </c>
      <c r="AS724" s="17">
        <v>23.3</v>
      </c>
      <c r="AT724" s="18">
        <v>1.32</v>
      </c>
      <c r="AU724" s="21" t="s">
        <v>186</v>
      </c>
      <c r="AV724" s="21" t="s">
        <v>166</v>
      </c>
      <c r="AW724" s="18">
        <v>1.11</v>
      </c>
      <c r="AX724" s="21" t="s">
        <v>166</v>
      </c>
      <c r="AY724" s="14" t="s">
        <v>217</v>
      </c>
      <c r="AZ724" s="14" t="s">
        <v>217</v>
      </c>
      <c r="BA724" s="14" t="s">
        <v>166</v>
      </c>
      <c r="BB724" s="21" t="s">
        <v>166</v>
      </c>
      <c r="BC724" s="14" t="s">
        <v>179</v>
      </c>
      <c r="BD724" s="14" t="s">
        <v>13888</v>
      </c>
      <c r="BE724" s="14" t="s">
        <v>189</v>
      </c>
      <c r="BF724" s="18">
        <v>1.3</v>
      </c>
      <c r="BG724" s="14" t="s">
        <v>190</v>
      </c>
      <c r="BH724" s="14" t="s">
        <v>166</v>
      </c>
      <c r="BI724" s="14" t="s">
        <v>166</v>
      </c>
      <c r="BJ724" s="18" t="s">
        <v>166</v>
      </c>
      <c r="BK724" s="18" t="s">
        <v>166</v>
      </c>
      <c r="BL724" s="14" t="s">
        <v>191</v>
      </c>
      <c r="BM724" s="14" t="s">
        <v>178</v>
      </c>
      <c r="BN724" s="14" t="s">
        <v>177</v>
      </c>
      <c r="BO724" s="22">
        <v>2</v>
      </c>
      <c r="BP724" s="14" t="s">
        <v>13889</v>
      </c>
      <c r="BQ724" s="21">
        <v>19</v>
      </c>
      <c r="BR724" s="14" t="s">
        <v>166</v>
      </c>
      <c r="BS724" s="21" t="s">
        <v>166</v>
      </c>
      <c r="BT724" s="14" t="s">
        <v>166</v>
      </c>
      <c r="BU724" s="14" t="s">
        <v>166</v>
      </c>
      <c r="BV724" s="14" t="s">
        <v>13890</v>
      </c>
      <c r="BW724" s="14" t="s">
        <v>166</v>
      </c>
      <c r="BX724" s="14" t="s">
        <v>166</v>
      </c>
      <c r="BY724" s="14" t="s">
        <v>166</v>
      </c>
      <c r="BZ724" s="14" t="s">
        <v>166</v>
      </c>
      <c r="CA724" s="14" t="s">
        <v>166</v>
      </c>
      <c r="CB724" s="14" t="s">
        <v>166</v>
      </c>
      <c r="CC724" s="14" t="s">
        <v>166</v>
      </c>
      <c r="CD724" s="14" t="s">
        <v>166</v>
      </c>
      <c r="CE724" s="18" t="s">
        <v>166</v>
      </c>
      <c r="CF724" s="16" t="s">
        <v>166</v>
      </c>
      <c r="CG724" s="17" t="s">
        <v>166</v>
      </c>
      <c r="CH724" s="16" t="s">
        <v>166</v>
      </c>
      <c r="CI724" s="16" t="s">
        <v>166</v>
      </c>
      <c r="CJ724" s="16" t="s">
        <v>166</v>
      </c>
      <c r="CK724" s="16" t="s">
        <v>166</v>
      </c>
      <c r="CL724" s="16" t="s">
        <v>166</v>
      </c>
      <c r="CM724" s="20" t="s">
        <v>166</v>
      </c>
      <c r="CN724" s="16" t="s">
        <v>166</v>
      </c>
      <c r="CO724" s="16" t="s">
        <v>166</v>
      </c>
      <c r="CP724" s="16" t="s">
        <v>166</v>
      </c>
      <c r="CQ724" s="16" t="s">
        <v>166</v>
      </c>
      <c r="CR724" s="16" t="s">
        <v>166</v>
      </c>
      <c r="CS724" s="16" t="s">
        <v>166</v>
      </c>
      <c r="CT724" s="16" t="s">
        <v>166</v>
      </c>
      <c r="CU724" s="16" t="s">
        <v>166</v>
      </c>
      <c r="CV724" s="16" t="s">
        <v>166</v>
      </c>
      <c r="CW724" s="16" t="s">
        <v>166</v>
      </c>
      <c r="CX724" s="16" t="s">
        <v>166</v>
      </c>
      <c r="CY724" s="16" t="s">
        <v>166</v>
      </c>
      <c r="CZ724" s="16" t="s">
        <v>166</v>
      </c>
      <c r="DA724" s="16" t="s">
        <v>166</v>
      </c>
      <c r="DB724" s="16" t="s">
        <v>166</v>
      </c>
      <c r="DC724" s="16" t="s">
        <v>166</v>
      </c>
      <c r="DD724" s="16" t="s">
        <v>166</v>
      </c>
      <c r="DE724" s="17" t="s">
        <v>166</v>
      </c>
      <c r="DF724" s="22">
        <v>20</v>
      </c>
      <c r="DG724" s="14" t="s">
        <v>309</v>
      </c>
      <c r="DH724" s="14" t="s">
        <v>193</v>
      </c>
      <c r="DI724" s="14" t="s">
        <v>194</v>
      </c>
      <c r="DJ724" s="14" t="s">
        <v>310</v>
      </c>
      <c r="DK724" s="14" t="s">
        <v>310</v>
      </c>
      <c r="DL724" s="21" t="s">
        <v>479</v>
      </c>
      <c r="DM724" s="14" t="s">
        <v>198</v>
      </c>
      <c r="DN724" s="13" t="s">
        <v>13891</v>
      </c>
      <c r="DO724" s="20">
        <v>2018</v>
      </c>
      <c r="DP724" s="14" t="s">
        <v>166</v>
      </c>
      <c r="DQ724" s="14" t="s">
        <v>166</v>
      </c>
      <c r="DR724" s="18" t="s">
        <v>166</v>
      </c>
      <c r="DS724" s="16" t="s">
        <v>166</v>
      </c>
      <c r="DT724" s="19" t="s">
        <v>166</v>
      </c>
      <c r="DU724" s="14" t="s">
        <v>166</v>
      </c>
      <c r="DV724" s="18" t="s">
        <v>166</v>
      </c>
      <c r="DW724" s="18" t="s">
        <v>166</v>
      </c>
      <c r="DX724" s="16" t="s">
        <v>166</v>
      </c>
      <c r="DY724" s="16" t="s">
        <v>166</v>
      </c>
      <c r="DZ724" s="17" t="s">
        <v>166</v>
      </c>
      <c r="EA724" s="16" t="s">
        <v>166</v>
      </c>
      <c r="EB724" s="16" t="s">
        <v>166</v>
      </c>
      <c r="EC724" s="16" t="s">
        <v>166</v>
      </c>
      <c r="ED724" s="17" t="s">
        <v>166</v>
      </c>
      <c r="EE724" s="17" t="s">
        <v>166</v>
      </c>
      <c r="EF724" s="17" t="s">
        <v>166</v>
      </c>
      <c r="EG724" s="17" t="s">
        <v>166</v>
      </c>
      <c r="EH724" s="16" t="s">
        <v>166</v>
      </c>
      <c r="EI724" s="16" t="s">
        <v>166</v>
      </c>
      <c r="EJ724" s="16" t="s">
        <v>166</v>
      </c>
      <c r="EK724" s="16" t="s">
        <v>166</v>
      </c>
      <c r="EL724" s="16" t="s">
        <v>166</v>
      </c>
      <c r="EM724" s="16" t="s">
        <v>166</v>
      </c>
      <c r="EN724" s="16" t="s">
        <v>166</v>
      </c>
      <c r="EO724" s="16" t="s">
        <v>166</v>
      </c>
      <c r="EP724" s="16" t="s">
        <v>166</v>
      </c>
      <c r="EQ724" s="16" t="s">
        <v>166</v>
      </c>
      <c r="ER724" s="16" t="s">
        <v>166</v>
      </c>
      <c r="ES724" s="16" t="s">
        <v>166</v>
      </c>
      <c r="ET724" s="14" t="s">
        <v>166</v>
      </c>
      <c r="EU724" s="16" t="s">
        <v>166</v>
      </c>
      <c r="EV724" s="16" t="s">
        <v>166</v>
      </c>
      <c r="EW724" s="16" t="s">
        <v>166</v>
      </c>
      <c r="EX724" s="14" t="s">
        <v>190</v>
      </c>
      <c r="EY724" s="14" t="s">
        <v>166</v>
      </c>
      <c r="EZ724" s="16" t="s">
        <v>166</v>
      </c>
      <c r="FA724" s="15">
        <v>6</v>
      </c>
      <c r="FB724" s="15">
        <v>1</v>
      </c>
      <c r="FC724" s="15">
        <v>2</v>
      </c>
      <c r="FD724" s="15">
        <v>4</v>
      </c>
      <c r="FE724" s="15" t="s">
        <v>166</v>
      </c>
      <c r="FF724" s="15" t="s">
        <v>166</v>
      </c>
      <c r="FG724" s="14" t="s">
        <v>457</v>
      </c>
      <c r="FH724" s="3">
        <f>HYPERLINK("https://my.pitchbook.com?c=175150-00T","View Company Online")</f>
      </c>
    </row>
    <row r="725">
      <c r="A725" s="25" t="s">
        <v>13892</v>
      </c>
      <c r="B725" s="25" t="s">
        <v>13893</v>
      </c>
      <c r="C725" s="25" t="s">
        <v>13894</v>
      </c>
      <c r="D725" s="25" t="s">
        <v>166</v>
      </c>
      <c r="E725" s="34" t="s">
        <v>13895</v>
      </c>
      <c r="F725" s="32">
        <v>2</v>
      </c>
      <c r="G725" s="25" t="s">
        <v>13896</v>
      </c>
      <c r="H725" s="25" t="s">
        <v>166</v>
      </c>
      <c r="I725" s="25" t="s">
        <v>13897</v>
      </c>
      <c r="J725" s="25" t="s">
        <v>13898</v>
      </c>
      <c r="K725" s="25" t="s">
        <v>207</v>
      </c>
      <c r="L725" s="25" t="s">
        <v>208</v>
      </c>
      <c r="M725" s="25" t="s">
        <v>209</v>
      </c>
      <c r="N725" s="25" t="s">
        <v>5087</v>
      </c>
      <c r="O725" s="25" t="s">
        <v>8233</v>
      </c>
      <c r="P725" s="25" t="s">
        <v>13899</v>
      </c>
      <c r="Q725" s="25" t="s">
        <v>2555</v>
      </c>
      <c r="R725" s="25" t="s">
        <v>177</v>
      </c>
      <c r="S725" s="25" t="s">
        <v>178</v>
      </c>
      <c r="T725" s="25" t="s">
        <v>179</v>
      </c>
      <c r="U725" s="25" t="s">
        <v>13900</v>
      </c>
      <c r="V725" s="25" t="s">
        <v>13901</v>
      </c>
      <c r="W725" s="32" t="s">
        <v>166</v>
      </c>
      <c r="X725" s="25" t="s">
        <v>166</v>
      </c>
      <c r="Y725" s="25" t="s">
        <v>13902</v>
      </c>
      <c r="Z725" s="25" t="s">
        <v>13903</v>
      </c>
      <c r="AA725" s="25" t="s">
        <v>242</v>
      </c>
      <c r="AB725" s="25" t="s">
        <v>243</v>
      </c>
      <c r="AC725" s="25" t="s">
        <v>244</v>
      </c>
      <c r="AD725" s="25" t="s">
        <v>243</v>
      </c>
      <c r="AE725" s="25" t="s">
        <v>243</v>
      </c>
      <c r="AF725" s="25" t="s">
        <v>166</v>
      </c>
      <c r="AG725" s="25" t="s">
        <v>807</v>
      </c>
      <c r="AH725" s="32">
        <v>2</v>
      </c>
      <c r="AI725" s="4">
        <f>HYPERLINK("https://my.pitchbook.com/?d=175093-75T","175093-75T")</f>
      </c>
      <c r="AJ725" s="30">
        <v>44358</v>
      </c>
      <c r="AK725" s="30">
        <v>44371</v>
      </c>
      <c r="AL725" s="29">
        <v>1.5</v>
      </c>
      <c r="AM725" s="25" t="s">
        <v>185</v>
      </c>
      <c r="AN725" s="29">
        <v>3</v>
      </c>
      <c r="AO725" s="29">
        <v>4.5</v>
      </c>
      <c r="AP725" s="25" t="s">
        <v>185</v>
      </c>
      <c r="AQ725" s="32" t="s">
        <v>166</v>
      </c>
      <c r="AR725" s="32" t="s">
        <v>166</v>
      </c>
      <c r="AS725" s="28">
        <v>33.33</v>
      </c>
      <c r="AT725" s="29">
        <v>1.6</v>
      </c>
      <c r="AU725" s="32" t="s">
        <v>186</v>
      </c>
      <c r="AV725" s="32" t="s">
        <v>166</v>
      </c>
      <c r="AW725" s="29">
        <v>0.35</v>
      </c>
      <c r="AX725" s="32" t="s">
        <v>166</v>
      </c>
      <c r="AY725" s="25" t="s">
        <v>217</v>
      </c>
      <c r="AZ725" s="25" t="s">
        <v>217</v>
      </c>
      <c r="BA725" s="25" t="s">
        <v>166</v>
      </c>
      <c r="BB725" s="32" t="s">
        <v>166</v>
      </c>
      <c r="BC725" s="25" t="s">
        <v>179</v>
      </c>
      <c r="BD725" s="25" t="s">
        <v>13904</v>
      </c>
      <c r="BE725" s="25" t="s">
        <v>189</v>
      </c>
      <c r="BF725" s="29">
        <v>1.5</v>
      </c>
      <c r="BG725" s="25" t="s">
        <v>190</v>
      </c>
      <c r="BH725" s="25" t="s">
        <v>166</v>
      </c>
      <c r="BI725" s="25" t="s">
        <v>166</v>
      </c>
      <c r="BJ725" s="29" t="s">
        <v>166</v>
      </c>
      <c r="BK725" s="29" t="s">
        <v>166</v>
      </c>
      <c r="BL725" s="25" t="s">
        <v>191</v>
      </c>
      <c r="BM725" s="25" t="s">
        <v>178</v>
      </c>
      <c r="BN725" s="25" t="s">
        <v>177</v>
      </c>
      <c r="BO725" s="33" t="s">
        <v>166</v>
      </c>
      <c r="BP725" s="25" t="s">
        <v>13905</v>
      </c>
      <c r="BQ725" s="32">
        <v>2</v>
      </c>
      <c r="BR725" s="25" t="s">
        <v>166</v>
      </c>
      <c r="BS725" s="32" t="s">
        <v>166</v>
      </c>
      <c r="BT725" s="25" t="s">
        <v>166</v>
      </c>
      <c r="BU725" s="25" t="s">
        <v>166</v>
      </c>
      <c r="BV725" s="25" t="s">
        <v>13906</v>
      </c>
      <c r="BW725" s="25" t="s">
        <v>166</v>
      </c>
      <c r="BX725" s="25" t="s">
        <v>166</v>
      </c>
      <c r="BY725" s="25" t="s">
        <v>166</v>
      </c>
      <c r="BZ725" s="25" t="s">
        <v>166</v>
      </c>
      <c r="CA725" s="25" t="s">
        <v>166</v>
      </c>
      <c r="CB725" s="25" t="s">
        <v>166</v>
      </c>
      <c r="CC725" s="25" t="s">
        <v>166</v>
      </c>
      <c r="CD725" s="25" t="s">
        <v>166</v>
      </c>
      <c r="CE725" s="29" t="s">
        <v>166</v>
      </c>
      <c r="CF725" s="27" t="s">
        <v>166</v>
      </c>
      <c r="CG725" s="28" t="s">
        <v>166</v>
      </c>
      <c r="CH725" s="27" t="s">
        <v>166</v>
      </c>
      <c r="CI725" s="27" t="s">
        <v>166</v>
      </c>
      <c r="CJ725" s="27" t="s">
        <v>166</v>
      </c>
      <c r="CK725" s="27" t="s">
        <v>166</v>
      </c>
      <c r="CL725" s="27" t="s">
        <v>166</v>
      </c>
      <c r="CM725" s="31" t="s">
        <v>166</v>
      </c>
      <c r="CN725" s="27" t="s">
        <v>166</v>
      </c>
      <c r="CO725" s="27" t="s">
        <v>166</v>
      </c>
      <c r="CP725" s="27" t="s">
        <v>166</v>
      </c>
      <c r="CQ725" s="27" t="s">
        <v>166</v>
      </c>
      <c r="CR725" s="27" t="s">
        <v>166</v>
      </c>
      <c r="CS725" s="27" t="s">
        <v>166</v>
      </c>
      <c r="CT725" s="27" t="s">
        <v>166</v>
      </c>
      <c r="CU725" s="27" t="s">
        <v>166</v>
      </c>
      <c r="CV725" s="27" t="s">
        <v>166</v>
      </c>
      <c r="CW725" s="27" t="s">
        <v>166</v>
      </c>
      <c r="CX725" s="27" t="s">
        <v>166</v>
      </c>
      <c r="CY725" s="27" t="s">
        <v>166</v>
      </c>
      <c r="CZ725" s="27" t="s">
        <v>166</v>
      </c>
      <c r="DA725" s="27" t="s">
        <v>166</v>
      </c>
      <c r="DB725" s="27" t="s">
        <v>166</v>
      </c>
      <c r="DC725" s="27" t="s">
        <v>166</v>
      </c>
      <c r="DD725" s="27" t="s">
        <v>166</v>
      </c>
      <c r="DE725" s="28" t="s">
        <v>166</v>
      </c>
      <c r="DF725" s="33">
        <v>2</v>
      </c>
      <c r="DG725" s="25" t="s">
        <v>13907</v>
      </c>
      <c r="DH725" s="25" t="s">
        <v>193</v>
      </c>
      <c r="DI725" s="25" t="s">
        <v>194</v>
      </c>
      <c r="DJ725" s="25" t="s">
        <v>13908</v>
      </c>
      <c r="DK725" s="25" t="s">
        <v>3521</v>
      </c>
      <c r="DL725" s="32" t="s">
        <v>13909</v>
      </c>
      <c r="DM725" s="25" t="s">
        <v>198</v>
      </c>
      <c r="DN725" s="24" t="s">
        <v>13910</v>
      </c>
      <c r="DO725" s="31">
        <v>2016</v>
      </c>
      <c r="DP725" s="25" t="s">
        <v>166</v>
      </c>
      <c r="DQ725" s="25" t="s">
        <v>166</v>
      </c>
      <c r="DR725" s="29" t="s">
        <v>166</v>
      </c>
      <c r="DS725" s="27" t="s">
        <v>166</v>
      </c>
      <c r="DT725" s="30" t="s">
        <v>166</v>
      </c>
      <c r="DU725" s="25" t="s">
        <v>166</v>
      </c>
      <c r="DV725" s="29" t="s">
        <v>166</v>
      </c>
      <c r="DW725" s="29" t="s">
        <v>166</v>
      </c>
      <c r="DX725" s="27" t="s">
        <v>166</v>
      </c>
      <c r="DY725" s="27" t="s">
        <v>166</v>
      </c>
      <c r="DZ725" s="28" t="s">
        <v>166</v>
      </c>
      <c r="EA725" s="27" t="s">
        <v>166</v>
      </c>
      <c r="EB725" s="27" t="s">
        <v>166</v>
      </c>
      <c r="EC725" s="27" t="s">
        <v>166</v>
      </c>
      <c r="ED725" s="28" t="s">
        <v>166</v>
      </c>
      <c r="EE725" s="28" t="s">
        <v>166</v>
      </c>
      <c r="EF725" s="28" t="s">
        <v>166</v>
      </c>
      <c r="EG725" s="28" t="s">
        <v>166</v>
      </c>
      <c r="EH725" s="27" t="s">
        <v>166</v>
      </c>
      <c r="EI725" s="27" t="s">
        <v>166</v>
      </c>
      <c r="EJ725" s="27" t="s">
        <v>166</v>
      </c>
      <c r="EK725" s="27" t="s">
        <v>166</v>
      </c>
      <c r="EL725" s="27" t="s">
        <v>166</v>
      </c>
      <c r="EM725" s="27" t="s">
        <v>166</v>
      </c>
      <c r="EN725" s="27" t="s">
        <v>166</v>
      </c>
      <c r="EO725" s="27" t="s">
        <v>166</v>
      </c>
      <c r="EP725" s="27" t="s">
        <v>166</v>
      </c>
      <c r="EQ725" s="27" t="s">
        <v>166</v>
      </c>
      <c r="ER725" s="27" t="s">
        <v>166</v>
      </c>
      <c r="ES725" s="27" t="s">
        <v>166</v>
      </c>
      <c r="ET725" s="25" t="s">
        <v>166</v>
      </c>
      <c r="EU725" s="27" t="s">
        <v>166</v>
      </c>
      <c r="EV725" s="27" t="s">
        <v>166</v>
      </c>
      <c r="EW725" s="27" t="s">
        <v>166</v>
      </c>
      <c r="EX725" s="25" t="s">
        <v>190</v>
      </c>
      <c r="EY725" s="25" t="s">
        <v>166</v>
      </c>
      <c r="EZ725" s="27" t="s">
        <v>166</v>
      </c>
      <c r="FA725" s="26" t="s">
        <v>166</v>
      </c>
      <c r="FB725" s="26" t="s">
        <v>166</v>
      </c>
      <c r="FC725" s="26" t="s">
        <v>166</v>
      </c>
      <c r="FD725" s="26" t="s">
        <v>166</v>
      </c>
      <c r="FE725" s="26" t="s">
        <v>166</v>
      </c>
      <c r="FF725" s="26" t="s">
        <v>166</v>
      </c>
      <c r="FG725" s="25" t="s">
        <v>166</v>
      </c>
      <c r="FH725" s="4">
        <f>HYPERLINK("https://my.pitchbook.com?c=175093-75T","View Company Online")</f>
      </c>
    </row>
    <row r="726">
      <c r="A726" s="14" t="s">
        <v>13911</v>
      </c>
      <c r="B726" s="14" t="s">
        <v>13912</v>
      </c>
      <c r="C726" s="14" t="s">
        <v>13913</v>
      </c>
      <c r="D726" s="14" t="s">
        <v>166</v>
      </c>
      <c r="E726" s="23" t="s">
        <v>13914</v>
      </c>
      <c r="F726" s="21">
        <v>3</v>
      </c>
      <c r="G726" s="14" t="s">
        <v>13915</v>
      </c>
      <c r="H726" s="14" t="s">
        <v>166</v>
      </c>
      <c r="I726" s="14" t="s">
        <v>13916</v>
      </c>
      <c r="J726" s="14" t="s">
        <v>13917</v>
      </c>
      <c r="K726" s="14" t="s">
        <v>207</v>
      </c>
      <c r="L726" s="14" t="s">
        <v>208</v>
      </c>
      <c r="M726" s="14" t="s">
        <v>209</v>
      </c>
      <c r="N726" s="14" t="s">
        <v>269</v>
      </c>
      <c r="O726" s="14" t="s">
        <v>5563</v>
      </c>
      <c r="P726" s="14" t="s">
        <v>13918</v>
      </c>
      <c r="Q726" s="14" t="s">
        <v>166</v>
      </c>
      <c r="R726" s="14" t="s">
        <v>177</v>
      </c>
      <c r="S726" s="14" t="s">
        <v>178</v>
      </c>
      <c r="T726" s="14" t="s">
        <v>179</v>
      </c>
      <c r="U726" s="14" t="s">
        <v>13919</v>
      </c>
      <c r="V726" s="14" t="s">
        <v>13920</v>
      </c>
      <c r="W726" s="21" t="s">
        <v>13921</v>
      </c>
      <c r="X726" s="14" t="s">
        <v>13922</v>
      </c>
      <c r="Y726" s="14" t="s">
        <v>13923</v>
      </c>
      <c r="Z726" s="14" t="s">
        <v>13924</v>
      </c>
      <c r="AA726" s="14" t="s">
        <v>166</v>
      </c>
      <c r="AB726" s="14" t="s">
        <v>166</v>
      </c>
      <c r="AC726" s="14" t="s">
        <v>166</v>
      </c>
      <c r="AD726" s="14" t="s">
        <v>166</v>
      </c>
      <c r="AE726" s="14" t="s">
        <v>166</v>
      </c>
      <c r="AF726" s="14" t="s">
        <v>166</v>
      </c>
      <c r="AG726" s="14" t="s">
        <v>166</v>
      </c>
      <c r="AH726" s="21">
        <v>2</v>
      </c>
      <c r="AI726" s="3">
        <f>HYPERLINK("https://my.pitchbook.com/?d=167015-89T","167015-89T")</f>
      </c>
      <c r="AJ726" s="19" t="s">
        <v>166</v>
      </c>
      <c r="AK726" s="19">
        <v>43831</v>
      </c>
      <c r="AL726" s="18">
        <v>0.03</v>
      </c>
      <c r="AM726" s="14" t="s">
        <v>185</v>
      </c>
      <c r="AN726" s="18" t="s">
        <v>166</v>
      </c>
      <c r="AO726" s="18" t="s">
        <v>166</v>
      </c>
      <c r="AP726" s="14" t="s">
        <v>166</v>
      </c>
      <c r="AQ726" s="21" t="s">
        <v>166</v>
      </c>
      <c r="AR726" s="21" t="s">
        <v>166</v>
      </c>
      <c r="AS726" s="17" t="s">
        <v>166</v>
      </c>
      <c r="AT726" s="18">
        <v>0.03</v>
      </c>
      <c r="AU726" s="21" t="s">
        <v>186</v>
      </c>
      <c r="AV726" s="21" t="s">
        <v>166</v>
      </c>
      <c r="AW726" s="18" t="s">
        <v>166</v>
      </c>
      <c r="AX726" s="21" t="s">
        <v>166</v>
      </c>
      <c r="AY726" s="14" t="s">
        <v>217</v>
      </c>
      <c r="AZ726" s="14" t="s">
        <v>217</v>
      </c>
      <c r="BA726" s="14" t="s">
        <v>166</v>
      </c>
      <c r="BB726" s="21" t="s">
        <v>166</v>
      </c>
      <c r="BC726" s="14" t="s">
        <v>179</v>
      </c>
      <c r="BD726" s="14" t="s">
        <v>13925</v>
      </c>
      <c r="BE726" s="14" t="s">
        <v>189</v>
      </c>
      <c r="BF726" s="18">
        <v>0.03</v>
      </c>
      <c r="BG726" s="14" t="s">
        <v>190</v>
      </c>
      <c r="BH726" s="14" t="s">
        <v>166</v>
      </c>
      <c r="BI726" s="14" t="s">
        <v>166</v>
      </c>
      <c r="BJ726" s="18" t="s">
        <v>166</v>
      </c>
      <c r="BK726" s="18" t="s">
        <v>166</v>
      </c>
      <c r="BL726" s="14" t="s">
        <v>191</v>
      </c>
      <c r="BM726" s="14" t="s">
        <v>178</v>
      </c>
      <c r="BN726" s="14" t="s">
        <v>177</v>
      </c>
      <c r="BO726" s="22" t="s">
        <v>166</v>
      </c>
      <c r="BP726" s="14" t="s">
        <v>13914</v>
      </c>
      <c r="BQ726" s="21">
        <v>3</v>
      </c>
      <c r="BR726" s="14" t="s">
        <v>166</v>
      </c>
      <c r="BS726" s="21" t="s">
        <v>166</v>
      </c>
      <c r="BT726" s="14" t="s">
        <v>166</v>
      </c>
      <c r="BU726" s="14" t="s">
        <v>166</v>
      </c>
      <c r="BV726" s="14" t="s">
        <v>13926</v>
      </c>
      <c r="BW726" s="14" t="s">
        <v>166</v>
      </c>
      <c r="BX726" s="14" t="s">
        <v>166</v>
      </c>
      <c r="BY726" s="14" t="s">
        <v>166</v>
      </c>
      <c r="BZ726" s="14" t="s">
        <v>166</v>
      </c>
      <c r="CA726" s="14" t="s">
        <v>166</v>
      </c>
      <c r="CB726" s="14" t="s">
        <v>166</v>
      </c>
      <c r="CC726" s="14" t="s">
        <v>166</v>
      </c>
      <c r="CD726" s="14" t="s">
        <v>166</v>
      </c>
      <c r="CE726" s="18" t="s">
        <v>166</v>
      </c>
      <c r="CF726" s="16" t="s">
        <v>166</v>
      </c>
      <c r="CG726" s="17" t="s">
        <v>166</v>
      </c>
      <c r="CH726" s="16" t="s">
        <v>166</v>
      </c>
      <c r="CI726" s="16" t="s">
        <v>166</v>
      </c>
      <c r="CJ726" s="16" t="s">
        <v>166</v>
      </c>
      <c r="CK726" s="16" t="s">
        <v>166</v>
      </c>
      <c r="CL726" s="16" t="s">
        <v>166</v>
      </c>
      <c r="CM726" s="20" t="s">
        <v>166</v>
      </c>
      <c r="CN726" s="16" t="s">
        <v>166</v>
      </c>
      <c r="CO726" s="16" t="s">
        <v>166</v>
      </c>
      <c r="CP726" s="16" t="s">
        <v>166</v>
      </c>
      <c r="CQ726" s="16" t="s">
        <v>166</v>
      </c>
      <c r="CR726" s="16" t="s">
        <v>166</v>
      </c>
      <c r="CS726" s="16" t="s">
        <v>166</v>
      </c>
      <c r="CT726" s="16" t="s">
        <v>166</v>
      </c>
      <c r="CU726" s="16" t="s">
        <v>166</v>
      </c>
      <c r="CV726" s="16" t="s">
        <v>166</v>
      </c>
      <c r="CW726" s="16" t="s">
        <v>166</v>
      </c>
      <c r="CX726" s="16" t="s">
        <v>166</v>
      </c>
      <c r="CY726" s="16" t="s">
        <v>166</v>
      </c>
      <c r="CZ726" s="16" t="s">
        <v>166</v>
      </c>
      <c r="DA726" s="16" t="s">
        <v>166</v>
      </c>
      <c r="DB726" s="16" t="s">
        <v>166</v>
      </c>
      <c r="DC726" s="16" t="s">
        <v>166</v>
      </c>
      <c r="DD726" s="16" t="s">
        <v>166</v>
      </c>
      <c r="DE726" s="17" t="s">
        <v>166</v>
      </c>
      <c r="DF726" s="22">
        <v>5</v>
      </c>
      <c r="DG726" s="14" t="s">
        <v>2367</v>
      </c>
      <c r="DH726" s="14" t="s">
        <v>193</v>
      </c>
      <c r="DI726" s="14" t="s">
        <v>194</v>
      </c>
      <c r="DJ726" s="14" t="s">
        <v>2368</v>
      </c>
      <c r="DK726" s="14" t="s">
        <v>2369</v>
      </c>
      <c r="DL726" s="21" t="s">
        <v>13927</v>
      </c>
      <c r="DM726" s="14" t="s">
        <v>198</v>
      </c>
      <c r="DN726" s="13" t="s">
        <v>13928</v>
      </c>
      <c r="DO726" s="20">
        <v>2018</v>
      </c>
      <c r="DP726" s="14" t="s">
        <v>166</v>
      </c>
      <c r="DQ726" s="14" t="s">
        <v>166</v>
      </c>
      <c r="DR726" s="18" t="s">
        <v>166</v>
      </c>
      <c r="DS726" s="16" t="s">
        <v>166</v>
      </c>
      <c r="DT726" s="19" t="s">
        <v>166</v>
      </c>
      <c r="DU726" s="14" t="s">
        <v>166</v>
      </c>
      <c r="DV726" s="18" t="s">
        <v>166</v>
      </c>
      <c r="DW726" s="18" t="s">
        <v>166</v>
      </c>
      <c r="DX726" s="16" t="s">
        <v>166</v>
      </c>
      <c r="DY726" s="16" t="s">
        <v>166</v>
      </c>
      <c r="DZ726" s="17" t="s">
        <v>166</v>
      </c>
      <c r="EA726" s="16" t="s">
        <v>166</v>
      </c>
      <c r="EB726" s="16" t="s">
        <v>166</v>
      </c>
      <c r="EC726" s="16" t="s">
        <v>166</v>
      </c>
      <c r="ED726" s="17" t="s">
        <v>166</v>
      </c>
      <c r="EE726" s="17" t="s">
        <v>166</v>
      </c>
      <c r="EF726" s="17" t="s">
        <v>166</v>
      </c>
      <c r="EG726" s="17" t="s">
        <v>166</v>
      </c>
      <c r="EH726" s="16" t="s">
        <v>166</v>
      </c>
      <c r="EI726" s="16" t="s">
        <v>166</v>
      </c>
      <c r="EJ726" s="16" t="s">
        <v>166</v>
      </c>
      <c r="EK726" s="16" t="s">
        <v>166</v>
      </c>
      <c r="EL726" s="16" t="s">
        <v>166</v>
      </c>
      <c r="EM726" s="16" t="s">
        <v>166</v>
      </c>
      <c r="EN726" s="16" t="s">
        <v>166</v>
      </c>
      <c r="EO726" s="16" t="s">
        <v>166</v>
      </c>
      <c r="EP726" s="16" t="s">
        <v>166</v>
      </c>
      <c r="EQ726" s="16" t="s">
        <v>166</v>
      </c>
      <c r="ER726" s="16" t="s">
        <v>166</v>
      </c>
      <c r="ES726" s="16" t="s">
        <v>166</v>
      </c>
      <c r="ET726" s="14" t="s">
        <v>166</v>
      </c>
      <c r="EU726" s="16" t="s">
        <v>166</v>
      </c>
      <c r="EV726" s="16" t="s">
        <v>166</v>
      </c>
      <c r="EW726" s="16" t="s">
        <v>166</v>
      </c>
      <c r="EX726" s="14" t="s">
        <v>190</v>
      </c>
      <c r="EY726" s="14" t="s">
        <v>166</v>
      </c>
      <c r="EZ726" s="16" t="s">
        <v>166</v>
      </c>
      <c r="FA726" s="15">
        <v>1</v>
      </c>
      <c r="FB726" s="15" t="s">
        <v>166</v>
      </c>
      <c r="FC726" s="15">
        <v>1</v>
      </c>
      <c r="FD726" s="15" t="s">
        <v>166</v>
      </c>
      <c r="FE726" s="15" t="s">
        <v>166</v>
      </c>
      <c r="FF726" s="15" t="s">
        <v>166</v>
      </c>
      <c r="FG726" s="14" t="s">
        <v>166</v>
      </c>
      <c r="FH726" s="3">
        <f>HYPERLINK("https://my.pitchbook.com?c=167015-89T","View Company Online")</f>
      </c>
    </row>
    <row r="727">
      <c r="A727" s="25" t="s">
        <v>13929</v>
      </c>
      <c r="B727" s="25" t="s">
        <v>13930</v>
      </c>
      <c r="C727" s="25" t="s">
        <v>13931</v>
      </c>
      <c r="D727" s="25" t="s">
        <v>166</v>
      </c>
      <c r="E727" s="34" t="s">
        <v>13932</v>
      </c>
      <c r="F727" s="32">
        <v>6</v>
      </c>
      <c r="G727" s="25" t="s">
        <v>13933</v>
      </c>
      <c r="H727" s="25" t="s">
        <v>166</v>
      </c>
      <c r="I727" s="25" t="s">
        <v>13934</v>
      </c>
      <c r="J727" s="25" t="s">
        <v>13935</v>
      </c>
      <c r="K727" s="25" t="s">
        <v>1455</v>
      </c>
      <c r="L727" s="25" t="s">
        <v>1456</v>
      </c>
      <c r="M727" s="25" t="s">
        <v>2760</v>
      </c>
      <c r="N727" s="25" t="s">
        <v>13936</v>
      </c>
      <c r="O727" s="25" t="s">
        <v>13937</v>
      </c>
      <c r="P727" s="25" t="s">
        <v>13938</v>
      </c>
      <c r="Q727" s="25" t="s">
        <v>8717</v>
      </c>
      <c r="R727" s="25" t="s">
        <v>177</v>
      </c>
      <c r="S727" s="25" t="s">
        <v>178</v>
      </c>
      <c r="T727" s="25" t="s">
        <v>179</v>
      </c>
      <c r="U727" s="25" t="s">
        <v>13939</v>
      </c>
      <c r="V727" s="25" t="s">
        <v>13940</v>
      </c>
      <c r="W727" s="32" t="s">
        <v>12337</v>
      </c>
      <c r="X727" s="25" t="s">
        <v>13941</v>
      </c>
      <c r="Y727" s="25" t="s">
        <v>13942</v>
      </c>
      <c r="Z727" s="25" t="s">
        <v>166</v>
      </c>
      <c r="AA727" s="25" t="s">
        <v>166</v>
      </c>
      <c r="AB727" s="25" t="s">
        <v>166</v>
      </c>
      <c r="AC727" s="25" t="s">
        <v>166</v>
      </c>
      <c r="AD727" s="25" t="s">
        <v>166</v>
      </c>
      <c r="AE727" s="25" t="s">
        <v>166</v>
      </c>
      <c r="AF727" s="25" t="s">
        <v>166</v>
      </c>
      <c r="AG727" s="25" t="s">
        <v>166</v>
      </c>
      <c r="AH727" s="32">
        <v>4</v>
      </c>
      <c r="AI727" s="4">
        <f>HYPERLINK("https://my.pitchbook.com/?d=175747-78T","175747-78T")</f>
      </c>
      <c r="AJ727" s="30">
        <v>44399</v>
      </c>
      <c r="AK727" s="30">
        <v>44501</v>
      </c>
      <c r="AL727" s="29">
        <v>0.09</v>
      </c>
      <c r="AM727" s="25" t="s">
        <v>185</v>
      </c>
      <c r="AN727" s="29" t="s">
        <v>166</v>
      </c>
      <c r="AO727" s="29" t="s">
        <v>166</v>
      </c>
      <c r="AP727" s="25" t="s">
        <v>166</v>
      </c>
      <c r="AQ727" s="32" t="s">
        <v>166</v>
      </c>
      <c r="AR727" s="32" t="s">
        <v>166</v>
      </c>
      <c r="AS727" s="28" t="s">
        <v>166</v>
      </c>
      <c r="AT727" s="29">
        <v>0.1</v>
      </c>
      <c r="AU727" s="32" t="s">
        <v>186</v>
      </c>
      <c r="AV727" s="32" t="s">
        <v>166</v>
      </c>
      <c r="AW727" s="29">
        <v>1</v>
      </c>
      <c r="AX727" s="32" t="s">
        <v>746</v>
      </c>
      <c r="AY727" s="25" t="s">
        <v>217</v>
      </c>
      <c r="AZ727" s="25" t="s">
        <v>746</v>
      </c>
      <c r="BA727" s="25" t="s">
        <v>166</v>
      </c>
      <c r="BB727" s="32" t="s">
        <v>166</v>
      </c>
      <c r="BC727" s="25" t="s">
        <v>179</v>
      </c>
      <c r="BD727" s="25" t="s">
        <v>13943</v>
      </c>
      <c r="BE727" s="25" t="s">
        <v>189</v>
      </c>
      <c r="BF727" s="29">
        <v>0.09</v>
      </c>
      <c r="BG727" s="25" t="s">
        <v>190</v>
      </c>
      <c r="BH727" s="25" t="s">
        <v>166</v>
      </c>
      <c r="BI727" s="25" t="s">
        <v>166</v>
      </c>
      <c r="BJ727" s="29" t="s">
        <v>166</v>
      </c>
      <c r="BK727" s="29" t="s">
        <v>166</v>
      </c>
      <c r="BL727" s="25" t="s">
        <v>191</v>
      </c>
      <c r="BM727" s="25" t="s">
        <v>178</v>
      </c>
      <c r="BN727" s="25" t="s">
        <v>177</v>
      </c>
      <c r="BO727" s="33" t="s">
        <v>166</v>
      </c>
      <c r="BP727" s="25" t="s">
        <v>13944</v>
      </c>
      <c r="BQ727" s="32">
        <v>6</v>
      </c>
      <c r="BR727" s="25" t="s">
        <v>166</v>
      </c>
      <c r="BS727" s="32" t="s">
        <v>166</v>
      </c>
      <c r="BT727" s="25" t="s">
        <v>166</v>
      </c>
      <c r="BU727" s="25" t="s">
        <v>166</v>
      </c>
      <c r="BV727" s="25" t="s">
        <v>166</v>
      </c>
      <c r="BW727" s="25" t="s">
        <v>166</v>
      </c>
      <c r="BX727" s="25" t="s">
        <v>166</v>
      </c>
      <c r="BY727" s="25" t="s">
        <v>166</v>
      </c>
      <c r="BZ727" s="25" t="s">
        <v>13945</v>
      </c>
      <c r="CA727" s="25" t="s">
        <v>13945</v>
      </c>
      <c r="CB727" s="25" t="s">
        <v>166</v>
      </c>
      <c r="CC727" s="25" t="s">
        <v>166</v>
      </c>
      <c r="CD727" s="25" t="s">
        <v>166</v>
      </c>
      <c r="CE727" s="29" t="s">
        <v>166</v>
      </c>
      <c r="CF727" s="27" t="s">
        <v>166</v>
      </c>
      <c r="CG727" s="28" t="s">
        <v>166</v>
      </c>
      <c r="CH727" s="27" t="s">
        <v>166</v>
      </c>
      <c r="CI727" s="27" t="s">
        <v>166</v>
      </c>
      <c r="CJ727" s="27" t="s">
        <v>166</v>
      </c>
      <c r="CK727" s="27" t="s">
        <v>166</v>
      </c>
      <c r="CL727" s="27" t="s">
        <v>166</v>
      </c>
      <c r="CM727" s="31" t="s">
        <v>166</v>
      </c>
      <c r="CN727" s="27" t="s">
        <v>166</v>
      </c>
      <c r="CO727" s="27" t="s">
        <v>166</v>
      </c>
      <c r="CP727" s="27" t="s">
        <v>166</v>
      </c>
      <c r="CQ727" s="27" t="s">
        <v>166</v>
      </c>
      <c r="CR727" s="27" t="s">
        <v>166</v>
      </c>
      <c r="CS727" s="27" t="s">
        <v>166</v>
      </c>
      <c r="CT727" s="27" t="s">
        <v>166</v>
      </c>
      <c r="CU727" s="27" t="s">
        <v>166</v>
      </c>
      <c r="CV727" s="27" t="s">
        <v>166</v>
      </c>
      <c r="CW727" s="27" t="s">
        <v>166</v>
      </c>
      <c r="CX727" s="27" t="s">
        <v>166</v>
      </c>
      <c r="CY727" s="27" t="s">
        <v>166</v>
      </c>
      <c r="CZ727" s="27" t="s">
        <v>166</v>
      </c>
      <c r="DA727" s="27" t="s">
        <v>166</v>
      </c>
      <c r="DB727" s="27" t="s">
        <v>166</v>
      </c>
      <c r="DC727" s="27" t="s">
        <v>166</v>
      </c>
      <c r="DD727" s="27" t="s">
        <v>166</v>
      </c>
      <c r="DE727" s="28" t="s">
        <v>166</v>
      </c>
      <c r="DF727" s="33">
        <v>8</v>
      </c>
      <c r="DG727" s="25" t="s">
        <v>6681</v>
      </c>
      <c r="DH727" s="25" t="s">
        <v>193</v>
      </c>
      <c r="DI727" s="25" t="s">
        <v>194</v>
      </c>
      <c r="DJ727" s="25" t="s">
        <v>6682</v>
      </c>
      <c r="DK727" s="25" t="s">
        <v>257</v>
      </c>
      <c r="DL727" s="32" t="s">
        <v>13946</v>
      </c>
      <c r="DM727" s="25" t="s">
        <v>198</v>
      </c>
      <c r="DN727" s="24" t="s">
        <v>13947</v>
      </c>
      <c r="DO727" s="31">
        <v>2019</v>
      </c>
      <c r="DP727" s="25" t="s">
        <v>166</v>
      </c>
      <c r="DQ727" s="25" t="s">
        <v>166</v>
      </c>
      <c r="DR727" s="29" t="s">
        <v>166</v>
      </c>
      <c r="DS727" s="27" t="s">
        <v>166</v>
      </c>
      <c r="DT727" s="30" t="s">
        <v>166</v>
      </c>
      <c r="DU727" s="25" t="s">
        <v>166</v>
      </c>
      <c r="DV727" s="29" t="s">
        <v>166</v>
      </c>
      <c r="DW727" s="29" t="s">
        <v>166</v>
      </c>
      <c r="DX727" s="27" t="s">
        <v>166</v>
      </c>
      <c r="DY727" s="27" t="s">
        <v>166</v>
      </c>
      <c r="DZ727" s="28" t="s">
        <v>166</v>
      </c>
      <c r="EA727" s="27" t="s">
        <v>166</v>
      </c>
      <c r="EB727" s="27" t="s">
        <v>166</v>
      </c>
      <c r="EC727" s="27" t="s">
        <v>166</v>
      </c>
      <c r="ED727" s="28" t="s">
        <v>166</v>
      </c>
      <c r="EE727" s="28" t="s">
        <v>166</v>
      </c>
      <c r="EF727" s="28" t="s">
        <v>166</v>
      </c>
      <c r="EG727" s="28" t="s">
        <v>166</v>
      </c>
      <c r="EH727" s="27" t="s">
        <v>166</v>
      </c>
      <c r="EI727" s="27" t="s">
        <v>166</v>
      </c>
      <c r="EJ727" s="27" t="s">
        <v>166</v>
      </c>
      <c r="EK727" s="27" t="s">
        <v>166</v>
      </c>
      <c r="EL727" s="27" t="s">
        <v>166</v>
      </c>
      <c r="EM727" s="27" t="s">
        <v>166</v>
      </c>
      <c r="EN727" s="27" t="s">
        <v>166</v>
      </c>
      <c r="EO727" s="27" t="s">
        <v>166</v>
      </c>
      <c r="EP727" s="27" t="s">
        <v>166</v>
      </c>
      <c r="EQ727" s="27" t="s">
        <v>166</v>
      </c>
      <c r="ER727" s="27" t="s">
        <v>166</v>
      </c>
      <c r="ES727" s="27" t="s">
        <v>166</v>
      </c>
      <c r="ET727" s="25" t="s">
        <v>166</v>
      </c>
      <c r="EU727" s="27" t="s">
        <v>166</v>
      </c>
      <c r="EV727" s="27" t="s">
        <v>166</v>
      </c>
      <c r="EW727" s="27" t="s">
        <v>166</v>
      </c>
      <c r="EX727" s="25" t="s">
        <v>190</v>
      </c>
      <c r="EY727" s="25" t="s">
        <v>166</v>
      </c>
      <c r="EZ727" s="27" t="s">
        <v>166</v>
      </c>
      <c r="FA727" s="26">
        <v>1</v>
      </c>
      <c r="FB727" s="26">
        <v>1</v>
      </c>
      <c r="FC727" s="26" t="s">
        <v>166</v>
      </c>
      <c r="FD727" s="26">
        <v>1</v>
      </c>
      <c r="FE727" s="26" t="s">
        <v>166</v>
      </c>
      <c r="FF727" s="26" t="s">
        <v>166</v>
      </c>
      <c r="FG727" s="25" t="s">
        <v>775</v>
      </c>
      <c r="FH727" s="4">
        <f>HYPERLINK("https://my.pitchbook.com?c=175747-78T","View Company Online")</f>
      </c>
    </row>
    <row r="728">
      <c r="A728" s="14" t="s">
        <v>13948</v>
      </c>
      <c r="B728" s="14" t="s">
        <v>13949</v>
      </c>
      <c r="C728" s="14" t="s">
        <v>13950</v>
      </c>
      <c r="D728" s="14" t="s">
        <v>166</v>
      </c>
      <c r="E728" s="23" t="s">
        <v>13951</v>
      </c>
      <c r="F728" s="21">
        <v>6</v>
      </c>
      <c r="G728" s="14" t="s">
        <v>13952</v>
      </c>
      <c r="H728" s="14" t="s">
        <v>166</v>
      </c>
      <c r="I728" s="14" t="s">
        <v>13953</v>
      </c>
      <c r="J728" s="14" t="s">
        <v>13954</v>
      </c>
      <c r="K728" s="14" t="s">
        <v>207</v>
      </c>
      <c r="L728" s="14" t="s">
        <v>208</v>
      </c>
      <c r="M728" s="14" t="s">
        <v>209</v>
      </c>
      <c r="N728" s="14" t="s">
        <v>269</v>
      </c>
      <c r="O728" s="14" t="s">
        <v>1553</v>
      </c>
      <c r="P728" s="14" t="s">
        <v>13955</v>
      </c>
      <c r="Q728" s="14" t="s">
        <v>166</v>
      </c>
      <c r="R728" s="14" t="s">
        <v>177</v>
      </c>
      <c r="S728" s="14" t="s">
        <v>178</v>
      </c>
      <c r="T728" s="14" t="s">
        <v>179</v>
      </c>
      <c r="U728" s="14" t="s">
        <v>13956</v>
      </c>
      <c r="V728" s="14" t="s">
        <v>13957</v>
      </c>
      <c r="W728" s="21" t="s">
        <v>13958</v>
      </c>
      <c r="X728" s="14" t="s">
        <v>13959</v>
      </c>
      <c r="Y728" s="14" t="s">
        <v>13960</v>
      </c>
      <c r="Z728" s="14" t="s">
        <v>166</v>
      </c>
      <c r="AA728" s="14" t="s">
        <v>166</v>
      </c>
      <c r="AB728" s="14" t="s">
        <v>166</v>
      </c>
      <c r="AC728" s="14" t="s">
        <v>166</v>
      </c>
      <c r="AD728" s="14" t="s">
        <v>166</v>
      </c>
      <c r="AE728" s="14" t="s">
        <v>166</v>
      </c>
      <c r="AF728" s="14" t="s">
        <v>166</v>
      </c>
      <c r="AG728" s="14" t="s">
        <v>166</v>
      </c>
      <c r="AH728" s="21">
        <v>3</v>
      </c>
      <c r="AI728" s="3">
        <f>HYPERLINK("https://my.pitchbook.com/?d=204483-07T","204483-07T")</f>
      </c>
      <c r="AJ728" s="19" t="s">
        <v>166</v>
      </c>
      <c r="AK728" s="19">
        <v>44805</v>
      </c>
      <c r="AL728" s="18">
        <v>0.6</v>
      </c>
      <c r="AM728" s="14" t="s">
        <v>185</v>
      </c>
      <c r="AN728" s="18" t="s">
        <v>166</v>
      </c>
      <c r="AO728" s="18" t="s">
        <v>166</v>
      </c>
      <c r="AP728" s="14" t="s">
        <v>166</v>
      </c>
      <c r="AQ728" s="21" t="s">
        <v>166</v>
      </c>
      <c r="AR728" s="21" t="s">
        <v>166</v>
      </c>
      <c r="AS728" s="17" t="s">
        <v>166</v>
      </c>
      <c r="AT728" s="18">
        <v>0.7</v>
      </c>
      <c r="AU728" s="21" t="s">
        <v>186</v>
      </c>
      <c r="AV728" s="21" t="s">
        <v>166</v>
      </c>
      <c r="AW728" s="18" t="s">
        <v>166</v>
      </c>
      <c r="AX728" s="21" t="s">
        <v>166</v>
      </c>
      <c r="AY728" s="14" t="s">
        <v>187</v>
      </c>
      <c r="AZ728" s="14" t="s">
        <v>166</v>
      </c>
      <c r="BA728" s="14" t="s">
        <v>166</v>
      </c>
      <c r="BB728" s="21" t="s">
        <v>166</v>
      </c>
      <c r="BC728" s="14" t="s">
        <v>179</v>
      </c>
      <c r="BD728" s="14" t="s">
        <v>13954</v>
      </c>
      <c r="BE728" s="14" t="s">
        <v>189</v>
      </c>
      <c r="BF728" s="18">
        <v>0.6</v>
      </c>
      <c r="BG728" s="14" t="s">
        <v>190</v>
      </c>
      <c r="BH728" s="14" t="s">
        <v>166</v>
      </c>
      <c r="BI728" s="14" t="s">
        <v>166</v>
      </c>
      <c r="BJ728" s="18" t="s">
        <v>166</v>
      </c>
      <c r="BK728" s="18" t="s">
        <v>166</v>
      </c>
      <c r="BL728" s="14" t="s">
        <v>191</v>
      </c>
      <c r="BM728" s="14" t="s">
        <v>178</v>
      </c>
      <c r="BN728" s="14" t="s">
        <v>177</v>
      </c>
      <c r="BO728" s="22" t="s">
        <v>166</v>
      </c>
      <c r="BP728" s="14" t="s">
        <v>13961</v>
      </c>
      <c r="BQ728" s="21">
        <v>6</v>
      </c>
      <c r="BR728" s="14" t="s">
        <v>166</v>
      </c>
      <c r="BS728" s="21" t="s">
        <v>166</v>
      </c>
      <c r="BT728" s="14" t="s">
        <v>13962</v>
      </c>
      <c r="BU728" s="14" t="s">
        <v>166</v>
      </c>
      <c r="BV728" s="14" t="s">
        <v>166</v>
      </c>
      <c r="BW728" s="14" t="s">
        <v>166</v>
      </c>
      <c r="BX728" s="14" t="s">
        <v>166</v>
      </c>
      <c r="BY728" s="14" t="s">
        <v>166</v>
      </c>
      <c r="BZ728" s="14" t="s">
        <v>166</v>
      </c>
      <c r="CA728" s="14" t="s">
        <v>166</v>
      </c>
      <c r="CB728" s="14" t="s">
        <v>166</v>
      </c>
      <c r="CC728" s="14" t="s">
        <v>166</v>
      </c>
      <c r="CD728" s="14" t="s">
        <v>166</v>
      </c>
      <c r="CE728" s="18" t="s">
        <v>166</v>
      </c>
      <c r="CF728" s="16" t="s">
        <v>166</v>
      </c>
      <c r="CG728" s="17" t="s">
        <v>166</v>
      </c>
      <c r="CH728" s="16" t="s">
        <v>166</v>
      </c>
      <c r="CI728" s="16" t="s">
        <v>166</v>
      </c>
      <c r="CJ728" s="16" t="s">
        <v>166</v>
      </c>
      <c r="CK728" s="16" t="s">
        <v>166</v>
      </c>
      <c r="CL728" s="16" t="s">
        <v>166</v>
      </c>
      <c r="CM728" s="20" t="s">
        <v>166</v>
      </c>
      <c r="CN728" s="16" t="s">
        <v>166</v>
      </c>
      <c r="CO728" s="16" t="s">
        <v>166</v>
      </c>
      <c r="CP728" s="16" t="s">
        <v>166</v>
      </c>
      <c r="CQ728" s="16" t="s">
        <v>166</v>
      </c>
      <c r="CR728" s="16" t="s">
        <v>166</v>
      </c>
      <c r="CS728" s="16" t="s">
        <v>166</v>
      </c>
      <c r="CT728" s="16" t="s">
        <v>166</v>
      </c>
      <c r="CU728" s="16" t="s">
        <v>166</v>
      </c>
      <c r="CV728" s="16" t="s">
        <v>166</v>
      </c>
      <c r="CW728" s="16" t="s">
        <v>166</v>
      </c>
      <c r="CX728" s="16" t="s">
        <v>166</v>
      </c>
      <c r="CY728" s="16" t="s">
        <v>166</v>
      </c>
      <c r="CZ728" s="16" t="s">
        <v>166</v>
      </c>
      <c r="DA728" s="16" t="s">
        <v>166</v>
      </c>
      <c r="DB728" s="16" t="s">
        <v>166</v>
      </c>
      <c r="DC728" s="16" t="s">
        <v>166</v>
      </c>
      <c r="DD728" s="16" t="s">
        <v>166</v>
      </c>
      <c r="DE728" s="17" t="s">
        <v>166</v>
      </c>
      <c r="DF728" s="22">
        <v>10</v>
      </c>
      <c r="DG728" s="14" t="s">
        <v>13963</v>
      </c>
      <c r="DH728" s="14" t="s">
        <v>193</v>
      </c>
      <c r="DI728" s="14" t="s">
        <v>194</v>
      </c>
      <c r="DJ728" s="14" t="s">
        <v>13964</v>
      </c>
      <c r="DK728" s="14" t="s">
        <v>8633</v>
      </c>
      <c r="DL728" s="21" t="s">
        <v>13965</v>
      </c>
      <c r="DM728" s="14" t="s">
        <v>198</v>
      </c>
      <c r="DN728" s="13" t="s">
        <v>13966</v>
      </c>
      <c r="DO728" s="20">
        <v>2021</v>
      </c>
      <c r="DP728" s="14" t="s">
        <v>166</v>
      </c>
      <c r="DQ728" s="14" t="s">
        <v>166</v>
      </c>
      <c r="DR728" s="18" t="s">
        <v>166</v>
      </c>
      <c r="DS728" s="16" t="s">
        <v>166</v>
      </c>
      <c r="DT728" s="19" t="s">
        <v>166</v>
      </c>
      <c r="DU728" s="14" t="s">
        <v>166</v>
      </c>
      <c r="DV728" s="18" t="s">
        <v>166</v>
      </c>
      <c r="DW728" s="18" t="s">
        <v>166</v>
      </c>
      <c r="DX728" s="16" t="s">
        <v>166</v>
      </c>
      <c r="DY728" s="16" t="s">
        <v>166</v>
      </c>
      <c r="DZ728" s="17" t="s">
        <v>166</v>
      </c>
      <c r="EA728" s="16" t="s">
        <v>166</v>
      </c>
      <c r="EB728" s="16" t="s">
        <v>166</v>
      </c>
      <c r="EC728" s="16" t="s">
        <v>166</v>
      </c>
      <c r="ED728" s="17" t="s">
        <v>166</v>
      </c>
      <c r="EE728" s="17" t="s">
        <v>166</v>
      </c>
      <c r="EF728" s="17" t="s">
        <v>166</v>
      </c>
      <c r="EG728" s="17" t="s">
        <v>166</v>
      </c>
      <c r="EH728" s="16" t="s">
        <v>166</v>
      </c>
      <c r="EI728" s="16" t="s">
        <v>166</v>
      </c>
      <c r="EJ728" s="16" t="s">
        <v>166</v>
      </c>
      <c r="EK728" s="16" t="s">
        <v>166</v>
      </c>
      <c r="EL728" s="16" t="s">
        <v>166</v>
      </c>
      <c r="EM728" s="16" t="s">
        <v>166</v>
      </c>
      <c r="EN728" s="16" t="s">
        <v>166</v>
      </c>
      <c r="EO728" s="16" t="s">
        <v>166</v>
      </c>
      <c r="EP728" s="16" t="s">
        <v>166</v>
      </c>
      <c r="EQ728" s="16" t="s">
        <v>166</v>
      </c>
      <c r="ER728" s="16" t="s">
        <v>166</v>
      </c>
      <c r="ES728" s="16" t="s">
        <v>166</v>
      </c>
      <c r="ET728" s="14" t="s">
        <v>166</v>
      </c>
      <c r="EU728" s="16" t="s">
        <v>166</v>
      </c>
      <c r="EV728" s="16" t="s">
        <v>166</v>
      </c>
      <c r="EW728" s="16" t="s">
        <v>166</v>
      </c>
      <c r="EX728" s="14" t="s">
        <v>190</v>
      </c>
      <c r="EY728" s="14" t="s">
        <v>166</v>
      </c>
      <c r="EZ728" s="16" t="s">
        <v>166</v>
      </c>
      <c r="FA728" s="15" t="s">
        <v>166</v>
      </c>
      <c r="FB728" s="15" t="s">
        <v>166</v>
      </c>
      <c r="FC728" s="15" t="s">
        <v>166</v>
      </c>
      <c r="FD728" s="15" t="s">
        <v>166</v>
      </c>
      <c r="FE728" s="15" t="s">
        <v>166</v>
      </c>
      <c r="FF728" s="15" t="s">
        <v>166</v>
      </c>
      <c r="FG728" s="14" t="s">
        <v>166</v>
      </c>
      <c r="FH728" s="3">
        <f>HYPERLINK("https://my.pitchbook.com?c=204483-07T","View Company Online")</f>
      </c>
    </row>
    <row r="729">
      <c r="A729" s="25" t="s">
        <v>13967</v>
      </c>
      <c r="B729" s="25" t="s">
        <v>13968</v>
      </c>
      <c r="C729" s="25" t="s">
        <v>13969</v>
      </c>
      <c r="D729" s="25" t="s">
        <v>166</v>
      </c>
      <c r="E729" s="34" t="s">
        <v>2354</v>
      </c>
      <c r="F729" s="32">
        <v>1</v>
      </c>
      <c r="G729" s="25" t="s">
        <v>2355</v>
      </c>
      <c r="H729" s="25" t="s">
        <v>166</v>
      </c>
      <c r="I729" s="25" t="s">
        <v>13970</v>
      </c>
      <c r="J729" s="25" t="s">
        <v>13971</v>
      </c>
      <c r="K729" s="25" t="s">
        <v>1500</v>
      </c>
      <c r="L729" s="25" t="s">
        <v>2334</v>
      </c>
      <c r="M729" s="25" t="s">
        <v>2335</v>
      </c>
      <c r="N729" s="25" t="s">
        <v>2336</v>
      </c>
      <c r="O729" s="25" t="s">
        <v>13972</v>
      </c>
      <c r="P729" s="25" t="s">
        <v>13973</v>
      </c>
      <c r="Q729" s="25" t="s">
        <v>166</v>
      </c>
      <c r="R729" s="25" t="s">
        <v>177</v>
      </c>
      <c r="S729" s="25" t="s">
        <v>178</v>
      </c>
      <c r="T729" s="25" t="s">
        <v>179</v>
      </c>
      <c r="U729" s="25" t="s">
        <v>13974</v>
      </c>
      <c r="V729" s="25" t="s">
        <v>13975</v>
      </c>
      <c r="W729" s="32" t="s">
        <v>166</v>
      </c>
      <c r="X729" s="25" t="s">
        <v>13976</v>
      </c>
      <c r="Y729" s="25" t="s">
        <v>13977</v>
      </c>
      <c r="Z729" s="25" t="s">
        <v>13978</v>
      </c>
      <c r="AA729" s="25" t="s">
        <v>166</v>
      </c>
      <c r="AB729" s="25" t="s">
        <v>166</v>
      </c>
      <c r="AC729" s="25" t="s">
        <v>166</v>
      </c>
      <c r="AD729" s="25" t="s">
        <v>166</v>
      </c>
      <c r="AE729" s="25" t="s">
        <v>166</v>
      </c>
      <c r="AF729" s="25" t="s">
        <v>166</v>
      </c>
      <c r="AG729" s="25" t="s">
        <v>166</v>
      </c>
      <c r="AH729" s="32">
        <v>1</v>
      </c>
      <c r="AI729" s="4">
        <f>HYPERLINK("https://my.pitchbook.com/?d=184589-56T","184589-56T")</f>
      </c>
      <c r="AJ729" s="30">
        <v>44516</v>
      </c>
      <c r="AK729" s="30">
        <v>44713</v>
      </c>
      <c r="AL729" s="29">
        <v>1.4</v>
      </c>
      <c r="AM729" s="25" t="s">
        <v>185</v>
      </c>
      <c r="AN729" s="29">
        <v>4.95</v>
      </c>
      <c r="AO729" s="29">
        <v>6.35</v>
      </c>
      <c r="AP729" s="25" t="s">
        <v>185</v>
      </c>
      <c r="AQ729" s="32" t="s">
        <v>166</v>
      </c>
      <c r="AR729" s="32" t="s">
        <v>166</v>
      </c>
      <c r="AS729" s="28" t="s">
        <v>166</v>
      </c>
      <c r="AT729" s="29">
        <v>1.4</v>
      </c>
      <c r="AU729" s="32" t="s">
        <v>186</v>
      </c>
      <c r="AV729" s="32" t="s">
        <v>166</v>
      </c>
      <c r="AW729" s="29" t="s">
        <v>166</v>
      </c>
      <c r="AX729" s="32" t="s">
        <v>166</v>
      </c>
      <c r="AY729" s="25" t="s">
        <v>187</v>
      </c>
      <c r="AZ729" s="25" t="s">
        <v>166</v>
      </c>
      <c r="BA729" s="25" t="s">
        <v>166</v>
      </c>
      <c r="BB729" s="32" t="s">
        <v>166</v>
      </c>
      <c r="BC729" s="25" t="s">
        <v>179</v>
      </c>
      <c r="BD729" s="25" t="s">
        <v>13979</v>
      </c>
      <c r="BE729" s="25" t="s">
        <v>189</v>
      </c>
      <c r="BF729" s="29">
        <v>1.4</v>
      </c>
      <c r="BG729" s="25" t="s">
        <v>190</v>
      </c>
      <c r="BH729" s="25" t="s">
        <v>166</v>
      </c>
      <c r="BI729" s="25" t="s">
        <v>166</v>
      </c>
      <c r="BJ729" s="29" t="s">
        <v>166</v>
      </c>
      <c r="BK729" s="29" t="s">
        <v>166</v>
      </c>
      <c r="BL729" s="25" t="s">
        <v>191</v>
      </c>
      <c r="BM729" s="25" t="s">
        <v>178</v>
      </c>
      <c r="BN729" s="25" t="s">
        <v>177</v>
      </c>
      <c r="BO729" s="33" t="s">
        <v>166</v>
      </c>
      <c r="BP729" s="25" t="s">
        <v>2354</v>
      </c>
      <c r="BQ729" s="32">
        <v>1</v>
      </c>
      <c r="BR729" s="25" t="s">
        <v>166</v>
      </c>
      <c r="BS729" s="32" t="s">
        <v>166</v>
      </c>
      <c r="BT729" s="25" t="s">
        <v>2354</v>
      </c>
      <c r="BU729" s="25" t="s">
        <v>166</v>
      </c>
      <c r="BV729" s="25" t="s">
        <v>166</v>
      </c>
      <c r="BW729" s="25" t="s">
        <v>166</v>
      </c>
      <c r="BX729" s="25" t="s">
        <v>166</v>
      </c>
      <c r="BY729" s="25" t="s">
        <v>166</v>
      </c>
      <c r="BZ729" s="25" t="s">
        <v>1327</v>
      </c>
      <c r="CA729" s="25" t="s">
        <v>1327</v>
      </c>
      <c r="CB729" s="25" t="s">
        <v>166</v>
      </c>
      <c r="CC729" s="25" t="s">
        <v>166</v>
      </c>
      <c r="CD729" s="25" t="s">
        <v>166</v>
      </c>
      <c r="CE729" s="29" t="s">
        <v>166</v>
      </c>
      <c r="CF729" s="27" t="s">
        <v>166</v>
      </c>
      <c r="CG729" s="28" t="s">
        <v>166</v>
      </c>
      <c r="CH729" s="27" t="s">
        <v>166</v>
      </c>
      <c r="CI729" s="27" t="s">
        <v>166</v>
      </c>
      <c r="CJ729" s="27" t="s">
        <v>166</v>
      </c>
      <c r="CK729" s="27" t="s">
        <v>166</v>
      </c>
      <c r="CL729" s="27" t="s">
        <v>166</v>
      </c>
      <c r="CM729" s="31" t="s">
        <v>166</v>
      </c>
      <c r="CN729" s="27" t="s">
        <v>166</v>
      </c>
      <c r="CO729" s="27" t="s">
        <v>166</v>
      </c>
      <c r="CP729" s="27" t="s">
        <v>166</v>
      </c>
      <c r="CQ729" s="27" t="s">
        <v>166</v>
      </c>
      <c r="CR729" s="27" t="s">
        <v>166</v>
      </c>
      <c r="CS729" s="27" t="s">
        <v>166</v>
      </c>
      <c r="CT729" s="27" t="s">
        <v>166</v>
      </c>
      <c r="CU729" s="27" t="s">
        <v>166</v>
      </c>
      <c r="CV729" s="27" t="s">
        <v>166</v>
      </c>
      <c r="CW729" s="27" t="s">
        <v>166</v>
      </c>
      <c r="CX729" s="27" t="s">
        <v>166</v>
      </c>
      <c r="CY729" s="27" t="s">
        <v>166</v>
      </c>
      <c r="CZ729" s="27" t="s">
        <v>166</v>
      </c>
      <c r="DA729" s="27" t="s">
        <v>166</v>
      </c>
      <c r="DB729" s="27" t="s">
        <v>166</v>
      </c>
      <c r="DC729" s="27" t="s">
        <v>166</v>
      </c>
      <c r="DD729" s="27" t="s">
        <v>166</v>
      </c>
      <c r="DE729" s="28" t="s">
        <v>166</v>
      </c>
      <c r="DF729" s="33">
        <v>7</v>
      </c>
      <c r="DG729" s="25" t="s">
        <v>1465</v>
      </c>
      <c r="DH729" s="25" t="s">
        <v>193</v>
      </c>
      <c r="DI729" s="25" t="s">
        <v>194</v>
      </c>
      <c r="DJ729" s="25" t="s">
        <v>1466</v>
      </c>
      <c r="DK729" s="25" t="s">
        <v>1467</v>
      </c>
      <c r="DL729" s="32" t="s">
        <v>13980</v>
      </c>
      <c r="DM729" s="25" t="s">
        <v>198</v>
      </c>
      <c r="DN729" s="24" t="s">
        <v>13981</v>
      </c>
      <c r="DO729" s="31">
        <v>2020</v>
      </c>
      <c r="DP729" s="25" t="s">
        <v>166</v>
      </c>
      <c r="DQ729" s="25" t="s">
        <v>166</v>
      </c>
      <c r="DR729" s="29" t="s">
        <v>166</v>
      </c>
      <c r="DS729" s="27" t="s">
        <v>166</v>
      </c>
      <c r="DT729" s="30" t="s">
        <v>166</v>
      </c>
      <c r="DU729" s="25" t="s">
        <v>166</v>
      </c>
      <c r="DV729" s="29" t="s">
        <v>166</v>
      </c>
      <c r="DW729" s="29" t="s">
        <v>166</v>
      </c>
      <c r="DX729" s="27" t="s">
        <v>166</v>
      </c>
      <c r="DY729" s="27" t="s">
        <v>166</v>
      </c>
      <c r="DZ729" s="28" t="s">
        <v>166</v>
      </c>
      <c r="EA729" s="27" t="s">
        <v>166</v>
      </c>
      <c r="EB729" s="27" t="s">
        <v>166</v>
      </c>
      <c r="EC729" s="27" t="s">
        <v>166</v>
      </c>
      <c r="ED729" s="28" t="s">
        <v>166</v>
      </c>
      <c r="EE729" s="28" t="s">
        <v>166</v>
      </c>
      <c r="EF729" s="28" t="s">
        <v>166</v>
      </c>
      <c r="EG729" s="28" t="s">
        <v>166</v>
      </c>
      <c r="EH729" s="27" t="s">
        <v>166</v>
      </c>
      <c r="EI729" s="27" t="s">
        <v>166</v>
      </c>
      <c r="EJ729" s="27" t="s">
        <v>166</v>
      </c>
      <c r="EK729" s="27" t="s">
        <v>166</v>
      </c>
      <c r="EL729" s="27" t="s">
        <v>166</v>
      </c>
      <c r="EM729" s="27" t="s">
        <v>166</v>
      </c>
      <c r="EN729" s="27" t="s">
        <v>166</v>
      </c>
      <c r="EO729" s="27" t="s">
        <v>166</v>
      </c>
      <c r="EP729" s="27" t="s">
        <v>166</v>
      </c>
      <c r="EQ729" s="27" t="s">
        <v>166</v>
      </c>
      <c r="ER729" s="27" t="s">
        <v>166</v>
      </c>
      <c r="ES729" s="27" t="s">
        <v>166</v>
      </c>
      <c r="ET729" s="25" t="s">
        <v>166</v>
      </c>
      <c r="EU729" s="27" t="s">
        <v>166</v>
      </c>
      <c r="EV729" s="27" t="s">
        <v>166</v>
      </c>
      <c r="EW729" s="27" t="s">
        <v>166</v>
      </c>
      <c r="EX729" s="25" t="s">
        <v>190</v>
      </c>
      <c r="EY729" s="25" t="s">
        <v>166</v>
      </c>
      <c r="EZ729" s="27" t="s">
        <v>166</v>
      </c>
      <c r="FA729" s="26" t="s">
        <v>166</v>
      </c>
      <c r="FB729" s="26" t="s">
        <v>166</v>
      </c>
      <c r="FC729" s="26" t="s">
        <v>166</v>
      </c>
      <c r="FD729" s="26" t="s">
        <v>166</v>
      </c>
      <c r="FE729" s="26" t="s">
        <v>166</v>
      </c>
      <c r="FF729" s="26" t="s">
        <v>166</v>
      </c>
      <c r="FG729" s="25" t="s">
        <v>166</v>
      </c>
      <c r="FH729" s="4">
        <f>HYPERLINK("https://my.pitchbook.com?c=184589-56T","View Company Online")</f>
      </c>
    </row>
    <row r="730">
      <c r="A730" s="14" t="s">
        <v>13982</v>
      </c>
      <c r="B730" s="14" t="s">
        <v>13983</v>
      </c>
      <c r="C730" s="14" t="s">
        <v>13984</v>
      </c>
      <c r="D730" s="14" t="s">
        <v>166</v>
      </c>
      <c r="E730" s="23" t="s">
        <v>13985</v>
      </c>
      <c r="F730" s="21">
        <v>24</v>
      </c>
      <c r="G730" s="14" t="s">
        <v>13986</v>
      </c>
      <c r="H730" s="14" t="s">
        <v>166</v>
      </c>
      <c r="I730" s="14" t="s">
        <v>13987</v>
      </c>
      <c r="J730" s="14" t="s">
        <v>13988</v>
      </c>
      <c r="K730" s="14" t="s">
        <v>171</v>
      </c>
      <c r="L730" s="14" t="s">
        <v>13989</v>
      </c>
      <c r="M730" s="14" t="s">
        <v>13990</v>
      </c>
      <c r="N730" s="14" t="s">
        <v>13991</v>
      </c>
      <c r="O730" s="14" t="s">
        <v>13992</v>
      </c>
      <c r="P730" s="14" t="s">
        <v>13993</v>
      </c>
      <c r="Q730" s="14" t="s">
        <v>13994</v>
      </c>
      <c r="R730" s="14" t="s">
        <v>177</v>
      </c>
      <c r="S730" s="14" t="s">
        <v>178</v>
      </c>
      <c r="T730" s="14" t="s">
        <v>179</v>
      </c>
      <c r="U730" s="14" t="s">
        <v>13995</v>
      </c>
      <c r="V730" s="14" t="s">
        <v>13996</v>
      </c>
      <c r="W730" s="21" t="s">
        <v>13997</v>
      </c>
      <c r="X730" s="14" t="s">
        <v>13998</v>
      </c>
      <c r="Y730" s="14" t="s">
        <v>13999</v>
      </c>
      <c r="Z730" s="14" t="s">
        <v>14000</v>
      </c>
      <c r="AA730" s="14" t="s">
        <v>242</v>
      </c>
      <c r="AB730" s="14" t="s">
        <v>243</v>
      </c>
      <c r="AC730" s="14" t="s">
        <v>244</v>
      </c>
      <c r="AD730" s="14" t="s">
        <v>243</v>
      </c>
      <c r="AE730" s="14" t="s">
        <v>243</v>
      </c>
      <c r="AF730" s="14" t="s">
        <v>166</v>
      </c>
      <c r="AG730" s="14" t="s">
        <v>166</v>
      </c>
      <c r="AH730" s="21">
        <v>2</v>
      </c>
      <c r="AI730" s="3">
        <f>HYPERLINK("https://my.pitchbook.com/?d=178427-71T","178427-71T")</f>
      </c>
      <c r="AJ730" s="19">
        <v>44317</v>
      </c>
      <c r="AK730" s="19">
        <v>44540</v>
      </c>
      <c r="AL730" s="18">
        <v>5.5</v>
      </c>
      <c r="AM730" s="14" t="s">
        <v>185</v>
      </c>
      <c r="AN730" s="18">
        <v>29.5</v>
      </c>
      <c r="AO730" s="18">
        <v>35</v>
      </c>
      <c r="AP730" s="14" t="s">
        <v>185</v>
      </c>
      <c r="AQ730" s="21" t="s">
        <v>166</v>
      </c>
      <c r="AR730" s="21" t="s">
        <v>166</v>
      </c>
      <c r="AS730" s="17">
        <v>34.43</v>
      </c>
      <c r="AT730" s="18">
        <v>5.5</v>
      </c>
      <c r="AU730" s="21" t="s">
        <v>186</v>
      </c>
      <c r="AV730" s="21" t="s">
        <v>166</v>
      </c>
      <c r="AW730" s="18">
        <v>2.55</v>
      </c>
      <c r="AX730" s="21" t="s">
        <v>248</v>
      </c>
      <c r="AY730" s="14" t="s">
        <v>187</v>
      </c>
      <c r="AZ730" s="14" t="s">
        <v>248</v>
      </c>
      <c r="BA730" s="14" t="s">
        <v>166</v>
      </c>
      <c r="BB730" s="21" t="s">
        <v>166</v>
      </c>
      <c r="BC730" s="14" t="s">
        <v>179</v>
      </c>
      <c r="BD730" s="14" t="s">
        <v>14001</v>
      </c>
      <c r="BE730" s="14" t="s">
        <v>189</v>
      </c>
      <c r="BF730" s="18">
        <v>5.5</v>
      </c>
      <c r="BG730" s="14" t="s">
        <v>190</v>
      </c>
      <c r="BH730" s="14" t="s">
        <v>166</v>
      </c>
      <c r="BI730" s="14" t="s">
        <v>166</v>
      </c>
      <c r="BJ730" s="18" t="s">
        <v>166</v>
      </c>
      <c r="BK730" s="18" t="s">
        <v>166</v>
      </c>
      <c r="BL730" s="14" t="s">
        <v>191</v>
      </c>
      <c r="BM730" s="14" t="s">
        <v>178</v>
      </c>
      <c r="BN730" s="14" t="s">
        <v>177</v>
      </c>
      <c r="BO730" s="22" t="s">
        <v>166</v>
      </c>
      <c r="BP730" s="14" t="s">
        <v>14002</v>
      </c>
      <c r="BQ730" s="21">
        <v>24</v>
      </c>
      <c r="BR730" s="14" t="s">
        <v>166</v>
      </c>
      <c r="BS730" s="21" t="s">
        <v>166</v>
      </c>
      <c r="BT730" s="14" t="s">
        <v>166</v>
      </c>
      <c r="BU730" s="14" t="s">
        <v>166</v>
      </c>
      <c r="BV730" s="14" t="s">
        <v>14003</v>
      </c>
      <c r="BW730" s="14" t="s">
        <v>166</v>
      </c>
      <c r="BX730" s="14" t="s">
        <v>166</v>
      </c>
      <c r="BY730" s="14" t="s">
        <v>166</v>
      </c>
      <c r="BZ730" s="14" t="s">
        <v>9491</v>
      </c>
      <c r="CA730" s="14" t="s">
        <v>166</v>
      </c>
      <c r="CB730" s="14" t="s">
        <v>166</v>
      </c>
      <c r="CC730" s="14" t="s">
        <v>9491</v>
      </c>
      <c r="CD730" s="14" t="s">
        <v>166</v>
      </c>
      <c r="CE730" s="18" t="s">
        <v>166</v>
      </c>
      <c r="CF730" s="16" t="s">
        <v>166</v>
      </c>
      <c r="CG730" s="17" t="s">
        <v>166</v>
      </c>
      <c r="CH730" s="16" t="s">
        <v>166</v>
      </c>
      <c r="CI730" s="16" t="s">
        <v>166</v>
      </c>
      <c r="CJ730" s="16" t="s">
        <v>166</v>
      </c>
      <c r="CK730" s="16" t="s">
        <v>166</v>
      </c>
      <c r="CL730" s="16" t="s">
        <v>166</v>
      </c>
      <c r="CM730" s="20" t="s">
        <v>166</v>
      </c>
      <c r="CN730" s="16" t="s">
        <v>166</v>
      </c>
      <c r="CO730" s="16" t="s">
        <v>166</v>
      </c>
      <c r="CP730" s="16" t="s">
        <v>166</v>
      </c>
      <c r="CQ730" s="16" t="s">
        <v>166</v>
      </c>
      <c r="CR730" s="16" t="s">
        <v>166</v>
      </c>
      <c r="CS730" s="16" t="s">
        <v>166</v>
      </c>
      <c r="CT730" s="16" t="s">
        <v>166</v>
      </c>
      <c r="CU730" s="16" t="s">
        <v>166</v>
      </c>
      <c r="CV730" s="16" t="s">
        <v>166</v>
      </c>
      <c r="CW730" s="16" t="s">
        <v>166</v>
      </c>
      <c r="CX730" s="16" t="s">
        <v>166</v>
      </c>
      <c r="CY730" s="16" t="s">
        <v>166</v>
      </c>
      <c r="CZ730" s="16" t="s">
        <v>166</v>
      </c>
      <c r="DA730" s="16" t="s">
        <v>166</v>
      </c>
      <c r="DB730" s="16" t="s">
        <v>166</v>
      </c>
      <c r="DC730" s="16" t="s">
        <v>166</v>
      </c>
      <c r="DD730" s="16" t="s">
        <v>166</v>
      </c>
      <c r="DE730" s="17" t="s">
        <v>166</v>
      </c>
      <c r="DF730" s="22">
        <v>71</v>
      </c>
      <c r="DG730" s="14" t="s">
        <v>14004</v>
      </c>
      <c r="DH730" s="14" t="s">
        <v>193</v>
      </c>
      <c r="DI730" s="14" t="s">
        <v>194</v>
      </c>
      <c r="DJ730" s="14" t="s">
        <v>14005</v>
      </c>
      <c r="DK730" s="14" t="s">
        <v>3974</v>
      </c>
      <c r="DL730" s="21" t="s">
        <v>14006</v>
      </c>
      <c r="DM730" s="14" t="s">
        <v>198</v>
      </c>
      <c r="DN730" s="13" t="s">
        <v>14007</v>
      </c>
      <c r="DO730" s="20">
        <v>2020</v>
      </c>
      <c r="DP730" s="14" t="s">
        <v>166</v>
      </c>
      <c r="DQ730" s="14" t="s">
        <v>166</v>
      </c>
      <c r="DR730" s="18" t="s">
        <v>166</v>
      </c>
      <c r="DS730" s="16" t="s">
        <v>166</v>
      </c>
      <c r="DT730" s="19" t="s">
        <v>166</v>
      </c>
      <c r="DU730" s="14" t="s">
        <v>166</v>
      </c>
      <c r="DV730" s="18" t="s">
        <v>166</v>
      </c>
      <c r="DW730" s="18" t="s">
        <v>166</v>
      </c>
      <c r="DX730" s="16" t="s">
        <v>166</v>
      </c>
      <c r="DY730" s="16" t="s">
        <v>166</v>
      </c>
      <c r="DZ730" s="17" t="s">
        <v>166</v>
      </c>
      <c r="EA730" s="16" t="s">
        <v>166</v>
      </c>
      <c r="EB730" s="16" t="s">
        <v>166</v>
      </c>
      <c r="EC730" s="16" t="s">
        <v>166</v>
      </c>
      <c r="ED730" s="17" t="s">
        <v>166</v>
      </c>
      <c r="EE730" s="17" t="s">
        <v>166</v>
      </c>
      <c r="EF730" s="17" t="s">
        <v>166</v>
      </c>
      <c r="EG730" s="17" t="s">
        <v>166</v>
      </c>
      <c r="EH730" s="16" t="s">
        <v>166</v>
      </c>
      <c r="EI730" s="16" t="s">
        <v>166</v>
      </c>
      <c r="EJ730" s="16" t="s">
        <v>166</v>
      </c>
      <c r="EK730" s="16" t="s">
        <v>166</v>
      </c>
      <c r="EL730" s="16" t="s">
        <v>166</v>
      </c>
      <c r="EM730" s="16" t="s">
        <v>166</v>
      </c>
      <c r="EN730" s="16" t="s">
        <v>166</v>
      </c>
      <c r="EO730" s="16" t="s">
        <v>166</v>
      </c>
      <c r="EP730" s="16" t="s">
        <v>166</v>
      </c>
      <c r="EQ730" s="16" t="s">
        <v>166</v>
      </c>
      <c r="ER730" s="16" t="s">
        <v>166</v>
      </c>
      <c r="ES730" s="16" t="s">
        <v>166</v>
      </c>
      <c r="ET730" s="14" t="s">
        <v>166</v>
      </c>
      <c r="EU730" s="16" t="s">
        <v>166</v>
      </c>
      <c r="EV730" s="16" t="s">
        <v>166</v>
      </c>
      <c r="EW730" s="16" t="s">
        <v>166</v>
      </c>
      <c r="EX730" s="14" t="s">
        <v>190</v>
      </c>
      <c r="EY730" s="14" t="s">
        <v>166</v>
      </c>
      <c r="EZ730" s="16" t="s">
        <v>166</v>
      </c>
      <c r="FA730" s="15">
        <v>12</v>
      </c>
      <c r="FB730" s="15">
        <v>5</v>
      </c>
      <c r="FC730" s="15">
        <v>6</v>
      </c>
      <c r="FD730" s="15">
        <v>5</v>
      </c>
      <c r="FE730" s="15" t="s">
        <v>166</v>
      </c>
      <c r="FF730" s="15">
        <v>1</v>
      </c>
      <c r="FG730" s="14" t="s">
        <v>14008</v>
      </c>
      <c r="FH730" s="3">
        <f>HYPERLINK("https://my.pitchbook.com?c=178427-71T","View Company Online")</f>
      </c>
    </row>
    <row r="731">
      <c r="A731" s="25" t="s">
        <v>14009</v>
      </c>
      <c r="B731" s="25" t="s">
        <v>14010</v>
      </c>
      <c r="C731" s="25" t="s">
        <v>14011</v>
      </c>
      <c r="D731" s="25" t="s">
        <v>166</v>
      </c>
      <c r="E731" s="34" t="s">
        <v>14012</v>
      </c>
      <c r="F731" s="32">
        <v>1</v>
      </c>
      <c r="G731" s="25" t="s">
        <v>14013</v>
      </c>
      <c r="H731" s="25" t="s">
        <v>166</v>
      </c>
      <c r="I731" s="25" t="s">
        <v>14014</v>
      </c>
      <c r="J731" s="25" t="s">
        <v>14015</v>
      </c>
      <c r="K731" s="25" t="s">
        <v>207</v>
      </c>
      <c r="L731" s="25" t="s">
        <v>208</v>
      </c>
      <c r="M731" s="25" t="s">
        <v>209</v>
      </c>
      <c r="N731" s="25" t="s">
        <v>684</v>
      </c>
      <c r="O731" s="25" t="s">
        <v>4369</v>
      </c>
      <c r="P731" s="25" t="s">
        <v>14016</v>
      </c>
      <c r="Q731" s="25" t="s">
        <v>166</v>
      </c>
      <c r="R731" s="25" t="s">
        <v>177</v>
      </c>
      <c r="S731" s="25" t="s">
        <v>178</v>
      </c>
      <c r="T731" s="25" t="s">
        <v>179</v>
      </c>
      <c r="U731" s="25" t="s">
        <v>14017</v>
      </c>
      <c r="V731" s="25" t="s">
        <v>14018</v>
      </c>
      <c r="W731" s="32" t="s">
        <v>14019</v>
      </c>
      <c r="X731" s="25" t="s">
        <v>14020</v>
      </c>
      <c r="Y731" s="25" t="s">
        <v>14021</v>
      </c>
      <c r="Z731" s="25" t="s">
        <v>166</v>
      </c>
      <c r="AA731" s="25" t="s">
        <v>242</v>
      </c>
      <c r="AB731" s="25" t="s">
        <v>243</v>
      </c>
      <c r="AC731" s="25" t="s">
        <v>244</v>
      </c>
      <c r="AD731" s="25" t="s">
        <v>243</v>
      </c>
      <c r="AE731" s="25" t="s">
        <v>243</v>
      </c>
      <c r="AF731" s="25" t="s">
        <v>166</v>
      </c>
      <c r="AG731" s="25" t="s">
        <v>246</v>
      </c>
      <c r="AH731" s="32">
        <v>1</v>
      </c>
      <c r="AI731" s="4">
        <f>HYPERLINK("https://my.pitchbook.com/?d=271572-67T","271572-67T")</f>
      </c>
      <c r="AJ731" s="30" t="s">
        <v>166</v>
      </c>
      <c r="AK731" s="30">
        <v>44866</v>
      </c>
      <c r="AL731" s="29">
        <v>2.58</v>
      </c>
      <c r="AM731" s="25" t="s">
        <v>247</v>
      </c>
      <c r="AN731" s="29">
        <v>7.9</v>
      </c>
      <c r="AO731" s="29">
        <v>10.48</v>
      </c>
      <c r="AP731" s="25" t="s">
        <v>247</v>
      </c>
      <c r="AQ731" s="32" t="s">
        <v>166</v>
      </c>
      <c r="AR731" s="32" t="s">
        <v>166</v>
      </c>
      <c r="AS731" s="28">
        <v>24.7</v>
      </c>
      <c r="AT731" s="29">
        <v>2.58</v>
      </c>
      <c r="AU731" s="32" t="s">
        <v>186</v>
      </c>
      <c r="AV731" s="32" t="s">
        <v>166</v>
      </c>
      <c r="AW731" s="29">
        <v>0.36</v>
      </c>
      <c r="AX731" s="32" t="s">
        <v>166</v>
      </c>
      <c r="AY731" s="25" t="s">
        <v>217</v>
      </c>
      <c r="AZ731" s="25" t="s">
        <v>217</v>
      </c>
      <c r="BA731" s="25" t="s">
        <v>166</v>
      </c>
      <c r="BB731" s="32" t="s">
        <v>166</v>
      </c>
      <c r="BC731" s="25" t="s">
        <v>179</v>
      </c>
      <c r="BD731" s="25" t="s">
        <v>14015</v>
      </c>
      <c r="BE731" s="25" t="s">
        <v>189</v>
      </c>
      <c r="BF731" s="29">
        <v>2.58</v>
      </c>
      <c r="BG731" s="25" t="s">
        <v>190</v>
      </c>
      <c r="BH731" s="25" t="s">
        <v>166</v>
      </c>
      <c r="BI731" s="25" t="s">
        <v>166</v>
      </c>
      <c r="BJ731" s="29" t="s">
        <v>166</v>
      </c>
      <c r="BK731" s="29" t="s">
        <v>166</v>
      </c>
      <c r="BL731" s="25" t="s">
        <v>191</v>
      </c>
      <c r="BM731" s="25" t="s">
        <v>358</v>
      </c>
      <c r="BN731" s="25" t="s">
        <v>177</v>
      </c>
      <c r="BO731" s="33" t="s">
        <v>166</v>
      </c>
      <c r="BP731" s="25" t="s">
        <v>14012</v>
      </c>
      <c r="BQ731" s="32">
        <v>1</v>
      </c>
      <c r="BR731" s="25" t="s">
        <v>166</v>
      </c>
      <c r="BS731" s="32" t="s">
        <v>166</v>
      </c>
      <c r="BT731" s="25" t="s">
        <v>14012</v>
      </c>
      <c r="BU731" s="25" t="s">
        <v>166</v>
      </c>
      <c r="BV731" s="25" t="s">
        <v>166</v>
      </c>
      <c r="BW731" s="25" t="s">
        <v>166</v>
      </c>
      <c r="BX731" s="25" t="s">
        <v>166</v>
      </c>
      <c r="BY731" s="25" t="s">
        <v>166</v>
      </c>
      <c r="BZ731" s="25" t="s">
        <v>166</v>
      </c>
      <c r="CA731" s="25" t="s">
        <v>166</v>
      </c>
      <c r="CB731" s="25" t="s">
        <v>166</v>
      </c>
      <c r="CC731" s="25" t="s">
        <v>166</v>
      </c>
      <c r="CD731" s="25" t="s">
        <v>166</v>
      </c>
      <c r="CE731" s="29" t="s">
        <v>166</v>
      </c>
      <c r="CF731" s="27" t="s">
        <v>166</v>
      </c>
      <c r="CG731" s="28" t="s">
        <v>166</v>
      </c>
      <c r="CH731" s="27" t="s">
        <v>166</v>
      </c>
      <c r="CI731" s="27" t="s">
        <v>166</v>
      </c>
      <c r="CJ731" s="27" t="s">
        <v>166</v>
      </c>
      <c r="CK731" s="27" t="s">
        <v>166</v>
      </c>
      <c r="CL731" s="27" t="s">
        <v>166</v>
      </c>
      <c r="CM731" s="31" t="s">
        <v>166</v>
      </c>
      <c r="CN731" s="27" t="s">
        <v>166</v>
      </c>
      <c r="CO731" s="27" t="s">
        <v>166</v>
      </c>
      <c r="CP731" s="27" t="s">
        <v>166</v>
      </c>
      <c r="CQ731" s="27" t="s">
        <v>166</v>
      </c>
      <c r="CR731" s="27" t="s">
        <v>166</v>
      </c>
      <c r="CS731" s="27" t="s">
        <v>166</v>
      </c>
      <c r="CT731" s="27" t="s">
        <v>166</v>
      </c>
      <c r="CU731" s="27" t="s">
        <v>166</v>
      </c>
      <c r="CV731" s="27" t="s">
        <v>166</v>
      </c>
      <c r="CW731" s="27" t="s">
        <v>166</v>
      </c>
      <c r="CX731" s="27" t="s">
        <v>166</v>
      </c>
      <c r="CY731" s="27" t="s">
        <v>166</v>
      </c>
      <c r="CZ731" s="27" t="s">
        <v>166</v>
      </c>
      <c r="DA731" s="27" t="s">
        <v>166</v>
      </c>
      <c r="DB731" s="27" t="s">
        <v>166</v>
      </c>
      <c r="DC731" s="27" t="s">
        <v>166</v>
      </c>
      <c r="DD731" s="27" t="s">
        <v>166</v>
      </c>
      <c r="DE731" s="28" t="s">
        <v>166</v>
      </c>
      <c r="DF731" s="33">
        <v>5</v>
      </c>
      <c r="DG731" s="25" t="s">
        <v>14022</v>
      </c>
      <c r="DH731" s="25" t="s">
        <v>193</v>
      </c>
      <c r="DI731" s="25" t="s">
        <v>194</v>
      </c>
      <c r="DJ731" s="25" t="s">
        <v>14023</v>
      </c>
      <c r="DK731" s="25" t="s">
        <v>14024</v>
      </c>
      <c r="DL731" s="32" t="s">
        <v>14025</v>
      </c>
      <c r="DM731" s="25" t="s">
        <v>198</v>
      </c>
      <c r="DN731" s="24" t="s">
        <v>14026</v>
      </c>
      <c r="DO731" s="31">
        <v>2022</v>
      </c>
      <c r="DP731" s="25" t="s">
        <v>166</v>
      </c>
      <c r="DQ731" s="25" t="s">
        <v>166</v>
      </c>
      <c r="DR731" s="29" t="s">
        <v>166</v>
      </c>
      <c r="DS731" s="27" t="s">
        <v>166</v>
      </c>
      <c r="DT731" s="30" t="s">
        <v>166</v>
      </c>
      <c r="DU731" s="25" t="s">
        <v>166</v>
      </c>
      <c r="DV731" s="29" t="s">
        <v>166</v>
      </c>
      <c r="DW731" s="29" t="s">
        <v>166</v>
      </c>
      <c r="DX731" s="27" t="s">
        <v>166</v>
      </c>
      <c r="DY731" s="27" t="s">
        <v>166</v>
      </c>
      <c r="DZ731" s="28" t="s">
        <v>166</v>
      </c>
      <c r="EA731" s="27" t="s">
        <v>166</v>
      </c>
      <c r="EB731" s="27" t="s">
        <v>166</v>
      </c>
      <c r="EC731" s="27" t="s">
        <v>166</v>
      </c>
      <c r="ED731" s="28" t="s">
        <v>166</v>
      </c>
      <c r="EE731" s="28" t="s">
        <v>166</v>
      </c>
      <c r="EF731" s="28" t="s">
        <v>166</v>
      </c>
      <c r="EG731" s="28" t="s">
        <v>166</v>
      </c>
      <c r="EH731" s="27" t="s">
        <v>166</v>
      </c>
      <c r="EI731" s="27" t="s">
        <v>166</v>
      </c>
      <c r="EJ731" s="27" t="s">
        <v>166</v>
      </c>
      <c r="EK731" s="27" t="s">
        <v>166</v>
      </c>
      <c r="EL731" s="27" t="s">
        <v>166</v>
      </c>
      <c r="EM731" s="27" t="s">
        <v>166</v>
      </c>
      <c r="EN731" s="27" t="s">
        <v>166</v>
      </c>
      <c r="EO731" s="27" t="s">
        <v>166</v>
      </c>
      <c r="EP731" s="27" t="s">
        <v>166</v>
      </c>
      <c r="EQ731" s="27" t="s">
        <v>166</v>
      </c>
      <c r="ER731" s="27" t="s">
        <v>166</v>
      </c>
      <c r="ES731" s="27" t="s">
        <v>166</v>
      </c>
      <c r="ET731" s="25" t="s">
        <v>166</v>
      </c>
      <c r="EU731" s="27" t="s">
        <v>166</v>
      </c>
      <c r="EV731" s="27" t="s">
        <v>166</v>
      </c>
      <c r="EW731" s="27" t="s">
        <v>166</v>
      </c>
      <c r="EX731" s="25" t="s">
        <v>190</v>
      </c>
      <c r="EY731" s="25" t="s">
        <v>166</v>
      </c>
      <c r="EZ731" s="27" t="s">
        <v>166</v>
      </c>
      <c r="FA731" s="26" t="s">
        <v>166</v>
      </c>
      <c r="FB731" s="26" t="s">
        <v>166</v>
      </c>
      <c r="FC731" s="26" t="s">
        <v>166</v>
      </c>
      <c r="FD731" s="26" t="s">
        <v>166</v>
      </c>
      <c r="FE731" s="26" t="s">
        <v>166</v>
      </c>
      <c r="FF731" s="26" t="s">
        <v>166</v>
      </c>
      <c r="FG731" s="25" t="s">
        <v>166</v>
      </c>
      <c r="FH731" s="4">
        <f>HYPERLINK("https://my.pitchbook.com?c=271572-67T","View Company Online")</f>
      </c>
    </row>
    <row r="732">
      <c r="A732" s="14" t="s">
        <v>14027</v>
      </c>
      <c r="B732" s="14" t="s">
        <v>14028</v>
      </c>
      <c r="C732" s="14" t="s">
        <v>14029</v>
      </c>
      <c r="D732" s="14" t="s">
        <v>166</v>
      </c>
      <c r="E732" s="23" t="s">
        <v>8889</v>
      </c>
      <c r="F732" s="21">
        <v>1</v>
      </c>
      <c r="G732" s="14" t="s">
        <v>14030</v>
      </c>
      <c r="H732" s="14" t="s">
        <v>166</v>
      </c>
      <c r="I732" s="14" t="s">
        <v>14031</v>
      </c>
      <c r="J732" s="14" t="s">
        <v>14032</v>
      </c>
      <c r="K732" s="14" t="s">
        <v>207</v>
      </c>
      <c r="L732" s="14" t="s">
        <v>208</v>
      </c>
      <c r="M732" s="14" t="s">
        <v>209</v>
      </c>
      <c r="N732" s="14" t="s">
        <v>684</v>
      </c>
      <c r="O732" s="14" t="s">
        <v>665</v>
      </c>
      <c r="P732" s="14" t="s">
        <v>14033</v>
      </c>
      <c r="Q732" s="14" t="s">
        <v>926</v>
      </c>
      <c r="R732" s="14" t="s">
        <v>177</v>
      </c>
      <c r="S732" s="14" t="s">
        <v>178</v>
      </c>
      <c r="T732" s="14" t="s">
        <v>179</v>
      </c>
      <c r="U732" s="14" t="s">
        <v>14034</v>
      </c>
      <c r="V732" s="14" t="s">
        <v>14035</v>
      </c>
      <c r="W732" s="21" t="s">
        <v>166</v>
      </c>
      <c r="X732" s="14" t="s">
        <v>166</v>
      </c>
      <c r="Y732" s="14" t="s">
        <v>14036</v>
      </c>
      <c r="Z732" s="14" t="s">
        <v>14037</v>
      </c>
      <c r="AA732" s="14" t="s">
        <v>166</v>
      </c>
      <c r="AB732" s="14" t="s">
        <v>166</v>
      </c>
      <c r="AC732" s="14" t="s">
        <v>166</v>
      </c>
      <c r="AD732" s="14" t="s">
        <v>166</v>
      </c>
      <c r="AE732" s="14" t="s">
        <v>166</v>
      </c>
      <c r="AF732" s="14" t="s">
        <v>166</v>
      </c>
      <c r="AG732" s="14" t="s">
        <v>166</v>
      </c>
      <c r="AH732" s="21">
        <v>1</v>
      </c>
      <c r="AI732" s="3">
        <f>HYPERLINK("https://my.pitchbook.com/?d=254676-34T","254676-34T")</f>
      </c>
      <c r="AJ732" s="19" t="s">
        <v>166</v>
      </c>
      <c r="AK732" s="19">
        <v>45352</v>
      </c>
      <c r="AL732" s="18">
        <v>1.7</v>
      </c>
      <c r="AM732" s="14" t="s">
        <v>185</v>
      </c>
      <c r="AN732" s="18" t="s">
        <v>166</v>
      </c>
      <c r="AO732" s="18" t="s">
        <v>166</v>
      </c>
      <c r="AP732" s="14" t="s">
        <v>166</v>
      </c>
      <c r="AQ732" s="21" t="s">
        <v>166</v>
      </c>
      <c r="AR732" s="21" t="s">
        <v>166</v>
      </c>
      <c r="AS732" s="17" t="s">
        <v>166</v>
      </c>
      <c r="AT732" s="18">
        <v>1.7</v>
      </c>
      <c r="AU732" s="21" t="s">
        <v>186</v>
      </c>
      <c r="AV732" s="21" t="s">
        <v>166</v>
      </c>
      <c r="AW732" s="18" t="s">
        <v>166</v>
      </c>
      <c r="AX732" s="21" t="s">
        <v>166</v>
      </c>
      <c r="AY732" s="14" t="s">
        <v>187</v>
      </c>
      <c r="AZ732" s="14" t="s">
        <v>166</v>
      </c>
      <c r="BA732" s="14" t="s">
        <v>166</v>
      </c>
      <c r="BB732" s="21" t="s">
        <v>166</v>
      </c>
      <c r="BC732" s="14" t="s">
        <v>179</v>
      </c>
      <c r="BD732" s="14" t="s">
        <v>14032</v>
      </c>
      <c r="BE732" s="14" t="s">
        <v>189</v>
      </c>
      <c r="BF732" s="18">
        <v>1.7</v>
      </c>
      <c r="BG732" s="14" t="s">
        <v>190</v>
      </c>
      <c r="BH732" s="14" t="s">
        <v>166</v>
      </c>
      <c r="BI732" s="14" t="s">
        <v>166</v>
      </c>
      <c r="BJ732" s="18" t="s">
        <v>166</v>
      </c>
      <c r="BK732" s="18" t="s">
        <v>166</v>
      </c>
      <c r="BL732" s="14" t="s">
        <v>191</v>
      </c>
      <c r="BM732" s="14" t="s">
        <v>178</v>
      </c>
      <c r="BN732" s="14" t="s">
        <v>177</v>
      </c>
      <c r="BO732" s="22" t="s">
        <v>166</v>
      </c>
      <c r="BP732" s="14" t="s">
        <v>8889</v>
      </c>
      <c r="BQ732" s="21">
        <v>1</v>
      </c>
      <c r="BR732" s="14" t="s">
        <v>166</v>
      </c>
      <c r="BS732" s="21" t="s">
        <v>166</v>
      </c>
      <c r="BT732" s="14" t="s">
        <v>8889</v>
      </c>
      <c r="BU732" s="14" t="s">
        <v>166</v>
      </c>
      <c r="BV732" s="14" t="s">
        <v>14038</v>
      </c>
      <c r="BW732" s="14" t="s">
        <v>166</v>
      </c>
      <c r="BX732" s="14" t="s">
        <v>166</v>
      </c>
      <c r="BY732" s="14" t="s">
        <v>166</v>
      </c>
      <c r="BZ732" s="14" t="s">
        <v>14039</v>
      </c>
      <c r="CA732" s="14" t="s">
        <v>1232</v>
      </c>
      <c r="CB732" s="14" t="s">
        <v>166</v>
      </c>
      <c r="CC732" s="14" t="s">
        <v>14040</v>
      </c>
      <c r="CD732" s="14" t="s">
        <v>166</v>
      </c>
      <c r="CE732" s="18" t="s">
        <v>166</v>
      </c>
      <c r="CF732" s="16" t="s">
        <v>166</v>
      </c>
      <c r="CG732" s="17" t="s">
        <v>166</v>
      </c>
      <c r="CH732" s="16" t="s">
        <v>166</v>
      </c>
      <c r="CI732" s="16" t="s">
        <v>166</v>
      </c>
      <c r="CJ732" s="16" t="s">
        <v>166</v>
      </c>
      <c r="CK732" s="16" t="s">
        <v>166</v>
      </c>
      <c r="CL732" s="16" t="s">
        <v>166</v>
      </c>
      <c r="CM732" s="20" t="s">
        <v>166</v>
      </c>
      <c r="CN732" s="16" t="s">
        <v>166</v>
      </c>
      <c r="CO732" s="16" t="s">
        <v>166</v>
      </c>
      <c r="CP732" s="16" t="s">
        <v>166</v>
      </c>
      <c r="CQ732" s="16" t="s">
        <v>166</v>
      </c>
      <c r="CR732" s="16" t="s">
        <v>166</v>
      </c>
      <c r="CS732" s="16" t="s">
        <v>166</v>
      </c>
      <c r="CT732" s="16" t="s">
        <v>166</v>
      </c>
      <c r="CU732" s="16" t="s">
        <v>166</v>
      </c>
      <c r="CV732" s="16" t="s">
        <v>166</v>
      </c>
      <c r="CW732" s="16" t="s">
        <v>166</v>
      </c>
      <c r="CX732" s="16" t="s">
        <v>166</v>
      </c>
      <c r="CY732" s="16" t="s">
        <v>166</v>
      </c>
      <c r="CZ732" s="16" t="s">
        <v>166</v>
      </c>
      <c r="DA732" s="16" t="s">
        <v>166</v>
      </c>
      <c r="DB732" s="16" t="s">
        <v>166</v>
      </c>
      <c r="DC732" s="16" t="s">
        <v>166</v>
      </c>
      <c r="DD732" s="16" t="s">
        <v>166</v>
      </c>
      <c r="DE732" s="17" t="s">
        <v>166</v>
      </c>
      <c r="DF732" s="22">
        <v>2</v>
      </c>
      <c r="DG732" s="14" t="s">
        <v>309</v>
      </c>
      <c r="DH732" s="14" t="s">
        <v>193</v>
      </c>
      <c r="DI732" s="14" t="s">
        <v>194</v>
      </c>
      <c r="DJ732" s="14" t="s">
        <v>310</v>
      </c>
      <c r="DK732" s="14" t="s">
        <v>310</v>
      </c>
      <c r="DL732" s="21" t="s">
        <v>166</v>
      </c>
      <c r="DM732" s="14" t="s">
        <v>198</v>
      </c>
      <c r="DN732" s="13" t="s">
        <v>14041</v>
      </c>
      <c r="DO732" s="20">
        <v>2024</v>
      </c>
      <c r="DP732" s="14" t="s">
        <v>166</v>
      </c>
      <c r="DQ732" s="14" t="s">
        <v>166</v>
      </c>
      <c r="DR732" s="18" t="s">
        <v>166</v>
      </c>
      <c r="DS732" s="16" t="s">
        <v>166</v>
      </c>
      <c r="DT732" s="19" t="s">
        <v>166</v>
      </c>
      <c r="DU732" s="14" t="s">
        <v>166</v>
      </c>
      <c r="DV732" s="18" t="s">
        <v>166</v>
      </c>
      <c r="DW732" s="18" t="s">
        <v>166</v>
      </c>
      <c r="DX732" s="16" t="s">
        <v>166</v>
      </c>
      <c r="DY732" s="16" t="s">
        <v>166</v>
      </c>
      <c r="DZ732" s="17" t="s">
        <v>166</v>
      </c>
      <c r="EA732" s="16" t="s">
        <v>166</v>
      </c>
      <c r="EB732" s="16" t="s">
        <v>166</v>
      </c>
      <c r="EC732" s="16" t="s">
        <v>166</v>
      </c>
      <c r="ED732" s="17" t="s">
        <v>166</v>
      </c>
      <c r="EE732" s="17" t="s">
        <v>166</v>
      </c>
      <c r="EF732" s="17" t="s">
        <v>166</v>
      </c>
      <c r="EG732" s="17" t="s">
        <v>166</v>
      </c>
      <c r="EH732" s="16" t="s">
        <v>166</v>
      </c>
      <c r="EI732" s="16" t="s">
        <v>166</v>
      </c>
      <c r="EJ732" s="16" t="s">
        <v>166</v>
      </c>
      <c r="EK732" s="16" t="s">
        <v>166</v>
      </c>
      <c r="EL732" s="16" t="s">
        <v>166</v>
      </c>
      <c r="EM732" s="16" t="s">
        <v>166</v>
      </c>
      <c r="EN732" s="16" t="s">
        <v>166</v>
      </c>
      <c r="EO732" s="16" t="s">
        <v>166</v>
      </c>
      <c r="EP732" s="16" t="s">
        <v>166</v>
      </c>
      <c r="EQ732" s="16" t="s">
        <v>166</v>
      </c>
      <c r="ER732" s="16" t="s">
        <v>166</v>
      </c>
      <c r="ES732" s="16" t="s">
        <v>166</v>
      </c>
      <c r="ET732" s="14" t="s">
        <v>166</v>
      </c>
      <c r="EU732" s="16" t="s">
        <v>166</v>
      </c>
      <c r="EV732" s="16" t="s">
        <v>166</v>
      </c>
      <c r="EW732" s="16" t="s">
        <v>166</v>
      </c>
      <c r="EX732" s="14" t="s">
        <v>190</v>
      </c>
      <c r="EY732" s="14" t="s">
        <v>166</v>
      </c>
      <c r="EZ732" s="16" t="s">
        <v>166</v>
      </c>
      <c r="FA732" s="15" t="s">
        <v>166</v>
      </c>
      <c r="FB732" s="15" t="s">
        <v>166</v>
      </c>
      <c r="FC732" s="15" t="s">
        <v>166</v>
      </c>
      <c r="FD732" s="15" t="s">
        <v>166</v>
      </c>
      <c r="FE732" s="15" t="s">
        <v>166</v>
      </c>
      <c r="FF732" s="15" t="s">
        <v>166</v>
      </c>
      <c r="FG732" s="14" t="s">
        <v>166</v>
      </c>
      <c r="FH732" s="3">
        <f>HYPERLINK("https://my.pitchbook.com?c=254676-34T","View Company Online")</f>
      </c>
    </row>
    <row r="733">
      <c r="A733" s="25" t="s">
        <v>14042</v>
      </c>
      <c r="B733" s="25" t="s">
        <v>14043</v>
      </c>
      <c r="C733" s="25" t="s">
        <v>14044</v>
      </c>
      <c r="D733" s="25" t="s">
        <v>166</v>
      </c>
      <c r="E733" s="34" t="s">
        <v>14045</v>
      </c>
      <c r="F733" s="32">
        <v>3</v>
      </c>
      <c r="G733" s="25" t="s">
        <v>14046</v>
      </c>
      <c r="H733" s="25" t="s">
        <v>166</v>
      </c>
      <c r="I733" s="25" t="s">
        <v>14047</v>
      </c>
      <c r="J733" s="25" t="s">
        <v>14048</v>
      </c>
      <c r="K733" s="25" t="s">
        <v>207</v>
      </c>
      <c r="L733" s="25" t="s">
        <v>208</v>
      </c>
      <c r="M733" s="25" t="s">
        <v>209</v>
      </c>
      <c r="N733" s="25" t="s">
        <v>684</v>
      </c>
      <c r="O733" s="25" t="s">
        <v>14049</v>
      </c>
      <c r="P733" s="25" t="s">
        <v>14050</v>
      </c>
      <c r="Q733" s="25" t="s">
        <v>166</v>
      </c>
      <c r="R733" s="25" t="s">
        <v>177</v>
      </c>
      <c r="S733" s="25" t="s">
        <v>178</v>
      </c>
      <c r="T733" s="25" t="s">
        <v>179</v>
      </c>
      <c r="U733" s="25" t="s">
        <v>14051</v>
      </c>
      <c r="V733" s="25" t="s">
        <v>14052</v>
      </c>
      <c r="W733" s="32" t="s">
        <v>166</v>
      </c>
      <c r="X733" s="25" t="s">
        <v>14053</v>
      </c>
      <c r="Y733" s="25" t="s">
        <v>14054</v>
      </c>
      <c r="Z733" s="25" t="s">
        <v>14055</v>
      </c>
      <c r="AA733" s="25" t="s">
        <v>166</v>
      </c>
      <c r="AB733" s="25" t="s">
        <v>166</v>
      </c>
      <c r="AC733" s="25" t="s">
        <v>166</v>
      </c>
      <c r="AD733" s="25" t="s">
        <v>166</v>
      </c>
      <c r="AE733" s="25" t="s">
        <v>166</v>
      </c>
      <c r="AF733" s="25" t="s">
        <v>166</v>
      </c>
      <c r="AG733" s="25" t="s">
        <v>166</v>
      </c>
      <c r="AH733" s="32">
        <v>1</v>
      </c>
      <c r="AI733" s="4">
        <f>HYPERLINK("https://my.pitchbook.com/?d=206297-02T","206297-02T")</f>
      </c>
      <c r="AJ733" s="30" t="s">
        <v>166</v>
      </c>
      <c r="AK733" s="30">
        <v>44409</v>
      </c>
      <c r="AL733" s="29">
        <v>0.6</v>
      </c>
      <c r="AM733" s="25" t="s">
        <v>185</v>
      </c>
      <c r="AN733" s="29" t="s">
        <v>166</v>
      </c>
      <c r="AO733" s="29" t="s">
        <v>166</v>
      </c>
      <c r="AP733" s="25" t="s">
        <v>166</v>
      </c>
      <c r="AQ733" s="32" t="s">
        <v>166</v>
      </c>
      <c r="AR733" s="32" t="s">
        <v>166</v>
      </c>
      <c r="AS733" s="28" t="s">
        <v>166</v>
      </c>
      <c r="AT733" s="29">
        <v>0.6</v>
      </c>
      <c r="AU733" s="32" t="s">
        <v>186</v>
      </c>
      <c r="AV733" s="32" t="s">
        <v>166</v>
      </c>
      <c r="AW733" s="29" t="s">
        <v>166</v>
      </c>
      <c r="AX733" s="32" t="s">
        <v>166</v>
      </c>
      <c r="AY733" s="25" t="s">
        <v>217</v>
      </c>
      <c r="AZ733" s="25" t="s">
        <v>217</v>
      </c>
      <c r="BA733" s="25" t="s">
        <v>166</v>
      </c>
      <c r="BB733" s="32" t="s">
        <v>166</v>
      </c>
      <c r="BC733" s="25" t="s">
        <v>179</v>
      </c>
      <c r="BD733" s="25" t="s">
        <v>14048</v>
      </c>
      <c r="BE733" s="25" t="s">
        <v>189</v>
      </c>
      <c r="BF733" s="29">
        <v>0.6</v>
      </c>
      <c r="BG733" s="25" t="s">
        <v>190</v>
      </c>
      <c r="BH733" s="25" t="s">
        <v>166</v>
      </c>
      <c r="BI733" s="25" t="s">
        <v>166</v>
      </c>
      <c r="BJ733" s="29" t="s">
        <v>166</v>
      </c>
      <c r="BK733" s="29" t="s">
        <v>166</v>
      </c>
      <c r="BL733" s="25" t="s">
        <v>191</v>
      </c>
      <c r="BM733" s="25" t="s">
        <v>178</v>
      </c>
      <c r="BN733" s="25" t="s">
        <v>177</v>
      </c>
      <c r="BO733" s="33" t="s">
        <v>166</v>
      </c>
      <c r="BP733" s="25" t="s">
        <v>14045</v>
      </c>
      <c r="BQ733" s="32">
        <v>3</v>
      </c>
      <c r="BR733" s="25" t="s">
        <v>166</v>
      </c>
      <c r="BS733" s="32" t="s">
        <v>166</v>
      </c>
      <c r="BT733" s="25" t="s">
        <v>166</v>
      </c>
      <c r="BU733" s="25" t="s">
        <v>166</v>
      </c>
      <c r="BV733" s="25" t="s">
        <v>12268</v>
      </c>
      <c r="BW733" s="25" t="s">
        <v>166</v>
      </c>
      <c r="BX733" s="25" t="s">
        <v>166</v>
      </c>
      <c r="BY733" s="25" t="s">
        <v>166</v>
      </c>
      <c r="BZ733" s="25" t="s">
        <v>166</v>
      </c>
      <c r="CA733" s="25" t="s">
        <v>166</v>
      </c>
      <c r="CB733" s="25" t="s">
        <v>166</v>
      </c>
      <c r="CC733" s="25" t="s">
        <v>166</v>
      </c>
      <c r="CD733" s="25" t="s">
        <v>166</v>
      </c>
      <c r="CE733" s="29" t="s">
        <v>166</v>
      </c>
      <c r="CF733" s="27" t="s">
        <v>166</v>
      </c>
      <c r="CG733" s="28" t="s">
        <v>166</v>
      </c>
      <c r="CH733" s="27" t="s">
        <v>166</v>
      </c>
      <c r="CI733" s="27" t="s">
        <v>166</v>
      </c>
      <c r="CJ733" s="27" t="s">
        <v>166</v>
      </c>
      <c r="CK733" s="27" t="s">
        <v>166</v>
      </c>
      <c r="CL733" s="27" t="s">
        <v>166</v>
      </c>
      <c r="CM733" s="31" t="s">
        <v>166</v>
      </c>
      <c r="CN733" s="27" t="s">
        <v>166</v>
      </c>
      <c r="CO733" s="27" t="s">
        <v>166</v>
      </c>
      <c r="CP733" s="27" t="s">
        <v>166</v>
      </c>
      <c r="CQ733" s="27" t="s">
        <v>166</v>
      </c>
      <c r="CR733" s="27" t="s">
        <v>166</v>
      </c>
      <c r="CS733" s="27" t="s">
        <v>166</v>
      </c>
      <c r="CT733" s="27" t="s">
        <v>166</v>
      </c>
      <c r="CU733" s="27" t="s">
        <v>166</v>
      </c>
      <c r="CV733" s="27" t="s">
        <v>166</v>
      </c>
      <c r="CW733" s="27" t="s">
        <v>166</v>
      </c>
      <c r="CX733" s="27" t="s">
        <v>166</v>
      </c>
      <c r="CY733" s="27" t="s">
        <v>166</v>
      </c>
      <c r="CZ733" s="27" t="s">
        <v>166</v>
      </c>
      <c r="DA733" s="27" t="s">
        <v>166</v>
      </c>
      <c r="DB733" s="27" t="s">
        <v>166</v>
      </c>
      <c r="DC733" s="27" t="s">
        <v>166</v>
      </c>
      <c r="DD733" s="27" t="s">
        <v>166</v>
      </c>
      <c r="DE733" s="28" t="s">
        <v>166</v>
      </c>
      <c r="DF733" s="33">
        <v>26</v>
      </c>
      <c r="DG733" s="25" t="s">
        <v>309</v>
      </c>
      <c r="DH733" s="25" t="s">
        <v>193</v>
      </c>
      <c r="DI733" s="25" t="s">
        <v>194</v>
      </c>
      <c r="DJ733" s="25" t="s">
        <v>310</v>
      </c>
      <c r="DK733" s="25" t="s">
        <v>310</v>
      </c>
      <c r="DL733" s="32" t="s">
        <v>166</v>
      </c>
      <c r="DM733" s="25" t="s">
        <v>198</v>
      </c>
      <c r="DN733" s="24" t="s">
        <v>14056</v>
      </c>
      <c r="DO733" s="31">
        <v>2021</v>
      </c>
      <c r="DP733" s="25" t="s">
        <v>166</v>
      </c>
      <c r="DQ733" s="25" t="s">
        <v>166</v>
      </c>
      <c r="DR733" s="29" t="s">
        <v>166</v>
      </c>
      <c r="DS733" s="27" t="s">
        <v>166</v>
      </c>
      <c r="DT733" s="30" t="s">
        <v>166</v>
      </c>
      <c r="DU733" s="25" t="s">
        <v>166</v>
      </c>
      <c r="DV733" s="29" t="s">
        <v>166</v>
      </c>
      <c r="DW733" s="29" t="s">
        <v>166</v>
      </c>
      <c r="DX733" s="27" t="s">
        <v>166</v>
      </c>
      <c r="DY733" s="27" t="s">
        <v>166</v>
      </c>
      <c r="DZ733" s="28" t="s">
        <v>166</v>
      </c>
      <c r="EA733" s="27" t="s">
        <v>166</v>
      </c>
      <c r="EB733" s="27" t="s">
        <v>166</v>
      </c>
      <c r="EC733" s="27" t="s">
        <v>166</v>
      </c>
      <c r="ED733" s="28" t="s">
        <v>166</v>
      </c>
      <c r="EE733" s="28" t="s">
        <v>166</v>
      </c>
      <c r="EF733" s="28" t="s">
        <v>166</v>
      </c>
      <c r="EG733" s="28" t="s">
        <v>166</v>
      </c>
      <c r="EH733" s="27" t="s">
        <v>166</v>
      </c>
      <c r="EI733" s="27" t="s">
        <v>166</v>
      </c>
      <c r="EJ733" s="27" t="s">
        <v>166</v>
      </c>
      <c r="EK733" s="27" t="s">
        <v>166</v>
      </c>
      <c r="EL733" s="27" t="s">
        <v>166</v>
      </c>
      <c r="EM733" s="27" t="s">
        <v>166</v>
      </c>
      <c r="EN733" s="27" t="s">
        <v>166</v>
      </c>
      <c r="EO733" s="27" t="s">
        <v>166</v>
      </c>
      <c r="EP733" s="27" t="s">
        <v>166</v>
      </c>
      <c r="EQ733" s="27" t="s">
        <v>166</v>
      </c>
      <c r="ER733" s="27" t="s">
        <v>166</v>
      </c>
      <c r="ES733" s="27" t="s">
        <v>166</v>
      </c>
      <c r="ET733" s="25" t="s">
        <v>166</v>
      </c>
      <c r="EU733" s="27" t="s">
        <v>166</v>
      </c>
      <c r="EV733" s="27" t="s">
        <v>166</v>
      </c>
      <c r="EW733" s="27" t="s">
        <v>166</v>
      </c>
      <c r="EX733" s="25" t="s">
        <v>190</v>
      </c>
      <c r="EY733" s="25" t="s">
        <v>166</v>
      </c>
      <c r="EZ733" s="27" t="s">
        <v>166</v>
      </c>
      <c r="FA733" s="26" t="s">
        <v>166</v>
      </c>
      <c r="FB733" s="26" t="s">
        <v>166</v>
      </c>
      <c r="FC733" s="26" t="s">
        <v>166</v>
      </c>
      <c r="FD733" s="26" t="s">
        <v>166</v>
      </c>
      <c r="FE733" s="26" t="s">
        <v>166</v>
      </c>
      <c r="FF733" s="26" t="s">
        <v>166</v>
      </c>
      <c r="FG733" s="25" t="s">
        <v>166</v>
      </c>
      <c r="FH733" s="4">
        <f>HYPERLINK("https://my.pitchbook.com?c=206297-02T","View Company Online")</f>
      </c>
    </row>
    <row r="734">
      <c r="A734" s="14" t="s">
        <v>14057</v>
      </c>
      <c r="B734" s="14" t="s">
        <v>14058</v>
      </c>
      <c r="C734" s="14" t="s">
        <v>14059</v>
      </c>
      <c r="D734" s="14" t="s">
        <v>166</v>
      </c>
      <c r="E734" s="23" t="s">
        <v>14060</v>
      </c>
      <c r="F734" s="21">
        <v>3</v>
      </c>
      <c r="G734" s="14" t="s">
        <v>14061</v>
      </c>
      <c r="H734" s="14" t="s">
        <v>166</v>
      </c>
      <c r="I734" s="14" t="s">
        <v>14062</v>
      </c>
      <c r="J734" s="14" t="s">
        <v>14063</v>
      </c>
      <c r="K734" s="14" t="s">
        <v>207</v>
      </c>
      <c r="L734" s="14" t="s">
        <v>208</v>
      </c>
      <c r="M734" s="14" t="s">
        <v>209</v>
      </c>
      <c r="N734" s="14" t="s">
        <v>3221</v>
      </c>
      <c r="O734" s="14" t="s">
        <v>14064</v>
      </c>
      <c r="P734" s="14" t="s">
        <v>14065</v>
      </c>
      <c r="Q734" s="14" t="s">
        <v>166</v>
      </c>
      <c r="R734" s="14" t="s">
        <v>177</v>
      </c>
      <c r="S734" s="14" t="s">
        <v>178</v>
      </c>
      <c r="T734" s="14" t="s">
        <v>273</v>
      </c>
      <c r="U734" s="14" t="s">
        <v>14066</v>
      </c>
      <c r="V734" s="14" t="s">
        <v>14067</v>
      </c>
      <c r="W734" s="21" t="s">
        <v>14068</v>
      </c>
      <c r="X734" s="14" t="s">
        <v>14069</v>
      </c>
      <c r="Y734" s="14" t="s">
        <v>14070</v>
      </c>
      <c r="Z734" s="14" t="s">
        <v>14071</v>
      </c>
      <c r="AA734" s="14" t="s">
        <v>242</v>
      </c>
      <c r="AB734" s="14" t="s">
        <v>243</v>
      </c>
      <c r="AC734" s="14" t="s">
        <v>244</v>
      </c>
      <c r="AD734" s="14" t="s">
        <v>243</v>
      </c>
      <c r="AE734" s="14" t="s">
        <v>243</v>
      </c>
      <c r="AF734" s="14" t="s">
        <v>166</v>
      </c>
      <c r="AG734" s="14" t="s">
        <v>807</v>
      </c>
      <c r="AH734" s="21">
        <v>3</v>
      </c>
      <c r="AI734" s="3">
        <f>HYPERLINK("https://my.pitchbook.com/?d=133692-49T","133692-49T")</f>
      </c>
      <c r="AJ734" s="19" t="s">
        <v>166</v>
      </c>
      <c r="AK734" s="19">
        <v>43889</v>
      </c>
      <c r="AL734" s="18">
        <v>3</v>
      </c>
      <c r="AM734" s="14" t="s">
        <v>185</v>
      </c>
      <c r="AN734" s="18">
        <v>12</v>
      </c>
      <c r="AO734" s="18">
        <v>15</v>
      </c>
      <c r="AP734" s="14" t="s">
        <v>185</v>
      </c>
      <c r="AQ734" s="21" t="s">
        <v>166</v>
      </c>
      <c r="AR734" s="21" t="s">
        <v>166</v>
      </c>
      <c r="AS734" s="17">
        <v>20</v>
      </c>
      <c r="AT734" s="18">
        <v>3.5</v>
      </c>
      <c r="AU734" s="21" t="s">
        <v>186</v>
      </c>
      <c r="AV734" s="21" t="s">
        <v>166</v>
      </c>
      <c r="AW734" s="18">
        <v>1.23</v>
      </c>
      <c r="AX734" s="21" t="s">
        <v>166</v>
      </c>
      <c r="AY734" s="14" t="s">
        <v>217</v>
      </c>
      <c r="AZ734" s="14" t="s">
        <v>217</v>
      </c>
      <c r="BA734" s="14" t="s">
        <v>166</v>
      </c>
      <c r="BB734" s="21" t="s">
        <v>166</v>
      </c>
      <c r="BC734" s="14" t="s">
        <v>179</v>
      </c>
      <c r="BD734" s="14" t="s">
        <v>14072</v>
      </c>
      <c r="BE734" s="14" t="s">
        <v>189</v>
      </c>
      <c r="BF734" s="18">
        <v>3</v>
      </c>
      <c r="BG734" s="14" t="s">
        <v>190</v>
      </c>
      <c r="BH734" s="14" t="s">
        <v>166</v>
      </c>
      <c r="BI734" s="14" t="s">
        <v>166</v>
      </c>
      <c r="BJ734" s="18" t="s">
        <v>166</v>
      </c>
      <c r="BK734" s="18" t="s">
        <v>166</v>
      </c>
      <c r="BL734" s="14" t="s">
        <v>191</v>
      </c>
      <c r="BM734" s="14" t="s">
        <v>178</v>
      </c>
      <c r="BN734" s="14" t="s">
        <v>177</v>
      </c>
      <c r="BO734" s="22">
        <v>5</v>
      </c>
      <c r="BP734" s="14" t="s">
        <v>14073</v>
      </c>
      <c r="BQ734" s="21">
        <v>3</v>
      </c>
      <c r="BR734" s="14" t="s">
        <v>166</v>
      </c>
      <c r="BS734" s="21" t="s">
        <v>166</v>
      </c>
      <c r="BT734" s="14" t="s">
        <v>14074</v>
      </c>
      <c r="BU734" s="14" t="s">
        <v>166</v>
      </c>
      <c r="BV734" s="14" t="s">
        <v>13761</v>
      </c>
      <c r="BW734" s="14" t="s">
        <v>166</v>
      </c>
      <c r="BX734" s="14" t="s">
        <v>166</v>
      </c>
      <c r="BY734" s="14" t="s">
        <v>166</v>
      </c>
      <c r="BZ734" s="14" t="s">
        <v>14075</v>
      </c>
      <c r="CA734" s="14" t="s">
        <v>14076</v>
      </c>
      <c r="CB734" s="14" t="s">
        <v>166</v>
      </c>
      <c r="CC734" s="14" t="s">
        <v>14077</v>
      </c>
      <c r="CD734" s="14" t="s">
        <v>166</v>
      </c>
      <c r="CE734" s="18" t="s">
        <v>166</v>
      </c>
      <c r="CF734" s="16" t="s">
        <v>166</v>
      </c>
      <c r="CG734" s="17" t="s">
        <v>166</v>
      </c>
      <c r="CH734" s="16" t="s">
        <v>166</v>
      </c>
      <c r="CI734" s="16" t="s">
        <v>166</v>
      </c>
      <c r="CJ734" s="16" t="s">
        <v>166</v>
      </c>
      <c r="CK734" s="16" t="s">
        <v>166</v>
      </c>
      <c r="CL734" s="16" t="s">
        <v>166</v>
      </c>
      <c r="CM734" s="20" t="s">
        <v>166</v>
      </c>
      <c r="CN734" s="16" t="s">
        <v>166</v>
      </c>
      <c r="CO734" s="16" t="s">
        <v>166</v>
      </c>
      <c r="CP734" s="16" t="s">
        <v>166</v>
      </c>
      <c r="CQ734" s="16" t="s">
        <v>166</v>
      </c>
      <c r="CR734" s="16" t="s">
        <v>166</v>
      </c>
      <c r="CS734" s="16" t="s">
        <v>166</v>
      </c>
      <c r="CT734" s="16" t="s">
        <v>166</v>
      </c>
      <c r="CU734" s="16" t="s">
        <v>166</v>
      </c>
      <c r="CV734" s="16" t="s">
        <v>166</v>
      </c>
      <c r="CW734" s="16" t="s">
        <v>166</v>
      </c>
      <c r="CX734" s="16" t="s">
        <v>166</v>
      </c>
      <c r="CY734" s="16" t="s">
        <v>166</v>
      </c>
      <c r="CZ734" s="16" t="s">
        <v>166</v>
      </c>
      <c r="DA734" s="16" t="s">
        <v>166</v>
      </c>
      <c r="DB734" s="16" t="s">
        <v>166</v>
      </c>
      <c r="DC734" s="16" t="s">
        <v>166</v>
      </c>
      <c r="DD734" s="16" t="s">
        <v>166</v>
      </c>
      <c r="DE734" s="17" t="s">
        <v>166</v>
      </c>
      <c r="DF734" s="22">
        <v>12</v>
      </c>
      <c r="DG734" s="14" t="s">
        <v>4632</v>
      </c>
      <c r="DH734" s="14" t="s">
        <v>193</v>
      </c>
      <c r="DI734" s="14" t="s">
        <v>194</v>
      </c>
      <c r="DJ734" s="14" t="s">
        <v>4633</v>
      </c>
      <c r="DK734" s="14" t="s">
        <v>257</v>
      </c>
      <c r="DL734" s="21" t="s">
        <v>4634</v>
      </c>
      <c r="DM734" s="14" t="s">
        <v>198</v>
      </c>
      <c r="DN734" s="13" t="s">
        <v>14078</v>
      </c>
      <c r="DO734" s="20">
        <v>2016</v>
      </c>
      <c r="DP734" s="14" t="s">
        <v>166</v>
      </c>
      <c r="DQ734" s="14" t="s">
        <v>166</v>
      </c>
      <c r="DR734" s="18" t="s">
        <v>166</v>
      </c>
      <c r="DS734" s="16" t="s">
        <v>166</v>
      </c>
      <c r="DT734" s="19" t="s">
        <v>166</v>
      </c>
      <c r="DU734" s="14" t="s">
        <v>166</v>
      </c>
      <c r="DV734" s="18" t="s">
        <v>166</v>
      </c>
      <c r="DW734" s="18" t="s">
        <v>166</v>
      </c>
      <c r="DX734" s="16" t="s">
        <v>166</v>
      </c>
      <c r="DY734" s="16" t="s">
        <v>166</v>
      </c>
      <c r="DZ734" s="17" t="s">
        <v>166</v>
      </c>
      <c r="EA734" s="16" t="s">
        <v>166</v>
      </c>
      <c r="EB734" s="16" t="s">
        <v>166</v>
      </c>
      <c r="EC734" s="16" t="s">
        <v>166</v>
      </c>
      <c r="ED734" s="17" t="s">
        <v>166</v>
      </c>
      <c r="EE734" s="17" t="s">
        <v>166</v>
      </c>
      <c r="EF734" s="17" t="s">
        <v>166</v>
      </c>
      <c r="EG734" s="17" t="s">
        <v>166</v>
      </c>
      <c r="EH734" s="16" t="s">
        <v>166</v>
      </c>
      <c r="EI734" s="16" t="s">
        <v>166</v>
      </c>
      <c r="EJ734" s="16" t="s">
        <v>166</v>
      </c>
      <c r="EK734" s="16" t="s">
        <v>166</v>
      </c>
      <c r="EL734" s="16" t="s">
        <v>166</v>
      </c>
      <c r="EM734" s="16" t="s">
        <v>166</v>
      </c>
      <c r="EN734" s="16" t="s">
        <v>166</v>
      </c>
      <c r="EO734" s="16" t="s">
        <v>166</v>
      </c>
      <c r="EP734" s="16" t="s">
        <v>166</v>
      </c>
      <c r="EQ734" s="16" t="s">
        <v>166</v>
      </c>
      <c r="ER734" s="16" t="s">
        <v>166</v>
      </c>
      <c r="ES734" s="16" t="s">
        <v>166</v>
      </c>
      <c r="ET734" s="14" t="s">
        <v>166</v>
      </c>
      <c r="EU734" s="16" t="s">
        <v>166</v>
      </c>
      <c r="EV734" s="16" t="s">
        <v>166</v>
      </c>
      <c r="EW734" s="16" t="s">
        <v>166</v>
      </c>
      <c r="EX734" s="14" t="s">
        <v>190</v>
      </c>
      <c r="EY734" s="14" t="s">
        <v>166</v>
      </c>
      <c r="EZ734" s="16" t="s">
        <v>166</v>
      </c>
      <c r="FA734" s="15" t="s">
        <v>166</v>
      </c>
      <c r="FB734" s="15" t="s">
        <v>166</v>
      </c>
      <c r="FC734" s="15" t="s">
        <v>166</v>
      </c>
      <c r="FD734" s="15" t="s">
        <v>166</v>
      </c>
      <c r="FE734" s="15" t="s">
        <v>166</v>
      </c>
      <c r="FF734" s="15" t="s">
        <v>166</v>
      </c>
      <c r="FG734" s="14" t="s">
        <v>166</v>
      </c>
      <c r="FH734" s="3">
        <f>HYPERLINK("https://my.pitchbook.com?c=133692-49T","View Company Online")</f>
      </c>
    </row>
    <row r="735">
      <c r="A735" s="25" t="s">
        <v>14079</v>
      </c>
      <c r="B735" s="25" t="s">
        <v>14080</v>
      </c>
      <c r="C735" s="25" t="s">
        <v>14081</v>
      </c>
      <c r="D735" s="25" t="s">
        <v>166</v>
      </c>
      <c r="E735" s="34" t="s">
        <v>14082</v>
      </c>
      <c r="F735" s="32">
        <v>5</v>
      </c>
      <c r="G735" s="25" t="s">
        <v>14083</v>
      </c>
      <c r="H735" s="25" t="s">
        <v>166</v>
      </c>
      <c r="I735" s="25" t="s">
        <v>14084</v>
      </c>
      <c r="J735" s="25" t="s">
        <v>14085</v>
      </c>
      <c r="K735" s="25" t="s">
        <v>207</v>
      </c>
      <c r="L735" s="25" t="s">
        <v>208</v>
      </c>
      <c r="M735" s="25" t="s">
        <v>209</v>
      </c>
      <c r="N735" s="25" t="s">
        <v>269</v>
      </c>
      <c r="O735" s="25" t="s">
        <v>665</v>
      </c>
      <c r="P735" s="25" t="s">
        <v>14086</v>
      </c>
      <c r="Q735" s="25" t="s">
        <v>166</v>
      </c>
      <c r="R735" s="25" t="s">
        <v>177</v>
      </c>
      <c r="S735" s="25" t="s">
        <v>178</v>
      </c>
      <c r="T735" s="25" t="s">
        <v>179</v>
      </c>
      <c r="U735" s="25" t="s">
        <v>14087</v>
      </c>
      <c r="V735" s="25" t="s">
        <v>14088</v>
      </c>
      <c r="W735" s="32" t="s">
        <v>166</v>
      </c>
      <c r="X735" s="25" t="s">
        <v>166</v>
      </c>
      <c r="Y735" s="25" t="s">
        <v>14089</v>
      </c>
      <c r="Z735" s="25" t="s">
        <v>166</v>
      </c>
      <c r="AA735" s="25" t="s">
        <v>166</v>
      </c>
      <c r="AB735" s="25" t="s">
        <v>166</v>
      </c>
      <c r="AC735" s="25" t="s">
        <v>166</v>
      </c>
      <c r="AD735" s="25" t="s">
        <v>166</v>
      </c>
      <c r="AE735" s="25" t="s">
        <v>166</v>
      </c>
      <c r="AF735" s="25" t="s">
        <v>166</v>
      </c>
      <c r="AG735" s="25" t="s">
        <v>166</v>
      </c>
      <c r="AH735" s="32">
        <v>1</v>
      </c>
      <c r="AI735" s="4">
        <f>HYPERLINK("https://my.pitchbook.com/?d=275228-65T","275228-65T")</f>
      </c>
      <c r="AJ735" s="30">
        <v>45418</v>
      </c>
      <c r="AK735" s="30">
        <v>45586</v>
      </c>
      <c r="AL735" s="29">
        <v>2</v>
      </c>
      <c r="AM735" s="25" t="s">
        <v>185</v>
      </c>
      <c r="AN735" s="29" t="s">
        <v>166</v>
      </c>
      <c r="AO735" s="29" t="s">
        <v>166</v>
      </c>
      <c r="AP735" s="25" t="s">
        <v>166</v>
      </c>
      <c r="AQ735" s="32" t="s">
        <v>166</v>
      </c>
      <c r="AR735" s="32" t="s">
        <v>166</v>
      </c>
      <c r="AS735" s="28" t="s">
        <v>166</v>
      </c>
      <c r="AT735" s="29">
        <v>2</v>
      </c>
      <c r="AU735" s="32" t="s">
        <v>186</v>
      </c>
      <c r="AV735" s="32" t="s">
        <v>166</v>
      </c>
      <c r="AW735" s="29" t="s">
        <v>166</v>
      </c>
      <c r="AX735" s="32" t="s">
        <v>166</v>
      </c>
      <c r="AY735" s="25" t="s">
        <v>217</v>
      </c>
      <c r="AZ735" s="25" t="s">
        <v>217</v>
      </c>
      <c r="BA735" s="25" t="s">
        <v>166</v>
      </c>
      <c r="BB735" s="32" t="s">
        <v>166</v>
      </c>
      <c r="BC735" s="25" t="s">
        <v>179</v>
      </c>
      <c r="BD735" s="25" t="s">
        <v>14085</v>
      </c>
      <c r="BE735" s="25" t="s">
        <v>189</v>
      </c>
      <c r="BF735" s="29">
        <v>2</v>
      </c>
      <c r="BG735" s="25" t="s">
        <v>190</v>
      </c>
      <c r="BH735" s="25" t="s">
        <v>166</v>
      </c>
      <c r="BI735" s="25" t="s">
        <v>166</v>
      </c>
      <c r="BJ735" s="29" t="s">
        <v>166</v>
      </c>
      <c r="BK735" s="29" t="s">
        <v>166</v>
      </c>
      <c r="BL735" s="25" t="s">
        <v>191</v>
      </c>
      <c r="BM735" s="25" t="s">
        <v>178</v>
      </c>
      <c r="BN735" s="25" t="s">
        <v>177</v>
      </c>
      <c r="BO735" s="33" t="s">
        <v>166</v>
      </c>
      <c r="BP735" s="25" t="s">
        <v>14090</v>
      </c>
      <c r="BQ735" s="32">
        <v>5</v>
      </c>
      <c r="BR735" s="25" t="s">
        <v>166</v>
      </c>
      <c r="BS735" s="32" t="s">
        <v>166</v>
      </c>
      <c r="BT735" s="25" t="s">
        <v>14091</v>
      </c>
      <c r="BU735" s="25" t="s">
        <v>166</v>
      </c>
      <c r="BV735" s="25" t="s">
        <v>166</v>
      </c>
      <c r="BW735" s="25" t="s">
        <v>166</v>
      </c>
      <c r="BX735" s="25" t="s">
        <v>166</v>
      </c>
      <c r="BY735" s="25" t="s">
        <v>166</v>
      </c>
      <c r="BZ735" s="25" t="s">
        <v>14092</v>
      </c>
      <c r="CA735" s="25" t="s">
        <v>166</v>
      </c>
      <c r="CB735" s="25" t="s">
        <v>166</v>
      </c>
      <c r="CC735" s="25" t="s">
        <v>14092</v>
      </c>
      <c r="CD735" s="25" t="s">
        <v>166</v>
      </c>
      <c r="CE735" s="29" t="s">
        <v>166</v>
      </c>
      <c r="CF735" s="27" t="s">
        <v>166</v>
      </c>
      <c r="CG735" s="28" t="s">
        <v>166</v>
      </c>
      <c r="CH735" s="27" t="s">
        <v>166</v>
      </c>
      <c r="CI735" s="27" t="s">
        <v>166</v>
      </c>
      <c r="CJ735" s="27" t="s">
        <v>166</v>
      </c>
      <c r="CK735" s="27" t="s">
        <v>166</v>
      </c>
      <c r="CL735" s="27" t="s">
        <v>166</v>
      </c>
      <c r="CM735" s="31" t="s">
        <v>166</v>
      </c>
      <c r="CN735" s="27" t="s">
        <v>166</v>
      </c>
      <c r="CO735" s="27" t="s">
        <v>166</v>
      </c>
      <c r="CP735" s="27" t="s">
        <v>166</v>
      </c>
      <c r="CQ735" s="27" t="s">
        <v>166</v>
      </c>
      <c r="CR735" s="27" t="s">
        <v>166</v>
      </c>
      <c r="CS735" s="27" t="s">
        <v>166</v>
      </c>
      <c r="CT735" s="27" t="s">
        <v>166</v>
      </c>
      <c r="CU735" s="27" t="s">
        <v>166</v>
      </c>
      <c r="CV735" s="27" t="s">
        <v>166</v>
      </c>
      <c r="CW735" s="27" t="s">
        <v>166</v>
      </c>
      <c r="CX735" s="27" t="s">
        <v>166</v>
      </c>
      <c r="CY735" s="27" t="s">
        <v>166</v>
      </c>
      <c r="CZ735" s="27" t="s">
        <v>166</v>
      </c>
      <c r="DA735" s="27" t="s">
        <v>166</v>
      </c>
      <c r="DB735" s="27" t="s">
        <v>166</v>
      </c>
      <c r="DC735" s="27" t="s">
        <v>166</v>
      </c>
      <c r="DD735" s="27" t="s">
        <v>166</v>
      </c>
      <c r="DE735" s="28" t="s">
        <v>166</v>
      </c>
      <c r="DF735" s="33">
        <v>8</v>
      </c>
      <c r="DG735" s="25" t="s">
        <v>14093</v>
      </c>
      <c r="DH735" s="25" t="s">
        <v>193</v>
      </c>
      <c r="DI735" s="25" t="s">
        <v>194</v>
      </c>
      <c r="DJ735" s="25" t="s">
        <v>14094</v>
      </c>
      <c r="DK735" s="25" t="s">
        <v>6539</v>
      </c>
      <c r="DL735" s="32" t="s">
        <v>14095</v>
      </c>
      <c r="DM735" s="25" t="s">
        <v>198</v>
      </c>
      <c r="DN735" s="24" t="s">
        <v>14096</v>
      </c>
      <c r="DO735" s="31">
        <v>2023</v>
      </c>
      <c r="DP735" s="25" t="s">
        <v>166</v>
      </c>
      <c r="DQ735" s="25" t="s">
        <v>166</v>
      </c>
      <c r="DR735" s="29" t="s">
        <v>166</v>
      </c>
      <c r="DS735" s="27" t="s">
        <v>166</v>
      </c>
      <c r="DT735" s="30" t="s">
        <v>166</v>
      </c>
      <c r="DU735" s="25" t="s">
        <v>166</v>
      </c>
      <c r="DV735" s="29" t="s">
        <v>166</v>
      </c>
      <c r="DW735" s="29" t="s">
        <v>166</v>
      </c>
      <c r="DX735" s="27" t="s">
        <v>166</v>
      </c>
      <c r="DY735" s="27" t="s">
        <v>166</v>
      </c>
      <c r="DZ735" s="28" t="s">
        <v>166</v>
      </c>
      <c r="EA735" s="27" t="s">
        <v>166</v>
      </c>
      <c r="EB735" s="27" t="s">
        <v>166</v>
      </c>
      <c r="EC735" s="27" t="s">
        <v>166</v>
      </c>
      <c r="ED735" s="28" t="s">
        <v>166</v>
      </c>
      <c r="EE735" s="28" t="s">
        <v>166</v>
      </c>
      <c r="EF735" s="28" t="s">
        <v>166</v>
      </c>
      <c r="EG735" s="28" t="s">
        <v>166</v>
      </c>
      <c r="EH735" s="27" t="s">
        <v>166</v>
      </c>
      <c r="EI735" s="27" t="s">
        <v>166</v>
      </c>
      <c r="EJ735" s="27" t="s">
        <v>166</v>
      </c>
      <c r="EK735" s="27" t="s">
        <v>166</v>
      </c>
      <c r="EL735" s="27" t="s">
        <v>166</v>
      </c>
      <c r="EM735" s="27" t="s">
        <v>166</v>
      </c>
      <c r="EN735" s="27" t="s">
        <v>166</v>
      </c>
      <c r="EO735" s="27" t="s">
        <v>166</v>
      </c>
      <c r="EP735" s="27" t="s">
        <v>166</v>
      </c>
      <c r="EQ735" s="27" t="s">
        <v>166</v>
      </c>
      <c r="ER735" s="27" t="s">
        <v>166</v>
      </c>
      <c r="ES735" s="27" t="s">
        <v>166</v>
      </c>
      <c r="ET735" s="25" t="s">
        <v>166</v>
      </c>
      <c r="EU735" s="27" t="s">
        <v>166</v>
      </c>
      <c r="EV735" s="27" t="s">
        <v>166</v>
      </c>
      <c r="EW735" s="27" t="s">
        <v>166</v>
      </c>
      <c r="EX735" s="25" t="s">
        <v>190</v>
      </c>
      <c r="EY735" s="25" t="s">
        <v>166</v>
      </c>
      <c r="EZ735" s="27" t="s">
        <v>166</v>
      </c>
      <c r="FA735" s="26" t="s">
        <v>166</v>
      </c>
      <c r="FB735" s="26" t="s">
        <v>166</v>
      </c>
      <c r="FC735" s="26" t="s">
        <v>166</v>
      </c>
      <c r="FD735" s="26" t="s">
        <v>166</v>
      </c>
      <c r="FE735" s="26" t="s">
        <v>166</v>
      </c>
      <c r="FF735" s="26" t="s">
        <v>166</v>
      </c>
      <c r="FG735" s="25" t="s">
        <v>166</v>
      </c>
      <c r="FH735" s="4">
        <f>HYPERLINK("https://my.pitchbook.com?c=275228-65T","View Company Online")</f>
      </c>
    </row>
    <row r="736">
      <c r="A736" s="14" t="s">
        <v>14097</v>
      </c>
      <c r="B736" s="14" t="s">
        <v>14098</v>
      </c>
      <c r="C736" s="14" t="s">
        <v>14099</v>
      </c>
      <c r="D736" s="14" t="s">
        <v>166</v>
      </c>
      <c r="E736" s="23" t="s">
        <v>14100</v>
      </c>
      <c r="F736" s="21">
        <v>4</v>
      </c>
      <c r="G736" s="14" t="s">
        <v>14101</v>
      </c>
      <c r="H736" s="14" t="s">
        <v>166</v>
      </c>
      <c r="I736" s="14" t="s">
        <v>14102</v>
      </c>
      <c r="J736" s="14" t="s">
        <v>14103</v>
      </c>
      <c r="K736" s="14" t="s">
        <v>207</v>
      </c>
      <c r="L736" s="14" t="s">
        <v>208</v>
      </c>
      <c r="M736" s="14" t="s">
        <v>639</v>
      </c>
      <c r="N736" s="14" t="s">
        <v>3553</v>
      </c>
      <c r="O736" s="14" t="s">
        <v>580</v>
      </c>
      <c r="P736" s="14" t="s">
        <v>14104</v>
      </c>
      <c r="Q736" s="14" t="s">
        <v>166</v>
      </c>
      <c r="R736" s="14" t="s">
        <v>177</v>
      </c>
      <c r="S736" s="14" t="s">
        <v>178</v>
      </c>
      <c r="T736" s="14" t="s">
        <v>179</v>
      </c>
      <c r="U736" s="14" t="s">
        <v>14105</v>
      </c>
      <c r="V736" s="14" t="s">
        <v>14106</v>
      </c>
      <c r="W736" s="21" t="s">
        <v>166</v>
      </c>
      <c r="X736" s="14" t="s">
        <v>166</v>
      </c>
      <c r="Y736" s="14" t="s">
        <v>14107</v>
      </c>
      <c r="Z736" s="14" t="s">
        <v>14108</v>
      </c>
      <c r="AA736" s="14" t="s">
        <v>166</v>
      </c>
      <c r="AB736" s="14" t="s">
        <v>166</v>
      </c>
      <c r="AC736" s="14" t="s">
        <v>166</v>
      </c>
      <c r="AD736" s="14" t="s">
        <v>166</v>
      </c>
      <c r="AE736" s="14" t="s">
        <v>166</v>
      </c>
      <c r="AF736" s="14" t="s">
        <v>166</v>
      </c>
      <c r="AG736" s="14" t="s">
        <v>166</v>
      </c>
      <c r="AH736" s="21">
        <v>1</v>
      </c>
      <c r="AI736" s="3">
        <f>HYPERLINK("https://my.pitchbook.com/?d=225830-71T","225830-71T")</f>
      </c>
      <c r="AJ736" s="19" t="s">
        <v>166</v>
      </c>
      <c r="AK736" s="19">
        <v>45089</v>
      </c>
      <c r="AL736" s="18">
        <v>3.96</v>
      </c>
      <c r="AM736" s="14" t="s">
        <v>185</v>
      </c>
      <c r="AN736" s="18" t="s">
        <v>166</v>
      </c>
      <c r="AO736" s="18" t="s">
        <v>166</v>
      </c>
      <c r="AP736" s="14" t="s">
        <v>166</v>
      </c>
      <c r="AQ736" s="21" t="s">
        <v>166</v>
      </c>
      <c r="AR736" s="21" t="s">
        <v>166</v>
      </c>
      <c r="AS736" s="17" t="s">
        <v>166</v>
      </c>
      <c r="AT736" s="18">
        <v>3.96</v>
      </c>
      <c r="AU736" s="21" t="s">
        <v>186</v>
      </c>
      <c r="AV736" s="21" t="s">
        <v>166</v>
      </c>
      <c r="AW736" s="18" t="s">
        <v>166</v>
      </c>
      <c r="AX736" s="21" t="s">
        <v>166</v>
      </c>
      <c r="AY736" s="14" t="s">
        <v>217</v>
      </c>
      <c r="AZ736" s="14" t="s">
        <v>217</v>
      </c>
      <c r="BA736" s="14" t="s">
        <v>166</v>
      </c>
      <c r="BB736" s="21" t="s">
        <v>166</v>
      </c>
      <c r="BC736" s="14" t="s">
        <v>179</v>
      </c>
      <c r="BD736" s="14" t="s">
        <v>14103</v>
      </c>
      <c r="BE736" s="14" t="s">
        <v>189</v>
      </c>
      <c r="BF736" s="18">
        <v>3.96</v>
      </c>
      <c r="BG736" s="14" t="s">
        <v>190</v>
      </c>
      <c r="BH736" s="14" t="s">
        <v>166</v>
      </c>
      <c r="BI736" s="14" t="s">
        <v>166</v>
      </c>
      <c r="BJ736" s="18" t="s">
        <v>166</v>
      </c>
      <c r="BK736" s="18" t="s">
        <v>166</v>
      </c>
      <c r="BL736" s="14" t="s">
        <v>191</v>
      </c>
      <c r="BM736" s="14" t="s">
        <v>178</v>
      </c>
      <c r="BN736" s="14" t="s">
        <v>177</v>
      </c>
      <c r="BO736" s="22" t="s">
        <v>166</v>
      </c>
      <c r="BP736" s="14" t="s">
        <v>14109</v>
      </c>
      <c r="BQ736" s="21">
        <v>4</v>
      </c>
      <c r="BR736" s="14" t="s">
        <v>166</v>
      </c>
      <c r="BS736" s="21" t="s">
        <v>166</v>
      </c>
      <c r="BT736" s="14" t="s">
        <v>10841</v>
      </c>
      <c r="BU736" s="14" t="s">
        <v>166</v>
      </c>
      <c r="BV736" s="14" t="s">
        <v>14110</v>
      </c>
      <c r="BW736" s="14" t="s">
        <v>166</v>
      </c>
      <c r="BX736" s="14" t="s">
        <v>166</v>
      </c>
      <c r="BY736" s="14" t="s">
        <v>166</v>
      </c>
      <c r="BZ736" s="14" t="s">
        <v>14111</v>
      </c>
      <c r="CA736" s="14" t="s">
        <v>14111</v>
      </c>
      <c r="CB736" s="14" t="s">
        <v>166</v>
      </c>
      <c r="CC736" s="14" t="s">
        <v>166</v>
      </c>
      <c r="CD736" s="14" t="s">
        <v>166</v>
      </c>
      <c r="CE736" s="18" t="s">
        <v>166</v>
      </c>
      <c r="CF736" s="16" t="s">
        <v>166</v>
      </c>
      <c r="CG736" s="17" t="s">
        <v>166</v>
      </c>
      <c r="CH736" s="16" t="s">
        <v>166</v>
      </c>
      <c r="CI736" s="16" t="s">
        <v>166</v>
      </c>
      <c r="CJ736" s="16" t="s">
        <v>166</v>
      </c>
      <c r="CK736" s="16" t="s">
        <v>166</v>
      </c>
      <c r="CL736" s="16" t="s">
        <v>166</v>
      </c>
      <c r="CM736" s="20" t="s">
        <v>166</v>
      </c>
      <c r="CN736" s="16" t="s">
        <v>166</v>
      </c>
      <c r="CO736" s="16" t="s">
        <v>166</v>
      </c>
      <c r="CP736" s="16" t="s">
        <v>166</v>
      </c>
      <c r="CQ736" s="16" t="s">
        <v>166</v>
      </c>
      <c r="CR736" s="16" t="s">
        <v>166</v>
      </c>
      <c r="CS736" s="16" t="s">
        <v>166</v>
      </c>
      <c r="CT736" s="16" t="s">
        <v>166</v>
      </c>
      <c r="CU736" s="16" t="s">
        <v>166</v>
      </c>
      <c r="CV736" s="16" t="s">
        <v>166</v>
      </c>
      <c r="CW736" s="16" t="s">
        <v>166</v>
      </c>
      <c r="CX736" s="16" t="s">
        <v>166</v>
      </c>
      <c r="CY736" s="16" t="s">
        <v>166</v>
      </c>
      <c r="CZ736" s="16" t="s">
        <v>166</v>
      </c>
      <c r="DA736" s="16" t="s">
        <v>166</v>
      </c>
      <c r="DB736" s="16" t="s">
        <v>166</v>
      </c>
      <c r="DC736" s="16" t="s">
        <v>166</v>
      </c>
      <c r="DD736" s="16" t="s">
        <v>166</v>
      </c>
      <c r="DE736" s="17" t="s">
        <v>166</v>
      </c>
      <c r="DF736" s="22">
        <v>9</v>
      </c>
      <c r="DG736" s="14" t="s">
        <v>673</v>
      </c>
      <c r="DH736" s="14" t="s">
        <v>193</v>
      </c>
      <c r="DI736" s="14" t="s">
        <v>194</v>
      </c>
      <c r="DJ736" s="14" t="s">
        <v>674</v>
      </c>
      <c r="DK736" s="14" t="s">
        <v>257</v>
      </c>
      <c r="DL736" s="21" t="s">
        <v>7048</v>
      </c>
      <c r="DM736" s="14" t="s">
        <v>198</v>
      </c>
      <c r="DN736" s="13" t="s">
        <v>14112</v>
      </c>
      <c r="DO736" s="20">
        <v>2021</v>
      </c>
      <c r="DP736" s="14" t="s">
        <v>166</v>
      </c>
      <c r="DQ736" s="14" t="s">
        <v>166</v>
      </c>
      <c r="DR736" s="18" t="s">
        <v>166</v>
      </c>
      <c r="DS736" s="16" t="s">
        <v>166</v>
      </c>
      <c r="DT736" s="19" t="s">
        <v>166</v>
      </c>
      <c r="DU736" s="14" t="s">
        <v>166</v>
      </c>
      <c r="DV736" s="18" t="s">
        <v>166</v>
      </c>
      <c r="DW736" s="18" t="s">
        <v>166</v>
      </c>
      <c r="DX736" s="16" t="s">
        <v>166</v>
      </c>
      <c r="DY736" s="16" t="s">
        <v>166</v>
      </c>
      <c r="DZ736" s="17" t="s">
        <v>166</v>
      </c>
      <c r="EA736" s="16" t="s">
        <v>166</v>
      </c>
      <c r="EB736" s="16" t="s">
        <v>166</v>
      </c>
      <c r="EC736" s="16" t="s">
        <v>166</v>
      </c>
      <c r="ED736" s="17" t="s">
        <v>166</v>
      </c>
      <c r="EE736" s="17" t="s">
        <v>166</v>
      </c>
      <c r="EF736" s="17" t="s">
        <v>166</v>
      </c>
      <c r="EG736" s="17" t="s">
        <v>166</v>
      </c>
      <c r="EH736" s="16" t="s">
        <v>166</v>
      </c>
      <c r="EI736" s="16" t="s">
        <v>166</v>
      </c>
      <c r="EJ736" s="16" t="s">
        <v>166</v>
      </c>
      <c r="EK736" s="16" t="s">
        <v>166</v>
      </c>
      <c r="EL736" s="16" t="s">
        <v>166</v>
      </c>
      <c r="EM736" s="16" t="s">
        <v>166</v>
      </c>
      <c r="EN736" s="16" t="s">
        <v>166</v>
      </c>
      <c r="EO736" s="16" t="s">
        <v>166</v>
      </c>
      <c r="EP736" s="16" t="s">
        <v>166</v>
      </c>
      <c r="EQ736" s="16" t="s">
        <v>166</v>
      </c>
      <c r="ER736" s="16" t="s">
        <v>166</v>
      </c>
      <c r="ES736" s="16" t="s">
        <v>166</v>
      </c>
      <c r="ET736" s="14" t="s">
        <v>166</v>
      </c>
      <c r="EU736" s="16" t="s">
        <v>166</v>
      </c>
      <c r="EV736" s="16" t="s">
        <v>166</v>
      </c>
      <c r="EW736" s="16" t="s">
        <v>166</v>
      </c>
      <c r="EX736" s="14" t="s">
        <v>190</v>
      </c>
      <c r="EY736" s="14" t="s">
        <v>166</v>
      </c>
      <c r="EZ736" s="16" t="s">
        <v>166</v>
      </c>
      <c r="FA736" s="15" t="s">
        <v>166</v>
      </c>
      <c r="FB736" s="15" t="s">
        <v>166</v>
      </c>
      <c r="FC736" s="15" t="s">
        <v>166</v>
      </c>
      <c r="FD736" s="15" t="s">
        <v>166</v>
      </c>
      <c r="FE736" s="15" t="s">
        <v>166</v>
      </c>
      <c r="FF736" s="15" t="s">
        <v>166</v>
      </c>
      <c r="FG736" s="14" t="s">
        <v>166</v>
      </c>
      <c r="FH736" s="3">
        <f>HYPERLINK("https://my.pitchbook.com?c=225830-71T","View Company Online")</f>
      </c>
    </row>
    <row r="737">
      <c r="A737" s="25" t="s">
        <v>14113</v>
      </c>
      <c r="B737" s="25" t="s">
        <v>14114</v>
      </c>
      <c r="C737" s="25" t="s">
        <v>14115</v>
      </c>
      <c r="D737" s="25" t="s">
        <v>166</v>
      </c>
      <c r="E737" s="34" t="s">
        <v>14116</v>
      </c>
      <c r="F737" s="32">
        <v>1</v>
      </c>
      <c r="G737" s="25" t="s">
        <v>14117</v>
      </c>
      <c r="H737" s="25" t="s">
        <v>166</v>
      </c>
      <c r="I737" s="25" t="s">
        <v>14118</v>
      </c>
      <c r="J737" s="25" t="s">
        <v>14119</v>
      </c>
      <c r="K737" s="25" t="s">
        <v>321</v>
      </c>
      <c r="L737" s="25" t="s">
        <v>322</v>
      </c>
      <c r="M737" s="25" t="s">
        <v>322</v>
      </c>
      <c r="N737" s="25" t="s">
        <v>2410</v>
      </c>
      <c r="O737" s="25" t="s">
        <v>325</v>
      </c>
      <c r="P737" s="25" t="s">
        <v>14120</v>
      </c>
      <c r="Q737" s="25" t="s">
        <v>166</v>
      </c>
      <c r="R737" s="25" t="s">
        <v>177</v>
      </c>
      <c r="S737" s="25" t="s">
        <v>178</v>
      </c>
      <c r="T737" s="25" t="s">
        <v>179</v>
      </c>
      <c r="U737" s="25" t="s">
        <v>14121</v>
      </c>
      <c r="V737" s="25" t="s">
        <v>14122</v>
      </c>
      <c r="W737" s="32" t="s">
        <v>14123</v>
      </c>
      <c r="X737" s="25" t="s">
        <v>14124</v>
      </c>
      <c r="Y737" s="25" t="s">
        <v>14125</v>
      </c>
      <c r="Z737" s="25" t="s">
        <v>14126</v>
      </c>
      <c r="AA737" s="25" t="s">
        <v>166</v>
      </c>
      <c r="AB737" s="25" t="s">
        <v>166</v>
      </c>
      <c r="AC737" s="25" t="s">
        <v>166</v>
      </c>
      <c r="AD737" s="25" t="s">
        <v>166</v>
      </c>
      <c r="AE737" s="25" t="s">
        <v>166</v>
      </c>
      <c r="AF737" s="25" t="s">
        <v>166</v>
      </c>
      <c r="AG737" s="25" t="s">
        <v>166</v>
      </c>
      <c r="AH737" s="32">
        <v>1</v>
      </c>
      <c r="AI737" s="4">
        <f>HYPERLINK("https://my.pitchbook.com/?d=277799-50T","277799-50T")</f>
      </c>
      <c r="AJ737" s="30" t="s">
        <v>166</v>
      </c>
      <c r="AK737" s="30">
        <v>45455</v>
      </c>
      <c r="AL737" s="29">
        <v>0.25</v>
      </c>
      <c r="AM737" s="25" t="s">
        <v>185</v>
      </c>
      <c r="AN737" s="29" t="s">
        <v>166</v>
      </c>
      <c r="AO737" s="29" t="s">
        <v>166</v>
      </c>
      <c r="AP737" s="25" t="s">
        <v>166</v>
      </c>
      <c r="AQ737" s="32" t="s">
        <v>166</v>
      </c>
      <c r="AR737" s="32" t="s">
        <v>166</v>
      </c>
      <c r="AS737" s="28" t="s">
        <v>166</v>
      </c>
      <c r="AT737" s="29">
        <v>0.25</v>
      </c>
      <c r="AU737" s="32" t="s">
        <v>186</v>
      </c>
      <c r="AV737" s="32" t="s">
        <v>166</v>
      </c>
      <c r="AW737" s="29" t="s">
        <v>166</v>
      </c>
      <c r="AX737" s="32" t="s">
        <v>166</v>
      </c>
      <c r="AY737" s="25" t="s">
        <v>187</v>
      </c>
      <c r="AZ737" s="25" t="s">
        <v>166</v>
      </c>
      <c r="BA737" s="25" t="s">
        <v>166</v>
      </c>
      <c r="BB737" s="32" t="s">
        <v>166</v>
      </c>
      <c r="BC737" s="25" t="s">
        <v>179</v>
      </c>
      <c r="BD737" s="25" t="s">
        <v>14119</v>
      </c>
      <c r="BE737" s="25" t="s">
        <v>189</v>
      </c>
      <c r="BF737" s="29">
        <v>0.25</v>
      </c>
      <c r="BG737" s="25" t="s">
        <v>190</v>
      </c>
      <c r="BH737" s="25" t="s">
        <v>166</v>
      </c>
      <c r="BI737" s="25" t="s">
        <v>166</v>
      </c>
      <c r="BJ737" s="29" t="s">
        <v>166</v>
      </c>
      <c r="BK737" s="29" t="s">
        <v>166</v>
      </c>
      <c r="BL737" s="25" t="s">
        <v>191</v>
      </c>
      <c r="BM737" s="25" t="s">
        <v>178</v>
      </c>
      <c r="BN737" s="25" t="s">
        <v>177</v>
      </c>
      <c r="BO737" s="33" t="s">
        <v>166</v>
      </c>
      <c r="BP737" s="25" t="s">
        <v>14116</v>
      </c>
      <c r="BQ737" s="32">
        <v>1</v>
      </c>
      <c r="BR737" s="25" t="s">
        <v>166</v>
      </c>
      <c r="BS737" s="32" t="s">
        <v>166</v>
      </c>
      <c r="BT737" s="25" t="s">
        <v>166</v>
      </c>
      <c r="BU737" s="25" t="s">
        <v>166</v>
      </c>
      <c r="BV737" s="25" t="s">
        <v>14127</v>
      </c>
      <c r="BW737" s="25" t="s">
        <v>166</v>
      </c>
      <c r="BX737" s="25" t="s">
        <v>166</v>
      </c>
      <c r="BY737" s="25" t="s">
        <v>166</v>
      </c>
      <c r="BZ737" s="25" t="s">
        <v>166</v>
      </c>
      <c r="CA737" s="25" t="s">
        <v>166</v>
      </c>
      <c r="CB737" s="25" t="s">
        <v>166</v>
      </c>
      <c r="CC737" s="25" t="s">
        <v>166</v>
      </c>
      <c r="CD737" s="25" t="s">
        <v>166</v>
      </c>
      <c r="CE737" s="29" t="s">
        <v>166</v>
      </c>
      <c r="CF737" s="27" t="s">
        <v>166</v>
      </c>
      <c r="CG737" s="28" t="s">
        <v>166</v>
      </c>
      <c r="CH737" s="27" t="s">
        <v>166</v>
      </c>
      <c r="CI737" s="27" t="s">
        <v>166</v>
      </c>
      <c r="CJ737" s="27" t="s">
        <v>166</v>
      </c>
      <c r="CK737" s="27" t="s">
        <v>166</v>
      </c>
      <c r="CL737" s="27" t="s">
        <v>166</v>
      </c>
      <c r="CM737" s="31" t="s">
        <v>166</v>
      </c>
      <c r="CN737" s="27" t="s">
        <v>166</v>
      </c>
      <c r="CO737" s="27" t="s">
        <v>166</v>
      </c>
      <c r="CP737" s="27" t="s">
        <v>166</v>
      </c>
      <c r="CQ737" s="27" t="s">
        <v>166</v>
      </c>
      <c r="CR737" s="27" t="s">
        <v>166</v>
      </c>
      <c r="CS737" s="27" t="s">
        <v>166</v>
      </c>
      <c r="CT737" s="27" t="s">
        <v>166</v>
      </c>
      <c r="CU737" s="27" t="s">
        <v>166</v>
      </c>
      <c r="CV737" s="27" t="s">
        <v>166</v>
      </c>
      <c r="CW737" s="27" t="s">
        <v>166</v>
      </c>
      <c r="CX737" s="27" t="s">
        <v>166</v>
      </c>
      <c r="CY737" s="27" t="s">
        <v>166</v>
      </c>
      <c r="CZ737" s="27" t="s">
        <v>166</v>
      </c>
      <c r="DA737" s="27" t="s">
        <v>166</v>
      </c>
      <c r="DB737" s="27" t="s">
        <v>166</v>
      </c>
      <c r="DC737" s="27" t="s">
        <v>166</v>
      </c>
      <c r="DD737" s="27" t="s">
        <v>166</v>
      </c>
      <c r="DE737" s="28" t="s">
        <v>166</v>
      </c>
      <c r="DF737" s="33">
        <v>6</v>
      </c>
      <c r="DG737" s="25" t="s">
        <v>9507</v>
      </c>
      <c r="DH737" s="25" t="s">
        <v>193</v>
      </c>
      <c r="DI737" s="25" t="s">
        <v>194</v>
      </c>
      <c r="DJ737" s="25" t="s">
        <v>9508</v>
      </c>
      <c r="DK737" s="25" t="s">
        <v>9509</v>
      </c>
      <c r="DL737" s="32" t="s">
        <v>14128</v>
      </c>
      <c r="DM737" s="25" t="s">
        <v>198</v>
      </c>
      <c r="DN737" s="24" t="s">
        <v>14129</v>
      </c>
      <c r="DO737" s="31">
        <v>2023</v>
      </c>
      <c r="DP737" s="25" t="s">
        <v>166</v>
      </c>
      <c r="DQ737" s="25" t="s">
        <v>166</v>
      </c>
      <c r="DR737" s="29" t="s">
        <v>166</v>
      </c>
      <c r="DS737" s="27" t="s">
        <v>166</v>
      </c>
      <c r="DT737" s="30" t="s">
        <v>166</v>
      </c>
      <c r="DU737" s="25" t="s">
        <v>166</v>
      </c>
      <c r="DV737" s="29" t="s">
        <v>166</v>
      </c>
      <c r="DW737" s="29" t="s">
        <v>166</v>
      </c>
      <c r="DX737" s="27" t="s">
        <v>166</v>
      </c>
      <c r="DY737" s="27" t="s">
        <v>166</v>
      </c>
      <c r="DZ737" s="28" t="s">
        <v>166</v>
      </c>
      <c r="EA737" s="27" t="s">
        <v>166</v>
      </c>
      <c r="EB737" s="27" t="s">
        <v>166</v>
      </c>
      <c r="EC737" s="27" t="s">
        <v>166</v>
      </c>
      <c r="ED737" s="28" t="s">
        <v>166</v>
      </c>
      <c r="EE737" s="28" t="s">
        <v>166</v>
      </c>
      <c r="EF737" s="28" t="s">
        <v>166</v>
      </c>
      <c r="EG737" s="28" t="s">
        <v>166</v>
      </c>
      <c r="EH737" s="27" t="s">
        <v>166</v>
      </c>
      <c r="EI737" s="27" t="s">
        <v>166</v>
      </c>
      <c r="EJ737" s="27" t="s">
        <v>166</v>
      </c>
      <c r="EK737" s="27" t="s">
        <v>166</v>
      </c>
      <c r="EL737" s="27" t="s">
        <v>166</v>
      </c>
      <c r="EM737" s="27" t="s">
        <v>166</v>
      </c>
      <c r="EN737" s="27" t="s">
        <v>166</v>
      </c>
      <c r="EO737" s="27" t="s">
        <v>166</v>
      </c>
      <c r="EP737" s="27" t="s">
        <v>166</v>
      </c>
      <c r="EQ737" s="27" t="s">
        <v>166</v>
      </c>
      <c r="ER737" s="27" t="s">
        <v>166</v>
      </c>
      <c r="ES737" s="27" t="s">
        <v>166</v>
      </c>
      <c r="ET737" s="25" t="s">
        <v>166</v>
      </c>
      <c r="EU737" s="27" t="s">
        <v>166</v>
      </c>
      <c r="EV737" s="27" t="s">
        <v>166</v>
      </c>
      <c r="EW737" s="27" t="s">
        <v>166</v>
      </c>
      <c r="EX737" s="25" t="s">
        <v>190</v>
      </c>
      <c r="EY737" s="25" t="s">
        <v>166</v>
      </c>
      <c r="EZ737" s="27" t="s">
        <v>166</v>
      </c>
      <c r="FA737" s="26" t="s">
        <v>166</v>
      </c>
      <c r="FB737" s="26" t="s">
        <v>166</v>
      </c>
      <c r="FC737" s="26" t="s">
        <v>166</v>
      </c>
      <c r="FD737" s="26" t="s">
        <v>166</v>
      </c>
      <c r="FE737" s="26" t="s">
        <v>166</v>
      </c>
      <c r="FF737" s="26" t="s">
        <v>166</v>
      </c>
      <c r="FG737" s="25" t="s">
        <v>166</v>
      </c>
      <c r="FH737" s="4">
        <f>HYPERLINK("https://my.pitchbook.com?c=277799-50T","View Company Online")</f>
      </c>
    </row>
    <row r="738">
      <c r="A738" s="14" t="s">
        <v>14130</v>
      </c>
      <c r="B738" s="14" t="s">
        <v>14131</v>
      </c>
      <c r="C738" s="14" t="s">
        <v>14132</v>
      </c>
      <c r="D738" s="14" t="s">
        <v>166</v>
      </c>
      <c r="E738" s="23" t="s">
        <v>14133</v>
      </c>
      <c r="F738" s="21">
        <v>5</v>
      </c>
      <c r="G738" s="14" t="s">
        <v>14134</v>
      </c>
      <c r="H738" s="14" t="s">
        <v>166</v>
      </c>
      <c r="I738" s="14" t="s">
        <v>14135</v>
      </c>
      <c r="J738" s="14" t="s">
        <v>14136</v>
      </c>
      <c r="K738" s="14" t="s">
        <v>207</v>
      </c>
      <c r="L738" s="14" t="s">
        <v>208</v>
      </c>
      <c r="M738" s="14" t="s">
        <v>209</v>
      </c>
      <c r="N738" s="14" t="s">
        <v>684</v>
      </c>
      <c r="O738" s="14" t="s">
        <v>580</v>
      </c>
      <c r="P738" s="14" t="s">
        <v>14137</v>
      </c>
      <c r="Q738" s="14" t="s">
        <v>166</v>
      </c>
      <c r="R738" s="14" t="s">
        <v>177</v>
      </c>
      <c r="S738" s="14" t="s">
        <v>178</v>
      </c>
      <c r="T738" s="14" t="s">
        <v>179</v>
      </c>
      <c r="U738" s="14" t="s">
        <v>14138</v>
      </c>
      <c r="V738" s="14" t="s">
        <v>14139</v>
      </c>
      <c r="W738" s="21" t="s">
        <v>14140</v>
      </c>
      <c r="X738" s="14" t="s">
        <v>14141</v>
      </c>
      <c r="Y738" s="14" t="s">
        <v>14142</v>
      </c>
      <c r="Z738" s="14" t="s">
        <v>14143</v>
      </c>
      <c r="AA738" s="14" t="s">
        <v>242</v>
      </c>
      <c r="AB738" s="14" t="s">
        <v>243</v>
      </c>
      <c r="AC738" s="14" t="s">
        <v>244</v>
      </c>
      <c r="AD738" s="14" t="s">
        <v>243</v>
      </c>
      <c r="AE738" s="14" t="s">
        <v>243</v>
      </c>
      <c r="AF738" s="14" t="s">
        <v>166</v>
      </c>
      <c r="AG738" s="14" t="s">
        <v>246</v>
      </c>
      <c r="AH738" s="21">
        <v>1</v>
      </c>
      <c r="AI738" s="3">
        <f>HYPERLINK("https://my.pitchbook.com/?d=225616-87T","225616-87T")</f>
      </c>
      <c r="AJ738" s="19" t="s">
        <v>166</v>
      </c>
      <c r="AK738" s="19">
        <v>45071</v>
      </c>
      <c r="AL738" s="18">
        <v>3.09</v>
      </c>
      <c r="AM738" s="14" t="s">
        <v>185</v>
      </c>
      <c r="AN738" s="18">
        <v>10</v>
      </c>
      <c r="AO738" s="18">
        <v>13.09</v>
      </c>
      <c r="AP738" s="14" t="s">
        <v>185</v>
      </c>
      <c r="AQ738" s="21" t="s">
        <v>166</v>
      </c>
      <c r="AR738" s="21" t="s">
        <v>166</v>
      </c>
      <c r="AS738" s="17">
        <v>23.63</v>
      </c>
      <c r="AT738" s="18">
        <v>3.09</v>
      </c>
      <c r="AU738" s="21" t="s">
        <v>186</v>
      </c>
      <c r="AV738" s="21" t="s">
        <v>166</v>
      </c>
      <c r="AW738" s="18">
        <v>0.92</v>
      </c>
      <c r="AX738" s="21" t="s">
        <v>166</v>
      </c>
      <c r="AY738" s="14" t="s">
        <v>217</v>
      </c>
      <c r="AZ738" s="14" t="s">
        <v>217</v>
      </c>
      <c r="BA738" s="14" t="s">
        <v>166</v>
      </c>
      <c r="BB738" s="21" t="s">
        <v>166</v>
      </c>
      <c r="BC738" s="14" t="s">
        <v>179</v>
      </c>
      <c r="BD738" s="14" t="s">
        <v>14144</v>
      </c>
      <c r="BE738" s="14" t="s">
        <v>189</v>
      </c>
      <c r="BF738" s="18">
        <v>3.09</v>
      </c>
      <c r="BG738" s="14" t="s">
        <v>190</v>
      </c>
      <c r="BH738" s="14" t="s">
        <v>166</v>
      </c>
      <c r="BI738" s="14" t="s">
        <v>166</v>
      </c>
      <c r="BJ738" s="18" t="s">
        <v>166</v>
      </c>
      <c r="BK738" s="18" t="s">
        <v>166</v>
      </c>
      <c r="BL738" s="14" t="s">
        <v>191</v>
      </c>
      <c r="BM738" s="14" t="s">
        <v>178</v>
      </c>
      <c r="BN738" s="14" t="s">
        <v>177</v>
      </c>
      <c r="BO738" s="22" t="s">
        <v>166</v>
      </c>
      <c r="BP738" s="14" t="s">
        <v>14145</v>
      </c>
      <c r="BQ738" s="21">
        <v>5</v>
      </c>
      <c r="BR738" s="14" t="s">
        <v>166</v>
      </c>
      <c r="BS738" s="21" t="s">
        <v>166</v>
      </c>
      <c r="BT738" s="14" t="s">
        <v>14146</v>
      </c>
      <c r="BU738" s="14" t="s">
        <v>166</v>
      </c>
      <c r="BV738" s="14" t="s">
        <v>14147</v>
      </c>
      <c r="BW738" s="14" t="s">
        <v>166</v>
      </c>
      <c r="BX738" s="14" t="s">
        <v>166</v>
      </c>
      <c r="BY738" s="14" t="s">
        <v>166</v>
      </c>
      <c r="BZ738" s="14" t="s">
        <v>14148</v>
      </c>
      <c r="CA738" s="14" t="s">
        <v>1327</v>
      </c>
      <c r="CB738" s="14" t="s">
        <v>166</v>
      </c>
      <c r="CC738" s="14" t="s">
        <v>14149</v>
      </c>
      <c r="CD738" s="14" t="s">
        <v>166</v>
      </c>
      <c r="CE738" s="18" t="s">
        <v>166</v>
      </c>
      <c r="CF738" s="16" t="s">
        <v>166</v>
      </c>
      <c r="CG738" s="17" t="s">
        <v>166</v>
      </c>
      <c r="CH738" s="16" t="s">
        <v>166</v>
      </c>
      <c r="CI738" s="16" t="s">
        <v>166</v>
      </c>
      <c r="CJ738" s="16" t="s">
        <v>166</v>
      </c>
      <c r="CK738" s="16" t="s">
        <v>166</v>
      </c>
      <c r="CL738" s="16" t="s">
        <v>166</v>
      </c>
      <c r="CM738" s="20" t="s">
        <v>166</v>
      </c>
      <c r="CN738" s="16" t="s">
        <v>166</v>
      </c>
      <c r="CO738" s="16" t="s">
        <v>166</v>
      </c>
      <c r="CP738" s="16" t="s">
        <v>166</v>
      </c>
      <c r="CQ738" s="16" t="s">
        <v>166</v>
      </c>
      <c r="CR738" s="16" t="s">
        <v>166</v>
      </c>
      <c r="CS738" s="16" t="s">
        <v>166</v>
      </c>
      <c r="CT738" s="16" t="s">
        <v>166</v>
      </c>
      <c r="CU738" s="16" t="s">
        <v>166</v>
      </c>
      <c r="CV738" s="16" t="s">
        <v>166</v>
      </c>
      <c r="CW738" s="16" t="s">
        <v>166</v>
      </c>
      <c r="CX738" s="16" t="s">
        <v>166</v>
      </c>
      <c r="CY738" s="16" t="s">
        <v>166</v>
      </c>
      <c r="CZ738" s="16" t="s">
        <v>166</v>
      </c>
      <c r="DA738" s="16" t="s">
        <v>166</v>
      </c>
      <c r="DB738" s="16" t="s">
        <v>166</v>
      </c>
      <c r="DC738" s="16" t="s">
        <v>166</v>
      </c>
      <c r="DD738" s="16" t="s">
        <v>166</v>
      </c>
      <c r="DE738" s="17" t="s">
        <v>166</v>
      </c>
      <c r="DF738" s="22">
        <v>8</v>
      </c>
      <c r="DG738" s="14" t="s">
        <v>673</v>
      </c>
      <c r="DH738" s="14" t="s">
        <v>193</v>
      </c>
      <c r="DI738" s="14" t="s">
        <v>194</v>
      </c>
      <c r="DJ738" s="14" t="s">
        <v>674</v>
      </c>
      <c r="DK738" s="14" t="s">
        <v>257</v>
      </c>
      <c r="DL738" s="21" t="s">
        <v>851</v>
      </c>
      <c r="DM738" s="14" t="s">
        <v>198</v>
      </c>
      <c r="DN738" s="13" t="s">
        <v>14150</v>
      </c>
      <c r="DO738" s="20">
        <v>2022</v>
      </c>
      <c r="DP738" s="14" t="s">
        <v>166</v>
      </c>
      <c r="DQ738" s="14" t="s">
        <v>166</v>
      </c>
      <c r="DR738" s="18" t="s">
        <v>166</v>
      </c>
      <c r="DS738" s="16" t="s">
        <v>166</v>
      </c>
      <c r="DT738" s="19" t="s">
        <v>166</v>
      </c>
      <c r="DU738" s="14" t="s">
        <v>166</v>
      </c>
      <c r="DV738" s="18" t="s">
        <v>166</v>
      </c>
      <c r="DW738" s="18" t="s">
        <v>166</v>
      </c>
      <c r="DX738" s="16" t="s">
        <v>166</v>
      </c>
      <c r="DY738" s="16" t="s">
        <v>166</v>
      </c>
      <c r="DZ738" s="17" t="s">
        <v>166</v>
      </c>
      <c r="EA738" s="16" t="s">
        <v>166</v>
      </c>
      <c r="EB738" s="16" t="s">
        <v>166</v>
      </c>
      <c r="EC738" s="16" t="s">
        <v>166</v>
      </c>
      <c r="ED738" s="17" t="s">
        <v>166</v>
      </c>
      <c r="EE738" s="17" t="s">
        <v>166</v>
      </c>
      <c r="EF738" s="17" t="s">
        <v>166</v>
      </c>
      <c r="EG738" s="17" t="s">
        <v>166</v>
      </c>
      <c r="EH738" s="16" t="s">
        <v>166</v>
      </c>
      <c r="EI738" s="16" t="s">
        <v>166</v>
      </c>
      <c r="EJ738" s="16" t="s">
        <v>166</v>
      </c>
      <c r="EK738" s="16" t="s">
        <v>166</v>
      </c>
      <c r="EL738" s="16" t="s">
        <v>166</v>
      </c>
      <c r="EM738" s="16" t="s">
        <v>166</v>
      </c>
      <c r="EN738" s="16" t="s">
        <v>166</v>
      </c>
      <c r="EO738" s="16" t="s">
        <v>166</v>
      </c>
      <c r="EP738" s="16" t="s">
        <v>166</v>
      </c>
      <c r="EQ738" s="16" t="s">
        <v>166</v>
      </c>
      <c r="ER738" s="16" t="s">
        <v>166</v>
      </c>
      <c r="ES738" s="16" t="s">
        <v>166</v>
      </c>
      <c r="ET738" s="14" t="s">
        <v>166</v>
      </c>
      <c r="EU738" s="16" t="s">
        <v>166</v>
      </c>
      <c r="EV738" s="16" t="s">
        <v>166</v>
      </c>
      <c r="EW738" s="16" t="s">
        <v>166</v>
      </c>
      <c r="EX738" s="14" t="s">
        <v>190</v>
      </c>
      <c r="EY738" s="14" t="s">
        <v>166</v>
      </c>
      <c r="EZ738" s="16" t="s">
        <v>166</v>
      </c>
      <c r="FA738" s="15" t="s">
        <v>166</v>
      </c>
      <c r="FB738" s="15" t="s">
        <v>166</v>
      </c>
      <c r="FC738" s="15" t="s">
        <v>166</v>
      </c>
      <c r="FD738" s="15" t="s">
        <v>166</v>
      </c>
      <c r="FE738" s="15" t="s">
        <v>166</v>
      </c>
      <c r="FF738" s="15" t="s">
        <v>166</v>
      </c>
      <c r="FG738" s="14" t="s">
        <v>166</v>
      </c>
      <c r="FH738" s="3">
        <f>HYPERLINK("https://my.pitchbook.com?c=225616-87T","View Company Online")</f>
      </c>
    </row>
    <row r="739">
      <c r="A739" s="25" t="s">
        <v>14151</v>
      </c>
      <c r="B739" s="25" t="s">
        <v>14152</v>
      </c>
      <c r="C739" s="25" t="s">
        <v>14153</v>
      </c>
      <c r="D739" s="25" t="s">
        <v>166</v>
      </c>
      <c r="E739" s="34" t="s">
        <v>14154</v>
      </c>
      <c r="F739" s="32">
        <v>5</v>
      </c>
      <c r="G739" s="25" t="s">
        <v>166</v>
      </c>
      <c r="H739" s="25" t="s">
        <v>166</v>
      </c>
      <c r="I739" s="25" t="s">
        <v>14155</v>
      </c>
      <c r="J739" s="25" t="s">
        <v>14156</v>
      </c>
      <c r="K739" s="25" t="s">
        <v>207</v>
      </c>
      <c r="L739" s="25" t="s">
        <v>208</v>
      </c>
      <c r="M739" s="25" t="s">
        <v>839</v>
      </c>
      <c r="N739" s="25" t="s">
        <v>6472</v>
      </c>
      <c r="O739" s="25" t="s">
        <v>1295</v>
      </c>
      <c r="P739" s="25" t="s">
        <v>14157</v>
      </c>
      <c r="Q739" s="25" t="s">
        <v>166</v>
      </c>
      <c r="R739" s="25" t="s">
        <v>177</v>
      </c>
      <c r="S739" s="25" t="s">
        <v>178</v>
      </c>
      <c r="T739" s="25" t="s">
        <v>179</v>
      </c>
      <c r="U739" s="25" t="s">
        <v>14158</v>
      </c>
      <c r="V739" s="25" t="s">
        <v>14159</v>
      </c>
      <c r="W739" s="32" t="s">
        <v>14160</v>
      </c>
      <c r="X739" s="25" t="s">
        <v>14161</v>
      </c>
      <c r="Y739" s="25" t="s">
        <v>14162</v>
      </c>
      <c r="Z739" s="25" t="s">
        <v>14163</v>
      </c>
      <c r="AA739" s="25" t="s">
        <v>166</v>
      </c>
      <c r="AB739" s="25" t="s">
        <v>166</v>
      </c>
      <c r="AC739" s="25" t="s">
        <v>166</v>
      </c>
      <c r="AD739" s="25" t="s">
        <v>166</v>
      </c>
      <c r="AE739" s="25" t="s">
        <v>166</v>
      </c>
      <c r="AF739" s="25" t="s">
        <v>166</v>
      </c>
      <c r="AG739" s="25" t="s">
        <v>166</v>
      </c>
      <c r="AH739" s="32">
        <v>2</v>
      </c>
      <c r="AI739" s="4">
        <f>HYPERLINK("https://my.pitchbook.com/?d=214123-24T","214123-24T")</f>
      </c>
      <c r="AJ739" s="30" t="s">
        <v>166</v>
      </c>
      <c r="AK739" s="30">
        <v>44562</v>
      </c>
      <c r="AL739" s="29">
        <v>1.3</v>
      </c>
      <c r="AM739" s="25" t="s">
        <v>185</v>
      </c>
      <c r="AN739" s="29" t="s">
        <v>166</v>
      </c>
      <c r="AO739" s="29" t="s">
        <v>166</v>
      </c>
      <c r="AP739" s="25" t="s">
        <v>166</v>
      </c>
      <c r="AQ739" s="32" t="s">
        <v>166</v>
      </c>
      <c r="AR739" s="32">
        <v>2.09</v>
      </c>
      <c r="AS739" s="28" t="s">
        <v>166</v>
      </c>
      <c r="AT739" s="29">
        <v>2.1</v>
      </c>
      <c r="AU739" s="32" t="s">
        <v>186</v>
      </c>
      <c r="AV739" s="32" t="s">
        <v>166</v>
      </c>
      <c r="AW739" s="29" t="s">
        <v>166</v>
      </c>
      <c r="AX739" s="32" t="s">
        <v>248</v>
      </c>
      <c r="AY739" s="25" t="s">
        <v>187</v>
      </c>
      <c r="AZ739" s="25" t="s">
        <v>248</v>
      </c>
      <c r="BA739" s="25" t="s">
        <v>166</v>
      </c>
      <c r="BB739" s="32" t="s">
        <v>166</v>
      </c>
      <c r="BC739" s="25" t="s">
        <v>179</v>
      </c>
      <c r="BD739" s="25" t="s">
        <v>14164</v>
      </c>
      <c r="BE739" s="25" t="s">
        <v>189</v>
      </c>
      <c r="BF739" s="29">
        <v>1.3</v>
      </c>
      <c r="BG739" s="25" t="s">
        <v>190</v>
      </c>
      <c r="BH739" s="25" t="s">
        <v>166</v>
      </c>
      <c r="BI739" s="25" t="s">
        <v>166</v>
      </c>
      <c r="BJ739" s="29" t="s">
        <v>166</v>
      </c>
      <c r="BK739" s="29" t="s">
        <v>166</v>
      </c>
      <c r="BL739" s="25" t="s">
        <v>191</v>
      </c>
      <c r="BM739" s="25" t="s">
        <v>178</v>
      </c>
      <c r="BN739" s="25" t="s">
        <v>177</v>
      </c>
      <c r="BO739" s="33" t="s">
        <v>166</v>
      </c>
      <c r="BP739" s="25" t="s">
        <v>14165</v>
      </c>
      <c r="BQ739" s="32">
        <v>5</v>
      </c>
      <c r="BR739" s="25" t="s">
        <v>166</v>
      </c>
      <c r="BS739" s="32" t="s">
        <v>166</v>
      </c>
      <c r="BT739" s="25" t="s">
        <v>166</v>
      </c>
      <c r="BU739" s="25" t="s">
        <v>166</v>
      </c>
      <c r="BV739" s="25" t="s">
        <v>166</v>
      </c>
      <c r="BW739" s="25" t="s">
        <v>166</v>
      </c>
      <c r="BX739" s="25" t="s">
        <v>166</v>
      </c>
      <c r="BY739" s="25" t="s">
        <v>166</v>
      </c>
      <c r="BZ739" s="25" t="s">
        <v>166</v>
      </c>
      <c r="CA739" s="25" t="s">
        <v>166</v>
      </c>
      <c r="CB739" s="25" t="s">
        <v>166</v>
      </c>
      <c r="CC739" s="25" t="s">
        <v>166</v>
      </c>
      <c r="CD739" s="25" t="s">
        <v>166</v>
      </c>
      <c r="CE739" s="29" t="s">
        <v>166</v>
      </c>
      <c r="CF739" s="27" t="s">
        <v>166</v>
      </c>
      <c r="CG739" s="28" t="s">
        <v>166</v>
      </c>
      <c r="CH739" s="27" t="s">
        <v>166</v>
      </c>
      <c r="CI739" s="27" t="s">
        <v>166</v>
      </c>
      <c r="CJ739" s="27" t="s">
        <v>166</v>
      </c>
      <c r="CK739" s="27" t="s">
        <v>166</v>
      </c>
      <c r="CL739" s="27" t="s">
        <v>166</v>
      </c>
      <c r="CM739" s="31">
        <v>2021</v>
      </c>
      <c r="CN739" s="27" t="s">
        <v>166</v>
      </c>
      <c r="CO739" s="27" t="s">
        <v>166</v>
      </c>
      <c r="CP739" s="27" t="s">
        <v>166</v>
      </c>
      <c r="CQ739" s="27" t="s">
        <v>166</v>
      </c>
      <c r="CR739" s="27" t="s">
        <v>166</v>
      </c>
      <c r="CS739" s="27" t="s">
        <v>166</v>
      </c>
      <c r="CT739" s="27" t="s">
        <v>166</v>
      </c>
      <c r="CU739" s="27" t="s">
        <v>166</v>
      </c>
      <c r="CV739" s="27" t="s">
        <v>166</v>
      </c>
      <c r="CW739" s="27" t="s">
        <v>166</v>
      </c>
      <c r="CX739" s="27" t="s">
        <v>166</v>
      </c>
      <c r="CY739" s="27" t="s">
        <v>166</v>
      </c>
      <c r="CZ739" s="27" t="s">
        <v>166</v>
      </c>
      <c r="DA739" s="27" t="s">
        <v>166</v>
      </c>
      <c r="DB739" s="27" t="s">
        <v>166</v>
      </c>
      <c r="DC739" s="27" t="s">
        <v>166</v>
      </c>
      <c r="DD739" s="27" t="s">
        <v>166</v>
      </c>
      <c r="DE739" s="28" t="s">
        <v>166</v>
      </c>
      <c r="DF739" s="33">
        <v>17</v>
      </c>
      <c r="DG739" s="25" t="s">
        <v>360</v>
      </c>
      <c r="DH739" s="25" t="s">
        <v>193</v>
      </c>
      <c r="DI739" s="25" t="s">
        <v>194</v>
      </c>
      <c r="DJ739" s="25" t="s">
        <v>361</v>
      </c>
      <c r="DK739" s="25" t="s">
        <v>196</v>
      </c>
      <c r="DL739" s="32" t="s">
        <v>1285</v>
      </c>
      <c r="DM739" s="25" t="s">
        <v>198</v>
      </c>
      <c r="DN739" s="24" t="s">
        <v>14166</v>
      </c>
      <c r="DO739" s="31">
        <v>2018</v>
      </c>
      <c r="DP739" s="25" t="s">
        <v>166</v>
      </c>
      <c r="DQ739" s="25" t="s">
        <v>166</v>
      </c>
      <c r="DR739" s="29" t="s">
        <v>166</v>
      </c>
      <c r="DS739" s="27" t="s">
        <v>166</v>
      </c>
      <c r="DT739" s="30" t="s">
        <v>166</v>
      </c>
      <c r="DU739" s="25" t="s">
        <v>166</v>
      </c>
      <c r="DV739" s="29" t="s">
        <v>166</v>
      </c>
      <c r="DW739" s="29" t="s">
        <v>166</v>
      </c>
      <c r="DX739" s="27" t="s">
        <v>166</v>
      </c>
      <c r="DY739" s="27" t="s">
        <v>166</v>
      </c>
      <c r="DZ739" s="28" t="s">
        <v>166</v>
      </c>
      <c r="EA739" s="27" t="s">
        <v>166</v>
      </c>
      <c r="EB739" s="27" t="s">
        <v>166</v>
      </c>
      <c r="EC739" s="27" t="s">
        <v>166</v>
      </c>
      <c r="ED739" s="28" t="s">
        <v>166</v>
      </c>
      <c r="EE739" s="28" t="s">
        <v>166</v>
      </c>
      <c r="EF739" s="28" t="s">
        <v>166</v>
      </c>
      <c r="EG739" s="28" t="s">
        <v>166</v>
      </c>
      <c r="EH739" s="27" t="s">
        <v>166</v>
      </c>
      <c r="EI739" s="27" t="s">
        <v>166</v>
      </c>
      <c r="EJ739" s="27" t="s">
        <v>166</v>
      </c>
      <c r="EK739" s="27" t="s">
        <v>166</v>
      </c>
      <c r="EL739" s="27" t="s">
        <v>166</v>
      </c>
      <c r="EM739" s="27" t="s">
        <v>166</v>
      </c>
      <c r="EN739" s="27" t="s">
        <v>166</v>
      </c>
      <c r="EO739" s="27" t="s">
        <v>166</v>
      </c>
      <c r="EP739" s="27" t="s">
        <v>166</v>
      </c>
      <c r="EQ739" s="27" t="s">
        <v>166</v>
      </c>
      <c r="ER739" s="27" t="s">
        <v>166</v>
      </c>
      <c r="ES739" s="27" t="s">
        <v>166</v>
      </c>
      <c r="ET739" s="25" t="s">
        <v>166</v>
      </c>
      <c r="EU739" s="27" t="s">
        <v>166</v>
      </c>
      <c r="EV739" s="27" t="s">
        <v>166</v>
      </c>
      <c r="EW739" s="27" t="s">
        <v>166</v>
      </c>
      <c r="EX739" s="25" t="s">
        <v>190</v>
      </c>
      <c r="EY739" s="25" t="s">
        <v>166</v>
      </c>
      <c r="EZ739" s="27" t="s">
        <v>166</v>
      </c>
      <c r="FA739" s="26">
        <v>4</v>
      </c>
      <c r="FB739" s="26">
        <v>1</v>
      </c>
      <c r="FC739" s="26">
        <v>4</v>
      </c>
      <c r="FD739" s="26" t="s">
        <v>166</v>
      </c>
      <c r="FE739" s="26" t="s">
        <v>166</v>
      </c>
      <c r="FF739" s="26" t="s">
        <v>166</v>
      </c>
      <c r="FG739" s="25" t="s">
        <v>5962</v>
      </c>
      <c r="FH739" s="4">
        <f>HYPERLINK("https://my.pitchbook.com?c=214123-24T","View Company Online")</f>
      </c>
    </row>
    <row r="740">
      <c r="A740" s="14" t="s">
        <v>14167</v>
      </c>
      <c r="B740" s="14" t="s">
        <v>14168</v>
      </c>
      <c r="C740" s="14" t="s">
        <v>14169</v>
      </c>
      <c r="D740" s="14" t="s">
        <v>166</v>
      </c>
      <c r="E740" s="23" t="s">
        <v>14170</v>
      </c>
      <c r="F740" s="21">
        <v>6</v>
      </c>
      <c r="G740" s="14" t="s">
        <v>14171</v>
      </c>
      <c r="H740" s="14" t="s">
        <v>166</v>
      </c>
      <c r="I740" s="14" t="s">
        <v>14172</v>
      </c>
      <c r="J740" s="14" t="s">
        <v>14173</v>
      </c>
      <c r="K740" s="14" t="s">
        <v>207</v>
      </c>
      <c r="L740" s="14" t="s">
        <v>208</v>
      </c>
      <c r="M740" s="14" t="s">
        <v>209</v>
      </c>
      <c r="N740" s="14" t="s">
        <v>14174</v>
      </c>
      <c r="O740" s="14" t="s">
        <v>211</v>
      </c>
      <c r="P740" s="14" t="s">
        <v>14175</v>
      </c>
      <c r="Q740" s="14" t="s">
        <v>166</v>
      </c>
      <c r="R740" s="14" t="s">
        <v>177</v>
      </c>
      <c r="S740" s="14" t="s">
        <v>178</v>
      </c>
      <c r="T740" s="14" t="s">
        <v>179</v>
      </c>
      <c r="U740" s="14" t="s">
        <v>14176</v>
      </c>
      <c r="V740" s="14" t="s">
        <v>14177</v>
      </c>
      <c r="W740" s="21" t="s">
        <v>14178</v>
      </c>
      <c r="X740" s="14" t="s">
        <v>166</v>
      </c>
      <c r="Y740" s="14" t="s">
        <v>14179</v>
      </c>
      <c r="Z740" s="14" t="s">
        <v>166</v>
      </c>
      <c r="AA740" s="14" t="s">
        <v>242</v>
      </c>
      <c r="AB740" s="14" t="s">
        <v>243</v>
      </c>
      <c r="AC740" s="14" t="s">
        <v>244</v>
      </c>
      <c r="AD740" s="14" t="s">
        <v>243</v>
      </c>
      <c r="AE740" s="14" t="s">
        <v>243</v>
      </c>
      <c r="AF740" s="14" t="s">
        <v>166</v>
      </c>
      <c r="AG740" s="14" t="s">
        <v>246</v>
      </c>
      <c r="AH740" s="21">
        <v>1</v>
      </c>
      <c r="AI740" s="3">
        <f>HYPERLINK("https://my.pitchbook.com/?d=207376-12T","207376-12T")</f>
      </c>
      <c r="AJ740" s="19" t="s">
        <v>166</v>
      </c>
      <c r="AK740" s="19">
        <v>44866</v>
      </c>
      <c r="AL740" s="18">
        <v>1.72</v>
      </c>
      <c r="AM740" s="14" t="s">
        <v>247</v>
      </c>
      <c r="AN740" s="18">
        <v>2</v>
      </c>
      <c r="AO740" s="18">
        <v>3.72</v>
      </c>
      <c r="AP740" s="14" t="s">
        <v>247</v>
      </c>
      <c r="AQ740" s="21" t="s">
        <v>166</v>
      </c>
      <c r="AR740" s="21" t="s">
        <v>166</v>
      </c>
      <c r="AS740" s="17">
        <v>46.31</v>
      </c>
      <c r="AT740" s="18">
        <v>1.72</v>
      </c>
      <c r="AU740" s="21" t="s">
        <v>186</v>
      </c>
      <c r="AV740" s="21" t="s">
        <v>166</v>
      </c>
      <c r="AW740" s="18">
        <v>0.27</v>
      </c>
      <c r="AX740" s="21" t="s">
        <v>166</v>
      </c>
      <c r="AY740" s="14" t="s">
        <v>217</v>
      </c>
      <c r="AZ740" s="14" t="s">
        <v>217</v>
      </c>
      <c r="BA740" s="14" t="s">
        <v>166</v>
      </c>
      <c r="BB740" s="21" t="s">
        <v>166</v>
      </c>
      <c r="BC740" s="14" t="s">
        <v>179</v>
      </c>
      <c r="BD740" s="14" t="s">
        <v>14180</v>
      </c>
      <c r="BE740" s="14" t="s">
        <v>189</v>
      </c>
      <c r="BF740" s="18">
        <v>1.72</v>
      </c>
      <c r="BG740" s="14" t="s">
        <v>190</v>
      </c>
      <c r="BH740" s="14" t="s">
        <v>166</v>
      </c>
      <c r="BI740" s="14" t="s">
        <v>166</v>
      </c>
      <c r="BJ740" s="18" t="s">
        <v>166</v>
      </c>
      <c r="BK740" s="18" t="s">
        <v>166</v>
      </c>
      <c r="BL740" s="14" t="s">
        <v>191</v>
      </c>
      <c r="BM740" s="14" t="s">
        <v>178</v>
      </c>
      <c r="BN740" s="14" t="s">
        <v>177</v>
      </c>
      <c r="BO740" s="22" t="s">
        <v>166</v>
      </c>
      <c r="BP740" s="14" t="s">
        <v>14181</v>
      </c>
      <c r="BQ740" s="21">
        <v>6</v>
      </c>
      <c r="BR740" s="14" t="s">
        <v>166</v>
      </c>
      <c r="BS740" s="21" t="s">
        <v>166</v>
      </c>
      <c r="BT740" s="14" t="s">
        <v>166</v>
      </c>
      <c r="BU740" s="14" t="s">
        <v>166</v>
      </c>
      <c r="BV740" s="14" t="s">
        <v>166</v>
      </c>
      <c r="BW740" s="14" t="s">
        <v>166</v>
      </c>
      <c r="BX740" s="14" t="s">
        <v>166</v>
      </c>
      <c r="BY740" s="14" t="s">
        <v>166</v>
      </c>
      <c r="BZ740" s="14" t="s">
        <v>166</v>
      </c>
      <c r="CA740" s="14" t="s">
        <v>166</v>
      </c>
      <c r="CB740" s="14" t="s">
        <v>166</v>
      </c>
      <c r="CC740" s="14" t="s">
        <v>166</v>
      </c>
      <c r="CD740" s="14" t="s">
        <v>166</v>
      </c>
      <c r="CE740" s="18" t="s">
        <v>166</v>
      </c>
      <c r="CF740" s="16" t="s">
        <v>166</v>
      </c>
      <c r="CG740" s="17" t="s">
        <v>166</v>
      </c>
      <c r="CH740" s="16" t="s">
        <v>166</v>
      </c>
      <c r="CI740" s="16" t="s">
        <v>166</v>
      </c>
      <c r="CJ740" s="16" t="s">
        <v>166</v>
      </c>
      <c r="CK740" s="16" t="s">
        <v>166</v>
      </c>
      <c r="CL740" s="16" t="s">
        <v>166</v>
      </c>
      <c r="CM740" s="20" t="s">
        <v>166</v>
      </c>
      <c r="CN740" s="16" t="s">
        <v>166</v>
      </c>
      <c r="CO740" s="16" t="s">
        <v>166</v>
      </c>
      <c r="CP740" s="16" t="s">
        <v>166</v>
      </c>
      <c r="CQ740" s="16" t="s">
        <v>166</v>
      </c>
      <c r="CR740" s="16" t="s">
        <v>166</v>
      </c>
      <c r="CS740" s="16" t="s">
        <v>166</v>
      </c>
      <c r="CT740" s="16" t="s">
        <v>166</v>
      </c>
      <c r="CU740" s="16" t="s">
        <v>166</v>
      </c>
      <c r="CV740" s="16" t="s">
        <v>166</v>
      </c>
      <c r="CW740" s="16" t="s">
        <v>166</v>
      </c>
      <c r="CX740" s="16" t="s">
        <v>166</v>
      </c>
      <c r="CY740" s="16" t="s">
        <v>166</v>
      </c>
      <c r="CZ740" s="16" t="s">
        <v>166</v>
      </c>
      <c r="DA740" s="16" t="s">
        <v>166</v>
      </c>
      <c r="DB740" s="16" t="s">
        <v>166</v>
      </c>
      <c r="DC740" s="16" t="s">
        <v>166</v>
      </c>
      <c r="DD740" s="16" t="s">
        <v>166</v>
      </c>
      <c r="DE740" s="17" t="s">
        <v>166</v>
      </c>
      <c r="DF740" s="22">
        <v>8</v>
      </c>
      <c r="DG740" s="14" t="s">
        <v>14182</v>
      </c>
      <c r="DH740" s="14" t="s">
        <v>193</v>
      </c>
      <c r="DI740" s="14" t="s">
        <v>194</v>
      </c>
      <c r="DJ740" s="14" t="s">
        <v>14183</v>
      </c>
      <c r="DK740" s="14" t="s">
        <v>1023</v>
      </c>
      <c r="DL740" s="21" t="s">
        <v>14184</v>
      </c>
      <c r="DM740" s="14" t="s">
        <v>198</v>
      </c>
      <c r="DN740" s="13" t="s">
        <v>14185</v>
      </c>
      <c r="DO740" s="20">
        <v>2022</v>
      </c>
      <c r="DP740" s="14" t="s">
        <v>166</v>
      </c>
      <c r="DQ740" s="14" t="s">
        <v>166</v>
      </c>
      <c r="DR740" s="18" t="s">
        <v>166</v>
      </c>
      <c r="DS740" s="16" t="s">
        <v>166</v>
      </c>
      <c r="DT740" s="19" t="s">
        <v>166</v>
      </c>
      <c r="DU740" s="14" t="s">
        <v>166</v>
      </c>
      <c r="DV740" s="18" t="s">
        <v>166</v>
      </c>
      <c r="DW740" s="18" t="s">
        <v>166</v>
      </c>
      <c r="DX740" s="16" t="s">
        <v>166</v>
      </c>
      <c r="DY740" s="16" t="s">
        <v>166</v>
      </c>
      <c r="DZ740" s="17" t="s">
        <v>166</v>
      </c>
      <c r="EA740" s="16" t="s">
        <v>166</v>
      </c>
      <c r="EB740" s="16" t="s">
        <v>166</v>
      </c>
      <c r="EC740" s="16" t="s">
        <v>166</v>
      </c>
      <c r="ED740" s="17" t="s">
        <v>166</v>
      </c>
      <c r="EE740" s="17" t="s">
        <v>166</v>
      </c>
      <c r="EF740" s="17" t="s">
        <v>166</v>
      </c>
      <c r="EG740" s="17" t="s">
        <v>166</v>
      </c>
      <c r="EH740" s="16" t="s">
        <v>166</v>
      </c>
      <c r="EI740" s="16" t="s">
        <v>166</v>
      </c>
      <c r="EJ740" s="16" t="s">
        <v>166</v>
      </c>
      <c r="EK740" s="16" t="s">
        <v>166</v>
      </c>
      <c r="EL740" s="16" t="s">
        <v>166</v>
      </c>
      <c r="EM740" s="16" t="s">
        <v>166</v>
      </c>
      <c r="EN740" s="16" t="s">
        <v>166</v>
      </c>
      <c r="EO740" s="16" t="s">
        <v>166</v>
      </c>
      <c r="EP740" s="16" t="s">
        <v>166</v>
      </c>
      <c r="EQ740" s="16" t="s">
        <v>166</v>
      </c>
      <c r="ER740" s="16" t="s">
        <v>166</v>
      </c>
      <c r="ES740" s="16" t="s">
        <v>166</v>
      </c>
      <c r="ET740" s="14" t="s">
        <v>166</v>
      </c>
      <c r="EU740" s="16" t="s">
        <v>166</v>
      </c>
      <c r="EV740" s="16" t="s">
        <v>166</v>
      </c>
      <c r="EW740" s="16" t="s">
        <v>166</v>
      </c>
      <c r="EX740" s="14" t="s">
        <v>190</v>
      </c>
      <c r="EY740" s="14" t="s">
        <v>166</v>
      </c>
      <c r="EZ740" s="16" t="s">
        <v>166</v>
      </c>
      <c r="FA740" s="15" t="s">
        <v>166</v>
      </c>
      <c r="FB740" s="15" t="s">
        <v>166</v>
      </c>
      <c r="FC740" s="15" t="s">
        <v>166</v>
      </c>
      <c r="FD740" s="15" t="s">
        <v>166</v>
      </c>
      <c r="FE740" s="15" t="s">
        <v>166</v>
      </c>
      <c r="FF740" s="15" t="s">
        <v>166</v>
      </c>
      <c r="FG740" s="14" t="s">
        <v>166</v>
      </c>
      <c r="FH740" s="3">
        <f>HYPERLINK("https://my.pitchbook.com?c=207376-12T","View Company Online")</f>
      </c>
    </row>
    <row r="741">
      <c r="A741" s="25" t="s">
        <v>14186</v>
      </c>
      <c r="B741" s="25" t="s">
        <v>14187</v>
      </c>
      <c r="C741" s="25" t="s">
        <v>14188</v>
      </c>
      <c r="D741" s="25" t="s">
        <v>166</v>
      </c>
      <c r="E741" s="34" t="s">
        <v>14189</v>
      </c>
      <c r="F741" s="32">
        <v>1</v>
      </c>
      <c r="G741" s="25" t="s">
        <v>14190</v>
      </c>
      <c r="H741" s="25" t="s">
        <v>166</v>
      </c>
      <c r="I741" s="25" t="s">
        <v>14191</v>
      </c>
      <c r="J741" s="25" t="s">
        <v>14192</v>
      </c>
      <c r="K741" s="25" t="s">
        <v>1500</v>
      </c>
      <c r="L741" s="25" t="s">
        <v>2334</v>
      </c>
      <c r="M741" s="25" t="s">
        <v>2335</v>
      </c>
      <c r="N741" s="25" t="s">
        <v>10673</v>
      </c>
      <c r="O741" s="25" t="s">
        <v>14193</v>
      </c>
      <c r="P741" s="25" t="s">
        <v>14194</v>
      </c>
      <c r="Q741" s="25" t="s">
        <v>166</v>
      </c>
      <c r="R741" s="25" t="s">
        <v>177</v>
      </c>
      <c r="S741" s="25" t="s">
        <v>178</v>
      </c>
      <c r="T741" s="25" t="s">
        <v>179</v>
      </c>
      <c r="U741" s="25" t="s">
        <v>14195</v>
      </c>
      <c r="V741" s="25" t="s">
        <v>14196</v>
      </c>
      <c r="W741" s="32" t="s">
        <v>166</v>
      </c>
      <c r="X741" s="25" t="s">
        <v>14197</v>
      </c>
      <c r="Y741" s="25" t="s">
        <v>14198</v>
      </c>
      <c r="Z741" s="25" t="s">
        <v>166</v>
      </c>
      <c r="AA741" s="25" t="s">
        <v>166</v>
      </c>
      <c r="AB741" s="25" t="s">
        <v>166</v>
      </c>
      <c r="AC741" s="25" t="s">
        <v>166</v>
      </c>
      <c r="AD741" s="25" t="s">
        <v>166</v>
      </c>
      <c r="AE741" s="25" t="s">
        <v>166</v>
      </c>
      <c r="AF741" s="25" t="s">
        <v>166</v>
      </c>
      <c r="AG741" s="25" t="s">
        <v>166</v>
      </c>
      <c r="AH741" s="32">
        <v>1</v>
      </c>
      <c r="AI741" s="4">
        <f>HYPERLINK("https://my.pitchbook.com/?d=265864-24T","265864-24T")</f>
      </c>
      <c r="AJ741" s="30">
        <v>45099</v>
      </c>
      <c r="AK741" s="30">
        <v>45292</v>
      </c>
      <c r="AL741" s="29">
        <v>0.17</v>
      </c>
      <c r="AM741" s="25" t="s">
        <v>185</v>
      </c>
      <c r="AN741" s="29" t="s">
        <v>166</v>
      </c>
      <c r="AO741" s="29" t="s">
        <v>166</v>
      </c>
      <c r="AP741" s="25" t="s">
        <v>166</v>
      </c>
      <c r="AQ741" s="32" t="s">
        <v>166</v>
      </c>
      <c r="AR741" s="32" t="s">
        <v>166</v>
      </c>
      <c r="AS741" s="28" t="s">
        <v>166</v>
      </c>
      <c r="AT741" s="29">
        <v>0.17</v>
      </c>
      <c r="AU741" s="32" t="s">
        <v>186</v>
      </c>
      <c r="AV741" s="32" t="s">
        <v>166</v>
      </c>
      <c r="AW741" s="29" t="s">
        <v>166</v>
      </c>
      <c r="AX741" s="32" t="s">
        <v>166</v>
      </c>
      <c r="AY741" s="25" t="s">
        <v>187</v>
      </c>
      <c r="AZ741" s="25" t="s">
        <v>166</v>
      </c>
      <c r="BA741" s="25" t="s">
        <v>166</v>
      </c>
      <c r="BB741" s="32" t="s">
        <v>166</v>
      </c>
      <c r="BC741" s="25" t="s">
        <v>179</v>
      </c>
      <c r="BD741" s="25" t="s">
        <v>14192</v>
      </c>
      <c r="BE741" s="25" t="s">
        <v>189</v>
      </c>
      <c r="BF741" s="29">
        <v>0.17</v>
      </c>
      <c r="BG741" s="25" t="s">
        <v>190</v>
      </c>
      <c r="BH741" s="25" t="s">
        <v>166</v>
      </c>
      <c r="BI741" s="25" t="s">
        <v>166</v>
      </c>
      <c r="BJ741" s="29" t="s">
        <v>166</v>
      </c>
      <c r="BK741" s="29" t="s">
        <v>166</v>
      </c>
      <c r="BL741" s="25" t="s">
        <v>191</v>
      </c>
      <c r="BM741" s="25" t="s">
        <v>178</v>
      </c>
      <c r="BN741" s="25" t="s">
        <v>177</v>
      </c>
      <c r="BO741" s="33" t="s">
        <v>166</v>
      </c>
      <c r="BP741" s="25" t="s">
        <v>14189</v>
      </c>
      <c r="BQ741" s="32">
        <v>1</v>
      </c>
      <c r="BR741" s="25" t="s">
        <v>166</v>
      </c>
      <c r="BS741" s="32" t="s">
        <v>166</v>
      </c>
      <c r="BT741" s="25" t="s">
        <v>166</v>
      </c>
      <c r="BU741" s="25" t="s">
        <v>166</v>
      </c>
      <c r="BV741" s="25" t="s">
        <v>166</v>
      </c>
      <c r="BW741" s="25" t="s">
        <v>166</v>
      </c>
      <c r="BX741" s="25" t="s">
        <v>166</v>
      </c>
      <c r="BY741" s="25" t="s">
        <v>166</v>
      </c>
      <c r="BZ741" s="25" t="s">
        <v>166</v>
      </c>
      <c r="CA741" s="25" t="s">
        <v>166</v>
      </c>
      <c r="CB741" s="25" t="s">
        <v>166</v>
      </c>
      <c r="CC741" s="25" t="s">
        <v>166</v>
      </c>
      <c r="CD741" s="25" t="s">
        <v>166</v>
      </c>
      <c r="CE741" s="29" t="s">
        <v>166</v>
      </c>
      <c r="CF741" s="27" t="s">
        <v>166</v>
      </c>
      <c r="CG741" s="28" t="s">
        <v>166</v>
      </c>
      <c r="CH741" s="27" t="s">
        <v>166</v>
      </c>
      <c r="CI741" s="27" t="s">
        <v>166</v>
      </c>
      <c r="CJ741" s="27" t="s">
        <v>166</v>
      </c>
      <c r="CK741" s="27" t="s">
        <v>166</v>
      </c>
      <c r="CL741" s="27" t="s">
        <v>166</v>
      </c>
      <c r="CM741" s="31" t="s">
        <v>166</v>
      </c>
      <c r="CN741" s="27" t="s">
        <v>166</v>
      </c>
      <c r="CO741" s="27" t="s">
        <v>166</v>
      </c>
      <c r="CP741" s="27" t="s">
        <v>166</v>
      </c>
      <c r="CQ741" s="27" t="s">
        <v>166</v>
      </c>
      <c r="CR741" s="27" t="s">
        <v>166</v>
      </c>
      <c r="CS741" s="27" t="s">
        <v>166</v>
      </c>
      <c r="CT741" s="27" t="s">
        <v>166</v>
      </c>
      <c r="CU741" s="27" t="s">
        <v>166</v>
      </c>
      <c r="CV741" s="27" t="s">
        <v>166</v>
      </c>
      <c r="CW741" s="27" t="s">
        <v>166</v>
      </c>
      <c r="CX741" s="27" t="s">
        <v>166</v>
      </c>
      <c r="CY741" s="27" t="s">
        <v>166</v>
      </c>
      <c r="CZ741" s="27" t="s">
        <v>166</v>
      </c>
      <c r="DA741" s="27" t="s">
        <v>166</v>
      </c>
      <c r="DB741" s="27" t="s">
        <v>166</v>
      </c>
      <c r="DC741" s="27" t="s">
        <v>166</v>
      </c>
      <c r="DD741" s="27" t="s">
        <v>166</v>
      </c>
      <c r="DE741" s="28" t="s">
        <v>166</v>
      </c>
      <c r="DF741" s="33">
        <v>3</v>
      </c>
      <c r="DG741" s="25" t="s">
        <v>429</v>
      </c>
      <c r="DH741" s="25" t="s">
        <v>193</v>
      </c>
      <c r="DI741" s="25" t="s">
        <v>194</v>
      </c>
      <c r="DJ741" s="25" t="s">
        <v>430</v>
      </c>
      <c r="DK741" s="25" t="s">
        <v>431</v>
      </c>
      <c r="DL741" s="32" t="s">
        <v>1369</v>
      </c>
      <c r="DM741" s="25" t="s">
        <v>198</v>
      </c>
      <c r="DN741" s="24" t="s">
        <v>14199</v>
      </c>
      <c r="DO741" s="31">
        <v>2023</v>
      </c>
      <c r="DP741" s="25" t="s">
        <v>166</v>
      </c>
      <c r="DQ741" s="25" t="s">
        <v>166</v>
      </c>
      <c r="DR741" s="29" t="s">
        <v>166</v>
      </c>
      <c r="DS741" s="27" t="s">
        <v>166</v>
      </c>
      <c r="DT741" s="30" t="s">
        <v>166</v>
      </c>
      <c r="DU741" s="25" t="s">
        <v>166</v>
      </c>
      <c r="DV741" s="29" t="s">
        <v>166</v>
      </c>
      <c r="DW741" s="29" t="s">
        <v>166</v>
      </c>
      <c r="DX741" s="27" t="s">
        <v>166</v>
      </c>
      <c r="DY741" s="27" t="s">
        <v>166</v>
      </c>
      <c r="DZ741" s="28" t="s">
        <v>166</v>
      </c>
      <c r="EA741" s="27" t="s">
        <v>166</v>
      </c>
      <c r="EB741" s="27" t="s">
        <v>166</v>
      </c>
      <c r="EC741" s="27" t="s">
        <v>166</v>
      </c>
      <c r="ED741" s="28" t="s">
        <v>166</v>
      </c>
      <c r="EE741" s="28" t="s">
        <v>166</v>
      </c>
      <c r="EF741" s="28" t="s">
        <v>166</v>
      </c>
      <c r="EG741" s="28" t="s">
        <v>166</v>
      </c>
      <c r="EH741" s="27" t="s">
        <v>166</v>
      </c>
      <c r="EI741" s="27" t="s">
        <v>166</v>
      </c>
      <c r="EJ741" s="27" t="s">
        <v>166</v>
      </c>
      <c r="EK741" s="27" t="s">
        <v>166</v>
      </c>
      <c r="EL741" s="27" t="s">
        <v>166</v>
      </c>
      <c r="EM741" s="27" t="s">
        <v>166</v>
      </c>
      <c r="EN741" s="27" t="s">
        <v>166</v>
      </c>
      <c r="EO741" s="27" t="s">
        <v>166</v>
      </c>
      <c r="EP741" s="27" t="s">
        <v>166</v>
      </c>
      <c r="EQ741" s="27" t="s">
        <v>166</v>
      </c>
      <c r="ER741" s="27" t="s">
        <v>166</v>
      </c>
      <c r="ES741" s="27" t="s">
        <v>166</v>
      </c>
      <c r="ET741" s="25" t="s">
        <v>166</v>
      </c>
      <c r="EU741" s="27" t="s">
        <v>166</v>
      </c>
      <c r="EV741" s="27" t="s">
        <v>166</v>
      </c>
      <c r="EW741" s="27" t="s">
        <v>166</v>
      </c>
      <c r="EX741" s="25" t="s">
        <v>190</v>
      </c>
      <c r="EY741" s="25" t="s">
        <v>166</v>
      </c>
      <c r="EZ741" s="27" t="s">
        <v>166</v>
      </c>
      <c r="FA741" s="26" t="s">
        <v>166</v>
      </c>
      <c r="FB741" s="26" t="s">
        <v>166</v>
      </c>
      <c r="FC741" s="26" t="s">
        <v>166</v>
      </c>
      <c r="FD741" s="26" t="s">
        <v>166</v>
      </c>
      <c r="FE741" s="26" t="s">
        <v>166</v>
      </c>
      <c r="FF741" s="26" t="s">
        <v>166</v>
      </c>
      <c r="FG741" s="25" t="s">
        <v>166</v>
      </c>
      <c r="FH741" s="4">
        <f>HYPERLINK("https://my.pitchbook.com?c=265864-24T","View Company Online")</f>
      </c>
    </row>
    <row r="742">
      <c r="A742" s="14" t="s">
        <v>14200</v>
      </c>
      <c r="B742" s="14" t="s">
        <v>14201</v>
      </c>
      <c r="C742" s="14" t="s">
        <v>14202</v>
      </c>
      <c r="D742" s="14" t="s">
        <v>166</v>
      </c>
      <c r="E742" s="23" t="s">
        <v>14203</v>
      </c>
      <c r="F742" s="21">
        <v>4</v>
      </c>
      <c r="G742" s="14" t="s">
        <v>14204</v>
      </c>
      <c r="H742" s="14" t="s">
        <v>166</v>
      </c>
      <c r="I742" s="14" t="s">
        <v>14205</v>
      </c>
      <c r="J742" s="14" t="s">
        <v>14206</v>
      </c>
      <c r="K742" s="14" t="s">
        <v>207</v>
      </c>
      <c r="L742" s="14" t="s">
        <v>208</v>
      </c>
      <c r="M742" s="14" t="s">
        <v>209</v>
      </c>
      <c r="N742" s="14" t="s">
        <v>4430</v>
      </c>
      <c r="O742" s="14" t="s">
        <v>14207</v>
      </c>
      <c r="P742" s="14" t="s">
        <v>14208</v>
      </c>
      <c r="Q742" s="14" t="s">
        <v>166</v>
      </c>
      <c r="R742" s="14" t="s">
        <v>177</v>
      </c>
      <c r="S742" s="14" t="s">
        <v>178</v>
      </c>
      <c r="T742" s="14" t="s">
        <v>179</v>
      </c>
      <c r="U742" s="14" t="s">
        <v>14209</v>
      </c>
      <c r="V742" s="14" t="s">
        <v>14210</v>
      </c>
      <c r="W742" s="21" t="s">
        <v>166</v>
      </c>
      <c r="X742" s="14" t="s">
        <v>14211</v>
      </c>
      <c r="Y742" s="14" t="s">
        <v>14212</v>
      </c>
      <c r="Z742" s="14" t="s">
        <v>725</v>
      </c>
      <c r="AA742" s="14" t="s">
        <v>166</v>
      </c>
      <c r="AB742" s="14" t="s">
        <v>166</v>
      </c>
      <c r="AC742" s="14" t="s">
        <v>166</v>
      </c>
      <c r="AD742" s="14" t="s">
        <v>166</v>
      </c>
      <c r="AE742" s="14" t="s">
        <v>166</v>
      </c>
      <c r="AF742" s="14" t="s">
        <v>166</v>
      </c>
      <c r="AG742" s="14" t="s">
        <v>166</v>
      </c>
      <c r="AH742" s="21">
        <v>2</v>
      </c>
      <c r="AI742" s="3">
        <f>HYPERLINK("https://my.pitchbook.com/?d=250233-04T","250233-04T")</f>
      </c>
      <c r="AJ742" s="19">
        <v>45299</v>
      </c>
      <c r="AK742" s="19">
        <v>45329</v>
      </c>
      <c r="AL742" s="18">
        <v>3.1</v>
      </c>
      <c r="AM742" s="14" t="s">
        <v>185</v>
      </c>
      <c r="AN742" s="18" t="s">
        <v>166</v>
      </c>
      <c r="AO742" s="18" t="s">
        <v>166</v>
      </c>
      <c r="AP742" s="14" t="s">
        <v>166</v>
      </c>
      <c r="AQ742" s="21" t="s">
        <v>166</v>
      </c>
      <c r="AR742" s="21" t="s">
        <v>166</v>
      </c>
      <c r="AS742" s="17" t="s">
        <v>166</v>
      </c>
      <c r="AT742" s="18">
        <v>3.1</v>
      </c>
      <c r="AU742" s="21" t="s">
        <v>186</v>
      </c>
      <c r="AV742" s="21" t="s">
        <v>166</v>
      </c>
      <c r="AW742" s="18" t="s">
        <v>166</v>
      </c>
      <c r="AX742" s="21" t="s">
        <v>166</v>
      </c>
      <c r="AY742" s="14" t="s">
        <v>217</v>
      </c>
      <c r="AZ742" s="14" t="s">
        <v>217</v>
      </c>
      <c r="BA742" s="14" t="s">
        <v>166</v>
      </c>
      <c r="BB742" s="21" t="s">
        <v>166</v>
      </c>
      <c r="BC742" s="14" t="s">
        <v>179</v>
      </c>
      <c r="BD742" s="14" t="s">
        <v>14213</v>
      </c>
      <c r="BE742" s="14" t="s">
        <v>189</v>
      </c>
      <c r="BF742" s="18">
        <v>3.1</v>
      </c>
      <c r="BG742" s="14" t="s">
        <v>190</v>
      </c>
      <c r="BH742" s="14" t="s">
        <v>166</v>
      </c>
      <c r="BI742" s="14" t="s">
        <v>166</v>
      </c>
      <c r="BJ742" s="18" t="s">
        <v>166</v>
      </c>
      <c r="BK742" s="18" t="s">
        <v>166</v>
      </c>
      <c r="BL742" s="14" t="s">
        <v>191</v>
      </c>
      <c r="BM742" s="14" t="s">
        <v>178</v>
      </c>
      <c r="BN742" s="14" t="s">
        <v>177</v>
      </c>
      <c r="BO742" s="22" t="s">
        <v>166</v>
      </c>
      <c r="BP742" s="14" t="s">
        <v>14214</v>
      </c>
      <c r="BQ742" s="21">
        <v>4</v>
      </c>
      <c r="BR742" s="14" t="s">
        <v>166</v>
      </c>
      <c r="BS742" s="21" t="s">
        <v>166</v>
      </c>
      <c r="BT742" s="14" t="s">
        <v>166</v>
      </c>
      <c r="BU742" s="14" t="s">
        <v>166</v>
      </c>
      <c r="BV742" s="14" t="s">
        <v>14215</v>
      </c>
      <c r="BW742" s="14" t="s">
        <v>166</v>
      </c>
      <c r="BX742" s="14" t="s">
        <v>166</v>
      </c>
      <c r="BY742" s="14" t="s">
        <v>166</v>
      </c>
      <c r="BZ742" s="14" t="s">
        <v>14216</v>
      </c>
      <c r="CA742" s="14" t="s">
        <v>14217</v>
      </c>
      <c r="CB742" s="14" t="s">
        <v>166</v>
      </c>
      <c r="CC742" s="14" t="s">
        <v>478</v>
      </c>
      <c r="CD742" s="14" t="s">
        <v>166</v>
      </c>
      <c r="CE742" s="18" t="s">
        <v>166</v>
      </c>
      <c r="CF742" s="16" t="s">
        <v>166</v>
      </c>
      <c r="CG742" s="17" t="s">
        <v>166</v>
      </c>
      <c r="CH742" s="16" t="s">
        <v>166</v>
      </c>
      <c r="CI742" s="16" t="s">
        <v>166</v>
      </c>
      <c r="CJ742" s="16" t="s">
        <v>166</v>
      </c>
      <c r="CK742" s="16" t="s">
        <v>166</v>
      </c>
      <c r="CL742" s="16" t="s">
        <v>166</v>
      </c>
      <c r="CM742" s="20" t="s">
        <v>166</v>
      </c>
      <c r="CN742" s="16" t="s">
        <v>166</v>
      </c>
      <c r="CO742" s="16" t="s">
        <v>166</v>
      </c>
      <c r="CP742" s="16" t="s">
        <v>166</v>
      </c>
      <c r="CQ742" s="16" t="s">
        <v>166</v>
      </c>
      <c r="CR742" s="16" t="s">
        <v>166</v>
      </c>
      <c r="CS742" s="16" t="s">
        <v>166</v>
      </c>
      <c r="CT742" s="16" t="s">
        <v>166</v>
      </c>
      <c r="CU742" s="16" t="s">
        <v>166</v>
      </c>
      <c r="CV742" s="16" t="s">
        <v>166</v>
      </c>
      <c r="CW742" s="16" t="s">
        <v>166</v>
      </c>
      <c r="CX742" s="16" t="s">
        <v>166</v>
      </c>
      <c r="CY742" s="16" t="s">
        <v>166</v>
      </c>
      <c r="CZ742" s="16" t="s">
        <v>166</v>
      </c>
      <c r="DA742" s="16" t="s">
        <v>166</v>
      </c>
      <c r="DB742" s="16" t="s">
        <v>166</v>
      </c>
      <c r="DC742" s="16" t="s">
        <v>166</v>
      </c>
      <c r="DD742" s="16" t="s">
        <v>166</v>
      </c>
      <c r="DE742" s="17" t="s">
        <v>166</v>
      </c>
      <c r="DF742" s="22">
        <v>9</v>
      </c>
      <c r="DG742" s="14" t="s">
        <v>1077</v>
      </c>
      <c r="DH742" s="14" t="s">
        <v>193</v>
      </c>
      <c r="DI742" s="14" t="s">
        <v>194</v>
      </c>
      <c r="DJ742" s="14" t="s">
        <v>1078</v>
      </c>
      <c r="DK742" s="14" t="s">
        <v>257</v>
      </c>
      <c r="DL742" s="21" t="s">
        <v>3848</v>
      </c>
      <c r="DM742" s="14" t="s">
        <v>198</v>
      </c>
      <c r="DN742" s="13" t="s">
        <v>14218</v>
      </c>
      <c r="DO742" s="20">
        <v>2023</v>
      </c>
      <c r="DP742" s="14" t="s">
        <v>166</v>
      </c>
      <c r="DQ742" s="14" t="s">
        <v>166</v>
      </c>
      <c r="DR742" s="18" t="s">
        <v>166</v>
      </c>
      <c r="DS742" s="16" t="s">
        <v>166</v>
      </c>
      <c r="DT742" s="19" t="s">
        <v>166</v>
      </c>
      <c r="DU742" s="14" t="s">
        <v>166</v>
      </c>
      <c r="DV742" s="18" t="s">
        <v>166</v>
      </c>
      <c r="DW742" s="18" t="s">
        <v>166</v>
      </c>
      <c r="DX742" s="16" t="s">
        <v>166</v>
      </c>
      <c r="DY742" s="16" t="s">
        <v>166</v>
      </c>
      <c r="DZ742" s="17" t="s">
        <v>166</v>
      </c>
      <c r="EA742" s="16" t="s">
        <v>166</v>
      </c>
      <c r="EB742" s="16" t="s">
        <v>166</v>
      </c>
      <c r="EC742" s="16" t="s">
        <v>166</v>
      </c>
      <c r="ED742" s="17" t="s">
        <v>166</v>
      </c>
      <c r="EE742" s="17" t="s">
        <v>166</v>
      </c>
      <c r="EF742" s="17" t="s">
        <v>166</v>
      </c>
      <c r="EG742" s="17" t="s">
        <v>166</v>
      </c>
      <c r="EH742" s="16" t="s">
        <v>166</v>
      </c>
      <c r="EI742" s="16" t="s">
        <v>166</v>
      </c>
      <c r="EJ742" s="16" t="s">
        <v>166</v>
      </c>
      <c r="EK742" s="16" t="s">
        <v>166</v>
      </c>
      <c r="EL742" s="16" t="s">
        <v>166</v>
      </c>
      <c r="EM742" s="16" t="s">
        <v>166</v>
      </c>
      <c r="EN742" s="16" t="s">
        <v>166</v>
      </c>
      <c r="EO742" s="16" t="s">
        <v>166</v>
      </c>
      <c r="EP742" s="16" t="s">
        <v>166</v>
      </c>
      <c r="EQ742" s="16" t="s">
        <v>166</v>
      </c>
      <c r="ER742" s="16" t="s">
        <v>166</v>
      </c>
      <c r="ES742" s="16" t="s">
        <v>166</v>
      </c>
      <c r="ET742" s="14" t="s">
        <v>166</v>
      </c>
      <c r="EU742" s="16" t="s">
        <v>166</v>
      </c>
      <c r="EV742" s="16" t="s">
        <v>166</v>
      </c>
      <c r="EW742" s="16" t="s">
        <v>166</v>
      </c>
      <c r="EX742" s="14" t="s">
        <v>190</v>
      </c>
      <c r="EY742" s="14" t="s">
        <v>166</v>
      </c>
      <c r="EZ742" s="16" t="s">
        <v>166</v>
      </c>
      <c r="FA742" s="15" t="s">
        <v>166</v>
      </c>
      <c r="FB742" s="15" t="s">
        <v>166</v>
      </c>
      <c r="FC742" s="15" t="s">
        <v>166</v>
      </c>
      <c r="FD742" s="15" t="s">
        <v>166</v>
      </c>
      <c r="FE742" s="15" t="s">
        <v>166</v>
      </c>
      <c r="FF742" s="15" t="s">
        <v>166</v>
      </c>
      <c r="FG742" s="14" t="s">
        <v>166</v>
      </c>
      <c r="FH742" s="3">
        <f>HYPERLINK("https://my.pitchbook.com?c=250233-04T","View Company Online")</f>
      </c>
    </row>
    <row r="743">
      <c r="A743" s="25" t="s">
        <v>14219</v>
      </c>
      <c r="B743" s="25" t="s">
        <v>14220</v>
      </c>
      <c r="C743" s="25" t="s">
        <v>14221</v>
      </c>
      <c r="D743" s="25" t="s">
        <v>166</v>
      </c>
      <c r="E743" s="34" t="s">
        <v>14222</v>
      </c>
      <c r="F743" s="32">
        <v>1</v>
      </c>
      <c r="G743" s="25" t="s">
        <v>14223</v>
      </c>
      <c r="H743" s="25" t="s">
        <v>166</v>
      </c>
      <c r="I743" s="25" t="s">
        <v>14224</v>
      </c>
      <c r="J743" s="25" t="s">
        <v>14225</v>
      </c>
      <c r="K743" s="25" t="s">
        <v>1455</v>
      </c>
      <c r="L743" s="25" t="s">
        <v>1984</v>
      </c>
      <c r="M743" s="25" t="s">
        <v>2112</v>
      </c>
      <c r="N743" s="25" t="s">
        <v>3046</v>
      </c>
      <c r="O743" s="25" t="s">
        <v>166</v>
      </c>
      <c r="P743" s="25" t="s">
        <v>14226</v>
      </c>
      <c r="Q743" s="25" t="s">
        <v>166</v>
      </c>
      <c r="R743" s="25" t="s">
        <v>2727</v>
      </c>
      <c r="S743" s="25" t="s">
        <v>178</v>
      </c>
      <c r="T743" s="25" t="s">
        <v>9044</v>
      </c>
      <c r="U743" s="25" t="s">
        <v>14227</v>
      </c>
      <c r="V743" s="25" t="s">
        <v>14228</v>
      </c>
      <c r="W743" s="32" t="s">
        <v>14229</v>
      </c>
      <c r="X743" s="25" t="s">
        <v>166</v>
      </c>
      <c r="Y743" s="25" t="s">
        <v>14230</v>
      </c>
      <c r="Z743" s="25" t="s">
        <v>14231</v>
      </c>
      <c r="AA743" s="25" t="s">
        <v>166</v>
      </c>
      <c r="AB743" s="25" t="s">
        <v>166</v>
      </c>
      <c r="AC743" s="25" t="s">
        <v>166</v>
      </c>
      <c r="AD743" s="25" t="s">
        <v>166</v>
      </c>
      <c r="AE743" s="25" t="s">
        <v>166</v>
      </c>
      <c r="AF743" s="25" t="s">
        <v>166</v>
      </c>
      <c r="AG743" s="25" t="s">
        <v>166</v>
      </c>
      <c r="AH743" s="32">
        <v>2</v>
      </c>
      <c r="AI743" s="4">
        <f>HYPERLINK("https://my.pitchbook.com/?d=160941-34T","160941-34T")</f>
      </c>
      <c r="AJ743" s="30">
        <v>44105</v>
      </c>
      <c r="AK743" s="30">
        <v>44176</v>
      </c>
      <c r="AL743" s="29">
        <v>0.32</v>
      </c>
      <c r="AM743" s="25" t="s">
        <v>185</v>
      </c>
      <c r="AN743" s="29" t="s">
        <v>166</v>
      </c>
      <c r="AO743" s="29" t="s">
        <v>166</v>
      </c>
      <c r="AP743" s="25" t="s">
        <v>166</v>
      </c>
      <c r="AQ743" s="32" t="s">
        <v>166</v>
      </c>
      <c r="AR743" s="32" t="s">
        <v>166</v>
      </c>
      <c r="AS743" s="28" t="s">
        <v>166</v>
      </c>
      <c r="AT743" s="29">
        <v>0.92</v>
      </c>
      <c r="AU743" s="32" t="s">
        <v>186</v>
      </c>
      <c r="AV743" s="32" t="s">
        <v>166</v>
      </c>
      <c r="AW743" s="29" t="s">
        <v>166</v>
      </c>
      <c r="AX743" s="32" t="s">
        <v>166</v>
      </c>
      <c r="AY743" s="25" t="s">
        <v>217</v>
      </c>
      <c r="AZ743" s="25" t="s">
        <v>217</v>
      </c>
      <c r="BA743" s="25" t="s">
        <v>166</v>
      </c>
      <c r="BB743" s="32" t="s">
        <v>166</v>
      </c>
      <c r="BC743" s="25" t="s">
        <v>179</v>
      </c>
      <c r="BD743" s="25" t="s">
        <v>14232</v>
      </c>
      <c r="BE743" s="25" t="s">
        <v>189</v>
      </c>
      <c r="BF743" s="29">
        <v>0.32</v>
      </c>
      <c r="BG743" s="25" t="s">
        <v>190</v>
      </c>
      <c r="BH743" s="25" t="s">
        <v>166</v>
      </c>
      <c r="BI743" s="25" t="s">
        <v>166</v>
      </c>
      <c r="BJ743" s="29" t="s">
        <v>166</v>
      </c>
      <c r="BK743" s="29" t="s">
        <v>166</v>
      </c>
      <c r="BL743" s="25" t="s">
        <v>191</v>
      </c>
      <c r="BM743" s="25" t="s">
        <v>178</v>
      </c>
      <c r="BN743" s="25" t="s">
        <v>177</v>
      </c>
      <c r="BO743" s="33" t="s">
        <v>166</v>
      </c>
      <c r="BP743" s="25" t="s">
        <v>14222</v>
      </c>
      <c r="BQ743" s="32">
        <v>1</v>
      </c>
      <c r="BR743" s="25" t="s">
        <v>166</v>
      </c>
      <c r="BS743" s="32" t="s">
        <v>166</v>
      </c>
      <c r="BT743" s="25" t="s">
        <v>166</v>
      </c>
      <c r="BU743" s="25" t="s">
        <v>166</v>
      </c>
      <c r="BV743" s="25" t="s">
        <v>166</v>
      </c>
      <c r="BW743" s="25" t="s">
        <v>166</v>
      </c>
      <c r="BX743" s="25" t="s">
        <v>166</v>
      </c>
      <c r="BY743" s="25" t="s">
        <v>166</v>
      </c>
      <c r="BZ743" s="25" t="s">
        <v>166</v>
      </c>
      <c r="CA743" s="25" t="s">
        <v>166</v>
      </c>
      <c r="CB743" s="25" t="s">
        <v>166</v>
      </c>
      <c r="CC743" s="25" t="s">
        <v>166</v>
      </c>
      <c r="CD743" s="25" t="s">
        <v>166</v>
      </c>
      <c r="CE743" s="29" t="s">
        <v>166</v>
      </c>
      <c r="CF743" s="27" t="s">
        <v>166</v>
      </c>
      <c r="CG743" s="28" t="s">
        <v>166</v>
      </c>
      <c r="CH743" s="27" t="s">
        <v>166</v>
      </c>
      <c r="CI743" s="27" t="s">
        <v>166</v>
      </c>
      <c r="CJ743" s="27" t="s">
        <v>166</v>
      </c>
      <c r="CK743" s="27" t="s">
        <v>166</v>
      </c>
      <c r="CL743" s="27" t="s">
        <v>166</v>
      </c>
      <c r="CM743" s="31" t="s">
        <v>166</v>
      </c>
      <c r="CN743" s="27" t="s">
        <v>166</v>
      </c>
      <c r="CO743" s="27" t="s">
        <v>166</v>
      </c>
      <c r="CP743" s="27" t="s">
        <v>166</v>
      </c>
      <c r="CQ743" s="27" t="s">
        <v>166</v>
      </c>
      <c r="CR743" s="27" t="s">
        <v>166</v>
      </c>
      <c r="CS743" s="27" t="s">
        <v>166</v>
      </c>
      <c r="CT743" s="27" t="s">
        <v>166</v>
      </c>
      <c r="CU743" s="27" t="s">
        <v>166</v>
      </c>
      <c r="CV743" s="27" t="s">
        <v>166</v>
      </c>
      <c r="CW743" s="27" t="s">
        <v>166</v>
      </c>
      <c r="CX743" s="27" t="s">
        <v>166</v>
      </c>
      <c r="CY743" s="27" t="s">
        <v>166</v>
      </c>
      <c r="CZ743" s="27" t="s">
        <v>166</v>
      </c>
      <c r="DA743" s="27" t="s">
        <v>166</v>
      </c>
      <c r="DB743" s="27" t="s">
        <v>166</v>
      </c>
      <c r="DC743" s="27" t="s">
        <v>166</v>
      </c>
      <c r="DD743" s="27" t="s">
        <v>166</v>
      </c>
      <c r="DE743" s="28" t="s">
        <v>166</v>
      </c>
      <c r="DF743" s="33">
        <v>11</v>
      </c>
      <c r="DG743" s="25" t="s">
        <v>706</v>
      </c>
      <c r="DH743" s="25" t="s">
        <v>193</v>
      </c>
      <c r="DI743" s="25" t="s">
        <v>194</v>
      </c>
      <c r="DJ743" s="25" t="s">
        <v>707</v>
      </c>
      <c r="DK743" s="25" t="s">
        <v>386</v>
      </c>
      <c r="DL743" s="32" t="s">
        <v>9989</v>
      </c>
      <c r="DM743" s="25" t="s">
        <v>198</v>
      </c>
      <c r="DN743" s="24" t="s">
        <v>14233</v>
      </c>
      <c r="DO743" s="31">
        <v>2015</v>
      </c>
      <c r="DP743" s="25" t="s">
        <v>166</v>
      </c>
      <c r="DQ743" s="25" t="s">
        <v>166</v>
      </c>
      <c r="DR743" s="29" t="s">
        <v>166</v>
      </c>
      <c r="DS743" s="27" t="s">
        <v>166</v>
      </c>
      <c r="DT743" s="30" t="s">
        <v>166</v>
      </c>
      <c r="DU743" s="25" t="s">
        <v>166</v>
      </c>
      <c r="DV743" s="29" t="s">
        <v>166</v>
      </c>
      <c r="DW743" s="29" t="s">
        <v>166</v>
      </c>
      <c r="DX743" s="27" t="s">
        <v>166</v>
      </c>
      <c r="DY743" s="27" t="s">
        <v>166</v>
      </c>
      <c r="DZ743" s="28" t="s">
        <v>166</v>
      </c>
      <c r="EA743" s="27" t="s">
        <v>166</v>
      </c>
      <c r="EB743" s="27" t="s">
        <v>166</v>
      </c>
      <c r="EC743" s="27" t="s">
        <v>166</v>
      </c>
      <c r="ED743" s="28" t="s">
        <v>166</v>
      </c>
      <c r="EE743" s="28" t="s">
        <v>166</v>
      </c>
      <c r="EF743" s="28" t="s">
        <v>166</v>
      </c>
      <c r="EG743" s="28" t="s">
        <v>166</v>
      </c>
      <c r="EH743" s="27" t="s">
        <v>166</v>
      </c>
      <c r="EI743" s="27" t="s">
        <v>166</v>
      </c>
      <c r="EJ743" s="27" t="s">
        <v>166</v>
      </c>
      <c r="EK743" s="27" t="s">
        <v>166</v>
      </c>
      <c r="EL743" s="27" t="s">
        <v>166</v>
      </c>
      <c r="EM743" s="27" t="s">
        <v>166</v>
      </c>
      <c r="EN743" s="27" t="s">
        <v>166</v>
      </c>
      <c r="EO743" s="27" t="s">
        <v>166</v>
      </c>
      <c r="EP743" s="27" t="s">
        <v>166</v>
      </c>
      <c r="EQ743" s="27" t="s">
        <v>166</v>
      </c>
      <c r="ER743" s="27" t="s">
        <v>166</v>
      </c>
      <c r="ES743" s="27" t="s">
        <v>166</v>
      </c>
      <c r="ET743" s="25" t="s">
        <v>166</v>
      </c>
      <c r="EU743" s="27" t="s">
        <v>166</v>
      </c>
      <c r="EV743" s="27" t="s">
        <v>166</v>
      </c>
      <c r="EW743" s="27" t="s">
        <v>166</v>
      </c>
      <c r="EX743" s="25" t="s">
        <v>190</v>
      </c>
      <c r="EY743" s="25" t="s">
        <v>166</v>
      </c>
      <c r="EZ743" s="27" t="s">
        <v>166</v>
      </c>
      <c r="FA743" s="26" t="s">
        <v>166</v>
      </c>
      <c r="FB743" s="26" t="s">
        <v>166</v>
      </c>
      <c r="FC743" s="26" t="s">
        <v>166</v>
      </c>
      <c r="FD743" s="26" t="s">
        <v>166</v>
      </c>
      <c r="FE743" s="26" t="s">
        <v>166</v>
      </c>
      <c r="FF743" s="26" t="s">
        <v>166</v>
      </c>
      <c r="FG743" s="25" t="s">
        <v>166</v>
      </c>
      <c r="FH743" s="4">
        <f>HYPERLINK("https://my.pitchbook.com?c=160941-34T","View Company Online")</f>
      </c>
    </row>
    <row r="744">
      <c r="A744" s="14" t="s">
        <v>14234</v>
      </c>
      <c r="B744" s="14" t="s">
        <v>14235</v>
      </c>
      <c r="C744" s="14" t="s">
        <v>14236</v>
      </c>
      <c r="D744" s="14" t="s">
        <v>166</v>
      </c>
      <c r="E744" s="23" t="s">
        <v>14237</v>
      </c>
      <c r="F744" s="21">
        <v>18</v>
      </c>
      <c r="G744" s="14" t="s">
        <v>14238</v>
      </c>
      <c r="H744" s="14" t="s">
        <v>166</v>
      </c>
      <c r="I744" s="14" t="s">
        <v>14239</v>
      </c>
      <c r="J744" s="14" t="s">
        <v>14240</v>
      </c>
      <c r="K744" s="14" t="s">
        <v>207</v>
      </c>
      <c r="L744" s="14" t="s">
        <v>208</v>
      </c>
      <c r="M744" s="14" t="s">
        <v>965</v>
      </c>
      <c r="N744" s="14" t="s">
        <v>12631</v>
      </c>
      <c r="O744" s="14" t="s">
        <v>14241</v>
      </c>
      <c r="P744" s="14" t="s">
        <v>14242</v>
      </c>
      <c r="Q744" s="14" t="s">
        <v>14243</v>
      </c>
      <c r="R744" s="14" t="s">
        <v>177</v>
      </c>
      <c r="S744" s="14" t="s">
        <v>178</v>
      </c>
      <c r="T744" s="14" t="s">
        <v>179</v>
      </c>
      <c r="U744" s="14" t="s">
        <v>14244</v>
      </c>
      <c r="V744" s="14" t="s">
        <v>14245</v>
      </c>
      <c r="W744" s="21" t="s">
        <v>166</v>
      </c>
      <c r="X744" s="14" t="s">
        <v>14246</v>
      </c>
      <c r="Y744" s="14" t="s">
        <v>14247</v>
      </c>
      <c r="Z744" s="14" t="s">
        <v>14248</v>
      </c>
      <c r="AA744" s="14" t="s">
        <v>166</v>
      </c>
      <c r="AB744" s="14" t="s">
        <v>166</v>
      </c>
      <c r="AC744" s="14" t="s">
        <v>166</v>
      </c>
      <c r="AD744" s="14" t="s">
        <v>166</v>
      </c>
      <c r="AE744" s="14" t="s">
        <v>166</v>
      </c>
      <c r="AF744" s="14" t="s">
        <v>166</v>
      </c>
      <c r="AG744" s="14" t="s">
        <v>166</v>
      </c>
      <c r="AH744" s="21">
        <v>3</v>
      </c>
      <c r="AI744" s="3">
        <f>HYPERLINK("https://my.pitchbook.com/?d=139978-36T","139978-36T")</f>
      </c>
      <c r="AJ744" s="19" t="s">
        <v>166</v>
      </c>
      <c r="AK744" s="19">
        <v>44061</v>
      </c>
      <c r="AL744" s="18">
        <v>2.2</v>
      </c>
      <c r="AM744" s="14" t="s">
        <v>185</v>
      </c>
      <c r="AN744" s="18" t="s">
        <v>166</v>
      </c>
      <c r="AO744" s="18" t="s">
        <v>166</v>
      </c>
      <c r="AP744" s="14" t="s">
        <v>166</v>
      </c>
      <c r="AQ744" s="21" t="s">
        <v>166</v>
      </c>
      <c r="AR744" s="21" t="s">
        <v>166</v>
      </c>
      <c r="AS744" s="17" t="s">
        <v>166</v>
      </c>
      <c r="AT744" s="18">
        <v>2.35</v>
      </c>
      <c r="AU744" s="21" t="s">
        <v>186</v>
      </c>
      <c r="AV744" s="21" t="s">
        <v>166</v>
      </c>
      <c r="AW744" s="18" t="s">
        <v>166</v>
      </c>
      <c r="AX744" s="21" t="s">
        <v>166</v>
      </c>
      <c r="AY744" s="14" t="s">
        <v>217</v>
      </c>
      <c r="AZ744" s="14" t="s">
        <v>217</v>
      </c>
      <c r="BA744" s="14" t="s">
        <v>166</v>
      </c>
      <c r="BB744" s="21" t="s">
        <v>166</v>
      </c>
      <c r="BC744" s="14" t="s">
        <v>179</v>
      </c>
      <c r="BD744" s="14" t="s">
        <v>14249</v>
      </c>
      <c r="BE744" s="14" t="s">
        <v>189</v>
      </c>
      <c r="BF744" s="18">
        <v>2.2</v>
      </c>
      <c r="BG744" s="14" t="s">
        <v>190</v>
      </c>
      <c r="BH744" s="14" t="s">
        <v>166</v>
      </c>
      <c r="BI744" s="14" t="s">
        <v>166</v>
      </c>
      <c r="BJ744" s="18" t="s">
        <v>166</v>
      </c>
      <c r="BK744" s="18" t="s">
        <v>166</v>
      </c>
      <c r="BL744" s="14" t="s">
        <v>191</v>
      </c>
      <c r="BM744" s="14" t="s">
        <v>178</v>
      </c>
      <c r="BN744" s="14" t="s">
        <v>177</v>
      </c>
      <c r="BO744" s="22" t="s">
        <v>166</v>
      </c>
      <c r="BP744" s="14" t="s">
        <v>14250</v>
      </c>
      <c r="BQ744" s="21">
        <v>17</v>
      </c>
      <c r="BR744" s="14" t="s">
        <v>914</v>
      </c>
      <c r="BS744" s="21">
        <v>1</v>
      </c>
      <c r="BT744" s="14" t="s">
        <v>14251</v>
      </c>
      <c r="BU744" s="14" t="s">
        <v>166</v>
      </c>
      <c r="BV744" s="14" t="s">
        <v>14252</v>
      </c>
      <c r="BW744" s="14" t="s">
        <v>166</v>
      </c>
      <c r="BX744" s="14" t="s">
        <v>166</v>
      </c>
      <c r="BY744" s="14" t="s">
        <v>166</v>
      </c>
      <c r="BZ744" s="14" t="s">
        <v>996</v>
      </c>
      <c r="CA744" s="14" t="s">
        <v>996</v>
      </c>
      <c r="CB744" s="14" t="s">
        <v>166</v>
      </c>
      <c r="CC744" s="14" t="s">
        <v>166</v>
      </c>
      <c r="CD744" s="14" t="s">
        <v>166</v>
      </c>
      <c r="CE744" s="18" t="s">
        <v>166</v>
      </c>
      <c r="CF744" s="16" t="s">
        <v>166</v>
      </c>
      <c r="CG744" s="17" t="s">
        <v>166</v>
      </c>
      <c r="CH744" s="16" t="s">
        <v>166</v>
      </c>
      <c r="CI744" s="16" t="s">
        <v>166</v>
      </c>
      <c r="CJ744" s="16" t="s">
        <v>166</v>
      </c>
      <c r="CK744" s="16" t="s">
        <v>166</v>
      </c>
      <c r="CL744" s="16" t="s">
        <v>166</v>
      </c>
      <c r="CM744" s="20" t="s">
        <v>166</v>
      </c>
      <c r="CN744" s="16" t="s">
        <v>166</v>
      </c>
      <c r="CO744" s="16" t="s">
        <v>166</v>
      </c>
      <c r="CP744" s="16" t="s">
        <v>166</v>
      </c>
      <c r="CQ744" s="16" t="s">
        <v>166</v>
      </c>
      <c r="CR744" s="16" t="s">
        <v>166</v>
      </c>
      <c r="CS744" s="16" t="s">
        <v>166</v>
      </c>
      <c r="CT744" s="16" t="s">
        <v>166</v>
      </c>
      <c r="CU744" s="16" t="s">
        <v>166</v>
      </c>
      <c r="CV744" s="16" t="s">
        <v>166</v>
      </c>
      <c r="CW744" s="16" t="s">
        <v>166</v>
      </c>
      <c r="CX744" s="16" t="s">
        <v>166</v>
      </c>
      <c r="CY744" s="16" t="s">
        <v>166</v>
      </c>
      <c r="CZ744" s="16" t="s">
        <v>166</v>
      </c>
      <c r="DA744" s="16" t="s">
        <v>166</v>
      </c>
      <c r="DB744" s="16" t="s">
        <v>166</v>
      </c>
      <c r="DC744" s="16" t="s">
        <v>166</v>
      </c>
      <c r="DD744" s="16" t="s">
        <v>166</v>
      </c>
      <c r="DE744" s="17" t="s">
        <v>166</v>
      </c>
      <c r="DF744" s="22">
        <v>12</v>
      </c>
      <c r="DG744" s="14" t="s">
        <v>3157</v>
      </c>
      <c r="DH744" s="14" t="s">
        <v>193</v>
      </c>
      <c r="DI744" s="14" t="s">
        <v>194</v>
      </c>
      <c r="DJ744" s="14" t="s">
        <v>3158</v>
      </c>
      <c r="DK744" s="14" t="s">
        <v>257</v>
      </c>
      <c r="DL744" s="21" t="s">
        <v>6483</v>
      </c>
      <c r="DM744" s="14" t="s">
        <v>198</v>
      </c>
      <c r="DN744" s="13" t="s">
        <v>14253</v>
      </c>
      <c r="DO744" s="20">
        <v>2019</v>
      </c>
      <c r="DP744" s="14" t="s">
        <v>166</v>
      </c>
      <c r="DQ744" s="14" t="s">
        <v>166</v>
      </c>
      <c r="DR744" s="18" t="s">
        <v>166</v>
      </c>
      <c r="DS744" s="16" t="s">
        <v>166</v>
      </c>
      <c r="DT744" s="19" t="s">
        <v>166</v>
      </c>
      <c r="DU744" s="14" t="s">
        <v>166</v>
      </c>
      <c r="DV744" s="18" t="s">
        <v>166</v>
      </c>
      <c r="DW744" s="18" t="s">
        <v>166</v>
      </c>
      <c r="DX744" s="16" t="s">
        <v>166</v>
      </c>
      <c r="DY744" s="16" t="s">
        <v>166</v>
      </c>
      <c r="DZ744" s="17" t="s">
        <v>166</v>
      </c>
      <c r="EA744" s="16" t="s">
        <v>166</v>
      </c>
      <c r="EB744" s="16" t="s">
        <v>166</v>
      </c>
      <c r="EC744" s="16" t="s">
        <v>166</v>
      </c>
      <c r="ED744" s="17" t="s">
        <v>166</v>
      </c>
      <c r="EE744" s="17" t="s">
        <v>166</v>
      </c>
      <c r="EF744" s="17" t="s">
        <v>166</v>
      </c>
      <c r="EG744" s="17" t="s">
        <v>166</v>
      </c>
      <c r="EH744" s="16" t="s">
        <v>166</v>
      </c>
      <c r="EI744" s="16" t="s">
        <v>166</v>
      </c>
      <c r="EJ744" s="16" t="s">
        <v>166</v>
      </c>
      <c r="EK744" s="16" t="s">
        <v>166</v>
      </c>
      <c r="EL744" s="16" t="s">
        <v>166</v>
      </c>
      <c r="EM744" s="16" t="s">
        <v>166</v>
      </c>
      <c r="EN744" s="16" t="s">
        <v>166</v>
      </c>
      <c r="EO744" s="16" t="s">
        <v>166</v>
      </c>
      <c r="EP744" s="16" t="s">
        <v>166</v>
      </c>
      <c r="EQ744" s="16" t="s">
        <v>166</v>
      </c>
      <c r="ER744" s="16" t="s">
        <v>166</v>
      </c>
      <c r="ES744" s="16" t="s">
        <v>166</v>
      </c>
      <c r="ET744" s="14" t="s">
        <v>166</v>
      </c>
      <c r="EU744" s="16" t="s">
        <v>166</v>
      </c>
      <c r="EV744" s="16" t="s">
        <v>166</v>
      </c>
      <c r="EW744" s="16" t="s">
        <v>166</v>
      </c>
      <c r="EX744" s="14" t="s">
        <v>190</v>
      </c>
      <c r="EY744" s="14" t="s">
        <v>166</v>
      </c>
      <c r="EZ744" s="16" t="s">
        <v>166</v>
      </c>
      <c r="FA744" s="15" t="s">
        <v>166</v>
      </c>
      <c r="FB744" s="15" t="s">
        <v>166</v>
      </c>
      <c r="FC744" s="15" t="s">
        <v>166</v>
      </c>
      <c r="FD744" s="15" t="s">
        <v>166</v>
      </c>
      <c r="FE744" s="15" t="s">
        <v>166</v>
      </c>
      <c r="FF744" s="15" t="s">
        <v>166</v>
      </c>
      <c r="FG744" s="14" t="s">
        <v>166</v>
      </c>
      <c r="FH744" s="3">
        <f>HYPERLINK("https://my.pitchbook.com?c=139978-36T","View Company Online")</f>
      </c>
    </row>
    <row r="745">
      <c r="A745" s="25" t="s">
        <v>14254</v>
      </c>
      <c r="B745" s="25" t="s">
        <v>14255</v>
      </c>
      <c r="C745" s="25" t="s">
        <v>14256</v>
      </c>
      <c r="D745" s="25" t="s">
        <v>166</v>
      </c>
      <c r="E745" s="34" t="s">
        <v>14257</v>
      </c>
      <c r="F745" s="32">
        <v>2</v>
      </c>
      <c r="G745" s="25" t="s">
        <v>14258</v>
      </c>
      <c r="H745" s="25" t="s">
        <v>166</v>
      </c>
      <c r="I745" s="25" t="s">
        <v>14259</v>
      </c>
      <c r="J745" s="25" t="s">
        <v>14260</v>
      </c>
      <c r="K745" s="25" t="s">
        <v>1455</v>
      </c>
      <c r="L745" s="25" t="s">
        <v>1456</v>
      </c>
      <c r="M745" s="25" t="s">
        <v>1457</v>
      </c>
      <c r="N745" s="25" t="s">
        <v>14261</v>
      </c>
      <c r="O745" s="25" t="s">
        <v>14262</v>
      </c>
      <c r="P745" s="25" t="s">
        <v>14263</v>
      </c>
      <c r="Q745" s="25" t="s">
        <v>166</v>
      </c>
      <c r="R745" s="25" t="s">
        <v>177</v>
      </c>
      <c r="S745" s="25" t="s">
        <v>178</v>
      </c>
      <c r="T745" s="25" t="s">
        <v>179</v>
      </c>
      <c r="U745" s="25" t="s">
        <v>14264</v>
      </c>
      <c r="V745" s="25" t="s">
        <v>14265</v>
      </c>
      <c r="W745" s="32" t="s">
        <v>14266</v>
      </c>
      <c r="X745" s="25" t="s">
        <v>14267</v>
      </c>
      <c r="Y745" s="25" t="s">
        <v>14268</v>
      </c>
      <c r="Z745" s="25" t="s">
        <v>14269</v>
      </c>
      <c r="AA745" s="25" t="s">
        <v>166</v>
      </c>
      <c r="AB745" s="25" t="s">
        <v>166</v>
      </c>
      <c r="AC745" s="25" t="s">
        <v>166</v>
      </c>
      <c r="AD745" s="25" t="s">
        <v>166</v>
      </c>
      <c r="AE745" s="25" t="s">
        <v>166</v>
      </c>
      <c r="AF745" s="25" t="s">
        <v>166</v>
      </c>
      <c r="AG745" s="25" t="s">
        <v>166</v>
      </c>
      <c r="AH745" s="32">
        <v>2</v>
      </c>
      <c r="AI745" s="4">
        <f>HYPERLINK("https://my.pitchbook.com/?d=193553-83T","193553-83T")</f>
      </c>
      <c r="AJ745" s="30" t="s">
        <v>166</v>
      </c>
      <c r="AK745" s="30">
        <v>43930</v>
      </c>
      <c r="AL745" s="29">
        <v>2</v>
      </c>
      <c r="AM745" s="25" t="s">
        <v>185</v>
      </c>
      <c r="AN745" s="29" t="s">
        <v>166</v>
      </c>
      <c r="AO745" s="29" t="s">
        <v>166</v>
      </c>
      <c r="AP745" s="25" t="s">
        <v>166</v>
      </c>
      <c r="AQ745" s="32" t="s">
        <v>166</v>
      </c>
      <c r="AR745" s="32" t="s">
        <v>166</v>
      </c>
      <c r="AS745" s="28" t="s">
        <v>166</v>
      </c>
      <c r="AT745" s="29">
        <v>2.01</v>
      </c>
      <c r="AU745" s="32" t="s">
        <v>186</v>
      </c>
      <c r="AV745" s="32" t="s">
        <v>166</v>
      </c>
      <c r="AW745" s="29" t="s">
        <v>166</v>
      </c>
      <c r="AX745" s="32" t="s">
        <v>166</v>
      </c>
      <c r="AY745" s="25" t="s">
        <v>217</v>
      </c>
      <c r="AZ745" s="25" t="s">
        <v>217</v>
      </c>
      <c r="BA745" s="25" t="s">
        <v>166</v>
      </c>
      <c r="BB745" s="32" t="s">
        <v>166</v>
      </c>
      <c r="BC745" s="25" t="s">
        <v>179</v>
      </c>
      <c r="BD745" s="25" t="s">
        <v>14270</v>
      </c>
      <c r="BE745" s="25" t="s">
        <v>189</v>
      </c>
      <c r="BF745" s="29">
        <v>2</v>
      </c>
      <c r="BG745" s="25" t="s">
        <v>190</v>
      </c>
      <c r="BH745" s="25" t="s">
        <v>166</v>
      </c>
      <c r="BI745" s="25" t="s">
        <v>166</v>
      </c>
      <c r="BJ745" s="29" t="s">
        <v>166</v>
      </c>
      <c r="BK745" s="29" t="s">
        <v>166</v>
      </c>
      <c r="BL745" s="25" t="s">
        <v>191</v>
      </c>
      <c r="BM745" s="25" t="s">
        <v>178</v>
      </c>
      <c r="BN745" s="25" t="s">
        <v>177</v>
      </c>
      <c r="BO745" s="33" t="s">
        <v>166</v>
      </c>
      <c r="BP745" s="25" t="s">
        <v>14257</v>
      </c>
      <c r="BQ745" s="32">
        <v>2</v>
      </c>
      <c r="BR745" s="25" t="s">
        <v>166</v>
      </c>
      <c r="BS745" s="32" t="s">
        <v>166</v>
      </c>
      <c r="BT745" s="25" t="s">
        <v>166</v>
      </c>
      <c r="BU745" s="25" t="s">
        <v>166</v>
      </c>
      <c r="BV745" s="25" t="s">
        <v>14271</v>
      </c>
      <c r="BW745" s="25" t="s">
        <v>166</v>
      </c>
      <c r="BX745" s="25" t="s">
        <v>166</v>
      </c>
      <c r="BY745" s="25" t="s">
        <v>166</v>
      </c>
      <c r="BZ745" s="25" t="s">
        <v>166</v>
      </c>
      <c r="CA745" s="25" t="s">
        <v>166</v>
      </c>
      <c r="CB745" s="25" t="s">
        <v>166</v>
      </c>
      <c r="CC745" s="25" t="s">
        <v>166</v>
      </c>
      <c r="CD745" s="25" t="s">
        <v>166</v>
      </c>
      <c r="CE745" s="29" t="s">
        <v>166</v>
      </c>
      <c r="CF745" s="27" t="s">
        <v>166</v>
      </c>
      <c r="CG745" s="28" t="s">
        <v>166</v>
      </c>
      <c r="CH745" s="27" t="s">
        <v>166</v>
      </c>
      <c r="CI745" s="27" t="s">
        <v>166</v>
      </c>
      <c r="CJ745" s="27" t="s">
        <v>166</v>
      </c>
      <c r="CK745" s="27" t="s">
        <v>166</v>
      </c>
      <c r="CL745" s="27" t="s">
        <v>166</v>
      </c>
      <c r="CM745" s="31" t="s">
        <v>166</v>
      </c>
      <c r="CN745" s="27" t="s">
        <v>166</v>
      </c>
      <c r="CO745" s="27" t="s">
        <v>166</v>
      </c>
      <c r="CP745" s="27" t="s">
        <v>166</v>
      </c>
      <c r="CQ745" s="27" t="s">
        <v>166</v>
      </c>
      <c r="CR745" s="27" t="s">
        <v>166</v>
      </c>
      <c r="CS745" s="27" t="s">
        <v>166</v>
      </c>
      <c r="CT745" s="27" t="s">
        <v>166</v>
      </c>
      <c r="CU745" s="27" t="s">
        <v>166</v>
      </c>
      <c r="CV745" s="27" t="s">
        <v>166</v>
      </c>
      <c r="CW745" s="27" t="s">
        <v>166</v>
      </c>
      <c r="CX745" s="27" t="s">
        <v>166</v>
      </c>
      <c r="CY745" s="27" t="s">
        <v>166</v>
      </c>
      <c r="CZ745" s="27" t="s">
        <v>166</v>
      </c>
      <c r="DA745" s="27" t="s">
        <v>166</v>
      </c>
      <c r="DB745" s="27" t="s">
        <v>166</v>
      </c>
      <c r="DC745" s="27" t="s">
        <v>166</v>
      </c>
      <c r="DD745" s="27" t="s">
        <v>166</v>
      </c>
      <c r="DE745" s="28" t="s">
        <v>166</v>
      </c>
      <c r="DF745" s="33">
        <v>6</v>
      </c>
      <c r="DG745" s="25" t="s">
        <v>14272</v>
      </c>
      <c r="DH745" s="25" t="s">
        <v>193</v>
      </c>
      <c r="DI745" s="25" t="s">
        <v>194</v>
      </c>
      <c r="DJ745" s="25" t="s">
        <v>14273</v>
      </c>
      <c r="DK745" s="25" t="s">
        <v>386</v>
      </c>
      <c r="DL745" s="32" t="s">
        <v>14274</v>
      </c>
      <c r="DM745" s="25" t="s">
        <v>198</v>
      </c>
      <c r="DN745" s="24" t="s">
        <v>14275</v>
      </c>
      <c r="DO745" s="31">
        <v>2017</v>
      </c>
      <c r="DP745" s="25" t="s">
        <v>166</v>
      </c>
      <c r="DQ745" s="25" t="s">
        <v>166</v>
      </c>
      <c r="DR745" s="29" t="s">
        <v>166</v>
      </c>
      <c r="DS745" s="27" t="s">
        <v>166</v>
      </c>
      <c r="DT745" s="30" t="s">
        <v>166</v>
      </c>
      <c r="DU745" s="25" t="s">
        <v>166</v>
      </c>
      <c r="DV745" s="29" t="s">
        <v>166</v>
      </c>
      <c r="DW745" s="29" t="s">
        <v>166</v>
      </c>
      <c r="DX745" s="27" t="s">
        <v>166</v>
      </c>
      <c r="DY745" s="27" t="s">
        <v>166</v>
      </c>
      <c r="DZ745" s="28" t="s">
        <v>166</v>
      </c>
      <c r="EA745" s="27" t="s">
        <v>166</v>
      </c>
      <c r="EB745" s="27" t="s">
        <v>166</v>
      </c>
      <c r="EC745" s="27" t="s">
        <v>166</v>
      </c>
      <c r="ED745" s="28" t="s">
        <v>166</v>
      </c>
      <c r="EE745" s="28" t="s">
        <v>166</v>
      </c>
      <c r="EF745" s="28" t="s">
        <v>166</v>
      </c>
      <c r="EG745" s="28" t="s">
        <v>166</v>
      </c>
      <c r="EH745" s="27" t="s">
        <v>166</v>
      </c>
      <c r="EI745" s="27" t="s">
        <v>166</v>
      </c>
      <c r="EJ745" s="27" t="s">
        <v>166</v>
      </c>
      <c r="EK745" s="27" t="s">
        <v>166</v>
      </c>
      <c r="EL745" s="27" t="s">
        <v>166</v>
      </c>
      <c r="EM745" s="27" t="s">
        <v>166</v>
      </c>
      <c r="EN745" s="27" t="s">
        <v>166</v>
      </c>
      <c r="EO745" s="27" t="s">
        <v>166</v>
      </c>
      <c r="EP745" s="27" t="s">
        <v>166</v>
      </c>
      <c r="EQ745" s="27" t="s">
        <v>166</v>
      </c>
      <c r="ER745" s="27" t="s">
        <v>166</v>
      </c>
      <c r="ES745" s="27" t="s">
        <v>166</v>
      </c>
      <c r="ET745" s="25" t="s">
        <v>166</v>
      </c>
      <c r="EU745" s="27" t="s">
        <v>166</v>
      </c>
      <c r="EV745" s="27" t="s">
        <v>166</v>
      </c>
      <c r="EW745" s="27" t="s">
        <v>166</v>
      </c>
      <c r="EX745" s="25" t="s">
        <v>190</v>
      </c>
      <c r="EY745" s="25" t="s">
        <v>166</v>
      </c>
      <c r="EZ745" s="27" t="s">
        <v>166</v>
      </c>
      <c r="FA745" s="26" t="s">
        <v>166</v>
      </c>
      <c r="FB745" s="26" t="s">
        <v>166</v>
      </c>
      <c r="FC745" s="26" t="s">
        <v>166</v>
      </c>
      <c r="FD745" s="26" t="s">
        <v>166</v>
      </c>
      <c r="FE745" s="26" t="s">
        <v>166</v>
      </c>
      <c r="FF745" s="26" t="s">
        <v>166</v>
      </c>
      <c r="FG745" s="25" t="s">
        <v>166</v>
      </c>
      <c r="FH745" s="4">
        <f>HYPERLINK("https://my.pitchbook.com?c=193553-83T","View Company Online")</f>
      </c>
    </row>
    <row r="746">
      <c r="A746" s="14" t="s">
        <v>14276</v>
      </c>
      <c r="B746" s="14" t="s">
        <v>14277</v>
      </c>
      <c r="C746" s="14" t="s">
        <v>14278</v>
      </c>
      <c r="D746" s="14" t="s">
        <v>166</v>
      </c>
      <c r="E746" s="23" t="s">
        <v>14279</v>
      </c>
      <c r="F746" s="21">
        <v>12</v>
      </c>
      <c r="G746" s="14" t="s">
        <v>14280</v>
      </c>
      <c r="H746" s="14" t="s">
        <v>166</v>
      </c>
      <c r="I746" s="14" t="s">
        <v>14281</v>
      </c>
      <c r="J746" s="14" t="s">
        <v>14282</v>
      </c>
      <c r="K746" s="14" t="s">
        <v>207</v>
      </c>
      <c r="L746" s="14" t="s">
        <v>208</v>
      </c>
      <c r="M746" s="14" t="s">
        <v>882</v>
      </c>
      <c r="N746" s="14" t="s">
        <v>883</v>
      </c>
      <c r="O746" s="14" t="s">
        <v>8841</v>
      </c>
      <c r="P746" s="14" t="s">
        <v>14283</v>
      </c>
      <c r="Q746" s="14" t="s">
        <v>166</v>
      </c>
      <c r="R746" s="14" t="s">
        <v>177</v>
      </c>
      <c r="S746" s="14" t="s">
        <v>178</v>
      </c>
      <c r="T746" s="14" t="s">
        <v>179</v>
      </c>
      <c r="U746" s="14" t="s">
        <v>14284</v>
      </c>
      <c r="V746" s="14" t="s">
        <v>14285</v>
      </c>
      <c r="W746" s="21" t="s">
        <v>166</v>
      </c>
      <c r="X746" s="14" t="s">
        <v>14286</v>
      </c>
      <c r="Y746" s="14" t="s">
        <v>14287</v>
      </c>
      <c r="Z746" s="14" t="s">
        <v>166</v>
      </c>
      <c r="AA746" s="14" t="s">
        <v>166</v>
      </c>
      <c r="AB746" s="14" t="s">
        <v>166</v>
      </c>
      <c r="AC746" s="14" t="s">
        <v>166</v>
      </c>
      <c r="AD746" s="14" t="s">
        <v>166</v>
      </c>
      <c r="AE746" s="14" t="s">
        <v>166</v>
      </c>
      <c r="AF746" s="14" t="s">
        <v>166</v>
      </c>
      <c r="AG746" s="14" t="s">
        <v>166</v>
      </c>
      <c r="AH746" s="21">
        <v>1</v>
      </c>
      <c r="AI746" s="3">
        <f>HYPERLINK("https://my.pitchbook.com/?d=209886-85T","209886-85T")</f>
      </c>
      <c r="AJ746" s="19" t="s">
        <v>166</v>
      </c>
      <c r="AK746" s="19">
        <v>44900</v>
      </c>
      <c r="AL746" s="18">
        <v>3</v>
      </c>
      <c r="AM746" s="14" t="s">
        <v>185</v>
      </c>
      <c r="AN746" s="18" t="s">
        <v>166</v>
      </c>
      <c r="AO746" s="18" t="s">
        <v>166</v>
      </c>
      <c r="AP746" s="14" t="s">
        <v>166</v>
      </c>
      <c r="AQ746" s="21" t="s">
        <v>166</v>
      </c>
      <c r="AR746" s="21" t="s">
        <v>166</v>
      </c>
      <c r="AS746" s="17" t="s">
        <v>166</v>
      </c>
      <c r="AT746" s="18">
        <v>3</v>
      </c>
      <c r="AU746" s="21" t="s">
        <v>186</v>
      </c>
      <c r="AV746" s="21" t="s">
        <v>166</v>
      </c>
      <c r="AW746" s="18" t="s">
        <v>166</v>
      </c>
      <c r="AX746" s="21" t="s">
        <v>166</v>
      </c>
      <c r="AY746" s="14" t="s">
        <v>217</v>
      </c>
      <c r="AZ746" s="14" t="s">
        <v>217</v>
      </c>
      <c r="BA746" s="14" t="s">
        <v>166</v>
      </c>
      <c r="BB746" s="21" t="s">
        <v>166</v>
      </c>
      <c r="BC746" s="14" t="s">
        <v>179</v>
      </c>
      <c r="BD746" s="14" t="s">
        <v>14288</v>
      </c>
      <c r="BE746" s="14" t="s">
        <v>189</v>
      </c>
      <c r="BF746" s="18">
        <v>3</v>
      </c>
      <c r="BG746" s="14" t="s">
        <v>190</v>
      </c>
      <c r="BH746" s="14" t="s">
        <v>166</v>
      </c>
      <c r="BI746" s="14" t="s">
        <v>166</v>
      </c>
      <c r="BJ746" s="18" t="s">
        <v>166</v>
      </c>
      <c r="BK746" s="18" t="s">
        <v>166</v>
      </c>
      <c r="BL746" s="14" t="s">
        <v>191</v>
      </c>
      <c r="BM746" s="14" t="s">
        <v>178</v>
      </c>
      <c r="BN746" s="14" t="s">
        <v>177</v>
      </c>
      <c r="BO746" s="22" t="s">
        <v>166</v>
      </c>
      <c r="BP746" s="14" t="s">
        <v>14289</v>
      </c>
      <c r="BQ746" s="21">
        <v>12</v>
      </c>
      <c r="BR746" s="14" t="s">
        <v>166</v>
      </c>
      <c r="BS746" s="21" t="s">
        <v>166</v>
      </c>
      <c r="BT746" s="14" t="s">
        <v>14290</v>
      </c>
      <c r="BU746" s="14" t="s">
        <v>166</v>
      </c>
      <c r="BV746" s="14" t="s">
        <v>166</v>
      </c>
      <c r="BW746" s="14" t="s">
        <v>166</v>
      </c>
      <c r="BX746" s="14" t="s">
        <v>166</v>
      </c>
      <c r="BY746" s="14" t="s">
        <v>166</v>
      </c>
      <c r="BZ746" s="14" t="s">
        <v>166</v>
      </c>
      <c r="CA746" s="14" t="s">
        <v>166</v>
      </c>
      <c r="CB746" s="14" t="s">
        <v>166</v>
      </c>
      <c r="CC746" s="14" t="s">
        <v>166</v>
      </c>
      <c r="CD746" s="14" t="s">
        <v>166</v>
      </c>
      <c r="CE746" s="18" t="s">
        <v>166</v>
      </c>
      <c r="CF746" s="16" t="s">
        <v>166</v>
      </c>
      <c r="CG746" s="17" t="s">
        <v>166</v>
      </c>
      <c r="CH746" s="16" t="s">
        <v>166</v>
      </c>
      <c r="CI746" s="16" t="s">
        <v>166</v>
      </c>
      <c r="CJ746" s="16" t="s">
        <v>166</v>
      </c>
      <c r="CK746" s="16" t="s">
        <v>166</v>
      </c>
      <c r="CL746" s="16" t="s">
        <v>166</v>
      </c>
      <c r="CM746" s="20" t="s">
        <v>166</v>
      </c>
      <c r="CN746" s="16" t="s">
        <v>166</v>
      </c>
      <c r="CO746" s="16" t="s">
        <v>166</v>
      </c>
      <c r="CP746" s="16" t="s">
        <v>166</v>
      </c>
      <c r="CQ746" s="16" t="s">
        <v>166</v>
      </c>
      <c r="CR746" s="16" t="s">
        <v>166</v>
      </c>
      <c r="CS746" s="16" t="s">
        <v>166</v>
      </c>
      <c r="CT746" s="16" t="s">
        <v>166</v>
      </c>
      <c r="CU746" s="16" t="s">
        <v>166</v>
      </c>
      <c r="CV746" s="16" t="s">
        <v>166</v>
      </c>
      <c r="CW746" s="16" t="s">
        <v>166</v>
      </c>
      <c r="CX746" s="16" t="s">
        <v>166</v>
      </c>
      <c r="CY746" s="16" t="s">
        <v>166</v>
      </c>
      <c r="CZ746" s="16" t="s">
        <v>166</v>
      </c>
      <c r="DA746" s="16" t="s">
        <v>166</v>
      </c>
      <c r="DB746" s="16" t="s">
        <v>166</v>
      </c>
      <c r="DC746" s="16" t="s">
        <v>166</v>
      </c>
      <c r="DD746" s="16" t="s">
        <v>166</v>
      </c>
      <c r="DE746" s="17" t="s">
        <v>166</v>
      </c>
      <c r="DF746" s="22">
        <v>15</v>
      </c>
      <c r="DG746" s="14" t="s">
        <v>3174</v>
      </c>
      <c r="DH746" s="14" t="s">
        <v>193</v>
      </c>
      <c r="DI746" s="14" t="s">
        <v>194</v>
      </c>
      <c r="DJ746" s="14" t="s">
        <v>3175</v>
      </c>
      <c r="DK746" s="14" t="s">
        <v>1063</v>
      </c>
      <c r="DL746" s="21" t="s">
        <v>6391</v>
      </c>
      <c r="DM746" s="14" t="s">
        <v>198</v>
      </c>
      <c r="DN746" s="13" t="s">
        <v>14291</v>
      </c>
      <c r="DO746" s="20">
        <v>2021</v>
      </c>
      <c r="DP746" s="14" t="s">
        <v>166</v>
      </c>
      <c r="DQ746" s="14" t="s">
        <v>166</v>
      </c>
      <c r="DR746" s="18" t="s">
        <v>166</v>
      </c>
      <c r="DS746" s="16" t="s">
        <v>166</v>
      </c>
      <c r="DT746" s="19" t="s">
        <v>166</v>
      </c>
      <c r="DU746" s="14" t="s">
        <v>166</v>
      </c>
      <c r="DV746" s="18" t="s">
        <v>166</v>
      </c>
      <c r="DW746" s="18" t="s">
        <v>166</v>
      </c>
      <c r="DX746" s="16" t="s">
        <v>166</v>
      </c>
      <c r="DY746" s="16" t="s">
        <v>166</v>
      </c>
      <c r="DZ746" s="17" t="s">
        <v>166</v>
      </c>
      <c r="EA746" s="16" t="s">
        <v>166</v>
      </c>
      <c r="EB746" s="16" t="s">
        <v>166</v>
      </c>
      <c r="EC746" s="16" t="s">
        <v>166</v>
      </c>
      <c r="ED746" s="17" t="s">
        <v>166</v>
      </c>
      <c r="EE746" s="17" t="s">
        <v>166</v>
      </c>
      <c r="EF746" s="17" t="s">
        <v>166</v>
      </c>
      <c r="EG746" s="17" t="s">
        <v>166</v>
      </c>
      <c r="EH746" s="16" t="s">
        <v>166</v>
      </c>
      <c r="EI746" s="16" t="s">
        <v>166</v>
      </c>
      <c r="EJ746" s="16" t="s">
        <v>166</v>
      </c>
      <c r="EK746" s="16" t="s">
        <v>166</v>
      </c>
      <c r="EL746" s="16" t="s">
        <v>166</v>
      </c>
      <c r="EM746" s="16" t="s">
        <v>166</v>
      </c>
      <c r="EN746" s="16" t="s">
        <v>166</v>
      </c>
      <c r="EO746" s="16" t="s">
        <v>166</v>
      </c>
      <c r="EP746" s="16" t="s">
        <v>166</v>
      </c>
      <c r="EQ746" s="16" t="s">
        <v>166</v>
      </c>
      <c r="ER746" s="16" t="s">
        <v>166</v>
      </c>
      <c r="ES746" s="16" t="s">
        <v>166</v>
      </c>
      <c r="ET746" s="14" t="s">
        <v>166</v>
      </c>
      <c r="EU746" s="16" t="s">
        <v>166</v>
      </c>
      <c r="EV746" s="16" t="s">
        <v>166</v>
      </c>
      <c r="EW746" s="16" t="s">
        <v>166</v>
      </c>
      <c r="EX746" s="14" t="s">
        <v>190</v>
      </c>
      <c r="EY746" s="14" t="s">
        <v>166</v>
      </c>
      <c r="EZ746" s="16" t="s">
        <v>166</v>
      </c>
      <c r="FA746" s="15" t="s">
        <v>166</v>
      </c>
      <c r="FB746" s="15" t="s">
        <v>166</v>
      </c>
      <c r="FC746" s="15" t="s">
        <v>166</v>
      </c>
      <c r="FD746" s="15" t="s">
        <v>166</v>
      </c>
      <c r="FE746" s="15" t="s">
        <v>166</v>
      </c>
      <c r="FF746" s="15" t="s">
        <v>166</v>
      </c>
      <c r="FG746" s="14" t="s">
        <v>166</v>
      </c>
      <c r="FH746" s="3">
        <f>HYPERLINK("https://my.pitchbook.com?c=209886-85T","View Company Online")</f>
      </c>
    </row>
    <row r="747">
      <c r="A747" s="25" t="s">
        <v>14292</v>
      </c>
      <c r="B747" s="25" t="s">
        <v>14293</v>
      </c>
      <c r="C747" s="25" t="s">
        <v>14294</v>
      </c>
      <c r="D747" s="25" t="s">
        <v>166</v>
      </c>
      <c r="E747" s="34" t="s">
        <v>14295</v>
      </c>
      <c r="F747" s="32">
        <v>5</v>
      </c>
      <c r="G747" s="25" t="s">
        <v>14296</v>
      </c>
      <c r="H747" s="25" t="s">
        <v>166</v>
      </c>
      <c r="I747" s="25" t="s">
        <v>14297</v>
      </c>
      <c r="J747" s="25" t="s">
        <v>14298</v>
      </c>
      <c r="K747" s="25" t="s">
        <v>207</v>
      </c>
      <c r="L747" s="25" t="s">
        <v>208</v>
      </c>
      <c r="M747" s="25" t="s">
        <v>209</v>
      </c>
      <c r="N747" s="25" t="s">
        <v>269</v>
      </c>
      <c r="O747" s="25" t="s">
        <v>665</v>
      </c>
      <c r="P747" s="25" t="s">
        <v>14299</v>
      </c>
      <c r="Q747" s="25" t="s">
        <v>166</v>
      </c>
      <c r="R747" s="25" t="s">
        <v>177</v>
      </c>
      <c r="S747" s="25" t="s">
        <v>358</v>
      </c>
      <c r="T747" s="25" t="s">
        <v>179</v>
      </c>
      <c r="U747" s="25" t="s">
        <v>14300</v>
      </c>
      <c r="V747" s="25" t="s">
        <v>14301</v>
      </c>
      <c r="W747" s="32" t="s">
        <v>166</v>
      </c>
      <c r="X747" s="25" t="s">
        <v>166</v>
      </c>
      <c r="Y747" s="25" t="s">
        <v>14302</v>
      </c>
      <c r="Z747" s="25" t="s">
        <v>14303</v>
      </c>
      <c r="AA747" s="25" t="s">
        <v>166</v>
      </c>
      <c r="AB747" s="25" t="s">
        <v>166</v>
      </c>
      <c r="AC747" s="25" t="s">
        <v>166</v>
      </c>
      <c r="AD747" s="25" t="s">
        <v>166</v>
      </c>
      <c r="AE747" s="25" t="s">
        <v>166</v>
      </c>
      <c r="AF747" s="25" t="s">
        <v>166</v>
      </c>
      <c r="AG747" s="25" t="s">
        <v>166</v>
      </c>
      <c r="AH747" s="32">
        <v>2</v>
      </c>
      <c r="AI747" s="4">
        <f>HYPERLINK("https://my.pitchbook.com/?d=226622-44T","226622-44T")</f>
      </c>
      <c r="AJ747" s="30" t="s">
        <v>166</v>
      </c>
      <c r="AK747" s="30">
        <v>45099</v>
      </c>
      <c r="AL747" s="29">
        <v>1.5</v>
      </c>
      <c r="AM747" s="25" t="s">
        <v>185</v>
      </c>
      <c r="AN747" s="29" t="s">
        <v>166</v>
      </c>
      <c r="AO747" s="29" t="s">
        <v>166</v>
      </c>
      <c r="AP747" s="25" t="s">
        <v>166</v>
      </c>
      <c r="AQ747" s="32" t="s">
        <v>166</v>
      </c>
      <c r="AR747" s="32" t="s">
        <v>166</v>
      </c>
      <c r="AS747" s="28" t="s">
        <v>166</v>
      </c>
      <c r="AT747" s="29">
        <v>2</v>
      </c>
      <c r="AU747" s="32" t="s">
        <v>186</v>
      </c>
      <c r="AV747" s="32" t="s">
        <v>166</v>
      </c>
      <c r="AW747" s="29" t="s">
        <v>166</v>
      </c>
      <c r="AX747" s="32" t="s">
        <v>166</v>
      </c>
      <c r="AY747" s="25" t="s">
        <v>217</v>
      </c>
      <c r="AZ747" s="25" t="s">
        <v>217</v>
      </c>
      <c r="BA747" s="25" t="s">
        <v>166</v>
      </c>
      <c r="BB747" s="32" t="s">
        <v>166</v>
      </c>
      <c r="BC747" s="25" t="s">
        <v>179</v>
      </c>
      <c r="BD747" s="25" t="s">
        <v>14298</v>
      </c>
      <c r="BE747" s="25" t="s">
        <v>189</v>
      </c>
      <c r="BF747" s="29">
        <v>1.5</v>
      </c>
      <c r="BG747" s="25" t="s">
        <v>190</v>
      </c>
      <c r="BH747" s="25" t="s">
        <v>166</v>
      </c>
      <c r="BI747" s="25" t="s">
        <v>166</v>
      </c>
      <c r="BJ747" s="29" t="s">
        <v>166</v>
      </c>
      <c r="BK747" s="29" t="s">
        <v>166</v>
      </c>
      <c r="BL747" s="25" t="s">
        <v>191</v>
      </c>
      <c r="BM747" s="25" t="s">
        <v>358</v>
      </c>
      <c r="BN747" s="25" t="s">
        <v>177</v>
      </c>
      <c r="BO747" s="33" t="s">
        <v>166</v>
      </c>
      <c r="BP747" s="25" t="s">
        <v>14304</v>
      </c>
      <c r="BQ747" s="32">
        <v>5</v>
      </c>
      <c r="BR747" s="25" t="s">
        <v>166</v>
      </c>
      <c r="BS747" s="32" t="s">
        <v>166</v>
      </c>
      <c r="BT747" s="25" t="s">
        <v>14305</v>
      </c>
      <c r="BU747" s="25" t="s">
        <v>166</v>
      </c>
      <c r="BV747" s="25" t="s">
        <v>14306</v>
      </c>
      <c r="BW747" s="25" t="s">
        <v>166</v>
      </c>
      <c r="BX747" s="25" t="s">
        <v>166</v>
      </c>
      <c r="BY747" s="25" t="s">
        <v>166</v>
      </c>
      <c r="BZ747" s="25" t="s">
        <v>1327</v>
      </c>
      <c r="CA747" s="25" t="s">
        <v>1327</v>
      </c>
      <c r="CB747" s="25" t="s">
        <v>166</v>
      </c>
      <c r="CC747" s="25" t="s">
        <v>166</v>
      </c>
      <c r="CD747" s="25" t="s">
        <v>166</v>
      </c>
      <c r="CE747" s="29" t="s">
        <v>166</v>
      </c>
      <c r="CF747" s="27" t="s">
        <v>166</v>
      </c>
      <c r="CG747" s="28" t="s">
        <v>166</v>
      </c>
      <c r="CH747" s="27" t="s">
        <v>166</v>
      </c>
      <c r="CI747" s="27" t="s">
        <v>166</v>
      </c>
      <c r="CJ747" s="27" t="s">
        <v>166</v>
      </c>
      <c r="CK747" s="27" t="s">
        <v>166</v>
      </c>
      <c r="CL747" s="27" t="s">
        <v>166</v>
      </c>
      <c r="CM747" s="31" t="s">
        <v>166</v>
      </c>
      <c r="CN747" s="27" t="s">
        <v>166</v>
      </c>
      <c r="CO747" s="27" t="s">
        <v>166</v>
      </c>
      <c r="CP747" s="27" t="s">
        <v>166</v>
      </c>
      <c r="CQ747" s="27" t="s">
        <v>166</v>
      </c>
      <c r="CR747" s="27" t="s">
        <v>166</v>
      </c>
      <c r="CS747" s="27" t="s">
        <v>166</v>
      </c>
      <c r="CT747" s="27" t="s">
        <v>166</v>
      </c>
      <c r="CU747" s="27" t="s">
        <v>166</v>
      </c>
      <c r="CV747" s="27" t="s">
        <v>166</v>
      </c>
      <c r="CW747" s="27" t="s">
        <v>166</v>
      </c>
      <c r="CX747" s="27" t="s">
        <v>166</v>
      </c>
      <c r="CY747" s="27" t="s">
        <v>166</v>
      </c>
      <c r="CZ747" s="27" t="s">
        <v>166</v>
      </c>
      <c r="DA747" s="27" t="s">
        <v>166</v>
      </c>
      <c r="DB747" s="27" t="s">
        <v>166</v>
      </c>
      <c r="DC747" s="27" t="s">
        <v>166</v>
      </c>
      <c r="DD747" s="27" t="s">
        <v>166</v>
      </c>
      <c r="DE747" s="28" t="s">
        <v>166</v>
      </c>
      <c r="DF747" s="33">
        <v>3</v>
      </c>
      <c r="DG747" s="25" t="s">
        <v>673</v>
      </c>
      <c r="DH747" s="25" t="s">
        <v>193</v>
      </c>
      <c r="DI747" s="25" t="s">
        <v>194</v>
      </c>
      <c r="DJ747" s="25" t="s">
        <v>674</v>
      </c>
      <c r="DK747" s="25" t="s">
        <v>257</v>
      </c>
      <c r="DL747" s="32" t="s">
        <v>675</v>
      </c>
      <c r="DM747" s="25" t="s">
        <v>198</v>
      </c>
      <c r="DN747" s="24" t="s">
        <v>14307</v>
      </c>
      <c r="DO747" s="31">
        <v>2022</v>
      </c>
      <c r="DP747" s="25" t="s">
        <v>166</v>
      </c>
      <c r="DQ747" s="25" t="s">
        <v>166</v>
      </c>
      <c r="DR747" s="29" t="s">
        <v>166</v>
      </c>
      <c r="DS747" s="27" t="s">
        <v>166</v>
      </c>
      <c r="DT747" s="30" t="s">
        <v>166</v>
      </c>
      <c r="DU747" s="25" t="s">
        <v>166</v>
      </c>
      <c r="DV747" s="29" t="s">
        <v>166</v>
      </c>
      <c r="DW747" s="29" t="s">
        <v>166</v>
      </c>
      <c r="DX747" s="27" t="s">
        <v>166</v>
      </c>
      <c r="DY747" s="27" t="s">
        <v>166</v>
      </c>
      <c r="DZ747" s="28" t="s">
        <v>166</v>
      </c>
      <c r="EA747" s="27" t="s">
        <v>166</v>
      </c>
      <c r="EB747" s="27" t="s">
        <v>166</v>
      </c>
      <c r="EC747" s="27" t="s">
        <v>166</v>
      </c>
      <c r="ED747" s="28" t="s">
        <v>166</v>
      </c>
      <c r="EE747" s="28" t="s">
        <v>166</v>
      </c>
      <c r="EF747" s="28" t="s">
        <v>166</v>
      </c>
      <c r="EG747" s="28" t="s">
        <v>166</v>
      </c>
      <c r="EH747" s="27" t="s">
        <v>166</v>
      </c>
      <c r="EI747" s="27" t="s">
        <v>166</v>
      </c>
      <c r="EJ747" s="27" t="s">
        <v>166</v>
      </c>
      <c r="EK747" s="27" t="s">
        <v>166</v>
      </c>
      <c r="EL747" s="27" t="s">
        <v>166</v>
      </c>
      <c r="EM747" s="27" t="s">
        <v>166</v>
      </c>
      <c r="EN747" s="27" t="s">
        <v>166</v>
      </c>
      <c r="EO747" s="27" t="s">
        <v>166</v>
      </c>
      <c r="EP747" s="27" t="s">
        <v>166</v>
      </c>
      <c r="EQ747" s="27" t="s">
        <v>166</v>
      </c>
      <c r="ER747" s="27" t="s">
        <v>166</v>
      </c>
      <c r="ES747" s="27" t="s">
        <v>166</v>
      </c>
      <c r="ET747" s="25" t="s">
        <v>166</v>
      </c>
      <c r="EU747" s="27" t="s">
        <v>166</v>
      </c>
      <c r="EV747" s="27" t="s">
        <v>166</v>
      </c>
      <c r="EW747" s="27" t="s">
        <v>166</v>
      </c>
      <c r="EX747" s="25" t="s">
        <v>190</v>
      </c>
      <c r="EY747" s="25" t="s">
        <v>166</v>
      </c>
      <c r="EZ747" s="27" t="s">
        <v>166</v>
      </c>
      <c r="FA747" s="26" t="s">
        <v>166</v>
      </c>
      <c r="FB747" s="26" t="s">
        <v>166</v>
      </c>
      <c r="FC747" s="26" t="s">
        <v>166</v>
      </c>
      <c r="FD747" s="26" t="s">
        <v>166</v>
      </c>
      <c r="FE747" s="26" t="s">
        <v>166</v>
      </c>
      <c r="FF747" s="26" t="s">
        <v>166</v>
      </c>
      <c r="FG747" s="25" t="s">
        <v>166</v>
      </c>
      <c r="FH747" s="4">
        <f>HYPERLINK("https://my.pitchbook.com?c=226622-44T","View Company Online")</f>
      </c>
    </row>
    <row r="748">
      <c r="A748" s="14" t="s">
        <v>14308</v>
      </c>
      <c r="B748" s="14" t="s">
        <v>14309</v>
      </c>
      <c r="C748" s="14" t="s">
        <v>14310</v>
      </c>
      <c r="D748" s="14" t="s">
        <v>166</v>
      </c>
      <c r="E748" s="23" t="s">
        <v>14311</v>
      </c>
      <c r="F748" s="21">
        <v>6</v>
      </c>
      <c r="G748" s="14" t="s">
        <v>14312</v>
      </c>
      <c r="H748" s="14" t="s">
        <v>166</v>
      </c>
      <c r="I748" s="14" t="s">
        <v>14313</v>
      </c>
      <c r="J748" s="14" t="s">
        <v>14314</v>
      </c>
      <c r="K748" s="14" t="s">
        <v>171</v>
      </c>
      <c r="L748" s="14" t="s">
        <v>172</v>
      </c>
      <c r="M748" s="14" t="s">
        <v>1689</v>
      </c>
      <c r="N748" s="14" t="s">
        <v>8172</v>
      </c>
      <c r="O748" s="14" t="s">
        <v>2829</v>
      </c>
      <c r="P748" s="14" t="s">
        <v>14315</v>
      </c>
      <c r="Q748" s="14" t="s">
        <v>166</v>
      </c>
      <c r="R748" s="14" t="s">
        <v>177</v>
      </c>
      <c r="S748" s="14" t="s">
        <v>178</v>
      </c>
      <c r="T748" s="14" t="s">
        <v>179</v>
      </c>
      <c r="U748" s="14" t="s">
        <v>14316</v>
      </c>
      <c r="V748" s="14" t="s">
        <v>14317</v>
      </c>
      <c r="W748" s="21" t="s">
        <v>14318</v>
      </c>
      <c r="X748" s="14" t="s">
        <v>14319</v>
      </c>
      <c r="Y748" s="14" t="s">
        <v>14320</v>
      </c>
      <c r="Z748" s="14" t="s">
        <v>14321</v>
      </c>
      <c r="AA748" s="14" t="s">
        <v>166</v>
      </c>
      <c r="AB748" s="14" t="s">
        <v>166</v>
      </c>
      <c r="AC748" s="14" t="s">
        <v>166</v>
      </c>
      <c r="AD748" s="14" t="s">
        <v>166</v>
      </c>
      <c r="AE748" s="14" t="s">
        <v>166</v>
      </c>
      <c r="AF748" s="14" t="s">
        <v>166</v>
      </c>
      <c r="AG748" s="14" t="s">
        <v>166</v>
      </c>
      <c r="AH748" s="21">
        <v>2</v>
      </c>
      <c r="AI748" s="3">
        <f>HYPERLINK("https://my.pitchbook.com/?d=188794-63T","188794-63T")</f>
      </c>
      <c r="AJ748" s="19" t="s">
        <v>166</v>
      </c>
      <c r="AK748" s="19">
        <v>44562</v>
      </c>
      <c r="AL748" s="18">
        <v>1.5</v>
      </c>
      <c r="AM748" s="14" t="s">
        <v>185</v>
      </c>
      <c r="AN748" s="18" t="s">
        <v>166</v>
      </c>
      <c r="AO748" s="18" t="s">
        <v>166</v>
      </c>
      <c r="AP748" s="14" t="s">
        <v>166</v>
      </c>
      <c r="AQ748" s="21" t="s">
        <v>166</v>
      </c>
      <c r="AR748" s="21" t="s">
        <v>166</v>
      </c>
      <c r="AS748" s="17" t="s">
        <v>166</v>
      </c>
      <c r="AT748" s="18">
        <v>2</v>
      </c>
      <c r="AU748" s="21" t="s">
        <v>186</v>
      </c>
      <c r="AV748" s="21" t="s">
        <v>166</v>
      </c>
      <c r="AW748" s="18" t="s">
        <v>166</v>
      </c>
      <c r="AX748" s="21" t="s">
        <v>166</v>
      </c>
      <c r="AY748" s="14" t="s">
        <v>217</v>
      </c>
      <c r="AZ748" s="14" t="s">
        <v>217</v>
      </c>
      <c r="BA748" s="14" t="s">
        <v>166</v>
      </c>
      <c r="BB748" s="21" t="s">
        <v>166</v>
      </c>
      <c r="BC748" s="14" t="s">
        <v>179</v>
      </c>
      <c r="BD748" s="14" t="s">
        <v>14322</v>
      </c>
      <c r="BE748" s="14" t="s">
        <v>189</v>
      </c>
      <c r="BF748" s="18" t="s">
        <v>166</v>
      </c>
      <c r="BG748" s="14" t="s">
        <v>190</v>
      </c>
      <c r="BH748" s="14" t="s">
        <v>166</v>
      </c>
      <c r="BI748" s="14" t="s">
        <v>166</v>
      </c>
      <c r="BJ748" s="18" t="s">
        <v>166</v>
      </c>
      <c r="BK748" s="18" t="s">
        <v>166</v>
      </c>
      <c r="BL748" s="14" t="s">
        <v>191</v>
      </c>
      <c r="BM748" s="14" t="s">
        <v>178</v>
      </c>
      <c r="BN748" s="14" t="s">
        <v>177</v>
      </c>
      <c r="BO748" s="22" t="s">
        <v>166</v>
      </c>
      <c r="BP748" s="14" t="s">
        <v>14323</v>
      </c>
      <c r="BQ748" s="21">
        <v>6</v>
      </c>
      <c r="BR748" s="14" t="s">
        <v>166</v>
      </c>
      <c r="BS748" s="21" t="s">
        <v>166</v>
      </c>
      <c r="BT748" s="14" t="s">
        <v>166</v>
      </c>
      <c r="BU748" s="14" t="s">
        <v>166</v>
      </c>
      <c r="BV748" s="14" t="s">
        <v>14324</v>
      </c>
      <c r="BW748" s="14" t="s">
        <v>166</v>
      </c>
      <c r="BX748" s="14" t="s">
        <v>166</v>
      </c>
      <c r="BY748" s="14" t="s">
        <v>166</v>
      </c>
      <c r="BZ748" s="14" t="s">
        <v>166</v>
      </c>
      <c r="CA748" s="14" t="s">
        <v>166</v>
      </c>
      <c r="CB748" s="14" t="s">
        <v>166</v>
      </c>
      <c r="CC748" s="14" t="s">
        <v>166</v>
      </c>
      <c r="CD748" s="14" t="s">
        <v>166</v>
      </c>
      <c r="CE748" s="18" t="s">
        <v>166</v>
      </c>
      <c r="CF748" s="16">
        <v>0.01</v>
      </c>
      <c r="CG748" s="17" t="s">
        <v>166</v>
      </c>
      <c r="CH748" s="16" t="s">
        <v>166</v>
      </c>
      <c r="CI748" s="16">
        <v>-0.01</v>
      </c>
      <c r="CJ748" s="16" t="s">
        <v>166</v>
      </c>
      <c r="CK748" s="16" t="s">
        <v>166</v>
      </c>
      <c r="CL748" s="16" t="s">
        <v>166</v>
      </c>
      <c r="CM748" s="20">
        <v>2021</v>
      </c>
      <c r="CN748" s="16" t="s">
        <v>166</v>
      </c>
      <c r="CO748" s="16" t="s">
        <v>166</v>
      </c>
      <c r="CP748" s="16" t="s">
        <v>166</v>
      </c>
      <c r="CQ748" s="16" t="s">
        <v>166</v>
      </c>
      <c r="CR748" s="16" t="s">
        <v>166</v>
      </c>
      <c r="CS748" s="16" t="s">
        <v>166</v>
      </c>
      <c r="CT748" s="16" t="s">
        <v>166</v>
      </c>
      <c r="CU748" s="16">
        <v>-357.47</v>
      </c>
      <c r="CV748" s="16">
        <v>5576.83</v>
      </c>
      <c r="CW748" s="16" t="s">
        <v>166</v>
      </c>
      <c r="CX748" s="16" t="s">
        <v>166</v>
      </c>
      <c r="CY748" s="16" t="s">
        <v>166</v>
      </c>
      <c r="CZ748" s="16" t="s">
        <v>166</v>
      </c>
      <c r="DA748" s="16" t="s">
        <v>166</v>
      </c>
      <c r="DB748" s="16" t="s">
        <v>166</v>
      </c>
      <c r="DC748" s="16" t="s">
        <v>166</v>
      </c>
      <c r="DD748" s="16" t="s">
        <v>166</v>
      </c>
      <c r="DE748" s="17" t="s">
        <v>166</v>
      </c>
      <c r="DF748" s="22">
        <v>165</v>
      </c>
      <c r="DG748" s="14" t="s">
        <v>1540</v>
      </c>
      <c r="DH748" s="14" t="s">
        <v>193</v>
      </c>
      <c r="DI748" s="14" t="s">
        <v>194</v>
      </c>
      <c r="DJ748" s="14" t="s">
        <v>1541</v>
      </c>
      <c r="DK748" s="14" t="s">
        <v>257</v>
      </c>
      <c r="DL748" s="21" t="s">
        <v>14325</v>
      </c>
      <c r="DM748" s="14" t="s">
        <v>198</v>
      </c>
      <c r="DN748" s="13" t="s">
        <v>14326</v>
      </c>
      <c r="DO748" s="20">
        <v>2021</v>
      </c>
      <c r="DP748" s="14" t="s">
        <v>166</v>
      </c>
      <c r="DQ748" s="14" t="s">
        <v>166</v>
      </c>
      <c r="DR748" s="18" t="s">
        <v>166</v>
      </c>
      <c r="DS748" s="16" t="s">
        <v>166</v>
      </c>
      <c r="DT748" s="19" t="s">
        <v>166</v>
      </c>
      <c r="DU748" s="14" t="s">
        <v>166</v>
      </c>
      <c r="DV748" s="18" t="s">
        <v>166</v>
      </c>
      <c r="DW748" s="18" t="s">
        <v>166</v>
      </c>
      <c r="DX748" s="16" t="s">
        <v>166</v>
      </c>
      <c r="DY748" s="16" t="s">
        <v>166</v>
      </c>
      <c r="DZ748" s="17" t="s">
        <v>166</v>
      </c>
      <c r="EA748" s="16" t="s">
        <v>166</v>
      </c>
      <c r="EB748" s="16" t="s">
        <v>166</v>
      </c>
      <c r="EC748" s="16" t="s">
        <v>166</v>
      </c>
      <c r="ED748" s="17" t="s">
        <v>166</v>
      </c>
      <c r="EE748" s="17" t="s">
        <v>166</v>
      </c>
      <c r="EF748" s="17" t="s">
        <v>166</v>
      </c>
      <c r="EG748" s="17" t="s">
        <v>166</v>
      </c>
      <c r="EH748" s="16" t="s">
        <v>166</v>
      </c>
      <c r="EI748" s="16" t="s">
        <v>166</v>
      </c>
      <c r="EJ748" s="16" t="s">
        <v>166</v>
      </c>
      <c r="EK748" s="16" t="s">
        <v>166</v>
      </c>
      <c r="EL748" s="16" t="s">
        <v>166</v>
      </c>
      <c r="EM748" s="16" t="s">
        <v>166</v>
      </c>
      <c r="EN748" s="16" t="s">
        <v>166</v>
      </c>
      <c r="EO748" s="16" t="s">
        <v>166</v>
      </c>
      <c r="EP748" s="16" t="s">
        <v>166</v>
      </c>
      <c r="EQ748" s="16" t="s">
        <v>166</v>
      </c>
      <c r="ER748" s="16" t="s">
        <v>166</v>
      </c>
      <c r="ES748" s="16" t="s">
        <v>166</v>
      </c>
      <c r="ET748" s="14" t="s">
        <v>166</v>
      </c>
      <c r="EU748" s="16" t="s">
        <v>166</v>
      </c>
      <c r="EV748" s="16" t="s">
        <v>166</v>
      </c>
      <c r="EW748" s="16" t="s">
        <v>166</v>
      </c>
      <c r="EX748" s="14" t="s">
        <v>190</v>
      </c>
      <c r="EY748" s="14" t="s">
        <v>166</v>
      </c>
      <c r="EZ748" s="16" t="s">
        <v>166</v>
      </c>
      <c r="FA748" s="15" t="s">
        <v>166</v>
      </c>
      <c r="FB748" s="15" t="s">
        <v>166</v>
      </c>
      <c r="FC748" s="15" t="s">
        <v>166</v>
      </c>
      <c r="FD748" s="15" t="s">
        <v>166</v>
      </c>
      <c r="FE748" s="15" t="s">
        <v>166</v>
      </c>
      <c r="FF748" s="15" t="s">
        <v>166</v>
      </c>
      <c r="FG748" s="14" t="s">
        <v>166</v>
      </c>
      <c r="FH748" s="3">
        <f>HYPERLINK("https://my.pitchbook.com?c=188794-63T","View Company Online")</f>
      </c>
    </row>
    <row r="749">
      <c r="A749" s="25" t="s">
        <v>14327</v>
      </c>
      <c r="B749" s="25" t="s">
        <v>14328</v>
      </c>
      <c r="C749" s="25" t="s">
        <v>14329</v>
      </c>
      <c r="D749" s="25" t="s">
        <v>166</v>
      </c>
      <c r="E749" s="34" t="s">
        <v>14330</v>
      </c>
      <c r="F749" s="32">
        <v>4</v>
      </c>
      <c r="G749" s="25" t="s">
        <v>14331</v>
      </c>
      <c r="H749" s="25" t="s">
        <v>166</v>
      </c>
      <c r="I749" s="25" t="s">
        <v>14332</v>
      </c>
      <c r="J749" s="25" t="s">
        <v>14333</v>
      </c>
      <c r="K749" s="25" t="s">
        <v>207</v>
      </c>
      <c r="L749" s="25" t="s">
        <v>208</v>
      </c>
      <c r="M749" s="25" t="s">
        <v>209</v>
      </c>
      <c r="N749" s="25" t="s">
        <v>14334</v>
      </c>
      <c r="O749" s="25" t="s">
        <v>5780</v>
      </c>
      <c r="P749" s="25" t="s">
        <v>14335</v>
      </c>
      <c r="Q749" s="25" t="s">
        <v>926</v>
      </c>
      <c r="R749" s="25" t="s">
        <v>177</v>
      </c>
      <c r="S749" s="25" t="s">
        <v>178</v>
      </c>
      <c r="T749" s="25" t="s">
        <v>179</v>
      </c>
      <c r="U749" s="25" t="s">
        <v>14336</v>
      </c>
      <c r="V749" s="25" t="s">
        <v>14337</v>
      </c>
      <c r="W749" s="32" t="s">
        <v>166</v>
      </c>
      <c r="X749" s="25" t="s">
        <v>14338</v>
      </c>
      <c r="Y749" s="25" t="s">
        <v>14339</v>
      </c>
      <c r="Z749" s="25" t="s">
        <v>166</v>
      </c>
      <c r="AA749" s="25" t="s">
        <v>166</v>
      </c>
      <c r="AB749" s="25" t="s">
        <v>166</v>
      </c>
      <c r="AC749" s="25" t="s">
        <v>166</v>
      </c>
      <c r="AD749" s="25" t="s">
        <v>166</v>
      </c>
      <c r="AE749" s="25" t="s">
        <v>166</v>
      </c>
      <c r="AF749" s="25" t="s">
        <v>166</v>
      </c>
      <c r="AG749" s="25" t="s">
        <v>166</v>
      </c>
      <c r="AH749" s="32">
        <v>1</v>
      </c>
      <c r="AI749" s="4">
        <f>HYPERLINK("https://my.pitchbook.com/?d=270013-78T","270013-78T")</f>
      </c>
      <c r="AJ749" s="30" t="s">
        <v>166</v>
      </c>
      <c r="AK749" s="30">
        <v>45483</v>
      </c>
      <c r="AL749" s="29">
        <v>8</v>
      </c>
      <c r="AM749" s="25" t="s">
        <v>185</v>
      </c>
      <c r="AN749" s="29" t="s">
        <v>166</v>
      </c>
      <c r="AO749" s="29" t="s">
        <v>166</v>
      </c>
      <c r="AP749" s="25" t="s">
        <v>166</v>
      </c>
      <c r="AQ749" s="32" t="s">
        <v>166</v>
      </c>
      <c r="AR749" s="32" t="s">
        <v>166</v>
      </c>
      <c r="AS749" s="28" t="s">
        <v>166</v>
      </c>
      <c r="AT749" s="29">
        <v>8</v>
      </c>
      <c r="AU749" s="32" t="s">
        <v>186</v>
      </c>
      <c r="AV749" s="32" t="s">
        <v>166</v>
      </c>
      <c r="AW749" s="29" t="s">
        <v>166</v>
      </c>
      <c r="AX749" s="32" t="s">
        <v>166</v>
      </c>
      <c r="AY749" s="25" t="s">
        <v>217</v>
      </c>
      <c r="AZ749" s="25" t="s">
        <v>217</v>
      </c>
      <c r="BA749" s="25" t="s">
        <v>166</v>
      </c>
      <c r="BB749" s="32" t="s">
        <v>166</v>
      </c>
      <c r="BC749" s="25" t="s">
        <v>179</v>
      </c>
      <c r="BD749" s="25" t="s">
        <v>14333</v>
      </c>
      <c r="BE749" s="25" t="s">
        <v>189</v>
      </c>
      <c r="BF749" s="29">
        <v>8</v>
      </c>
      <c r="BG749" s="25" t="s">
        <v>190</v>
      </c>
      <c r="BH749" s="25" t="s">
        <v>166</v>
      </c>
      <c r="BI749" s="25" t="s">
        <v>166</v>
      </c>
      <c r="BJ749" s="29" t="s">
        <v>166</v>
      </c>
      <c r="BK749" s="29" t="s">
        <v>166</v>
      </c>
      <c r="BL749" s="25" t="s">
        <v>191</v>
      </c>
      <c r="BM749" s="25" t="s">
        <v>178</v>
      </c>
      <c r="BN749" s="25" t="s">
        <v>177</v>
      </c>
      <c r="BO749" s="33" t="s">
        <v>166</v>
      </c>
      <c r="BP749" s="25" t="s">
        <v>14340</v>
      </c>
      <c r="BQ749" s="32">
        <v>4</v>
      </c>
      <c r="BR749" s="25" t="s">
        <v>166</v>
      </c>
      <c r="BS749" s="32" t="s">
        <v>166</v>
      </c>
      <c r="BT749" s="25" t="s">
        <v>14330</v>
      </c>
      <c r="BU749" s="25" t="s">
        <v>166</v>
      </c>
      <c r="BV749" s="25" t="s">
        <v>166</v>
      </c>
      <c r="BW749" s="25" t="s">
        <v>166</v>
      </c>
      <c r="BX749" s="25" t="s">
        <v>166</v>
      </c>
      <c r="BY749" s="25" t="s">
        <v>166</v>
      </c>
      <c r="BZ749" s="25" t="s">
        <v>166</v>
      </c>
      <c r="CA749" s="25" t="s">
        <v>166</v>
      </c>
      <c r="CB749" s="25" t="s">
        <v>166</v>
      </c>
      <c r="CC749" s="25" t="s">
        <v>166</v>
      </c>
      <c r="CD749" s="25" t="s">
        <v>166</v>
      </c>
      <c r="CE749" s="29" t="s">
        <v>166</v>
      </c>
      <c r="CF749" s="27" t="s">
        <v>166</v>
      </c>
      <c r="CG749" s="28" t="s">
        <v>166</v>
      </c>
      <c r="CH749" s="27" t="s">
        <v>166</v>
      </c>
      <c r="CI749" s="27" t="s">
        <v>166</v>
      </c>
      <c r="CJ749" s="27" t="s">
        <v>166</v>
      </c>
      <c r="CK749" s="27" t="s">
        <v>166</v>
      </c>
      <c r="CL749" s="27" t="s">
        <v>166</v>
      </c>
      <c r="CM749" s="31" t="s">
        <v>166</v>
      </c>
      <c r="CN749" s="27" t="s">
        <v>166</v>
      </c>
      <c r="CO749" s="27" t="s">
        <v>166</v>
      </c>
      <c r="CP749" s="27" t="s">
        <v>166</v>
      </c>
      <c r="CQ749" s="27" t="s">
        <v>166</v>
      </c>
      <c r="CR749" s="27" t="s">
        <v>166</v>
      </c>
      <c r="CS749" s="27" t="s">
        <v>166</v>
      </c>
      <c r="CT749" s="27" t="s">
        <v>166</v>
      </c>
      <c r="CU749" s="27" t="s">
        <v>166</v>
      </c>
      <c r="CV749" s="27" t="s">
        <v>166</v>
      </c>
      <c r="CW749" s="27" t="s">
        <v>166</v>
      </c>
      <c r="CX749" s="27" t="s">
        <v>166</v>
      </c>
      <c r="CY749" s="27" t="s">
        <v>166</v>
      </c>
      <c r="CZ749" s="27" t="s">
        <v>166</v>
      </c>
      <c r="DA749" s="27" t="s">
        <v>166</v>
      </c>
      <c r="DB749" s="27" t="s">
        <v>166</v>
      </c>
      <c r="DC749" s="27" t="s">
        <v>166</v>
      </c>
      <c r="DD749" s="27" t="s">
        <v>166</v>
      </c>
      <c r="DE749" s="28" t="s">
        <v>166</v>
      </c>
      <c r="DF749" s="33">
        <v>6</v>
      </c>
      <c r="DG749" s="25" t="s">
        <v>673</v>
      </c>
      <c r="DH749" s="25" t="s">
        <v>193</v>
      </c>
      <c r="DI749" s="25" t="s">
        <v>194</v>
      </c>
      <c r="DJ749" s="25" t="s">
        <v>674</v>
      </c>
      <c r="DK749" s="25" t="s">
        <v>257</v>
      </c>
      <c r="DL749" s="32" t="s">
        <v>166</v>
      </c>
      <c r="DM749" s="25" t="s">
        <v>198</v>
      </c>
      <c r="DN749" s="24" t="s">
        <v>14341</v>
      </c>
      <c r="DO749" s="31">
        <v>2023</v>
      </c>
      <c r="DP749" s="25" t="s">
        <v>166</v>
      </c>
      <c r="DQ749" s="25" t="s">
        <v>166</v>
      </c>
      <c r="DR749" s="29" t="s">
        <v>166</v>
      </c>
      <c r="DS749" s="27" t="s">
        <v>166</v>
      </c>
      <c r="DT749" s="30" t="s">
        <v>166</v>
      </c>
      <c r="DU749" s="25" t="s">
        <v>166</v>
      </c>
      <c r="DV749" s="29" t="s">
        <v>166</v>
      </c>
      <c r="DW749" s="29" t="s">
        <v>166</v>
      </c>
      <c r="DX749" s="27" t="s">
        <v>166</v>
      </c>
      <c r="DY749" s="27" t="s">
        <v>166</v>
      </c>
      <c r="DZ749" s="28" t="s">
        <v>166</v>
      </c>
      <c r="EA749" s="27" t="s">
        <v>166</v>
      </c>
      <c r="EB749" s="27" t="s">
        <v>166</v>
      </c>
      <c r="EC749" s="27" t="s">
        <v>166</v>
      </c>
      <c r="ED749" s="28" t="s">
        <v>166</v>
      </c>
      <c r="EE749" s="28" t="s">
        <v>166</v>
      </c>
      <c r="EF749" s="28" t="s">
        <v>166</v>
      </c>
      <c r="EG749" s="28" t="s">
        <v>166</v>
      </c>
      <c r="EH749" s="27" t="s">
        <v>166</v>
      </c>
      <c r="EI749" s="27" t="s">
        <v>166</v>
      </c>
      <c r="EJ749" s="27" t="s">
        <v>166</v>
      </c>
      <c r="EK749" s="27" t="s">
        <v>166</v>
      </c>
      <c r="EL749" s="27" t="s">
        <v>166</v>
      </c>
      <c r="EM749" s="27" t="s">
        <v>166</v>
      </c>
      <c r="EN749" s="27" t="s">
        <v>166</v>
      </c>
      <c r="EO749" s="27" t="s">
        <v>166</v>
      </c>
      <c r="EP749" s="27" t="s">
        <v>166</v>
      </c>
      <c r="EQ749" s="27" t="s">
        <v>166</v>
      </c>
      <c r="ER749" s="27" t="s">
        <v>166</v>
      </c>
      <c r="ES749" s="27" t="s">
        <v>166</v>
      </c>
      <c r="ET749" s="25" t="s">
        <v>166</v>
      </c>
      <c r="EU749" s="27" t="s">
        <v>166</v>
      </c>
      <c r="EV749" s="27" t="s">
        <v>166</v>
      </c>
      <c r="EW749" s="27" t="s">
        <v>166</v>
      </c>
      <c r="EX749" s="25" t="s">
        <v>190</v>
      </c>
      <c r="EY749" s="25" t="s">
        <v>166</v>
      </c>
      <c r="EZ749" s="27" t="s">
        <v>166</v>
      </c>
      <c r="FA749" s="26" t="s">
        <v>166</v>
      </c>
      <c r="FB749" s="26" t="s">
        <v>166</v>
      </c>
      <c r="FC749" s="26" t="s">
        <v>166</v>
      </c>
      <c r="FD749" s="26" t="s">
        <v>166</v>
      </c>
      <c r="FE749" s="26" t="s">
        <v>166</v>
      </c>
      <c r="FF749" s="26" t="s">
        <v>166</v>
      </c>
      <c r="FG749" s="25" t="s">
        <v>166</v>
      </c>
      <c r="FH749" s="4">
        <f>HYPERLINK("https://my.pitchbook.com?c=270013-78T","View Company Online")</f>
      </c>
    </row>
    <row r="750">
      <c r="A750" s="14" t="s">
        <v>14342</v>
      </c>
      <c r="B750" s="14" t="s">
        <v>14343</v>
      </c>
      <c r="C750" s="14" t="s">
        <v>14344</v>
      </c>
      <c r="D750" s="14" t="s">
        <v>166</v>
      </c>
      <c r="E750" s="23" t="s">
        <v>14345</v>
      </c>
      <c r="F750" s="21">
        <v>2</v>
      </c>
      <c r="G750" s="14" t="s">
        <v>14346</v>
      </c>
      <c r="H750" s="14" t="s">
        <v>166</v>
      </c>
      <c r="I750" s="14" t="s">
        <v>14347</v>
      </c>
      <c r="J750" s="14" t="s">
        <v>14348</v>
      </c>
      <c r="K750" s="14" t="s">
        <v>171</v>
      </c>
      <c r="L750" s="14" t="s">
        <v>172</v>
      </c>
      <c r="M750" s="14" t="s">
        <v>8949</v>
      </c>
      <c r="N750" s="14" t="s">
        <v>14349</v>
      </c>
      <c r="O750" s="14" t="s">
        <v>665</v>
      </c>
      <c r="P750" s="14" t="s">
        <v>14350</v>
      </c>
      <c r="Q750" s="14" t="s">
        <v>166</v>
      </c>
      <c r="R750" s="14" t="s">
        <v>177</v>
      </c>
      <c r="S750" s="14" t="s">
        <v>178</v>
      </c>
      <c r="T750" s="14" t="s">
        <v>179</v>
      </c>
      <c r="U750" s="14" t="s">
        <v>14351</v>
      </c>
      <c r="V750" s="14" t="s">
        <v>14352</v>
      </c>
      <c r="W750" s="21" t="s">
        <v>14353</v>
      </c>
      <c r="X750" s="14" t="s">
        <v>14354</v>
      </c>
      <c r="Y750" s="14" t="s">
        <v>14355</v>
      </c>
      <c r="Z750" s="14" t="s">
        <v>14356</v>
      </c>
      <c r="AA750" s="14" t="s">
        <v>242</v>
      </c>
      <c r="AB750" s="14" t="s">
        <v>243</v>
      </c>
      <c r="AC750" s="14" t="s">
        <v>244</v>
      </c>
      <c r="AD750" s="14" t="s">
        <v>243</v>
      </c>
      <c r="AE750" s="14" t="s">
        <v>243</v>
      </c>
      <c r="AF750" s="14" t="s">
        <v>166</v>
      </c>
      <c r="AG750" s="14" t="s">
        <v>246</v>
      </c>
      <c r="AH750" s="21">
        <v>1</v>
      </c>
      <c r="AI750" s="3">
        <f>HYPERLINK("https://my.pitchbook.com/?d=259261-30T","259261-30T")</f>
      </c>
      <c r="AJ750" s="19" t="s">
        <v>166</v>
      </c>
      <c r="AK750" s="19">
        <v>45421</v>
      </c>
      <c r="AL750" s="18">
        <v>3.11</v>
      </c>
      <c r="AM750" s="14" t="s">
        <v>247</v>
      </c>
      <c r="AN750" s="18">
        <v>3.49</v>
      </c>
      <c r="AO750" s="18">
        <v>6.6</v>
      </c>
      <c r="AP750" s="14" t="s">
        <v>247</v>
      </c>
      <c r="AQ750" s="21" t="s">
        <v>166</v>
      </c>
      <c r="AR750" s="21" t="s">
        <v>166</v>
      </c>
      <c r="AS750" s="17">
        <v>49.13</v>
      </c>
      <c r="AT750" s="18">
        <v>3.11</v>
      </c>
      <c r="AU750" s="21" t="s">
        <v>186</v>
      </c>
      <c r="AV750" s="21" t="s">
        <v>166</v>
      </c>
      <c r="AW750" s="18">
        <v>0.32</v>
      </c>
      <c r="AX750" s="21" t="s">
        <v>166</v>
      </c>
      <c r="AY750" s="14" t="s">
        <v>217</v>
      </c>
      <c r="AZ750" s="14" t="s">
        <v>217</v>
      </c>
      <c r="BA750" s="14" t="s">
        <v>166</v>
      </c>
      <c r="BB750" s="21" t="s">
        <v>166</v>
      </c>
      <c r="BC750" s="14" t="s">
        <v>179</v>
      </c>
      <c r="BD750" s="14" t="s">
        <v>14348</v>
      </c>
      <c r="BE750" s="14" t="s">
        <v>189</v>
      </c>
      <c r="BF750" s="18">
        <v>3.11</v>
      </c>
      <c r="BG750" s="14" t="s">
        <v>190</v>
      </c>
      <c r="BH750" s="14" t="s">
        <v>166</v>
      </c>
      <c r="BI750" s="14" t="s">
        <v>166</v>
      </c>
      <c r="BJ750" s="18" t="s">
        <v>166</v>
      </c>
      <c r="BK750" s="18" t="s">
        <v>166</v>
      </c>
      <c r="BL750" s="14" t="s">
        <v>191</v>
      </c>
      <c r="BM750" s="14" t="s">
        <v>178</v>
      </c>
      <c r="BN750" s="14" t="s">
        <v>177</v>
      </c>
      <c r="BO750" s="22" t="s">
        <v>166</v>
      </c>
      <c r="BP750" s="14" t="s">
        <v>14345</v>
      </c>
      <c r="BQ750" s="21">
        <v>2</v>
      </c>
      <c r="BR750" s="14" t="s">
        <v>166</v>
      </c>
      <c r="BS750" s="21" t="s">
        <v>166</v>
      </c>
      <c r="BT750" s="14" t="s">
        <v>14357</v>
      </c>
      <c r="BU750" s="14" t="s">
        <v>166</v>
      </c>
      <c r="BV750" s="14" t="s">
        <v>166</v>
      </c>
      <c r="BW750" s="14" t="s">
        <v>166</v>
      </c>
      <c r="BX750" s="14" t="s">
        <v>166</v>
      </c>
      <c r="BY750" s="14" t="s">
        <v>166</v>
      </c>
      <c r="BZ750" s="14" t="s">
        <v>166</v>
      </c>
      <c r="CA750" s="14" t="s">
        <v>166</v>
      </c>
      <c r="CB750" s="14" t="s">
        <v>166</v>
      </c>
      <c r="CC750" s="14" t="s">
        <v>166</v>
      </c>
      <c r="CD750" s="14" t="s">
        <v>166</v>
      </c>
      <c r="CE750" s="18" t="s">
        <v>166</v>
      </c>
      <c r="CF750" s="16" t="s">
        <v>166</v>
      </c>
      <c r="CG750" s="17" t="s">
        <v>166</v>
      </c>
      <c r="CH750" s="16" t="s">
        <v>166</v>
      </c>
      <c r="CI750" s="16" t="s">
        <v>166</v>
      </c>
      <c r="CJ750" s="16" t="s">
        <v>166</v>
      </c>
      <c r="CK750" s="16" t="s">
        <v>166</v>
      </c>
      <c r="CL750" s="16" t="s">
        <v>166</v>
      </c>
      <c r="CM750" s="20" t="s">
        <v>166</v>
      </c>
      <c r="CN750" s="16" t="s">
        <v>166</v>
      </c>
      <c r="CO750" s="16" t="s">
        <v>166</v>
      </c>
      <c r="CP750" s="16" t="s">
        <v>166</v>
      </c>
      <c r="CQ750" s="16" t="s">
        <v>166</v>
      </c>
      <c r="CR750" s="16" t="s">
        <v>166</v>
      </c>
      <c r="CS750" s="16" t="s">
        <v>166</v>
      </c>
      <c r="CT750" s="16" t="s">
        <v>166</v>
      </c>
      <c r="CU750" s="16" t="s">
        <v>166</v>
      </c>
      <c r="CV750" s="16" t="s">
        <v>166</v>
      </c>
      <c r="CW750" s="16" t="s">
        <v>166</v>
      </c>
      <c r="CX750" s="16" t="s">
        <v>166</v>
      </c>
      <c r="CY750" s="16" t="s">
        <v>166</v>
      </c>
      <c r="CZ750" s="16" t="s">
        <v>166</v>
      </c>
      <c r="DA750" s="16" t="s">
        <v>166</v>
      </c>
      <c r="DB750" s="16" t="s">
        <v>166</v>
      </c>
      <c r="DC750" s="16" t="s">
        <v>166</v>
      </c>
      <c r="DD750" s="16" t="s">
        <v>166</v>
      </c>
      <c r="DE750" s="17" t="s">
        <v>166</v>
      </c>
      <c r="DF750" s="22">
        <v>26</v>
      </c>
      <c r="DG750" s="14" t="s">
        <v>1191</v>
      </c>
      <c r="DH750" s="14" t="s">
        <v>193</v>
      </c>
      <c r="DI750" s="14" t="s">
        <v>194</v>
      </c>
      <c r="DJ750" s="14" t="s">
        <v>1192</v>
      </c>
      <c r="DK750" s="14" t="s">
        <v>1023</v>
      </c>
      <c r="DL750" s="21" t="s">
        <v>14358</v>
      </c>
      <c r="DM750" s="14" t="s">
        <v>198</v>
      </c>
      <c r="DN750" s="13" t="s">
        <v>14359</v>
      </c>
      <c r="DO750" s="20">
        <v>2011</v>
      </c>
      <c r="DP750" s="14" t="s">
        <v>166</v>
      </c>
      <c r="DQ750" s="14" t="s">
        <v>166</v>
      </c>
      <c r="DR750" s="18" t="s">
        <v>166</v>
      </c>
      <c r="DS750" s="16" t="s">
        <v>166</v>
      </c>
      <c r="DT750" s="19" t="s">
        <v>166</v>
      </c>
      <c r="DU750" s="14" t="s">
        <v>166</v>
      </c>
      <c r="DV750" s="18" t="s">
        <v>166</v>
      </c>
      <c r="DW750" s="18" t="s">
        <v>166</v>
      </c>
      <c r="DX750" s="16" t="s">
        <v>166</v>
      </c>
      <c r="DY750" s="16" t="s">
        <v>166</v>
      </c>
      <c r="DZ750" s="17" t="s">
        <v>166</v>
      </c>
      <c r="EA750" s="16" t="s">
        <v>166</v>
      </c>
      <c r="EB750" s="16" t="s">
        <v>166</v>
      </c>
      <c r="EC750" s="16" t="s">
        <v>166</v>
      </c>
      <c r="ED750" s="17" t="s">
        <v>166</v>
      </c>
      <c r="EE750" s="17" t="s">
        <v>166</v>
      </c>
      <c r="EF750" s="17" t="s">
        <v>166</v>
      </c>
      <c r="EG750" s="17" t="s">
        <v>166</v>
      </c>
      <c r="EH750" s="16" t="s">
        <v>166</v>
      </c>
      <c r="EI750" s="16" t="s">
        <v>166</v>
      </c>
      <c r="EJ750" s="16" t="s">
        <v>166</v>
      </c>
      <c r="EK750" s="16" t="s">
        <v>166</v>
      </c>
      <c r="EL750" s="16" t="s">
        <v>166</v>
      </c>
      <c r="EM750" s="16" t="s">
        <v>166</v>
      </c>
      <c r="EN750" s="16" t="s">
        <v>166</v>
      </c>
      <c r="EO750" s="16" t="s">
        <v>166</v>
      </c>
      <c r="EP750" s="16" t="s">
        <v>166</v>
      </c>
      <c r="EQ750" s="16" t="s">
        <v>166</v>
      </c>
      <c r="ER750" s="16" t="s">
        <v>166</v>
      </c>
      <c r="ES750" s="16" t="s">
        <v>166</v>
      </c>
      <c r="ET750" s="14" t="s">
        <v>166</v>
      </c>
      <c r="EU750" s="16" t="s">
        <v>166</v>
      </c>
      <c r="EV750" s="16" t="s">
        <v>166</v>
      </c>
      <c r="EW750" s="16" t="s">
        <v>166</v>
      </c>
      <c r="EX750" s="14" t="s">
        <v>190</v>
      </c>
      <c r="EY750" s="14" t="s">
        <v>166</v>
      </c>
      <c r="EZ750" s="16" t="s">
        <v>166</v>
      </c>
      <c r="FA750" s="15" t="s">
        <v>166</v>
      </c>
      <c r="FB750" s="15" t="s">
        <v>166</v>
      </c>
      <c r="FC750" s="15" t="s">
        <v>166</v>
      </c>
      <c r="FD750" s="15" t="s">
        <v>166</v>
      </c>
      <c r="FE750" s="15" t="s">
        <v>166</v>
      </c>
      <c r="FF750" s="15" t="s">
        <v>166</v>
      </c>
      <c r="FG750" s="14" t="s">
        <v>166</v>
      </c>
      <c r="FH750" s="3">
        <f>HYPERLINK("https://my.pitchbook.com?c=259261-30T","View Company Online")</f>
      </c>
    </row>
    <row r="751">
      <c r="A751" s="25" t="s">
        <v>14360</v>
      </c>
      <c r="B751" s="25" t="s">
        <v>14361</v>
      </c>
      <c r="C751" s="25" t="s">
        <v>14362</v>
      </c>
      <c r="D751" s="25" t="s">
        <v>166</v>
      </c>
      <c r="E751" s="34" t="s">
        <v>14363</v>
      </c>
      <c r="F751" s="32">
        <v>24</v>
      </c>
      <c r="G751" s="25" t="s">
        <v>14364</v>
      </c>
      <c r="H751" s="25" t="s">
        <v>166</v>
      </c>
      <c r="I751" s="25" t="s">
        <v>14365</v>
      </c>
      <c r="J751" s="25" t="s">
        <v>14366</v>
      </c>
      <c r="K751" s="25" t="s">
        <v>207</v>
      </c>
      <c r="L751" s="25" t="s">
        <v>208</v>
      </c>
      <c r="M751" s="25" t="s">
        <v>209</v>
      </c>
      <c r="N751" s="25" t="s">
        <v>14367</v>
      </c>
      <c r="O751" s="25" t="s">
        <v>685</v>
      </c>
      <c r="P751" s="25" t="s">
        <v>14368</v>
      </c>
      <c r="Q751" s="25" t="s">
        <v>166</v>
      </c>
      <c r="R751" s="25" t="s">
        <v>177</v>
      </c>
      <c r="S751" s="25" t="s">
        <v>178</v>
      </c>
      <c r="T751" s="25" t="s">
        <v>179</v>
      </c>
      <c r="U751" s="25" t="s">
        <v>14369</v>
      </c>
      <c r="V751" s="25" t="s">
        <v>14370</v>
      </c>
      <c r="W751" s="32" t="s">
        <v>14371</v>
      </c>
      <c r="X751" s="25" t="s">
        <v>14372</v>
      </c>
      <c r="Y751" s="25" t="s">
        <v>14373</v>
      </c>
      <c r="Z751" s="25" t="s">
        <v>14374</v>
      </c>
      <c r="AA751" s="25" t="s">
        <v>166</v>
      </c>
      <c r="AB751" s="25" t="s">
        <v>166</v>
      </c>
      <c r="AC751" s="25" t="s">
        <v>166</v>
      </c>
      <c r="AD751" s="25" t="s">
        <v>166</v>
      </c>
      <c r="AE751" s="25" t="s">
        <v>166</v>
      </c>
      <c r="AF751" s="25" t="s">
        <v>166</v>
      </c>
      <c r="AG751" s="25" t="s">
        <v>166</v>
      </c>
      <c r="AH751" s="32">
        <v>2</v>
      </c>
      <c r="AI751" s="4">
        <f>HYPERLINK("https://my.pitchbook.com/?d=194415-13T","194415-13T")</f>
      </c>
      <c r="AJ751" s="30" t="s">
        <v>166</v>
      </c>
      <c r="AK751" s="30">
        <v>44700</v>
      </c>
      <c r="AL751" s="29">
        <v>6.5</v>
      </c>
      <c r="AM751" s="25" t="s">
        <v>185</v>
      </c>
      <c r="AN751" s="29">
        <v>123.5</v>
      </c>
      <c r="AO751" s="29">
        <v>130</v>
      </c>
      <c r="AP751" s="25" t="s">
        <v>185</v>
      </c>
      <c r="AQ751" s="32" t="s">
        <v>166</v>
      </c>
      <c r="AR751" s="32" t="s">
        <v>166</v>
      </c>
      <c r="AS751" s="28">
        <v>5</v>
      </c>
      <c r="AT751" s="29">
        <v>8.5</v>
      </c>
      <c r="AU751" s="32" t="s">
        <v>186</v>
      </c>
      <c r="AV751" s="32" t="s">
        <v>166</v>
      </c>
      <c r="AW751" s="29" t="s">
        <v>166</v>
      </c>
      <c r="AX751" s="32" t="s">
        <v>166</v>
      </c>
      <c r="AY751" s="25" t="s">
        <v>217</v>
      </c>
      <c r="AZ751" s="25" t="s">
        <v>217</v>
      </c>
      <c r="BA751" s="25" t="s">
        <v>166</v>
      </c>
      <c r="BB751" s="32" t="s">
        <v>166</v>
      </c>
      <c r="BC751" s="25" t="s">
        <v>179</v>
      </c>
      <c r="BD751" s="25" t="s">
        <v>14375</v>
      </c>
      <c r="BE751" s="25" t="s">
        <v>189</v>
      </c>
      <c r="BF751" s="29">
        <v>6.5</v>
      </c>
      <c r="BG751" s="25" t="s">
        <v>190</v>
      </c>
      <c r="BH751" s="25" t="s">
        <v>166</v>
      </c>
      <c r="BI751" s="25" t="s">
        <v>166</v>
      </c>
      <c r="BJ751" s="29" t="s">
        <v>166</v>
      </c>
      <c r="BK751" s="29" t="s">
        <v>166</v>
      </c>
      <c r="BL751" s="25" t="s">
        <v>191</v>
      </c>
      <c r="BM751" s="25" t="s">
        <v>178</v>
      </c>
      <c r="BN751" s="25" t="s">
        <v>177</v>
      </c>
      <c r="BO751" s="33" t="s">
        <v>166</v>
      </c>
      <c r="BP751" s="25" t="s">
        <v>14376</v>
      </c>
      <c r="BQ751" s="32">
        <v>24</v>
      </c>
      <c r="BR751" s="25" t="s">
        <v>166</v>
      </c>
      <c r="BS751" s="32" t="s">
        <v>166</v>
      </c>
      <c r="BT751" s="25" t="s">
        <v>166</v>
      </c>
      <c r="BU751" s="25" t="s">
        <v>166</v>
      </c>
      <c r="BV751" s="25" t="s">
        <v>14377</v>
      </c>
      <c r="BW751" s="25" t="s">
        <v>166</v>
      </c>
      <c r="BX751" s="25" t="s">
        <v>166</v>
      </c>
      <c r="BY751" s="25" t="s">
        <v>166</v>
      </c>
      <c r="BZ751" s="25" t="s">
        <v>166</v>
      </c>
      <c r="CA751" s="25" t="s">
        <v>166</v>
      </c>
      <c r="CB751" s="25" t="s">
        <v>166</v>
      </c>
      <c r="CC751" s="25" t="s">
        <v>166</v>
      </c>
      <c r="CD751" s="25" t="s">
        <v>166</v>
      </c>
      <c r="CE751" s="29" t="s">
        <v>166</v>
      </c>
      <c r="CF751" s="27" t="s">
        <v>166</v>
      </c>
      <c r="CG751" s="28" t="s">
        <v>166</v>
      </c>
      <c r="CH751" s="27" t="s">
        <v>166</v>
      </c>
      <c r="CI751" s="27" t="s">
        <v>166</v>
      </c>
      <c r="CJ751" s="27" t="s">
        <v>166</v>
      </c>
      <c r="CK751" s="27" t="s">
        <v>166</v>
      </c>
      <c r="CL751" s="27" t="s">
        <v>166</v>
      </c>
      <c r="CM751" s="31" t="s">
        <v>166</v>
      </c>
      <c r="CN751" s="27" t="s">
        <v>166</v>
      </c>
      <c r="CO751" s="27" t="s">
        <v>166</v>
      </c>
      <c r="CP751" s="27" t="s">
        <v>166</v>
      </c>
      <c r="CQ751" s="27" t="s">
        <v>166</v>
      </c>
      <c r="CR751" s="27" t="s">
        <v>166</v>
      </c>
      <c r="CS751" s="27" t="s">
        <v>166</v>
      </c>
      <c r="CT751" s="27" t="s">
        <v>166</v>
      </c>
      <c r="CU751" s="27" t="s">
        <v>166</v>
      </c>
      <c r="CV751" s="27" t="s">
        <v>166</v>
      </c>
      <c r="CW751" s="27" t="s">
        <v>166</v>
      </c>
      <c r="CX751" s="27" t="s">
        <v>166</v>
      </c>
      <c r="CY751" s="27" t="s">
        <v>166</v>
      </c>
      <c r="CZ751" s="27" t="s">
        <v>166</v>
      </c>
      <c r="DA751" s="27" t="s">
        <v>166</v>
      </c>
      <c r="DB751" s="27" t="s">
        <v>166</v>
      </c>
      <c r="DC751" s="27" t="s">
        <v>166</v>
      </c>
      <c r="DD751" s="27" t="s">
        <v>166</v>
      </c>
      <c r="DE751" s="28" t="s">
        <v>166</v>
      </c>
      <c r="DF751" s="33">
        <v>15</v>
      </c>
      <c r="DG751" s="25" t="s">
        <v>14378</v>
      </c>
      <c r="DH751" s="25" t="s">
        <v>193</v>
      </c>
      <c r="DI751" s="25" t="s">
        <v>194</v>
      </c>
      <c r="DJ751" s="25" t="s">
        <v>14379</v>
      </c>
      <c r="DK751" s="25" t="s">
        <v>2102</v>
      </c>
      <c r="DL751" s="32" t="s">
        <v>166</v>
      </c>
      <c r="DM751" s="25" t="s">
        <v>198</v>
      </c>
      <c r="DN751" s="24" t="s">
        <v>14380</v>
      </c>
      <c r="DO751" s="31">
        <v>2021</v>
      </c>
      <c r="DP751" s="25" t="s">
        <v>166</v>
      </c>
      <c r="DQ751" s="25" t="s">
        <v>166</v>
      </c>
      <c r="DR751" s="29" t="s">
        <v>166</v>
      </c>
      <c r="DS751" s="27" t="s">
        <v>166</v>
      </c>
      <c r="DT751" s="30" t="s">
        <v>166</v>
      </c>
      <c r="DU751" s="25" t="s">
        <v>166</v>
      </c>
      <c r="DV751" s="29" t="s">
        <v>166</v>
      </c>
      <c r="DW751" s="29" t="s">
        <v>166</v>
      </c>
      <c r="DX751" s="27" t="s">
        <v>166</v>
      </c>
      <c r="DY751" s="27" t="s">
        <v>166</v>
      </c>
      <c r="DZ751" s="28" t="s">
        <v>166</v>
      </c>
      <c r="EA751" s="27" t="s">
        <v>166</v>
      </c>
      <c r="EB751" s="27" t="s">
        <v>166</v>
      </c>
      <c r="EC751" s="27" t="s">
        <v>166</v>
      </c>
      <c r="ED751" s="28" t="s">
        <v>166</v>
      </c>
      <c r="EE751" s="28" t="s">
        <v>166</v>
      </c>
      <c r="EF751" s="28" t="s">
        <v>166</v>
      </c>
      <c r="EG751" s="28" t="s">
        <v>166</v>
      </c>
      <c r="EH751" s="27" t="s">
        <v>166</v>
      </c>
      <c r="EI751" s="27" t="s">
        <v>166</v>
      </c>
      <c r="EJ751" s="27" t="s">
        <v>166</v>
      </c>
      <c r="EK751" s="27" t="s">
        <v>166</v>
      </c>
      <c r="EL751" s="27" t="s">
        <v>166</v>
      </c>
      <c r="EM751" s="27" t="s">
        <v>166</v>
      </c>
      <c r="EN751" s="27" t="s">
        <v>166</v>
      </c>
      <c r="EO751" s="27" t="s">
        <v>166</v>
      </c>
      <c r="EP751" s="27" t="s">
        <v>166</v>
      </c>
      <c r="EQ751" s="27" t="s">
        <v>166</v>
      </c>
      <c r="ER751" s="27" t="s">
        <v>166</v>
      </c>
      <c r="ES751" s="27" t="s">
        <v>166</v>
      </c>
      <c r="ET751" s="25" t="s">
        <v>166</v>
      </c>
      <c r="EU751" s="27" t="s">
        <v>166</v>
      </c>
      <c r="EV751" s="27" t="s">
        <v>166</v>
      </c>
      <c r="EW751" s="27" t="s">
        <v>166</v>
      </c>
      <c r="EX751" s="25" t="s">
        <v>190</v>
      </c>
      <c r="EY751" s="25" t="s">
        <v>166</v>
      </c>
      <c r="EZ751" s="27" t="s">
        <v>166</v>
      </c>
      <c r="FA751" s="26" t="s">
        <v>166</v>
      </c>
      <c r="FB751" s="26" t="s">
        <v>166</v>
      </c>
      <c r="FC751" s="26" t="s">
        <v>166</v>
      </c>
      <c r="FD751" s="26" t="s">
        <v>166</v>
      </c>
      <c r="FE751" s="26" t="s">
        <v>166</v>
      </c>
      <c r="FF751" s="26" t="s">
        <v>166</v>
      </c>
      <c r="FG751" s="25" t="s">
        <v>166</v>
      </c>
      <c r="FH751" s="4">
        <f>HYPERLINK("https://my.pitchbook.com?c=194415-13T","View Company Online")</f>
      </c>
    </row>
    <row r="752">
      <c r="A752" s="14" t="s">
        <v>14381</v>
      </c>
      <c r="B752" s="14" t="s">
        <v>14382</v>
      </c>
      <c r="C752" s="14" t="s">
        <v>14383</v>
      </c>
      <c r="D752" s="14" t="s">
        <v>166</v>
      </c>
      <c r="E752" s="23" t="s">
        <v>14384</v>
      </c>
      <c r="F752" s="21">
        <v>12</v>
      </c>
      <c r="G752" s="14" t="s">
        <v>14385</v>
      </c>
      <c r="H752" s="14" t="s">
        <v>166</v>
      </c>
      <c r="I752" s="14" t="s">
        <v>14386</v>
      </c>
      <c r="J752" s="14" t="s">
        <v>14387</v>
      </c>
      <c r="K752" s="14" t="s">
        <v>207</v>
      </c>
      <c r="L752" s="14" t="s">
        <v>208</v>
      </c>
      <c r="M752" s="14" t="s">
        <v>296</v>
      </c>
      <c r="N752" s="14" t="s">
        <v>14388</v>
      </c>
      <c r="O752" s="14" t="s">
        <v>2931</v>
      </c>
      <c r="P752" s="14" t="s">
        <v>14389</v>
      </c>
      <c r="Q752" s="14" t="s">
        <v>166</v>
      </c>
      <c r="R752" s="14" t="s">
        <v>177</v>
      </c>
      <c r="S752" s="14" t="s">
        <v>785</v>
      </c>
      <c r="T752" s="14" t="s">
        <v>179</v>
      </c>
      <c r="U752" s="14" t="s">
        <v>14390</v>
      </c>
      <c r="V752" s="14" t="s">
        <v>14391</v>
      </c>
      <c r="W752" s="21" t="s">
        <v>166</v>
      </c>
      <c r="X752" s="14" t="s">
        <v>166</v>
      </c>
      <c r="Y752" s="14" t="s">
        <v>14392</v>
      </c>
      <c r="Z752" s="14" t="s">
        <v>166</v>
      </c>
      <c r="AA752" s="14" t="s">
        <v>166</v>
      </c>
      <c r="AB752" s="14" t="s">
        <v>166</v>
      </c>
      <c r="AC752" s="14" t="s">
        <v>166</v>
      </c>
      <c r="AD752" s="14" t="s">
        <v>166</v>
      </c>
      <c r="AE752" s="14" t="s">
        <v>166</v>
      </c>
      <c r="AF752" s="14" t="s">
        <v>166</v>
      </c>
      <c r="AG752" s="14" t="s">
        <v>166</v>
      </c>
      <c r="AH752" s="21">
        <v>1</v>
      </c>
      <c r="AI752" s="3">
        <f>HYPERLINK("https://my.pitchbook.com/?d=215339-86T","215339-86T")</f>
      </c>
      <c r="AJ752" s="19" t="s">
        <v>166</v>
      </c>
      <c r="AK752" s="19">
        <v>44973</v>
      </c>
      <c r="AL752" s="18">
        <v>2</v>
      </c>
      <c r="AM752" s="14" t="s">
        <v>185</v>
      </c>
      <c r="AN752" s="18" t="s">
        <v>166</v>
      </c>
      <c r="AO752" s="18" t="s">
        <v>166</v>
      </c>
      <c r="AP752" s="14" t="s">
        <v>166</v>
      </c>
      <c r="AQ752" s="21" t="s">
        <v>166</v>
      </c>
      <c r="AR752" s="21" t="s">
        <v>166</v>
      </c>
      <c r="AS752" s="17" t="s">
        <v>166</v>
      </c>
      <c r="AT752" s="18">
        <v>2</v>
      </c>
      <c r="AU752" s="21" t="s">
        <v>186</v>
      </c>
      <c r="AV752" s="21" t="s">
        <v>166</v>
      </c>
      <c r="AW752" s="18" t="s">
        <v>166</v>
      </c>
      <c r="AX752" s="21" t="s">
        <v>166</v>
      </c>
      <c r="AY752" s="14" t="s">
        <v>217</v>
      </c>
      <c r="AZ752" s="14" t="s">
        <v>217</v>
      </c>
      <c r="BA752" s="14" t="s">
        <v>166</v>
      </c>
      <c r="BB752" s="21" t="s">
        <v>166</v>
      </c>
      <c r="BC752" s="14" t="s">
        <v>179</v>
      </c>
      <c r="BD752" s="14" t="s">
        <v>14393</v>
      </c>
      <c r="BE752" s="14" t="s">
        <v>189</v>
      </c>
      <c r="BF752" s="18">
        <v>2</v>
      </c>
      <c r="BG752" s="14" t="s">
        <v>190</v>
      </c>
      <c r="BH752" s="14" t="s">
        <v>166</v>
      </c>
      <c r="BI752" s="14" t="s">
        <v>166</v>
      </c>
      <c r="BJ752" s="18" t="s">
        <v>166</v>
      </c>
      <c r="BK752" s="18" t="s">
        <v>166</v>
      </c>
      <c r="BL752" s="14" t="s">
        <v>191</v>
      </c>
      <c r="BM752" s="14" t="s">
        <v>785</v>
      </c>
      <c r="BN752" s="14" t="s">
        <v>177</v>
      </c>
      <c r="BO752" s="22" t="s">
        <v>166</v>
      </c>
      <c r="BP752" s="14" t="s">
        <v>14394</v>
      </c>
      <c r="BQ752" s="21">
        <v>12</v>
      </c>
      <c r="BR752" s="14" t="s">
        <v>166</v>
      </c>
      <c r="BS752" s="21" t="s">
        <v>166</v>
      </c>
      <c r="BT752" s="14" t="s">
        <v>14395</v>
      </c>
      <c r="BU752" s="14" t="s">
        <v>166</v>
      </c>
      <c r="BV752" s="14" t="s">
        <v>14396</v>
      </c>
      <c r="BW752" s="14" t="s">
        <v>166</v>
      </c>
      <c r="BX752" s="14" t="s">
        <v>166</v>
      </c>
      <c r="BY752" s="14" t="s">
        <v>166</v>
      </c>
      <c r="BZ752" s="14" t="s">
        <v>166</v>
      </c>
      <c r="CA752" s="14" t="s">
        <v>166</v>
      </c>
      <c r="CB752" s="14" t="s">
        <v>166</v>
      </c>
      <c r="CC752" s="14" t="s">
        <v>166</v>
      </c>
      <c r="CD752" s="14" t="s">
        <v>166</v>
      </c>
      <c r="CE752" s="18" t="s">
        <v>166</v>
      </c>
      <c r="CF752" s="16" t="s">
        <v>166</v>
      </c>
      <c r="CG752" s="17" t="s">
        <v>166</v>
      </c>
      <c r="CH752" s="16" t="s">
        <v>166</v>
      </c>
      <c r="CI752" s="16" t="s">
        <v>166</v>
      </c>
      <c r="CJ752" s="16" t="s">
        <v>166</v>
      </c>
      <c r="CK752" s="16" t="s">
        <v>166</v>
      </c>
      <c r="CL752" s="16" t="s">
        <v>166</v>
      </c>
      <c r="CM752" s="20" t="s">
        <v>166</v>
      </c>
      <c r="CN752" s="16" t="s">
        <v>166</v>
      </c>
      <c r="CO752" s="16" t="s">
        <v>166</v>
      </c>
      <c r="CP752" s="16" t="s">
        <v>166</v>
      </c>
      <c r="CQ752" s="16" t="s">
        <v>166</v>
      </c>
      <c r="CR752" s="16" t="s">
        <v>166</v>
      </c>
      <c r="CS752" s="16" t="s">
        <v>166</v>
      </c>
      <c r="CT752" s="16" t="s">
        <v>166</v>
      </c>
      <c r="CU752" s="16" t="s">
        <v>166</v>
      </c>
      <c r="CV752" s="16" t="s">
        <v>166</v>
      </c>
      <c r="CW752" s="16" t="s">
        <v>166</v>
      </c>
      <c r="CX752" s="16" t="s">
        <v>166</v>
      </c>
      <c r="CY752" s="16" t="s">
        <v>166</v>
      </c>
      <c r="CZ752" s="16" t="s">
        <v>166</v>
      </c>
      <c r="DA752" s="16" t="s">
        <v>166</v>
      </c>
      <c r="DB752" s="16" t="s">
        <v>166</v>
      </c>
      <c r="DC752" s="16" t="s">
        <v>166</v>
      </c>
      <c r="DD752" s="16" t="s">
        <v>166</v>
      </c>
      <c r="DE752" s="17" t="s">
        <v>166</v>
      </c>
      <c r="DF752" s="22">
        <v>3</v>
      </c>
      <c r="DG752" s="14" t="s">
        <v>673</v>
      </c>
      <c r="DH752" s="14" t="s">
        <v>193</v>
      </c>
      <c r="DI752" s="14" t="s">
        <v>194</v>
      </c>
      <c r="DJ752" s="14" t="s">
        <v>674</v>
      </c>
      <c r="DK752" s="14" t="s">
        <v>257</v>
      </c>
      <c r="DL752" s="21" t="s">
        <v>166</v>
      </c>
      <c r="DM752" s="14" t="s">
        <v>198</v>
      </c>
      <c r="DN752" s="13" t="s">
        <v>14397</v>
      </c>
      <c r="DO752" s="20">
        <v>2022</v>
      </c>
      <c r="DP752" s="14" t="s">
        <v>166</v>
      </c>
      <c r="DQ752" s="14" t="s">
        <v>166</v>
      </c>
      <c r="DR752" s="18" t="s">
        <v>166</v>
      </c>
      <c r="DS752" s="16" t="s">
        <v>166</v>
      </c>
      <c r="DT752" s="19" t="s">
        <v>166</v>
      </c>
      <c r="DU752" s="14" t="s">
        <v>166</v>
      </c>
      <c r="DV752" s="18" t="s">
        <v>166</v>
      </c>
      <c r="DW752" s="18" t="s">
        <v>166</v>
      </c>
      <c r="DX752" s="16" t="s">
        <v>166</v>
      </c>
      <c r="DY752" s="16" t="s">
        <v>166</v>
      </c>
      <c r="DZ752" s="17" t="s">
        <v>166</v>
      </c>
      <c r="EA752" s="16" t="s">
        <v>166</v>
      </c>
      <c r="EB752" s="16" t="s">
        <v>166</v>
      </c>
      <c r="EC752" s="16" t="s">
        <v>166</v>
      </c>
      <c r="ED752" s="17" t="s">
        <v>166</v>
      </c>
      <c r="EE752" s="17" t="s">
        <v>166</v>
      </c>
      <c r="EF752" s="17" t="s">
        <v>166</v>
      </c>
      <c r="EG752" s="17" t="s">
        <v>166</v>
      </c>
      <c r="EH752" s="16" t="s">
        <v>166</v>
      </c>
      <c r="EI752" s="16" t="s">
        <v>166</v>
      </c>
      <c r="EJ752" s="16" t="s">
        <v>166</v>
      </c>
      <c r="EK752" s="16" t="s">
        <v>166</v>
      </c>
      <c r="EL752" s="16" t="s">
        <v>166</v>
      </c>
      <c r="EM752" s="16" t="s">
        <v>166</v>
      </c>
      <c r="EN752" s="16" t="s">
        <v>166</v>
      </c>
      <c r="EO752" s="16" t="s">
        <v>166</v>
      </c>
      <c r="EP752" s="16" t="s">
        <v>166</v>
      </c>
      <c r="EQ752" s="16" t="s">
        <v>166</v>
      </c>
      <c r="ER752" s="16" t="s">
        <v>166</v>
      </c>
      <c r="ES752" s="16" t="s">
        <v>166</v>
      </c>
      <c r="ET752" s="14" t="s">
        <v>166</v>
      </c>
      <c r="EU752" s="16" t="s">
        <v>166</v>
      </c>
      <c r="EV752" s="16" t="s">
        <v>166</v>
      </c>
      <c r="EW752" s="16" t="s">
        <v>166</v>
      </c>
      <c r="EX752" s="14" t="s">
        <v>190</v>
      </c>
      <c r="EY752" s="14" t="s">
        <v>166</v>
      </c>
      <c r="EZ752" s="16" t="s">
        <v>166</v>
      </c>
      <c r="FA752" s="15" t="s">
        <v>166</v>
      </c>
      <c r="FB752" s="15" t="s">
        <v>166</v>
      </c>
      <c r="FC752" s="15" t="s">
        <v>166</v>
      </c>
      <c r="FD752" s="15" t="s">
        <v>166</v>
      </c>
      <c r="FE752" s="15" t="s">
        <v>166</v>
      </c>
      <c r="FF752" s="15" t="s">
        <v>166</v>
      </c>
      <c r="FG752" s="14" t="s">
        <v>166</v>
      </c>
      <c r="FH752" s="3">
        <f>HYPERLINK("https://my.pitchbook.com?c=215339-86T","View Company Online")</f>
      </c>
    </row>
    <row r="753">
      <c r="A753" s="25" t="s">
        <v>14398</v>
      </c>
      <c r="B753" s="25" t="s">
        <v>14399</v>
      </c>
      <c r="C753" s="25" t="s">
        <v>14400</v>
      </c>
      <c r="D753" s="25" t="s">
        <v>166</v>
      </c>
      <c r="E753" s="34" t="s">
        <v>14401</v>
      </c>
      <c r="F753" s="32">
        <v>7</v>
      </c>
      <c r="G753" s="25" t="s">
        <v>14402</v>
      </c>
      <c r="H753" s="25" t="s">
        <v>166</v>
      </c>
      <c r="I753" s="25" t="s">
        <v>14403</v>
      </c>
      <c r="J753" s="25" t="s">
        <v>14404</v>
      </c>
      <c r="K753" s="25" t="s">
        <v>207</v>
      </c>
      <c r="L753" s="25" t="s">
        <v>208</v>
      </c>
      <c r="M753" s="25" t="s">
        <v>882</v>
      </c>
      <c r="N753" s="25" t="s">
        <v>1416</v>
      </c>
      <c r="O753" s="25" t="s">
        <v>580</v>
      </c>
      <c r="P753" s="25" t="s">
        <v>14405</v>
      </c>
      <c r="Q753" s="25" t="s">
        <v>166</v>
      </c>
      <c r="R753" s="25" t="s">
        <v>177</v>
      </c>
      <c r="S753" s="25" t="s">
        <v>178</v>
      </c>
      <c r="T753" s="25" t="s">
        <v>179</v>
      </c>
      <c r="U753" s="25" t="s">
        <v>14406</v>
      </c>
      <c r="V753" s="25" t="s">
        <v>14407</v>
      </c>
      <c r="W753" s="32" t="s">
        <v>166</v>
      </c>
      <c r="X753" s="25" t="s">
        <v>166</v>
      </c>
      <c r="Y753" s="25" t="s">
        <v>14408</v>
      </c>
      <c r="Z753" s="25" t="s">
        <v>14409</v>
      </c>
      <c r="AA753" s="25" t="s">
        <v>242</v>
      </c>
      <c r="AB753" s="25" t="s">
        <v>243</v>
      </c>
      <c r="AC753" s="25" t="s">
        <v>244</v>
      </c>
      <c r="AD753" s="25" t="s">
        <v>243</v>
      </c>
      <c r="AE753" s="25" t="s">
        <v>243</v>
      </c>
      <c r="AF753" s="25" t="s">
        <v>166</v>
      </c>
      <c r="AG753" s="25" t="s">
        <v>807</v>
      </c>
      <c r="AH753" s="32">
        <v>1</v>
      </c>
      <c r="AI753" s="4">
        <f>HYPERLINK("https://my.pitchbook.com/?d=272946-34T","272946-34T")</f>
      </c>
      <c r="AJ753" s="30" t="s">
        <v>166</v>
      </c>
      <c r="AK753" s="30">
        <v>45532</v>
      </c>
      <c r="AL753" s="29">
        <v>4.48</v>
      </c>
      <c r="AM753" s="25" t="s">
        <v>185</v>
      </c>
      <c r="AN753" s="29">
        <v>13.99</v>
      </c>
      <c r="AO753" s="29">
        <v>18.48</v>
      </c>
      <c r="AP753" s="25" t="s">
        <v>185</v>
      </c>
      <c r="AQ753" s="32" t="s">
        <v>166</v>
      </c>
      <c r="AR753" s="32" t="s">
        <v>166</v>
      </c>
      <c r="AS753" s="28">
        <v>24.28</v>
      </c>
      <c r="AT753" s="29">
        <v>4.48</v>
      </c>
      <c r="AU753" s="32" t="s">
        <v>186</v>
      </c>
      <c r="AV753" s="32" t="s">
        <v>166</v>
      </c>
      <c r="AW753" s="29">
        <v>1.34</v>
      </c>
      <c r="AX753" s="32" t="s">
        <v>166</v>
      </c>
      <c r="AY753" s="25" t="s">
        <v>217</v>
      </c>
      <c r="AZ753" s="25" t="s">
        <v>217</v>
      </c>
      <c r="BA753" s="25" t="s">
        <v>166</v>
      </c>
      <c r="BB753" s="32" t="s">
        <v>166</v>
      </c>
      <c r="BC753" s="25" t="s">
        <v>179</v>
      </c>
      <c r="BD753" s="25" t="s">
        <v>14410</v>
      </c>
      <c r="BE753" s="25" t="s">
        <v>189</v>
      </c>
      <c r="BF753" s="29">
        <v>4.48</v>
      </c>
      <c r="BG753" s="25" t="s">
        <v>190</v>
      </c>
      <c r="BH753" s="25" t="s">
        <v>166</v>
      </c>
      <c r="BI753" s="25" t="s">
        <v>166</v>
      </c>
      <c r="BJ753" s="29" t="s">
        <v>166</v>
      </c>
      <c r="BK753" s="29" t="s">
        <v>166</v>
      </c>
      <c r="BL753" s="25" t="s">
        <v>191</v>
      </c>
      <c r="BM753" s="25" t="s">
        <v>178</v>
      </c>
      <c r="BN753" s="25" t="s">
        <v>177</v>
      </c>
      <c r="BO753" s="33" t="s">
        <v>166</v>
      </c>
      <c r="BP753" s="25" t="s">
        <v>14411</v>
      </c>
      <c r="BQ753" s="32">
        <v>7</v>
      </c>
      <c r="BR753" s="25" t="s">
        <v>166</v>
      </c>
      <c r="BS753" s="32" t="s">
        <v>166</v>
      </c>
      <c r="BT753" s="25" t="s">
        <v>14412</v>
      </c>
      <c r="BU753" s="25" t="s">
        <v>166</v>
      </c>
      <c r="BV753" s="25" t="s">
        <v>166</v>
      </c>
      <c r="BW753" s="25" t="s">
        <v>166</v>
      </c>
      <c r="BX753" s="25" t="s">
        <v>166</v>
      </c>
      <c r="BY753" s="25" t="s">
        <v>166</v>
      </c>
      <c r="BZ753" s="25" t="s">
        <v>14413</v>
      </c>
      <c r="CA753" s="25" t="s">
        <v>14414</v>
      </c>
      <c r="CB753" s="25" t="s">
        <v>166</v>
      </c>
      <c r="CC753" s="25" t="s">
        <v>14415</v>
      </c>
      <c r="CD753" s="25" t="s">
        <v>166</v>
      </c>
      <c r="CE753" s="29" t="s">
        <v>166</v>
      </c>
      <c r="CF753" s="27" t="s">
        <v>166</v>
      </c>
      <c r="CG753" s="28" t="s">
        <v>166</v>
      </c>
      <c r="CH753" s="27" t="s">
        <v>166</v>
      </c>
      <c r="CI753" s="27" t="s">
        <v>166</v>
      </c>
      <c r="CJ753" s="27" t="s">
        <v>166</v>
      </c>
      <c r="CK753" s="27" t="s">
        <v>166</v>
      </c>
      <c r="CL753" s="27" t="s">
        <v>166</v>
      </c>
      <c r="CM753" s="31" t="s">
        <v>166</v>
      </c>
      <c r="CN753" s="27" t="s">
        <v>166</v>
      </c>
      <c r="CO753" s="27" t="s">
        <v>166</v>
      </c>
      <c r="CP753" s="27" t="s">
        <v>166</v>
      </c>
      <c r="CQ753" s="27" t="s">
        <v>166</v>
      </c>
      <c r="CR753" s="27" t="s">
        <v>166</v>
      </c>
      <c r="CS753" s="27" t="s">
        <v>166</v>
      </c>
      <c r="CT753" s="27" t="s">
        <v>166</v>
      </c>
      <c r="CU753" s="27" t="s">
        <v>166</v>
      </c>
      <c r="CV753" s="27" t="s">
        <v>166</v>
      </c>
      <c r="CW753" s="27" t="s">
        <v>166</v>
      </c>
      <c r="CX753" s="27" t="s">
        <v>166</v>
      </c>
      <c r="CY753" s="27" t="s">
        <v>166</v>
      </c>
      <c r="CZ753" s="27" t="s">
        <v>166</v>
      </c>
      <c r="DA753" s="27" t="s">
        <v>166</v>
      </c>
      <c r="DB753" s="27" t="s">
        <v>166</v>
      </c>
      <c r="DC753" s="27" t="s">
        <v>166</v>
      </c>
      <c r="DD753" s="27" t="s">
        <v>166</v>
      </c>
      <c r="DE753" s="28" t="s">
        <v>166</v>
      </c>
      <c r="DF753" s="33">
        <v>9</v>
      </c>
      <c r="DG753" s="25" t="s">
        <v>309</v>
      </c>
      <c r="DH753" s="25" t="s">
        <v>193</v>
      </c>
      <c r="DI753" s="25" t="s">
        <v>194</v>
      </c>
      <c r="DJ753" s="25" t="s">
        <v>310</v>
      </c>
      <c r="DK753" s="25" t="s">
        <v>310</v>
      </c>
      <c r="DL753" s="32" t="s">
        <v>166</v>
      </c>
      <c r="DM753" s="25" t="s">
        <v>198</v>
      </c>
      <c r="DN753" s="24" t="s">
        <v>14416</v>
      </c>
      <c r="DO753" s="31">
        <v>2024</v>
      </c>
      <c r="DP753" s="25" t="s">
        <v>166</v>
      </c>
      <c r="DQ753" s="25" t="s">
        <v>166</v>
      </c>
      <c r="DR753" s="29" t="s">
        <v>166</v>
      </c>
      <c r="DS753" s="27" t="s">
        <v>166</v>
      </c>
      <c r="DT753" s="30" t="s">
        <v>166</v>
      </c>
      <c r="DU753" s="25" t="s">
        <v>166</v>
      </c>
      <c r="DV753" s="29" t="s">
        <v>166</v>
      </c>
      <c r="DW753" s="29" t="s">
        <v>166</v>
      </c>
      <c r="DX753" s="27" t="s">
        <v>166</v>
      </c>
      <c r="DY753" s="27" t="s">
        <v>166</v>
      </c>
      <c r="DZ753" s="28" t="s">
        <v>166</v>
      </c>
      <c r="EA753" s="27" t="s">
        <v>166</v>
      </c>
      <c r="EB753" s="27" t="s">
        <v>166</v>
      </c>
      <c r="EC753" s="27" t="s">
        <v>166</v>
      </c>
      <c r="ED753" s="28" t="s">
        <v>166</v>
      </c>
      <c r="EE753" s="28" t="s">
        <v>166</v>
      </c>
      <c r="EF753" s="28" t="s">
        <v>166</v>
      </c>
      <c r="EG753" s="28" t="s">
        <v>166</v>
      </c>
      <c r="EH753" s="27" t="s">
        <v>166</v>
      </c>
      <c r="EI753" s="27" t="s">
        <v>166</v>
      </c>
      <c r="EJ753" s="27" t="s">
        <v>166</v>
      </c>
      <c r="EK753" s="27" t="s">
        <v>166</v>
      </c>
      <c r="EL753" s="27" t="s">
        <v>166</v>
      </c>
      <c r="EM753" s="27" t="s">
        <v>166</v>
      </c>
      <c r="EN753" s="27" t="s">
        <v>166</v>
      </c>
      <c r="EO753" s="27" t="s">
        <v>166</v>
      </c>
      <c r="EP753" s="27" t="s">
        <v>166</v>
      </c>
      <c r="EQ753" s="27" t="s">
        <v>166</v>
      </c>
      <c r="ER753" s="27" t="s">
        <v>166</v>
      </c>
      <c r="ES753" s="27" t="s">
        <v>166</v>
      </c>
      <c r="ET753" s="25" t="s">
        <v>166</v>
      </c>
      <c r="EU753" s="27" t="s">
        <v>166</v>
      </c>
      <c r="EV753" s="27" t="s">
        <v>166</v>
      </c>
      <c r="EW753" s="27" t="s">
        <v>166</v>
      </c>
      <c r="EX753" s="25" t="s">
        <v>190</v>
      </c>
      <c r="EY753" s="25" t="s">
        <v>166</v>
      </c>
      <c r="EZ753" s="27" t="s">
        <v>166</v>
      </c>
      <c r="FA753" s="26" t="s">
        <v>166</v>
      </c>
      <c r="FB753" s="26" t="s">
        <v>166</v>
      </c>
      <c r="FC753" s="26" t="s">
        <v>166</v>
      </c>
      <c r="FD753" s="26" t="s">
        <v>166</v>
      </c>
      <c r="FE753" s="26" t="s">
        <v>166</v>
      </c>
      <c r="FF753" s="26" t="s">
        <v>166</v>
      </c>
      <c r="FG753" s="25" t="s">
        <v>166</v>
      </c>
      <c r="FH753" s="4">
        <f>HYPERLINK("https://my.pitchbook.com?c=272946-34T","View Company Online")</f>
      </c>
    </row>
    <row r="754">
      <c r="A754" s="14" t="s">
        <v>14417</v>
      </c>
      <c r="B754" s="14" t="s">
        <v>14418</v>
      </c>
      <c r="C754" s="14" t="s">
        <v>14419</v>
      </c>
      <c r="D754" s="14" t="s">
        <v>166</v>
      </c>
      <c r="E754" s="23" t="s">
        <v>14420</v>
      </c>
      <c r="F754" s="21">
        <v>3</v>
      </c>
      <c r="G754" s="14" t="s">
        <v>14421</v>
      </c>
      <c r="H754" s="14" t="s">
        <v>166</v>
      </c>
      <c r="I754" s="14" t="s">
        <v>14422</v>
      </c>
      <c r="J754" s="14" t="s">
        <v>14423</v>
      </c>
      <c r="K754" s="14" t="s">
        <v>171</v>
      </c>
      <c r="L754" s="14" t="s">
        <v>172</v>
      </c>
      <c r="M754" s="14" t="s">
        <v>173</v>
      </c>
      <c r="N754" s="14" t="s">
        <v>2890</v>
      </c>
      <c r="O754" s="14" t="s">
        <v>14424</v>
      </c>
      <c r="P754" s="14" t="s">
        <v>14425</v>
      </c>
      <c r="Q754" s="14" t="s">
        <v>166</v>
      </c>
      <c r="R754" s="14" t="s">
        <v>177</v>
      </c>
      <c r="S754" s="14" t="s">
        <v>178</v>
      </c>
      <c r="T754" s="14" t="s">
        <v>179</v>
      </c>
      <c r="U754" s="14" t="s">
        <v>14426</v>
      </c>
      <c r="V754" s="14" t="s">
        <v>14427</v>
      </c>
      <c r="W754" s="21" t="s">
        <v>14428</v>
      </c>
      <c r="X754" s="14" t="s">
        <v>14429</v>
      </c>
      <c r="Y754" s="14" t="s">
        <v>14430</v>
      </c>
      <c r="Z754" s="14" t="s">
        <v>14431</v>
      </c>
      <c r="AA754" s="14" t="s">
        <v>166</v>
      </c>
      <c r="AB754" s="14" t="s">
        <v>166</v>
      </c>
      <c r="AC754" s="14" t="s">
        <v>166</v>
      </c>
      <c r="AD754" s="14" t="s">
        <v>166</v>
      </c>
      <c r="AE754" s="14" t="s">
        <v>166</v>
      </c>
      <c r="AF754" s="14" t="s">
        <v>166</v>
      </c>
      <c r="AG754" s="14" t="s">
        <v>166</v>
      </c>
      <c r="AH754" s="21">
        <v>2</v>
      </c>
      <c r="AI754" s="3">
        <f>HYPERLINK("https://my.pitchbook.com/?d=167746-06T","167746-06T")</f>
      </c>
      <c r="AJ754" s="19" t="s">
        <v>166</v>
      </c>
      <c r="AK754" s="19">
        <v>44529</v>
      </c>
      <c r="AL754" s="18">
        <v>0.62</v>
      </c>
      <c r="AM754" s="14" t="s">
        <v>185</v>
      </c>
      <c r="AN754" s="18" t="s">
        <v>166</v>
      </c>
      <c r="AO754" s="18" t="s">
        <v>166</v>
      </c>
      <c r="AP754" s="14" t="s">
        <v>166</v>
      </c>
      <c r="AQ754" s="21" t="s">
        <v>166</v>
      </c>
      <c r="AR754" s="21" t="s">
        <v>166</v>
      </c>
      <c r="AS754" s="17" t="s">
        <v>166</v>
      </c>
      <c r="AT754" s="18">
        <v>0.1</v>
      </c>
      <c r="AU754" s="21" t="s">
        <v>186</v>
      </c>
      <c r="AV754" s="21" t="s">
        <v>166</v>
      </c>
      <c r="AW754" s="18" t="s">
        <v>166</v>
      </c>
      <c r="AX754" s="21" t="s">
        <v>166</v>
      </c>
      <c r="AY754" s="14" t="s">
        <v>217</v>
      </c>
      <c r="AZ754" s="14" t="s">
        <v>217</v>
      </c>
      <c r="BA754" s="14" t="s">
        <v>166</v>
      </c>
      <c r="BB754" s="21" t="s">
        <v>166</v>
      </c>
      <c r="BC754" s="14" t="s">
        <v>179</v>
      </c>
      <c r="BD754" s="14" t="s">
        <v>14432</v>
      </c>
      <c r="BE754" s="14" t="s">
        <v>189</v>
      </c>
      <c r="BF754" s="18">
        <v>0.1</v>
      </c>
      <c r="BG754" s="14" t="s">
        <v>190</v>
      </c>
      <c r="BH754" s="14" t="s">
        <v>166</v>
      </c>
      <c r="BI754" s="14" t="s">
        <v>166</v>
      </c>
      <c r="BJ754" s="18" t="s">
        <v>166</v>
      </c>
      <c r="BK754" s="18" t="s">
        <v>166</v>
      </c>
      <c r="BL754" s="14" t="s">
        <v>191</v>
      </c>
      <c r="BM754" s="14" t="s">
        <v>178</v>
      </c>
      <c r="BN754" s="14" t="s">
        <v>177</v>
      </c>
      <c r="BO754" s="22" t="s">
        <v>166</v>
      </c>
      <c r="BP754" s="14" t="s">
        <v>14420</v>
      </c>
      <c r="BQ754" s="21">
        <v>3</v>
      </c>
      <c r="BR754" s="14" t="s">
        <v>166</v>
      </c>
      <c r="BS754" s="21" t="s">
        <v>166</v>
      </c>
      <c r="BT754" s="14" t="s">
        <v>166</v>
      </c>
      <c r="BU754" s="14" t="s">
        <v>166</v>
      </c>
      <c r="BV754" s="14" t="s">
        <v>14433</v>
      </c>
      <c r="BW754" s="14" t="s">
        <v>166</v>
      </c>
      <c r="BX754" s="14" t="s">
        <v>166</v>
      </c>
      <c r="BY754" s="14" t="s">
        <v>166</v>
      </c>
      <c r="BZ754" s="14" t="s">
        <v>166</v>
      </c>
      <c r="CA754" s="14" t="s">
        <v>166</v>
      </c>
      <c r="CB754" s="14" t="s">
        <v>166</v>
      </c>
      <c r="CC754" s="14" t="s">
        <v>166</v>
      </c>
      <c r="CD754" s="14" t="s">
        <v>166</v>
      </c>
      <c r="CE754" s="18" t="s">
        <v>166</v>
      </c>
      <c r="CF754" s="16">
        <v>0.28</v>
      </c>
      <c r="CG754" s="17" t="s">
        <v>166</v>
      </c>
      <c r="CH754" s="16" t="s">
        <v>166</v>
      </c>
      <c r="CI754" s="16" t="s">
        <v>166</v>
      </c>
      <c r="CJ754" s="16" t="s">
        <v>166</v>
      </c>
      <c r="CK754" s="16" t="s">
        <v>166</v>
      </c>
      <c r="CL754" s="16" t="s">
        <v>166</v>
      </c>
      <c r="CM754" s="20">
        <v>2021</v>
      </c>
      <c r="CN754" s="16" t="s">
        <v>166</v>
      </c>
      <c r="CO754" s="16" t="s">
        <v>166</v>
      </c>
      <c r="CP754" s="16" t="s">
        <v>166</v>
      </c>
      <c r="CQ754" s="16" t="s">
        <v>166</v>
      </c>
      <c r="CR754" s="16" t="s">
        <v>166</v>
      </c>
      <c r="CS754" s="16" t="s">
        <v>166</v>
      </c>
      <c r="CT754" s="16" t="s">
        <v>166</v>
      </c>
      <c r="CU754" s="16" t="s">
        <v>166</v>
      </c>
      <c r="CV754" s="16">
        <v>2.21</v>
      </c>
      <c r="CW754" s="16" t="s">
        <v>166</v>
      </c>
      <c r="CX754" s="16" t="s">
        <v>166</v>
      </c>
      <c r="CY754" s="16" t="s">
        <v>166</v>
      </c>
      <c r="CZ754" s="16" t="s">
        <v>166</v>
      </c>
      <c r="DA754" s="16" t="s">
        <v>166</v>
      </c>
      <c r="DB754" s="16" t="s">
        <v>166</v>
      </c>
      <c r="DC754" s="16" t="s">
        <v>166</v>
      </c>
      <c r="DD754" s="16" t="s">
        <v>166</v>
      </c>
      <c r="DE754" s="17" t="s">
        <v>166</v>
      </c>
      <c r="DF754" s="22">
        <v>12</v>
      </c>
      <c r="DG754" s="14" t="s">
        <v>309</v>
      </c>
      <c r="DH754" s="14" t="s">
        <v>193</v>
      </c>
      <c r="DI754" s="14" t="s">
        <v>194</v>
      </c>
      <c r="DJ754" s="14" t="s">
        <v>310</v>
      </c>
      <c r="DK754" s="14" t="s">
        <v>310</v>
      </c>
      <c r="DL754" s="21" t="s">
        <v>4265</v>
      </c>
      <c r="DM754" s="14" t="s">
        <v>198</v>
      </c>
      <c r="DN754" s="13" t="s">
        <v>14434</v>
      </c>
      <c r="DO754" s="20">
        <v>2018</v>
      </c>
      <c r="DP754" s="14" t="s">
        <v>166</v>
      </c>
      <c r="DQ754" s="14" t="s">
        <v>166</v>
      </c>
      <c r="DR754" s="18" t="s">
        <v>166</v>
      </c>
      <c r="DS754" s="16" t="s">
        <v>166</v>
      </c>
      <c r="DT754" s="19" t="s">
        <v>166</v>
      </c>
      <c r="DU754" s="14" t="s">
        <v>166</v>
      </c>
      <c r="DV754" s="18" t="s">
        <v>166</v>
      </c>
      <c r="DW754" s="18" t="s">
        <v>166</v>
      </c>
      <c r="DX754" s="16" t="s">
        <v>166</v>
      </c>
      <c r="DY754" s="16" t="s">
        <v>166</v>
      </c>
      <c r="DZ754" s="17" t="s">
        <v>166</v>
      </c>
      <c r="EA754" s="16" t="s">
        <v>166</v>
      </c>
      <c r="EB754" s="16" t="s">
        <v>166</v>
      </c>
      <c r="EC754" s="16" t="s">
        <v>166</v>
      </c>
      <c r="ED754" s="17" t="s">
        <v>166</v>
      </c>
      <c r="EE754" s="17" t="s">
        <v>166</v>
      </c>
      <c r="EF754" s="17" t="s">
        <v>166</v>
      </c>
      <c r="EG754" s="17" t="s">
        <v>166</v>
      </c>
      <c r="EH754" s="16" t="s">
        <v>166</v>
      </c>
      <c r="EI754" s="16" t="s">
        <v>166</v>
      </c>
      <c r="EJ754" s="16" t="s">
        <v>166</v>
      </c>
      <c r="EK754" s="16" t="s">
        <v>166</v>
      </c>
      <c r="EL754" s="16" t="s">
        <v>166</v>
      </c>
      <c r="EM754" s="16" t="s">
        <v>166</v>
      </c>
      <c r="EN754" s="16" t="s">
        <v>166</v>
      </c>
      <c r="EO754" s="16" t="s">
        <v>166</v>
      </c>
      <c r="EP754" s="16" t="s">
        <v>166</v>
      </c>
      <c r="EQ754" s="16" t="s">
        <v>166</v>
      </c>
      <c r="ER754" s="16" t="s">
        <v>166</v>
      </c>
      <c r="ES754" s="16" t="s">
        <v>166</v>
      </c>
      <c r="ET754" s="14" t="s">
        <v>166</v>
      </c>
      <c r="EU754" s="16" t="s">
        <v>166</v>
      </c>
      <c r="EV754" s="16" t="s">
        <v>166</v>
      </c>
      <c r="EW754" s="16" t="s">
        <v>166</v>
      </c>
      <c r="EX754" s="14" t="s">
        <v>190</v>
      </c>
      <c r="EY754" s="14" t="s">
        <v>166</v>
      </c>
      <c r="EZ754" s="16" t="s">
        <v>166</v>
      </c>
      <c r="FA754" s="15">
        <v>3</v>
      </c>
      <c r="FB754" s="15">
        <v>2</v>
      </c>
      <c r="FC754" s="15" t="s">
        <v>166</v>
      </c>
      <c r="FD754" s="15">
        <v>1</v>
      </c>
      <c r="FE754" s="15" t="s">
        <v>166</v>
      </c>
      <c r="FF754" s="15">
        <v>2</v>
      </c>
      <c r="FG754" s="14" t="s">
        <v>775</v>
      </c>
      <c r="FH754" s="3">
        <f>HYPERLINK("https://my.pitchbook.com?c=167746-06T","View Company Online")</f>
      </c>
    </row>
    <row r="755">
      <c r="A755" s="25" t="s">
        <v>14435</v>
      </c>
      <c r="B755" s="25" t="s">
        <v>14436</v>
      </c>
      <c r="C755" s="25" t="s">
        <v>14437</v>
      </c>
      <c r="D755" s="25" t="s">
        <v>166</v>
      </c>
      <c r="E755" s="34" t="s">
        <v>14438</v>
      </c>
      <c r="F755" s="32">
        <v>13</v>
      </c>
      <c r="G755" s="25" t="s">
        <v>14439</v>
      </c>
      <c r="H755" s="25" t="s">
        <v>166</v>
      </c>
      <c r="I755" s="25" t="s">
        <v>14440</v>
      </c>
      <c r="J755" s="25" t="s">
        <v>14441</v>
      </c>
      <c r="K755" s="25" t="s">
        <v>207</v>
      </c>
      <c r="L755" s="25" t="s">
        <v>208</v>
      </c>
      <c r="M755" s="25" t="s">
        <v>296</v>
      </c>
      <c r="N755" s="25" t="s">
        <v>14442</v>
      </c>
      <c r="O755" s="25" t="s">
        <v>14443</v>
      </c>
      <c r="P755" s="25" t="s">
        <v>14444</v>
      </c>
      <c r="Q755" s="25" t="s">
        <v>166</v>
      </c>
      <c r="R755" s="25" t="s">
        <v>177</v>
      </c>
      <c r="S755" s="25" t="s">
        <v>178</v>
      </c>
      <c r="T755" s="25" t="s">
        <v>179</v>
      </c>
      <c r="U755" s="25" t="s">
        <v>14445</v>
      </c>
      <c r="V755" s="25" t="s">
        <v>14446</v>
      </c>
      <c r="W755" s="32" t="s">
        <v>14447</v>
      </c>
      <c r="X755" s="25" t="s">
        <v>14448</v>
      </c>
      <c r="Y755" s="25" t="s">
        <v>14449</v>
      </c>
      <c r="Z755" s="25" t="s">
        <v>166</v>
      </c>
      <c r="AA755" s="25" t="s">
        <v>242</v>
      </c>
      <c r="AB755" s="25" t="s">
        <v>243</v>
      </c>
      <c r="AC755" s="25" t="s">
        <v>244</v>
      </c>
      <c r="AD755" s="25" t="s">
        <v>243</v>
      </c>
      <c r="AE755" s="25" t="s">
        <v>243</v>
      </c>
      <c r="AF755" s="25" t="s">
        <v>245</v>
      </c>
      <c r="AG755" s="25" t="s">
        <v>246</v>
      </c>
      <c r="AH755" s="32">
        <v>1</v>
      </c>
      <c r="AI755" s="4">
        <f>HYPERLINK("https://my.pitchbook.com/?d=172079-83T","172079-83T")</f>
      </c>
      <c r="AJ755" s="30" t="s">
        <v>166</v>
      </c>
      <c r="AK755" s="30">
        <v>44328</v>
      </c>
      <c r="AL755" s="29">
        <v>3.42</v>
      </c>
      <c r="AM755" s="25" t="s">
        <v>185</v>
      </c>
      <c r="AN755" s="29">
        <v>6.5</v>
      </c>
      <c r="AO755" s="29">
        <v>9.92</v>
      </c>
      <c r="AP755" s="25" t="s">
        <v>185</v>
      </c>
      <c r="AQ755" s="32" t="s">
        <v>166</v>
      </c>
      <c r="AR755" s="32" t="s">
        <v>166</v>
      </c>
      <c r="AS755" s="28">
        <v>36.88</v>
      </c>
      <c r="AT755" s="29">
        <v>3.42</v>
      </c>
      <c r="AU755" s="32" t="s">
        <v>186</v>
      </c>
      <c r="AV755" s="32" t="s">
        <v>166</v>
      </c>
      <c r="AW755" s="29">
        <v>0.49</v>
      </c>
      <c r="AX755" s="32" t="s">
        <v>166</v>
      </c>
      <c r="AY755" s="25" t="s">
        <v>217</v>
      </c>
      <c r="AZ755" s="25" t="s">
        <v>217</v>
      </c>
      <c r="BA755" s="25" t="s">
        <v>166</v>
      </c>
      <c r="BB755" s="32" t="s">
        <v>166</v>
      </c>
      <c r="BC755" s="25" t="s">
        <v>179</v>
      </c>
      <c r="BD755" s="25" t="s">
        <v>14450</v>
      </c>
      <c r="BE755" s="25" t="s">
        <v>189</v>
      </c>
      <c r="BF755" s="29">
        <v>3.42</v>
      </c>
      <c r="BG755" s="25" t="s">
        <v>190</v>
      </c>
      <c r="BH755" s="25" t="s">
        <v>166</v>
      </c>
      <c r="BI755" s="25" t="s">
        <v>166</v>
      </c>
      <c r="BJ755" s="29" t="s">
        <v>166</v>
      </c>
      <c r="BK755" s="29" t="s">
        <v>166</v>
      </c>
      <c r="BL755" s="25" t="s">
        <v>191</v>
      </c>
      <c r="BM755" s="25" t="s">
        <v>178</v>
      </c>
      <c r="BN755" s="25" t="s">
        <v>177</v>
      </c>
      <c r="BO755" s="33" t="s">
        <v>166</v>
      </c>
      <c r="BP755" s="25" t="s">
        <v>14451</v>
      </c>
      <c r="BQ755" s="32">
        <v>13</v>
      </c>
      <c r="BR755" s="25" t="s">
        <v>166</v>
      </c>
      <c r="BS755" s="32" t="s">
        <v>166</v>
      </c>
      <c r="BT755" s="25" t="s">
        <v>14452</v>
      </c>
      <c r="BU755" s="25" t="s">
        <v>166</v>
      </c>
      <c r="BV755" s="25" t="s">
        <v>14453</v>
      </c>
      <c r="BW755" s="25" t="s">
        <v>166</v>
      </c>
      <c r="BX755" s="25" t="s">
        <v>166</v>
      </c>
      <c r="BY755" s="25" t="s">
        <v>166</v>
      </c>
      <c r="BZ755" s="25" t="s">
        <v>14454</v>
      </c>
      <c r="CA755" s="25" t="s">
        <v>14454</v>
      </c>
      <c r="CB755" s="25" t="s">
        <v>166</v>
      </c>
      <c r="CC755" s="25" t="s">
        <v>166</v>
      </c>
      <c r="CD755" s="25" t="s">
        <v>166</v>
      </c>
      <c r="CE755" s="29" t="s">
        <v>166</v>
      </c>
      <c r="CF755" s="27" t="s">
        <v>166</v>
      </c>
      <c r="CG755" s="28" t="s">
        <v>166</v>
      </c>
      <c r="CH755" s="27" t="s">
        <v>166</v>
      </c>
      <c r="CI755" s="27" t="s">
        <v>166</v>
      </c>
      <c r="CJ755" s="27" t="s">
        <v>166</v>
      </c>
      <c r="CK755" s="27" t="s">
        <v>166</v>
      </c>
      <c r="CL755" s="27" t="s">
        <v>166</v>
      </c>
      <c r="CM755" s="31" t="s">
        <v>166</v>
      </c>
      <c r="CN755" s="27" t="s">
        <v>166</v>
      </c>
      <c r="CO755" s="27" t="s">
        <v>166</v>
      </c>
      <c r="CP755" s="27" t="s">
        <v>166</v>
      </c>
      <c r="CQ755" s="27" t="s">
        <v>166</v>
      </c>
      <c r="CR755" s="27" t="s">
        <v>166</v>
      </c>
      <c r="CS755" s="27" t="s">
        <v>166</v>
      </c>
      <c r="CT755" s="27" t="s">
        <v>166</v>
      </c>
      <c r="CU755" s="27" t="s">
        <v>166</v>
      </c>
      <c r="CV755" s="27" t="s">
        <v>166</v>
      </c>
      <c r="CW755" s="27" t="s">
        <v>166</v>
      </c>
      <c r="CX755" s="27" t="s">
        <v>166</v>
      </c>
      <c r="CY755" s="27" t="s">
        <v>166</v>
      </c>
      <c r="CZ755" s="27" t="s">
        <v>166</v>
      </c>
      <c r="DA755" s="27" t="s">
        <v>166</v>
      </c>
      <c r="DB755" s="27" t="s">
        <v>166</v>
      </c>
      <c r="DC755" s="27" t="s">
        <v>166</v>
      </c>
      <c r="DD755" s="27" t="s">
        <v>166</v>
      </c>
      <c r="DE755" s="28" t="s">
        <v>166</v>
      </c>
      <c r="DF755" s="33">
        <v>40</v>
      </c>
      <c r="DG755" s="25" t="s">
        <v>673</v>
      </c>
      <c r="DH755" s="25" t="s">
        <v>193</v>
      </c>
      <c r="DI755" s="25" t="s">
        <v>194</v>
      </c>
      <c r="DJ755" s="25" t="s">
        <v>674</v>
      </c>
      <c r="DK755" s="25" t="s">
        <v>257</v>
      </c>
      <c r="DL755" s="32" t="s">
        <v>1329</v>
      </c>
      <c r="DM755" s="25" t="s">
        <v>198</v>
      </c>
      <c r="DN755" s="24" t="s">
        <v>14455</v>
      </c>
      <c r="DO755" s="31">
        <v>2020</v>
      </c>
      <c r="DP755" s="25" t="s">
        <v>166</v>
      </c>
      <c r="DQ755" s="25" t="s">
        <v>166</v>
      </c>
      <c r="DR755" s="29" t="s">
        <v>166</v>
      </c>
      <c r="DS755" s="27" t="s">
        <v>166</v>
      </c>
      <c r="DT755" s="30" t="s">
        <v>166</v>
      </c>
      <c r="DU755" s="25" t="s">
        <v>166</v>
      </c>
      <c r="DV755" s="29" t="s">
        <v>166</v>
      </c>
      <c r="DW755" s="29" t="s">
        <v>166</v>
      </c>
      <c r="DX755" s="27" t="s">
        <v>166</v>
      </c>
      <c r="DY755" s="27" t="s">
        <v>166</v>
      </c>
      <c r="DZ755" s="28" t="s">
        <v>166</v>
      </c>
      <c r="EA755" s="27" t="s">
        <v>166</v>
      </c>
      <c r="EB755" s="27" t="s">
        <v>166</v>
      </c>
      <c r="EC755" s="27" t="s">
        <v>166</v>
      </c>
      <c r="ED755" s="28" t="s">
        <v>166</v>
      </c>
      <c r="EE755" s="28" t="s">
        <v>166</v>
      </c>
      <c r="EF755" s="28" t="s">
        <v>166</v>
      </c>
      <c r="EG755" s="28" t="s">
        <v>166</v>
      </c>
      <c r="EH755" s="27" t="s">
        <v>166</v>
      </c>
      <c r="EI755" s="27" t="s">
        <v>166</v>
      </c>
      <c r="EJ755" s="27" t="s">
        <v>166</v>
      </c>
      <c r="EK755" s="27" t="s">
        <v>166</v>
      </c>
      <c r="EL755" s="27" t="s">
        <v>166</v>
      </c>
      <c r="EM755" s="27" t="s">
        <v>166</v>
      </c>
      <c r="EN755" s="27" t="s">
        <v>166</v>
      </c>
      <c r="EO755" s="27" t="s">
        <v>166</v>
      </c>
      <c r="EP755" s="27" t="s">
        <v>166</v>
      </c>
      <c r="EQ755" s="27" t="s">
        <v>166</v>
      </c>
      <c r="ER755" s="27" t="s">
        <v>166</v>
      </c>
      <c r="ES755" s="27" t="s">
        <v>166</v>
      </c>
      <c r="ET755" s="25" t="s">
        <v>166</v>
      </c>
      <c r="EU755" s="27" t="s">
        <v>166</v>
      </c>
      <c r="EV755" s="27" t="s">
        <v>166</v>
      </c>
      <c r="EW755" s="27" t="s">
        <v>166</v>
      </c>
      <c r="EX755" s="25" t="s">
        <v>190</v>
      </c>
      <c r="EY755" s="25" t="s">
        <v>166</v>
      </c>
      <c r="EZ755" s="27" t="s">
        <v>166</v>
      </c>
      <c r="FA755" s="26" t="s">
        <v>166</v>
      </c>
      <c r="FB755" s="26" t="s">
        <v>166</v>
      </c>
      <c r="FC755" s="26" t="s">
        <v>166</v>
      </c>
      <c r="FD755" s="26" t="s">
        <v>166</v>
      </c>
      <c r="FE755" s="26" t="s">
        <v>166</v>
      </c>
      <c r="FF755" s="26" t="s">
        <v>166</v>
      </c>
      <c r="FG755" s="25" t="s">
        <v>166</v>
      </c>
      <c r="FH755" s="4">
        <f>HYPERLINK("https://my.pitchbook.com?c=172079-83T","View Company Online")</f>
      </c>
    </row>
    <row r="756">
      <c r="A756" s="14" t="s">
        <v>14456</v>
      </c>
      <c r="B756" s="14" t="s">
        <v>14457</v>
      </c>
      <c r="C756" s="14" t="s">
        <v>14458</v>
      </c>
      <c r="D756" s="14" t="s">
        <v>166</v>
      </c>
      <c r="E756" s="23" t="s">
        <v>14459</v>
      </c>
      <c r="F756" s="21">
        <v>1</v>
      </c>
      <c r="G756" s="14" t="s">
        <v>166</v>
      </c>
      <c r="H756" s="14" t="s">
        <v>166</v>
      </c>
      <c r="I756" s="14" t="s">
        <v>14460</v>
      </c>
      <c r="J756" s="14" t="s">
        <v>14461</v>
      </c>
      <c r="K756" s="14" t="s">
        <v>207</v>
      </c>
      <c r="L756" s="14" t="s">
        <v>5931</v>
      </c>
      <c r="M756" s="14" t="s">
        <v>5932</v>
      </c>
      <c r="N756" s="14" t="s">
        <v>14462</v>
      </c>
      <c r="O756" s="14" t="s">
        <v>166</v>
      </c>
      <c r="P756" s="14" t="s">
        <v>14463</v>
      </c>
      <c r="Q756" s="14" t="s">
        <v>166</v>
      </c>
      <c r="R756" s="14" t="s">
        <v>177</v>
      </c>
      <c r="S756" s="14" t="s">
        <v>178</v>
      </c>
      <c r="T756" s="14" t="s">
        <v>179</v>
      </c>
      <c r="U756" s="14" t="s">
        <v>14464</v>
      </c>
      <c r="V756" s="14" t="s">
        <v>14465</v>
      </c>
      <c r="W756" s="21" t="s">
        <v>14466</v>
      </c>
      <c r="X756" s="14" t="s">
        <v>14467</v>
      </c>
      <c r="Y756" s="14" t="s">
        <v>14468</v>
      </c>
      <c r="Z756" s="14" t="s">
        <v>166</v>
      </c>
      <c r="AA756" s="14" t="s">
        <v>166</v>
      </c>
      <c r="AB756" s="14" t="s">
        <v>166</v>
      </c>
      <c r="AC756" s="14" t="s">
        <v>166</v>
      </c>
      <c r="AD756" s="14" t="s">
        <v>166</v>
      </c>
      <c r="AE756" s="14" t="s">
        <v>166</v>
      </c>
      <c r="AF756" s="14" t="s">
        <v>166</v>
      </c>
      <c r="AG756" s="14" t="s">
        <v>166</v>
      </c>
      <c r="AH756" s="21">
        <v>1</v>
      </c>
      <c r="AI756" s="3">
        <f>HYPERLINK("https://my.pitchbook.com/?d=133394-68T","133394-68T")</f>
      </c>
      <c r="AJ756" s="19" t="s">
        <v>166</v>
      </c>
      <c r="AK756" s="19">
        <v>43900</v>
      </c>
      <c r="AL756" s="18">
        <v>1.85</v>
      </c>
      <c r="AM756" s="14" t="s">
        <v>185</v>
      </c>
      <c r="AN756" s="18" t="s">
        <v>166</v>
      </c>
      <c r="AO756" s="18" t="s">
        <v>166</v>
      </c>
      <c r="AP756" s="14" t="s">
        <v>166</v>
      </c>
      <c r="AQ756" s="21" t="s">
        <v>166</v>
      </c>
      <c r="AR756" s="21" t="s">
        <v>166</v>
      </c>
      <c r="AS756" s="17" t="s">
        <v>166</v>
      </c>
      <c r="AT756" s="18">
        <v>1.85</v>
      </c>
      <c r="AU756" s="21" t="s">
        <v>186</v>
      </c>
      <c r="AV756" s="21" t="s">
        <v>166</v>
      </c>
      <c r="AW756" s="18" t="s">
        <v>166</v>
      </c>
      <c r="AX756" s="21" t="s">
        <v>166</v>
      </c>
      <c r="AY756" s="14" t="s">
        <v>187</v>
      </c>
      <c r="AZ756" s="14" t="s">
        <v>166</v>
      </c>
      <c r="BA756" s="14" t="s">
        <v>166</v>
      </c>
      <c r="BB756" s="21" t="s">
        <v>166</v>
      </c>
      <c r="BC756" s="14" t="s">
        <v>179</v>
      </c>
      <c r="BD756" s="14" t="s">
        <v>14461</v>
      </c>
      <c r="BE756" s="14" t="s">
        <v>189</v>
      </c>
      <c r="BF756" s="18">
        <v>1.85</v>
      </c>
      <c r="BG756" s="14" t="s">
        <v>190</v>
      </c>
      <c r="BH756" s="14" t="s">
        <v>166</v>
      </c>
      <c r="BI756" s="14" t="s">
        <v>166</v>
      </c>
      <c r="BJ756" s="18" t="s">
        <v>166</v>
      </c>
      <c r="BK756" s="18" t="s">
        <v>166</v>
      </c>
      <c r="BL756" s="14" t="s">
        <v>191</v>
      </c>
      <c r="BM756" s="14" t="s">
        <v>178</v>
      </c>
      <c r="BN756" s="14" t="s">
        <v>177</v>
      </c>
      <c r="BO756" s="22" t="s">
        <v>166</v>
      </c>
      <c r="BP756" s="14" t="s">
        <v>14459</v>
      </c>
      <c r="BQ756" s="21">
        <v>1</v>
      </c>
      <c r="BR756" s="14" t="s">
        <v>166</v>
      </c>
      <c r="BS756" s="21" t="s">
        <v>166</v>
      </c>
      <c r="BT756" s="14" t="s">
        <v>166</v>
      </c>
      <c r="BU756" s="14" t="s">
        <v>166</v>
      </c>
      <c r="BV756" s="14" t="s">
        <v>166</v>
      </c>
      <c r="BW756" s="14" t="s">
        <v>166</v>
      </c>
      <c r="BX756" s="14" t="s">
        <v>166</v>
      </c>
      <c r="BY756" s="14" t="s">
        <v>166</v>
      </c>
      <c r="BZ756" s="14" t="s">
        <v>166</v>
      </c>
      <c r="CA756" s="14" t="s">
        <v>166</v>
      </c>
      <c r="CB756" s="14" t="s">
        <v>166</v>
      </c>
      <c r="CC756" s="14" t="s">
        <v>166</v>
      </c>
      <c r="CD756" s="14" t="s">
        <v>166</v>
      </c>
      <c r="CE756" s="18" t="s">
        <v>166</v>
      </c>
      <c r="CF756" s="16" t="s">
        <v>166</v>
      </c>
      <c r="CG756" s="17" t="s">
        <v>166</v>
      </c>
      <c r="CH756" s="16" t="s">
        <v>166</v>
      </c>
      <c r="CI756" s="16" t="s">
        <v>166</v>
      </c>
      <c r="CJ756" s="16" t="s">
        <v>166</v>
      </c>
      <c r="CK756" s="16" t="s">
        <v>166</v>
      </c>
      <c r="CL756" s="16" t="s">
        <v>166</v>
      </c>
      <c r="CM756" s="20" t="s">
        <v>166</v>
      </c>
      <c r="CN756" s="16" t="s">
        <v>166</v>
      </c>
      <c r="CO756" s="16" t="s">
        <v>166</v>
      </c>
      <c r="CP756" s="16" t="s">
        <v>166</v>
      </c>
      <c r="CQ756" s="16" t="s">
        <v>166</v>
      </c>
      <c r="CR756" s="16" t="s">
        <v>166</v>
      </c>
      <c r="CS756" s="16" t="s">
        <v>166</v>
      </c>
      <c r="CT756" s="16" t="s">
        <v>166</v>
      </c>
      <c r="CU756" s="16" t="s">
        <v>166</v>
      </c>
      <c r="CV756" s="16" t="s">
        <v>166</v>
      </c>
      <c r="CW756" s="16" t="s">
        <v>166</v>
      </c>
      <c r="CX756" s="16" t="s">
        <v>166</v>
      </c>
      <c r="CY756" s="16" t="s">
        <v>166</v>
      </c>
      <c r="CZ756" s="16" t="s">
        <v>166</v>
      </c>
      <c r="DA756" s="16" t="s">
        <v>166</v>
      </c>
      <c r="DB756" s="16" t="s">
        <v>166</v>
      </c>
      <c r="DC756" s="16" t="s">
        <v>166</v>
      </c>
      <c r="DD756" s="16" t="s">
        <v>166</v>
      </c>
      <c r="DE756" s="17" t="s">
        <v>166</v>
      </c>
      <c r="DF756" s="22">
        <v>80</v>
      </c>
      <c r="DG756" s="14" t="s">
        <v>360</v>
      </c>
      <c r="DH756" s="14" t="s">
        <v>193</v>
      </c>
      <c r="DI756" s="14" t="s">
        <v>194</v>
      </c>
      <c r="DJ756" s="14" t="s">
        <v>361</v>
      </c>
      <c r="DK756" s="14" t="s">
        <v>196</v>
      </c>
      <c r="DL756" s="21" t="s">
        <v>809</v>
      </c>
      <c r="DM756" s="14" t="s">
        <v>198</v>
      </c>
      <c r="DN756" s="13" t="s">
        <v>14469</v>
      </c>
      <c r="DO756" s="20">
        <v>2019</v>
      </c>
      <c r="DP756" s="14" t="s">
        <v>166</v>
      </c>
      <c r="DQ756" s="14" t="s">
        <v>166</v>
      </c>
      <c r="DR756" s="18" t="s">
        <v>166</v>
      </c>
      <c r="DS756" s="16" t="s">
        <v>166</v>
      </c>
      <c r="DT756" s="19" t="s">
        <v>166</v>
      </c>
      <c r="DU756" s="14" t="s">
        <v>166</v>
      </c>
      <c r="DV756" s="18" t="s">
        <v>166</v>
      </c>
      <c r="DW756" s="18" t="s">
        <v>166</v>
      </c>
      <c r="DX756" s="16" t="s">
        <v>166</v>
      </c>
      <c r="DY756" s="16" t="s">
        <v>166</v>
      </c>
      <c r="DZ756" s="17" t="s">
        <v>166</v>
      </c>
      <c r="EA756" s="16" t="s">
        <v>166</v>
      </c>
      <c r="EB756" s="16" t="s">
        <v>166</v>
      </c>
      <c r="EC756" s="16" t="s">
        <v>166</v>
      </c>
      <c r="ED756" s="17" t="s">
        <v>166</v>
      </c>
      <c r="EE756" s="17" t="s">
        <v>166</v>
      </c>
      <c r="EF756" s="17" t="s">
        <v>166</v>
      </c>
      <c r="EG756" s="17" t="s">
        <v>166</v>
      </c>
      <c r="EH756" s="16" t="s">
        <v>166</v>
      </c>
      <c r="EI756" s="16" t="s">
        <v>166</v>
      </c>
      <c r="EJ756" s="16" t="s">
        <v>166</v>
      </c>
      <c r="EK756" s="16" t="s">
        <v>166</v>
      </c>
      <c r="EL756" s="16" t="s">
        <v>166</v>
      </c>
      <c r="EM756" s="16" t="s">
        <v>166</v>
      </c>
      <c r="EN756" s="16" t="s">
        <v>166</v>
      </c>
      <c r="EO756" s="16" t="s">
        <v>166</v>
      </c>
      <c r="EP756" s="16" t="s">
        <v>166</v>
      </c>
      <c r="EQ756" s="16" t="s">
        <v>166</v>
      </c>
      <c r="ER756" s="16" t="s">
        <v>166</v>
      </c>
      <c r="ES756" s="16" t="s">
        <v>166</v>
      </c>
      <c r="ET756" s="14" t="s">
        <v>166</v>
      </c>
      <c r="EU756" s="16" t="s">
        <v>166</v>
      </c>
      <c r="EV756" s="16" t="s">
        <v>166</v>
      </c>
      <c r="EW756" s="16" t="s">
        <v>166</v>
      </c>
      <c r="EX756" s="14" t="s">
        <v>190</v>
      </c>
      <c r="EY756" s="14" t="s">
        <v>166</v>
      </c>
      <c r="EZ756" s="16" t="s">
        <v>166</v>
      </c>
      <c r="FA756" s="15" t="s">
        <v>166</v>
      </c>
      <c r="FB756" s="15" t="s">
        <v>166</v>
      </c>
      <c r="FC756" s="15" t="s">
        <v>166</v>
      </c>
      <c r="FD756" s="15" t="s">
        <v>166</v>
      </c>
      <c r="FE756" s="15" t="s">
        <v>166</v>
      </c>
      <c r="FF756" s="15" t="s">
        <v>166</v>
      </c>
      <c r="FG756" s="14" t="s">
        <v>166</v>
      </c>
      <c r="FH756" s="3">
        <f>HYPERLINK("https://my.pitchbook.com?c=133394-68T","View Company Online")</f>
      </c>
    </row>
    <row r="757">
      <c r="A757" s="25" t="s">
        <v>14470</v>
      </c>
      <c r="B757" s="25" t="s">
        <v>14471</v>
      </c>
      <c r="C757" s="25" t="s">
        <v>14472</v>
      </c>
      <c r="D757" s="25" t="s">
        <v>166</v>
      </c>
      <c r="E757" s="34" t="s">
        <v>14473</v>
      </c>
      <c r="F757" s="32">
        <v>7</v>
      </c>
      <c r="G757" s="25" t="s">
        <v>14474</v>
      </c>
      <c r="H757" s="25" t="s">
        <v>166</v>
      </c>
      <c r="I757" s="25" t="s">
        <v>14475</v>
      </c>
      <c r="J757" s="25" t="s">
        <v>14476</v>
      </c>
      <c r="K757" s="25" t="s">
        <v>207</v>
      </c>
      <c r="L757" s="25" t="s">
        <v>208</v>
      </c>
      <c r="M757" s="25" t="s">
        <v>209</v>
      </c>
      <c r="N757" s="25" t="s">
        <v>14477</v>
      </c>
      <c r="O757" s="25" t="s">
        <v>14478</v>
      </c>
      <c r="P757" s="25" t="s">
        <v>14479</v>
      </c>
      <c r="Q757" s="25" t="s">
        <v>166</v>
      </c>
      <c r="R757" s="25" t="s">
        <v>177</v>
      </c>
      <c r="S757" s="25" t="s">
        <v>178</v>
      </c>
      <c r="T757" s="25" t="s">
        <v>4119</v>
      </c>
      <c r="U757" s="25" t="s">
        <v>14480</v>
      </c>
      <c r="V757" s="25" t="s">
        <v>14481</v>
      </c>
      <c r="W757" s="32" t="s">
        <v>14482</v>
      </c>
      <c r="X757" s="25" t="s">
        <v>14483</v>
      </c>
      <c r="Y757" s="25" t="s">
        <v>14484</v>
      </c>
      <c r="Z757" s="25" t="s">
        <v>14485</v>
      </c>
      <c r="AA757" s="25" t="s">
        <v>242</v>
      </c>
      <c r="AB757" s="25" t="s">
        <v>243</v>
      </c>
      <c r="AC757" s="25" t="s">
        <v>244</v>
      </c>
      <c r="AD757" s="25" t="s">
        <v>243</v>
      </c>
      <c r="AE757" s="25" t="s">
        <v>243</v>
      </c>
      <c r="AF757" s="25" t="s">
        <v>166</v>
      </c>
      <c r="AG757" s="25" t="s">
        <v>246</v>
      </c>
      <c r="AH757" s="32">
        <v>3</v>
      </c>
      <c r="AI757" s="4">
        <f>HYPERLINK("https://my.pitchbook.com/?d=257035-06T","257035-06T")</f>
      </c>
      <c r="AJ757" s="30">
        <v>45384</v>
      </c>
      <c r="AK757" s="30">
        <v>45397</v>
      </c>
      <c r="AL757" s="29">
        <v>2.79</v>
      </c>
      <c r="AM757" s="25" t="s">
        <v>185</v>
      </c>
      <c r="AN757" s="29">
        <v>7.21</v>
      </c>
      <c r="AO757" s="29">
        <v>10</v>
      </c>
      <c r="AP757" s="25" t="s">
        <v>185</v>
      </c>
      <c r="AQ757" s="32" t="s">
        <v>166</v>
      </c>
      <c r="AR757" s="32" t="s">
        <v>166</v>
      </c>
      <c r="AS757" s="28">
        <v>31.48</v>
      </c>
      <c r="AT757" s="29">
        <v>2.84</v>
      </c>
      <c r="AU757" s="32" t="s">
        <v>186</v>
      </c>
      <c r="AV757" s="32" t="s">
        <v>166</v>
      </c>
      <c r="AW757" s="29">
        <v>5.74</v>
      </c>
      <c r="AX757" s="32" t="s">
        <v>166</v>
      </c>
      <c r="AY757" s="25" t="s">
        <v>217</v>
      </c>
      <c r="AZ757" s="25" t="s">
        <v>217</v>
      </c>
      <c r="BA757" s="25" t="s">
        <v>166</v>
      </c>
      <c r="BB757" s="32" t="s">
        <v>166</v>
      </c>
      <c r="BC757" s="25" t="s">
        <v>179</v>
      </c>
      <c r="BD757" s="25" t="s">
        <v>14476</v>
      </c>
      <c r="BE757" s="25" t="s">
        <v>189</v>
      </c>
      <c r="BF757" s="29">
        <v>2.79</v>
      </c>
      <c r="BG757" s="25" t="s">
        <v>190</v>
      </c>
      <c r="BH757" s="25" t="s">
        <v>166</v>
      </c>
      <c r="BI757" s="25" t="s">
        <v>166</v>
      </c>
      <c r="BJ757" s="29" t="s">
        <v>166</v>
      </c>
      <c r="BK757" s="29" t="s">
        <v>166</v>
      </c>
      <c r="BL757" s="25" t="s">
        <v>191</v>
      </c>
      <c r="BM757" s="25" t="s">
        <v>178</v>
      </c>
      <c r="BN757" s="25" t="s">
        <v>177</v>
      </c>
      <c r="BO757" s="33" t="s">
        <v>166</v>
      </c>
      <c r="BP757" s="25" t="s">
        <v>14486</v>
      </c>
      <c r="BQ757" s="32">
        <v>6</v>
      </c>
      <c r="BR757" s="25" t="s">
        <v>14487</v>
      </c>
      <c r="BS757" s="32">
        <v>1</v>
      </c>
      <c r="BT757" s="25" t="s">
        <v>14488</v>
      </c>
      <c r="BU757" s="25" t="s">
        <v>166</v>
      </c>
      <c r="BV757" s="25" t="s">
        <v>166</v>
      </c>
      <c r="BW757" s="25" t="s">
        <v>166</v>
      </c>
      <c r="BX757" s="25" t="s">
        <v>166</v>
      </c>
      <c r="BY757" s="25" t="s">
        <v>166</v>
      </c>
      <c r="BZ757" s="25" t="s">
        <v>14489</v>
      </c>
      <c r="CA757" s="25" t="s">
        <v>14489</v>
      </c>
      <c r="CB757" s="25" t="s">
        <v>166</v>
      </c>
      <c r="CC757" s="25" t="s">
        <v>166</v>
      </c>
      <c r="CD757" s="25" t="s">
        <v>166</v>
      </c>
      <c r="CE757" s="29" t="s">
        <v>166</v>
      </c>
      <c r="CF757" s="27" t="s">
        <v>166</v>
      </c>
      <c r="CG757" s="28" t="s">
        <v>166</v>
      </c>
      <c r="CH757" s="27" t="s">
        <v>166</v>
      </c>
      <c r="CI757" s="27" t="s">
        <v>166</v>
      </c>
      <c r="CJ757" s="27" t="s">
        <v>166</v>
      </c>
      <c r="CK757" s="27" t="s">
        <v>166</v>
      </c>
      <c r="CL757" s="27" t="s">
        <v>166</v>
      </c>
      <c r="CM757" s="31" t="s">
        <v>166</v>
      </c>
      <c r="CN757" s="27" t="s">
        <v>166</v>
      </c>
      <c r="CO757" s="27" t="s">
        <v>166</v>
      </c>
      <c r="CP757" s="27" t="s">
        <v>166</v>
      </c>
      <c r="CQ757" s="27" t="s">
        <v>166</v>
      </c>
      <c r="CR757" s="27" t="s">
        <v>166</v>
      </c>
      <c r="CS757" s="27" t="s">
        <v>166</v>
      </c>
      <c r="CT757" s="27" t="s">
        <v>166</v>
      </c>
      <c r="CU757" s="27" t="s">
        <v>166</v>
      </c>
      <c r="CV757" s="27" t="s">
        <v>166</v>
      </c>
      <c r="CW757" s="27" t="s">
        <v>166</v>
      </c>
      <c r="CX757" s="27" t="s">
        <v>166</v>
      </c>
      <c r="CY757" s="27" t="s">
        <v>166</v>
      </c>
      <c r="CZ757" s="27" t="s">
        <v>166</v>
      </c>
      <c r="DA757" s="27" t="s">
        <v>166</v>
      </c>
      <c r="DB757" s="27" t="s">
        <v>166</v>
      </c>
      <c r="DC757" s="27" t="s">
        <v>166</v>
      </c>
      <c r="DD757" s="27" t="s">
        <v>166</v>
      </c>
      <c r="DE757" s="28" t="s">
        <v>166</v>
      </c>
      <c r="DF757" s="33">
        <v>8</v>
      </c>
      <c r="DG757" s="25" t="s">
        <v>14490</v>
      </c>
      <c r="DH757" s="25" t="s">
        <v>193</v>
      </c>
      <c r="DI757" s="25" t="s">
        <v>194</v>
      </c>
      <c r="DJ757" s="25" t="s">
        <v>14491</v>
      </c>
      <c r="DK757" s="25" t="s">
        <v>4671</v>
      </c>
      <c r="DL757" s="32" t="s">
        <v>14492</v>
      </c>
      <c r="DM757" s="25" t="s">
        <v>198</v>
      </c>
      <c r="DN757" s="24" t="s">
        <v>14493</v>
      </c>
      <c r="DO757" s="31">
        <v>2021</v>
      </c>
      <c r="DP757" s="25" t="s">
        <v>166</v>
      </c>
      <c r="DQ757" s="25" t="s">
        <v>166</v>
      </c>
      <c r="DR757" s="29" t="s">
        <v>166</v>
      </c>
      <c r="DS757" s="27" t="s">
        <v>166</v>
      </c>
      <c r="DT757" s="30" t="s">
        <v>166</v>
      </c>
      <c r="DU757" s="25" t="s">
        <v>166</v>
      </c>
      <c r="DV757" s="29" t="s">
        <v>166</v>
      </c>
      <c r="DW757" s="29" t="s">
        <v>166</v>
      </c>
      <c r="DX757" s="27" t="s">
        <v>166</v>
      </c>
      <c r="DY757" s="27" t="s">
        <v>166</v>
      </c>
      <c r="DZ757" s="28" t="s">
        <v>166</v>
      </c>
      <c r="EA757" s="27" t="s">
        <v>166</v>
      </c>
      <c r="EB757" s="27" t="s">
        <v>166</v>
      </c>
      <c r="EC757" s="27" t="s">
        <v>166</v>
      </c>
      <c r="ED757" s="28" t="s">
        <v>166</v>
      </c>
      <c r="EE757" s="28" t="s">
        <v>166</v>
      </c>
      <c r="EF757" s="28" t="s">
        <v>166</v>
      </c>
      <c r="EG757" s="28" t="s">
        <v>166</v>
      </c>
      <c r="EH757" s="27" t="s">
        <v>166</v>
      </c>
      <c r="EI757" s="27" t="s">
        <v>166</v>
      </c>
      <c r="EJ757" s="27" t="s">
        <v>166</v>
      </c>
      <c r="EK757" s="27" t="s">
        <v>166</v>
      </c>
      <c r="EL757" s="27" t="s">
        <v>166</v>
      </c>
      <c r="EM757" s="27" t="s">
        <v>166</v>
      </c>
      <c r="EN757" s="27" t="s">
        <v>166</v>
      </c>
      <c r="EO757" s="27" t="s">
        <v>166</v>
      </c>
      <c r="EP757" s="27" t="s">
        <v>166</v>
      </c>
      <c r="EQ757" s="27" t="s">
        <v>166</v>
      </c>
      <c r="ER757" s="27" t="s">
        <v>166</v>
      </c>
      <c r="ES757" s="27" t="s">
        <v>166</v>
      </c>
      <c r="ET757" s="25" t="s">
        <v>166</v>
      </c>
      <c r="EU757" s="27" t="s">
        <v>166</v>
      </c>
      <c r="EV757" s="27" t="s">
        <v>166</v>
      </c>
      <c r="EW757" s="27" t="s">
        <v>166</v>
      </c>
      <c r="EX757" s="25" t="s">
        <v>190</v>
      </c>
      <c r="EY757" s="25" t="s">
        <v>166</v>
      </c>
      <c r="EZ757" s="27" t="s">
        <v>166</v>
      </c>
      <c r="FA757" s="26">
        <v>5</v>
      </c>
      <c r="FB757" s="26">
        <v>1</v>
      </c>
      <c r="FC757" s="26">
        <v>3</v>
      </c>
      <c r="FD757" s="26">
        <v>2</v>
      </c>
      <c r="FE757" s="26" t="s">
        <v>166</v>
      </c>
      <c r="FF757" s="26" t="s">
        <v>166</v>
      </c>
      <c r="FG757" s="25" t="s">
        <v>775</v>
      </c>
      <c r="FH757" s="4">
        <f>HYPERLINK("https://my.pitchbook.com?c=257035-06T","View Company Online")</f>
      </c>
    </row>
    <row r="758">
      <c r="A758" s="14" t="s">
        <v>14494</v>
      </c>
      <c r="B758" s="14" t="s">
        <v>14495</v>
      </c>
      <c r="C758" s="14" t="s">
        <v>14496</v>
      </c>
      <c r="D758" s="14" t="s">
        <v>166</v>
      </c>
      <c r="E758" s="23" t="s">
        <v>14497</v>
      </c>
      <c r="F758" s="21">
        <v>6</v>
      </c>
      <c r="G758" s="14" t="s">
        <v>14498</v>
      </c>
      <c r="H758" s="14" t="s">
        <v>166</v>
      </c>
      <c r="I758" s="14" t="s">
        <v>14499</v>
      </c>
      <c r="J758" s="14" t="s">
        <v>14500</v>
      </c>
      <c r="K758" s="14" t="s">
        <v>207</v>
      </c>
      <c r="L758" s="14" t="s">
        <v>208</v>
      </c>
      <c r="M758" s="14" t="s">
        <v>1766</v>
      </c>
      <c r="N758" s="14" t="s">
        <v>2393</v>
      </c>
      <c r="O758" s="14" t="s">
        <v>14501</v>
      </c>
      <c r="P758" s="14" t="s">
        <v>14502</v>
      </c>
      <c r="Q758" s="14" t="s">
        <v>166</v>
      </c>
      <c r="R758" s="14" t="s">
        <v>177</v>
      </c>
      <c r="S758" s="14" t="s">
        <v>178</v>
      </c>
      <c r="T758" s="14" t="s">
        <v>179</v>
      </c>
      <c r="U758" s="14" t="s">
        <v>14503</v>
      </c>
      <c r="V758" s="14" t="s">
        <v>14504</v>
      </c>
      <c r="W758" s="21" t="s">
        <v>14505</v>
      </c>
      <c r="X758" s="14" t="s">
        <v>14506</v>
      </c>
      <c r="Y758" s="14" t="s">
        <v>14507</v>
      </c>
      <c r="Z758" s="14" t="s">
        <v>14508</v>
      </c>
      <c r="AA758" s="14" t="s">
        <v>242</v>
      </c>
      <c r="AB758" s="14" t="s">
        <v>243</v>
      </c>
      <c r="AC758" s="14" t="s">
        <v>244</v>
      </c>
      <c r="AD758" s="14" t="s">
        <v>243</v>
      </c>
      <c r="AE758" s="14" t="s">
        <v>243</v>
      </c>
      <c r="AF758" s="14" t="s">
        <v>166</v>
      </c>
      <c r="AG758" s="14" t="s">
        <v>246</v>
      </c>
      <c r="AH758" s="21">
        <v>4</v>
      </c>
      <c r="AI758" s="3">
        <f>HYPERLINK("https://my.pitchbook.com/?d=168512-05T","168512-05T")</f>
      </c>
      <c r="AJ758" s="19">
        <v>44264</v>
      </c>
      <c r="AK758" s="19">
        <v>44274</v>
      </c>
      <c r="AL758" s="18">
        <v>8.32</v>
      </c>
      <c r="AM758" s="14" t="s">
        <v>185</v>
      </c>
      <c r="AN758" s="18">
        <v>15</v>
      </c>
      <c r="AO758" s="18">
        <v>23.32</v>
      </c>
      <c r="AP758" s="14" t="s">
        <v>185</v>
      </c>
      <c r="AQ758" s="21" t="s">
        <v>166</v>
      </c>
      <c r="AR758" s="21">
        <v>3.13</v>
      </c>
      <c r="AS758" s="17">
        <v>44.34</v>
      </c>
      <c r="AT758" s="18">
        <v>10.62</v>
      </c>
      <c r="AU758" s="21" t="s">
        <v>186</v>
      </c>
      <c r="AV758" s="21" t="s">
        <v>166</v>
      </c>
      <c r="AW758" s="18">
        <v>1.23</v>
      </c>
      <c r="AX758" s="21" t="s">
        <v>248</v>
      </c>
      <c r="AY758" s="14" t="s">
        <v>249</v>
      </c>
      <c r="AZ758" s="14" t="s">
        <v>248</v>
      </c>
      <c r="BA758" s="14" t="s">
        <v>166</v>
      </c>
      <c r="BB758" s="21" t="s">
        <v>166</v>
      </c>
      <c r="BC758" s="14" t="s">
        <v>179</v>
      </c>
      <c r="BD758" s="14" t="s">
        <v>14509</v>
      </c>
      <c r="BE758" s="14" t="s">
        <v>189</v>
      </c>
      <c r="BF758" s="18">
        <v>8.32</v>
      </c>
      <c r="BG758" s="14" t="s">
        <v>190</v>
      </c>
      <c r="BH758" s="14" t="s">
        <v>166</v>
      </c>
      <c r="BI758" s="14" t="s">
        <v>166</v>
      </c>
      <c r="BJ758" s="18" t="s">
        <v>166</v>
      </c>
      <c r="BK758" s="18" t="s">
        <v>166</v>
      </c>
      <c r="BL758" s="14" t="s">
        <v>191</v>
      </c>
      <c r="BM758" s="14" t="s">
        <v>178</v>
      </c>
      <c r="BN758" s="14" t="s">
        <v>177</v>
      </c>
      <c r="BO758" s="22" t="s">
        <v>166</v>
      </c>
      <c r="BP758" s="14" t="s">
        <v>14510</v>
      </c>
      <c r="BQ758" s="21">
        <v>5</v>
      </c>
      <c r="BR758" s="14" t="s">
        <v>381</v>
      </c>
      <c r="BS758" s="21">
        <v>1</v>
      </c>
      <c r="BT758" s="14" t="s">
        <v>14511</v>
      </c>
      <c r="BU758" s="14" t="s">
        <v>166</v>
      </c>
      <c r="BV758" s="14" t="s">
        <v>14512</v>
      </c>
      <c r="BW758" s="14" t="s">
        <v>166</v>
      </c>
      <c r="BX758" s="14" t="s">
        <v>166</v>
      </c>
      <c r="BY758" s="14" t="s">
        <v>166</v>
      </c>
      <c r="BZ758" s="14" t="s">
        <v>14513</v>
      </c>
      <c r="CA758" s="14" t="s">
        <v>166</v>
      </c>
      <c r="CB758" s="14" t="s">
        <v>166</v>
      </c>
      <c r="CC758" s="14" t="s">
        <v>14513</v>
      </c>
      <c r="CD758" s="14" t="s">
        <v>166</v>
      </c>
      <c r="CE758" s="18" t="s">
        <v>166</v>
      </c>
      <c r="CF758" s="16" t="s">
        <v>166</v>
      </c>
      <c r="CG758" s="17" t="s">
        <v>166</v>
      </c>
      <c r="CH758" s="16" t="s">
        <v>166</v>
      </c>
      <c r="CI758" s="16" t="s">
        <v>166</v>
      </c>
      <c r="CJ758" s="16" t="s">
        <v>166</v>
      </c>
      <c r="CK758" s="16" t="s">
        <v>166</v>
      </c>
      <c r="CL758" s="16" t="s">
        <v>166</v>
      </c>
      <c r="CM758" s="20" t="s">
        <v>166</v>
      </c>
      <c r="CN758" s="16" t="s">
        <v>166</v>
      </c>
      <c r="CO758" s="16" t="s">
        <v>166</v>
      </c>
      <c r="CP758" s="16" t="s">
        <v>166</v>
      </c>
      <c r="CQ758" s="16" t="s">
        <v>166</v>
      </c>
      <c r="CR758" s="16" t="s">
        <v>166</v>
      </c>
      <c r="CS758" s="16" t="s">
        <v>166</v>
      </c>
      <c r="CT758" s="16" t="s">
        <v>166</v>
      </c>
      <c r="CU758" s="16" t="s">
        <v>166</v>
      </c>
      <c r="CV758" s="16" t="s">
        <v>166</v>
      </c>
      <c r="CW758" s="16" t="s">
        <v>166</v>
      </c>
      <c r="CX758" s="16" t="s">
        <v>166</v>
      </c>
      <c r="CY758" s="16" t="s">
        <v>166</v>
      </c>
      <c r="CZ758" s="16" t="s">
        <v>166</v>
      </c>
      <c r="DA758" s="16" t="s">
        <v>166</v>
      </c>
      <c r="DB758" s="16" t="s">
        <v>166</v>
      </c>
      <c r="DC758" s="16" t="s">
        <v>166</v>
      </c>
      <c r="DD758" s="16" t="s">
        <v>166</v>
      </c>
      <c r="DE758" s="17" t="s">
        <v>166</v>
      </c>
      <c r="DF758" s="22">
        <v>76</v>
      </c>
      <c r="DG758" s="14" t="s">
        <v>384</v>
      </c>
      <c r="DH758" s="14" t="s">
        <v>193</v>
      </c>
      <c r="DI758" s="14" t="s">
        <v>194</v>
      </c>
      <c r="DJ758" s="14" t="s">
        <v>385</v>
      </c>
      <c r="DK758" s="14" t="s">
        <v>386</v>
      </c>
      <c r="DL758" s="21" t="s">
        <v>14514</v>
      </c>
      <c r="DM758" s="14" t="s">
        <v>198</v>
      </c>
      <c r="DN758" s="13" t="s">
        <v>14515</v>
      </c>
      <c r="DO758" s="20">
        <v>2013</v>
      </c>
      <c r="DP758" s="14" t="s">
        <v>166</v>
      </c>
      <c r="DQ758" s="14" t="s">
        <v>166</v>
      </c>
      <c r="DR758" s="18" t="s">
        <v>166</v>
      </c>
      <c r="DS758" s="16" t="s">
        <v>166</v>
      </c>
      <c r="DT758" s="19" t="s">
        <v>166</v>
      </c>
      <c r="DU758" s="14" t="s">
        <v>166</v>
      </c>
      <c r="DV758" s="18" t="s">
        <v>166</v>
      </c>
      <c r="DW758" s="18" t="s">
        <v>166</v>
      </c>
      <c r="DX758" s="16" t="s">
        <v>166</v>
      </c>
      <c r="DY758" s="16" t="s">
        <v>166</v>
      </c>
      <c r="DZ758" s="17" t="s">
        <v>166</v>
      </c>
      <c r="EA758" s="16" t="s">
        <v>166</v>
      </c>
      <c r="EB758" s="16" t="s">
        <v>166</v>
      </c>
      <c r="EC758" s="16" t="s">
        <v>166</v>
      </c>
      <c r="ED758" s="17" t="s">
        <v>166</v>
      </c>
      <c r="EE758" s="17" t="s">
        <v>166</v>
      </c>
      <c r="EF758" s="17" t="s">
        <v>166</v>
      </c>
      <c r="EG758" s="17" t="s">
        <v>166</v>
      </c>
      <c r="EH758" s="16" t="s">
        <v>166</v>
      </c>
      <c r="EI758" s="16" t="s">
        <v>166</v>
      </c>
      <c r="EJ758" s="16" t="s">
        <v>166</v>
      </c>
      <c r="EK758" s="16" t="s">
        <v>166</v>
      </c>
      <c r="EL758" s="16" t="s">
        <v>166</v>
      </c>
      <c r="EM758" s="16" t="s">
        <v>166</v>
      </c>
      <c r="EN758" s="16" t="s">
        <v>166</v>
      </c>
      <c r="EO758" s="16" t="s">
        <v>166</v>
      </c>
      <c r="EP758" s="16" t="s">
        <v>166</v>
      </c>
      <c r="EQ758" s="16" t="s">
        <v>166</v>
      </c>
      <c r="ER758" s="16" t="s">
        <v>166</v>
      </c>
      <c r="ES758" s="16" t="s">
        <v>166</v>
      </c>
      <c r="ET758" s="14" t="s">
        <v>166</v>
      </c>
      <c r="EU758" s="16" t="s">
        <v>166</v>
      </c>
      <c r="EV758" s="16" t="s">
        <v>166</v>
      </c>
      <c r="EW758" s="16" t="s">
        <v>166</v>
      </c>
      <c r="EX758" s="14" t="s">
        <v>190</v>
      </c>
      <c r="EY758" s="14" t="s">
        <v>166</v>
      </c>
      <c r="EZ758" s="16" t="s">
        <v>166</v>
      </c>
      <c r="FA758" s="15" t="s">
        <v>166</v>
      </c>
      <c r="FB758" s="15" t="s">
        <v>166</v>
      </c>
      <c r="FC758" s="15" t="s">
        <v>166</v>
      </c>
      <c r="FD758" s="15" t="s">
        <v>166</v>
      </c>
      <c r="FE758" s="15" t="s">
        <v>166</v>
      </c>
      <c r="FF758" s="15" t="s">
        <v>166</v>
      </c>
      <c r="FG758" s="14" t="s">
        <v>166</v>
      </c>
      <c r="FH758" s="3">
        <f>HYPERLINK("https://my.pitchbook.com?c=168512-05T","View Company Online")</f>
      </c>
    </row>
    <row r="759">
      <c r="A759" s="25" t="s">
        <v>14516</v>
      </c>
      <c r="B759" s="25" t="s">
        <v>14517</v>
      </c>
      <c r="C759" s="25" t="s">
        <v>14518</v>
      </c>
      <c r="D759" s="25" t="s">
        <v>166</v>
      </c>
      <c r="E759" s="34" t="s">
        <v>14519</v>
      </c>
      <c r="F759" s="32">
        <v>1</v>
      </c>
      <c r="G759" s="25" t="s">
        <v>14520</v>
      </c>
      <c r="H759" s="25" t="s">
        <v>166</v>
      </c>
      <c r="I759" s="25" t="s">
        <v>14521</v>
      </c>
      <c r="J759" s="25" t="s">
        <v>14522</v>
      </c>
      <c r="K759" s="25" t="s">
        <v>207</v>
      </c>
      <c r="L759" s="25" t="s">
        <v>208</v>
      </c>
      <c r="M759" s="25" t="s">
        <v>209</v>
      </c>
      <c r="N759" s="25" t="s">
        <v>269</v>
      </c>
      <c r="O759" s="25" t="s">
        <v>665</v>
      </c>
      <c r="P759" s="25" t="s">
        <v>14523</v>
      </c>
      <c r="Q759" s="25" t="s">
        <v>166</v>
      </c>
      <c r="R759" s="25" t="s">
        <v>177</v>
      </c>
      <c r="S759" s="25" t="s">
        <v>178</v>
      </c>
      <c r="T759" s="25" t="s">
        <v>179</v>
      </c>
      <c r="U759" s="25" t="s">
        <v>14524</v>
      </c>
      <c r="V759" s="25" t="s">
        <v>14525</v>
      </c>
      <c r="W759" s="32" t="s">
        <v>14526</v>
      </c>
      <c r="X759" s="25" t="s">
        <v>14527</v>
      </c>
      <c r="Y759" s="25" t="s">
        <v>14528</v>
      </c>
      <c r="Z759" s="25" t="s">
        <v>14529</v>
      </c>
      <c r="AA759" s="25" t="s">
        <v>242</v>
      </c>
      <c r="AB759" s="25" t="s">
        <v>243</v>
      </c>
      <c r="AC759" s="25" t="s">
        <v>244</v>
      </c>
      <c r="AD759" s="25" t="s">
        <v>243</v>
      </c>
      <c r="AE759" s="25" t="s">
        <v>243</v>
      </c>
      <c r="AF759" s="25" t="s">
        <v>166</v>
      </c>
      <c r="AG759" s="25" t="s">
        <v>807</v>
      </c>
      <c r="AH759" s="32">
        <v>1</v>
      </c>
      <c r="AI759" s="4">
        <f>HYPERLINK("https://my.pitchbook.com/?d=131650-30T","131650-30T")</f>
      </c>
      <c r="AJ759" s="30" t="s">
        <v>166</v>
      </c>
      <c r="AK759" s="30">
        <v>43862</v>
      </c>
      <c r="AL759" s="29">
        <v>1.75</v>
      </c>
      <c r="AM759" s="25" t="s">
        <v>247</v>
      </c>
      <c r="AN759" s="29">
        <v>8</v>
      </c>
      <c r="AO759" s="29">
        <v>9.75</v>
      </c>
      <c r="AP759" s="25" t="s">
        <v>185</v>
      </c>
      <c r="AQ759" s="32" t="s">
        <v>166</v>
      </c>
      <c r="AR759" s="32" t="s">
        <v>166</v>
      </c>
      <c r="AS759" s="28">
        <v>28.49</v>
      </c>
      <c r="AT759" s="29">
        <v>1.75</v>
      </c>
      <c r="AU759" s="32" t="s">
        <v>186</v>
      </c>
      <c r="AV759" s="32" t="s">
        <v>166</v>
      </c>
      <c r="AW759" s="29">
        <v>1.43</v>
      </c>
      <c r="AX759" s="32" t="s">
        <v>166</v>
      </c>
      <c r="AY759" s="25" t="s">
        <v>217</v>
      </c>
      <c r="AZ759" s="25" t="s">
        <v>217</v>
      </c>
      <c r="BA759" s="25" t="s">
        <v>166</v>
      </c>
      <c r="BB759" s="32" t="s">
        <v>166</v>
      </c>
      <c r="BC759" s="25" t="s">
        <v>179</v>
      </c>
      <c r="BD759" s="25" t="s">
        <v>14530</v>
      </c>
      <c r="BE759" s="25" t="s">
        <v>189</v>
      </c>
      <c r="BF759" s="29">
        <v>1.75</v>
      </c>
      <c r="BG759" s="25" t="s">
        <v>190</v>
      </c>
      <c r="BH759" s="25" t="s">
        <v>166</v>
      </c>
      <c r="BI759" s="25" t="s">
        <v>166</v>
      </c>
      <c r="BJ759" s="29" t="s">
        <v>166</v>
      </c>
      <c r="BK759" s="29" t="s">
        <v>166</v>
      </c>
      <c r="BL759" s="25" t="s">
        <v>191</v>
      </c>
      <c r="BM759" s="25" t="s">
        <v>358</v>
      </c>
      <c r="BN759" s="25" t="s">
        <v>177</v>
      </c>
      <c r="BO759" s="33" t="s">
        <v>166</v>
      </c>
      <c r="BP759" s="25" t="s">
        <v>14519</v>
      </c>
      <c r="BQ759" s="32">
        <v>1</v>
      </c>
      <c r="BR759" s="25" t="s">
        <v>166</v>
      </c>
      <c r="BS759" s="32" t="s">
        <v>166</v>
      </c>
      <c r="BT759" s="25" t="s">
        <v>166</v>
      </c>
      <c r="BU759" s="25" t="s">
        <v>166</v>
      </c>
      <c r="BV759" s="25" t="s">
        <v>166</v>
      </c>
      <c r="BW759" s="25" t="s">
        <v>166</v>
      </c>
      <c r="BX759" s="25" t="s">
        <v>166</v>
      </c>
      <c r="BY759" s="25" t="s">
        <v>166</v>
      </c>
      <c r="BZ759" s="25" t="s">
        <v>166</v>
      </c>
      <c r="CA759" s="25" t="s">
        <v>166</v>
      </c>
      <c r="CB759" s="25" t="s">
        <v>166</v>
      </c>
      <c r="CC759" s="25" t="s">
        <v>166</v>
      </c>
      <c r="CD759" s="25" t="s">
        <v>166</v>
      </c>
      <c r="CE759" s="29" t="s">
        <v>166</v>
      </c>
      <c r="CF759" s="27" t="s">
        <v>166</v>
      </c>
      <c r="CG759" s="28" t="s">
        <v>166</v>
      </c>
      <c r="CH759" s="27" t="s">
        <v>166</v>
      </c>
      <c r="CI759" s="27" t="s">
        <v>166</v>
      </c>
      <c r="CJ759" s="27" t="s">
        <v>166</v>
      </c>
      <c r="CK759" s="27" t="s">
        <v>166</v>
      </c>
      <c r="CL759" s="27" t="s">
        <v>166</v>
      </c>
      <c r="CM759" s="31" t="s">
        <v>166</v>
      </c>
      <c r="CN759" s="27" t="s">
        <v>166</v>
      </c>
      <c r="CO759" s="27" t="s">
        <v>166</v>
      </c>
      <c r="CP759" s="27" t="s">
        <v>166</v>
      </c>
      <c r="CQ759" s="27" t="s">
        <v>166</v>
      </c>
      <c r="CR759" s="27" t="s">
        <v>166</v>
      </c>
      <c r="CS759" s="27" t="s">
        <v>166</v>
      </c>
      <c r="CT759" s="27" t="s">
        <v>166</v>
      </c>
      <c r="CU759" s="27" t="s">
        <v>166</v>
      </c>
      <c r="CV759" s="27" t="s">
        <v>166</v>
      </c>
      <c r="CW759" s="27" t="s">
        <v>166</v>
      </c>
      <c r="CX759" s="27" t="s">
        <v>166</v>
      </c>
      <c r="CY759" s="27" t="s">
        <v>166</v>
      </c>
      <c r="CZ759" s="27" t="s">
        <v>166</v>
      </c>
      <c r="DA759" s="27" t="s">
        <v>166</v>
      </c>
      <c r="DB759" s="27" t="s">
        <v>166</v>
      </c>
      <c r="DC759" s="27" t="s">
        <v>166</v>
      </c>
      <c r="DD759" s="27" t="s">
        <v>166</v>
      </c>
      <c r="DE759" s="28" t="s">
        <v>166</v>
      </c>
      <c r="DF759" s="33">
        <v>60</v>
      </c>
      <c r="DG759" s="25" t="s">
        <v>673</v>
      </c>
      <c r="DH759" s="25" t="s">
        <v>193</v>
      </c>
      <c r="DI759" s="25" t="s">
        <v>194</v>
      </c>
      <c r="DJ759" s="25" t="s">
        <v>674</v>
      </c>
      <c r="DK759" s="25" t="s">
        <v>257</v>
      </c>
      <c r="DL759" s="32" t="s">
        <v>1599</v>
      </c>
      <c r="DM759" s="25" t="s">
        <v>198</v>
      </c>
      <c r="DN759" s="24" t="s">
        <v>14531</v>
      </c>
      <c r="DO759" s="31">
        <v>2019</v>
      </c>
      <c r="DP759" s="25" t="s">
        <v>166</v>
      </c>
      <c r="DQ759" s="25" t="s">
        <v>166</v>
      </c>
      <c r="DR759" s="29" t="s">
        <v>166</v>
      </c>
      <c r="DS759" s="27" t="s">
        <v>166</v>
      </c>
      <c r="DT759" s="30" t="s">
        <v>166</v>
      </c>
      <c r="DU759" s="25" t="s">
        <v>166</v>
      </c>
      <c r="DV759" s="29" t="s">
        <v>166</v>
      </c>
      <c r="DW759" s="29" t="s">
        <v>166</v>
      </c>
      <c r="DX759" s="27" t="s">
        <v>166</v>
      </c>
      <c r="DY759" s="27" t="s">
        <v>166</v>
      </c>
      <c r="DZ759" s="28" t="s">
        <v>166</v>
      </c>
      <c r="EA759" s="27" t="s">
        <v>166</v>
      </c>
      <c r="EB759" s="27" t="s">
        <v>166</v>
      </c>
      <c r="EC759" s="27" t="s">
        <v>166</v>
      </c>
      <c r="ED759" s="28" t="s">
        <v>166</v>
      </c>
      <c r="EE759" s="28" t="s">
        <v>166</v>
      </c>
      <c r="EF759" s="28" t="s">
        <v>166</v>
      </c>
      <c r="EG759" s="28" t="s">
        <v>166</v>
      </c>
      <c r="EH759" s="27" t="s">
        <v>166</v>
      </c>
      <c r="EI759" s="27" t="s">
        <v>166</v>
      </c>
      <c r="EJ759" s="27" t="s">
        <v>166</v>
      </c>
      <c r="EK759" s="27" t="s">
        <v>166</v>
      </c>
      <c r="EL759" s="27" t="s">
        <v>166</v>
      </c>
      <c r="EM759" s="27" t="s">
        <v>166</v>
      </c>
      <c r="EN759" s="27" t="s">
        <v>166</v>
      </c>
      <c r="EO759" s="27" t="s">
        <v>166</v>
      </c>
      <c r="EP759" s="27" t="s">
        <v>166</v>
      </c>
      <c r="EQ759" s="27" t="s">
        <v>166</v>
      </c>
      <c r="ER759" s="27" t="s">
        <v>166</v>
      </c>
      <c r="ES759" s="27" t="s">
        <v>166</v>
      </c>
      <c r="ET759" s="25" t="s">
        <v>166</v>
      </c>
      <c r="EU759" s="27" t="s">
        <v>166</v>
      </c>
      <c r="EV759" s="27" t="s">
        <v>166</v>
      </c>
      <c r="EW759" s="27" t="s">
        <v>166</v>
      </c>
      <c r="EX759" s="25" t="s">
        <v>190</v>
      </c>
      <c r="EY759" s="25" t="s">
        <v>166</v>
      </c>
      <c r="EZ759" s="27" t="s">
        <v>166</v>
      </c>
      <c r="FA759" s="26" t="s">
        <v>166</v>
      </c>
      <c r="FB759" s="26" t="s">
        <v>166</v>
      </c>
      <c r="FC759" s="26" t="s">
        <v>166</v>
      </c>
      <c r="FD759" s="26" t="s">
        <v>166</v>
      </c>
      <c r="FE759" s="26" t="s">
        <v>166</v>
      </c>
      <c r="FF759" s="26" t="s">
        <v>166</v>
      </c>
      <c r="FG759" s="25" t="s">
        <v>166</v>
      </c>
      <c r="FH759" s="4">
        <f>HYPERLINK("https://my.pitchbook.com?c=131650-30T","View Company Online")</f>
      </c>
    </row>
    <row r="760">
      <c r="A760" s="14" t="s">
        <v>14532</v>
      </c>
      <c r="B760" s="14" t="s">
        <v>14533</v>
      </c>
      <c r="C760" s="14" t="s">
        <v>14534</v>
      </c>
      <c r="D760" s="14" t="s">
        <v>166</v>
      </c>
      <c r="E760" s="23" t="s">
        <v>14535</v>
      </c>
      <c r="F760" s="21">
        <v>2</v>
      </c>
      <c r="G760" s="14" t="s">
        <v>14536</v>
      </c>
      <c r="H760" s="14" t="s">
        <v>166</v>
      </c>
      <c r="I760" s="14" t="s">
        <v>14537</v>
      </c>
      <c r="J760" s="14" t="s">
        <v>14538</v>
      </c>
      <c r="K760" s="14" t="s">
        <v>207</v>
      </c>
      <c r="L760" s="14" t="s">
        <v>208</v>
      </c>
      <c r="M760" s="14" t="s">
        <v>209</v>
      </c>
      <c r="N760" s="14" t="s">
        <v>210</v>
      </c>
      <c r="O760" s="14" t="s">
        <v>665</v>
      </c>
      <c r="P760" s="14" t="s">
        <v>14539</v>
      </c>
      <c r="Q760" s="14" t="s">
        <v>166</v>
      </c>
      <c r="R760" s="14" t="s">
        <v>177</v>
      </c>
      <c r="S760" s="14" t="s">
        <v>785</v>
      </c>
      <c r="T760" s="14" t="s">
        <v>179</v>
      </c>
      <c r="U760" s="14" t="s">
        <v>14540</v>
      </c>
      <c r="V760" s="14" t="s">
        <v>14541</v>
      </c>
      <c r="W760" s="21" t="s">
        <v>14542</v>
      </c>
      <c r="X760" s="14" t="s">
        <v>14543</v>
      </c>
      <c r="Y760" s="14" t="s">
        <v>14544</v>
      </c>
      <c r="Z760" s="14" t="s">
        <v>14545</v>
      </c>
      <c r="AA760" s="14" t="s">
        <v>166</v>
      </c>
      <c r="AB760" s="14" t="s">
        <v>166</v>
      </c>
      <c r="AC760" s="14" t="s">
        <v>166</v>
      </c>
      <c r="AD760" s="14" t="s">
        <v>166</v>
      </c>
      <c r="AE760" s="14" t="s">
        <v>166</v>
      </c>
      <c r="AF760" s="14" t="s">
        <v>166</v>
      </c>
      <c r="AG760" s="14" t="s">
        <v>166</v>
      </c>
      <c r="AH760" s="21">
        <v>2</v>
      </c>
      <c r="AI760" s="3">
        <f>HYPERLINK("https://my.pitchbook.com/?d=206227-27T","206227-27T")</f>
      </c>
      <c r="AJ760" s="19">
        <v>44678</v>
      </c>
      <c r="AK760" s="19">
        <v>45200</v>
      </c>
      <c r="AL760" s="18">
        <v>0.1</v>
      </c>
      <c r="AM760" s="14" t="s">
        <v>185</v>
      </c>
      <c r="AN760" s="18">
        <v>2.4</v>
      </c>
      <c r="AO760" s="18">
        <v>2.5</v>
      </c>
      <c r="AP760" s="14" t="s">
        <v>185</v>
      </c>
      <c r="AQ760" s="21" t="s">
        <v>166</v>
      </c>
      <c r="AR760" s="21" t="s">
        <v>166</v>
      </c>
      <c r="AS760" s="17" t="s">
        <v>166</v>
      </c>
      <c r="AT760" s="18">
        <v>0.12</v>
      </c>
      <c r="AU760" s="21" t="s">
        <v>186</v>
      </c>
      <c r="AV760" s="21" t="s">
        <v>166</v>
      </c>
      <c r="AW760" s="18" t="s">
        <v>166</v>
      </c>
      <c r="AX760" s="21" t="s">
        <v>166</v>
      </c>
      <c r="AY760" s="14" t="s">
        <v>217</v>
      </c>
      <c r="AZ760" s="14" t="s">
        <v>217</v>
      </c>
      <c r="BA760" s="14" t="s">
        <v>166</v>
      </c>
      <c r="BB760" s="21" t="s">
        <v>166</v>
      </c>
      <c r="BC760" s="14" t="s">
        <v>179</v>
      </c>
      <c r="BD760" s="14" t="s">
        <v>14538</v>
      </c>
      <c r="BE760" s="14" t="s">
        <v>189</v>
      </c>
      <c r="BF760" s="18">
        <v>0.1</v>
      </c>
      <c r="BG760" s="14" t="s">
        <v>190</v>
      </c>
      <c r="BH760" s="14" t="s">
        <v>166</v>
      </c>
      <c r="BI760" s="14" t="s">
        <v>166</v>
      </c>
      <c r="BJ760" s="18" t="s">
        <v>166</v>
      </c>
      <c r="BK760" s="18" t="s">
        <v>166</v>
      </c>
      <c r="BL760" s="14" t="s">
        <v>191</v>
      </c>
      <c r="BM760" s="14" t="s">
        <v>785</v>
      </c>
      <c r="BN760" s="14" t="s">
        <v>177</v>
      </c>
      <c r="BO760" s="22">
        <v>1</v>
      </c>
      <c r="BP760" s="14" t="s">
        <v>14535</v>
      </c>
      <c r="BQ760" s="21">
        <v>2</v>
      </c>
      <c r="BR760" s="14" t="s">
        <v>166</v>
      </c>
      <c r="BS760" s="21" t="s">
        <v>166</v>
      </c>
      <c r="BT760" s="14" t="s">
        <v>166</v>
      </c>
      <c r="BU760" s="14" t="s">
        <v>166</v>
      </c>
      <c r="BV760" s="14" t="s">
        <v>14546</v>
      </c>
      <c r="BW760" s="14" t="s">
        <v>166</v>
      </c>
      <c r="BX760" s="14" t="s">
        <v>166</v>
      </c>
      <c r="BY760" s="14" t="s">
        <v>166</v>
      </c>
      <c r="BZ760" s="14" t="s">
        <v>14547</v>
      </c>
      <c r="CA760" s="14" t="s">
        <v>14547</v>
      </c>
      <c r="CB760" s="14" t="s">
        <v>166</v>
      </c>
      <c r="CC760" s="14" t="s">
        <v>166</v>
      </c>
      <c r="CD760" s="14" t="s">
        <v>166</v>
      </c>
      <c r="CE760" s="18" t="s">
        <v>166</v>
      </c>
      <c r="CF760" s="16" t="s">
        <v>166</v>
      </c>
      <c r="CG760" s="17" t="s">
        <v>166</v>
      </c>
      <c r="CH760" s="16" t="s">
        <v>166</v>
      </c>
      <c r="CI760" s="16" t="s">
        <v>166</v>
      </c>
      <c r="CJ760" s="16" t="s">
        <v>166</v>
      </c>
      <c r="CK760" s="16" t="s">
        <v>166</v>
      </c>
      <c r="CL760" s="16" t="s">
        <v>166</v>
      </c>
      <c r="CM760" s="20" t="s">
        <v>166</v>
      </c>
      <c r="CN760" s="16" t="s">
        <v>166</v>
      </c>
      <c r="CO760" s="16" t="s">
        <v>166</v>
      </c>
      <c r="CP760" s="16" t="s">
        <v>166</v>
      </c>
      <c r="CQ760" s="16" t="s">
        <v>166</v>
      </c>
      <c r="CR760" s="16" t="s">
        <v>166</v>
      </c>
      <c r="CS760" s="16" t="s">
        <v>166</v>
      </c>
      <c r="CT760" s="16" t="s">
        <v>166</v>
      </c>
      <c r="CU760" s="16" t="s">
        <v>166</v>
      </c>
      <c r="CV760" s="16" t="s">
        <v>166</v>
      </c>
      <c r="CW760" s="16" t="s">
        <v>166</v>
      </c>
      <c r="CX760" s="16" t="s">
        <v>166</v>
      </c>
      <c r="CY760" s="16" t="s">
        <v>166</v>
      </c>
      <c r="CZ760" s="16" t="s">
        <v>166</v>
      </c>
      <c r="DA760" s="16" t="s">
        <v>166</v>
      </c>
      <c r="DB760" s="16" t="s">
        <v>166</v>
      </c>
      <c r="DC760" s="16" t="s">
        <v>166</v>
      </c>
      <c r="DD760" s="16" t="s">
        <v>166</v>
      </c>
      <c r="DE760" s="17" t="s">
        <v>166</v>
      </c>
      <c r="DF760" s="22">
        <v>2</v>
      </c>
      <c r="DG760" s="14" t="s">
        <v>14548</v>
      </c>
      <c r="DH760" s="14" t="s">
        <v>193</v>
      </c>
      <c r="DI760" s="14" t="s">
        <v>194</v>
      </c>
      <c r="DJ760" s="14" t="s">
        <v>14549</v>
      </c>
      <c r="DK760" s="14" t="s">
        <v>7386</v>
      </c>
      <c r="DL760" s="21" t="s">
        <v>14550</v>
      </c>
      <c r="DM760" s="14" t="s">
        <v>198</v>
      </c>
      <c r="DN760" s="13" t="s">
        <v>14551</v>
      </c>
      <c r="DO760" s="20">
        <v>2021</v>
      </c>
      <c r="DP760" s="14" t="s">
        <v>166</v>
      </c>
      <c r="DQ760" s="14" t="s">
        <v>166</v>
      </c>
      <c r="DR760" s="18" t="s">
        <v>166</v>
      </c>
      <c r="DS760" s="16" t="s">
        <v>166</v>
      </c>
      <c r="DT760" s="19" t="s">
        <v>166</v>
      </c>
      <c r="DU760" s="14" t="s">
        <v>166</v>
      </c>
      <c r="DV760" s="18" t="s">
        <v>166</v>
      </c>
      <c r="DW760" s="18" t="s">
        <v>166</v>
      </c>
      <c r="DX760" s="16" t="s">
        <v>166</v>
      </c>
      <c r="DY760" s="16" t="s">
        <v>166</v>
      </c>
      <c r="DZ760" s="17" t="s">
        <v>166</v>
      </c>
      <c r="EA760" s="16" t="s">
        <v>166</v>
      </c>
      <c r="EB760" s="16" t="s">
        <v>166</v>
      </c>
      <c r="EC760" s="16" t="s">
        <v>166</v>
      </c>
      <c r="ED760" s="17" t="s">
        <v>166</v>
      </c>
      <c r="EE760" s="17" t="s">
        <v>166</v>
      </c>
      <c r="EF760" s="17" t="s">
        <v>166</v>
      </c>
      <c r="EG760" s="17" t="s">
        <v>166</v>
      </c>
      <c r="EH760" s="16" t="s">
        <v>166</v>
      </c>
      <c r="EI760" s="16" t="s">
        <v>166</v>
      </c>
      <c r="EJ760" s="16" t="s">
        <v>166</v>
      </c>
      <c r="EK760" s="16" t="s">
        <v>166</v>
      </c>
      <c r="EL760" s="16" t="s">
        <v>166</v>
      </c>
      <c r="EM760" s="16" t="s">
        <v>166</v>
      </c>
      <c r="EN760" s="16" t="s">
        <v>166</v>
      </c>
      <c r="EO760" s="16" t="s">
        <v>166</v>
      </c>
      <c r="EP760" s="16" t="s">
        <v>166</v>
      </c>
      <c r="EQ760" s="16" t="s">
        <v>166</v>
      </c>
      <c r="ER760" s="16" t="s">
        <v>166</v>
      </c>
      <c r="ES760" s="16" t="s">
        <v>166</v>
      </c>
      <c r="ET760" s="14" t="s">
        <v>166</v>
      </c>
      <c r="EU760" s="16" t="s">
        <v>166</v>
      </c>
      <c r="EV760" s="16" t="s">
        <v>166</v>
      </c>
      <c r="EW760" s="16" t="s">
        <v>166</v>
      </c>
      <c r="EX760" s="14" t="s">
        <v>190</v>
      </c>
      <c r="EY760" s="14" t="s">
        <v>166</v>
      </c>
      <c r="EZ760" s="16" t="s">
        <v>166</v>
      </c>
      <c r="FA760" s="15" t="s">
        <v>166</v>
      </c>
      <c r="FB760" s="15" t="s">
        <v>166</v>
      </c>
      <c r="FC760" s="15" t="s">
        <v>166</v>
      </c>
      <c r="FD760" s="15" t="s">
        <v>166</v>
      </c>
      <c r="FE760" s="15" t="s">
        <v>166</v>
      </c>
      <c r="FF760" s="15" t="s">
        <v>166</v>
      </c>
      <c r="FG760" s="14" t="s">
        <v>166</v>
      </c>
      <c r="FH760" s="3">
        <f>HYPERLINK("https://my.pitchbook.com?c=206227-27T","View Company Online")</f>
      </c>
    </row>
    <row r="761">
      <c r="A761" s="25" t="s">
        <v>14552</v>
      </c>
      <c r="B761" s="25" t="s">
        <v>14553</v>
      </c>
      <c r="C761" s="25" t="s">
        <v>14554</v>
      </c>
      <c r="D761" s="25" t="s">
        <v>166</v>
      </c>
      <c r="E761" s="34" t="s">
        <v>14555</v>
      </c>
      <c r="F761" s="32">
        <v>3</v>
      </c>
      <c r="G761" s="25" t="s">
        <v>14556</v>
      </c>
      <c r="H761" s="25" t="s">
        <v>166</v>
      </c>
      <c r="I761" s="25" t="s">
        <v>14557</v>
      </c>
      <c r="J761" s="25" t="s">
        <v>14558</v>
      </c>
      <c r="K761" s="25" t="s">
        <v>207</v>
      </c>
      <c r="L761" s="25" t="s">
        <v>208</v>
      </c>
      <c r="M761" s="25" t="s">
        <v>209</v>
      </c>
      <c r="N761" s="25" t="s">
        <v>269</v>
      </c>
      <c r="O761" s="25" t="s">
        <v>580</v>
      </c>
      <c r="P761" s="25" t="s">
        <v>14559</v>
      </c>
      <c r="Q761" s="25" t="s">
        <v>926</v>
      </c>
      <c r="R761" s="25" t="s">
        <v>177</v>
      </c>
      <c r="S761" s="25" t="s">
        <v>178</v>
      </c>
      <c r="T761" s="25" t="s">
        <v>179</v>
      </c>
      <c r="U761" s="25" t="s">
        <v>14560</v>
      </c>
      <c r="V761" s="25" t="s">
        <v>14561</v>
      </c>
      <c r="W761" s="32" t="s">
        <v>14562</v>
      </c>
      <c r="X761" s="25" t="s">
        <v>14563</v>
      </c>
      <c r="Y761" s="25" t="s">
        <v>14564</v>
      </c>
      <c r="Z761" s="25" t="s">
        <v>14565</v>
      </c>
      <c r="AA761" s="25" t="s">
        <v>242</v>
      </c>
      <c r="AB761" s="25" t="s">
        <v>243</v>
      </c>
      <c r="AC761" s="25" t="s">
        <v>244</v>
      </c>
      <c r="AD761" s="25" t="s">
        <v>243</v>
      </c>
      <c r="AE761" s="25" t="s">
        <v>243</v>
      </c>
      <c r="AF761" s="25" t="s">
        <v>245</v>
      </c>
      <c r="AG761" s="25" t="s">
        <v>246</v>
      </c>
      <c r="AH761" s="32">
        <v>1</v>
      </c>
      <c r="AI761" s="4">
        <f>HYPERLINK("https://my.pitchbook.com/?d=192345-58T","192345-58T")</f>
      </c>
      <c r="AJ761" s="30">
        <v>44588</v>
      </c>
      <c r="AK761" s="30">
        <v>44652</v>
      </c>
      <c r="AL761" s="29">
        <v>1.5</v>
      </c>
      <c r="AM761" s="25" t="s">
        <v>247</v>
      </c>
      <c r="AN761" s="29">
        <v>4</v>
      </c>
      <c r="AO761" s="29">
        <v>5.5</v>
      </c>
      <c r="AP761" s="25" t="s">
        <v>185</v>
      </c>
      <c r="AQ761" s="32" t="s">
        <v>166</v>
      </c>
      <c r="AR761" s="32" t="s">
        <v>166</v>
      </c>
      <c r="AS761" s="28">
        <v>27.27</v>
      </c>
      <c r="AT761" s="29">
        <v>1.5</v>
      </c>
      <c r="AU761" s="32" t="s">
        <v>186</v>
      </c>
      <c r="AV761" s="32" t="s">
        <v>166</v>
      </c>
      <c r="AW761" s="29">
        <v>1.19</v>
      </c>
      <c r="AX761" s="32" t="s">
        <v>166</v>
      </c>
      <c r="AY761" s="25" t="s">
        <v>217</v>
      </c>
      <c r="AZ761" s="25" t="s">
        <v>217</v>
      </c>
      <c r="BA761" s="25" t="s">
        <v>166</v>
      </c>
      <c r="BB761" s="32" t="s">
        <v>166</v>
      </c>
      <c r="BC761" s="25" t="s">
        <v>179</v>
      </c>
      <c r="BD761" s="25" t="s">
        <v>14566</v>
      </c>
      <c r="BE761" s="25" t="s">
        <v>189</v>
      </c>
      <c r="BF761" s="29">
        <v>1.5</v>
      </c>
      <c r="BG761" s="25" t="s">
        <v>190</v>
      </c>
      <c r="BH761" s="25" t="s">
        <v>166</v>
      </c>
      <c r="BI761" s="25" t="s">
        <v>166</v>
      </c>
      <c r="BJ761" s="29" t="s">
        <v>166</v>
      </c>
      <c r="BK761" s="29" t="s">
        <v>166</v>
      </c>
      <c r="BL761" s="25" t="s">
        <v>191</v>
      </c>
      <c r="BM761" s="25" t="s">
        <v>178</v>
      </c>
      <c r="BN761" s="25" t="s">
        <v>177</v>
      </c>
      <c r="BO761" s="33" t="s">
        <v>166</v>
      </c>
      <c r="BP761" s="25" t="s">
        <v>14567</v>
      </c>
      <c r="BQ761" s="32">
        <v>3</v>
      </c>
      <c r="BR761" s="25" t="s">
        <v>166</v>
      </c>
      <c r="BS761" s="32" t="s">
        <v>166</v>
      </c>
      <c r="BT761" s="25" t="s">
        <v>166</v>
      </c>
      <c r="BU761" s="25" t="s">
        <v>166</v>
      </c>
      <c r="BV761" s="25" t="s">
        <v>14568</v>
      </c>
      <c r="BW761" s="25" t="s">
        <v>166</v>
      </c>
      <c r="BX761" s="25" t="s">
        <v>166</v>
      </c>
      <c r="BY761" s="25" t="s">
        <v>166</v>
      </c>
      <c r="BZ761" s="25" t="s">
        <v>14569</v>
      </c>
      <c r="CA761" s="25" t="s">
        <v>14569</v>
      </c>
      <c r="CB761" s="25" t="s">
        <v>166</v>
      </c>
      <c r="CC761" s="25" t="s">
        <v>166</v>
      </c>
      <c r="CD761" s="25" t="s">
        <v>166</v>
      </c>
      <c r="CE761" s="29" t="s">
        <v>166</v>
      </c>
      <c r="CF761" s="27" t="s">
        <v>166</v>
      </c>
      <c r="CG761" s="28" t="s">
        <v>166</v>
      </c>
      <c r="CH761" s="27" t="s">
        <v>166</v>
      </c>
      <c r="CI761" s="27" t="s">
        <v>166</v>
      </c>
      <c r="CJ761" s="27" t="s">
        <v>166</v>
      </c>
      <c r="CK761" s="27" t="s">
        <v>166</v>
      </c>
      <c r="CL761" s="27" t="s">
        <v>166</v>
      </c>
      <c r="CM761" s="31" t="s">
        <v>166</v>
      </c>
      <c r="CN761" s="27" t="s">
        <v>166</v>
      </c>
      <c r="CO761" s="27" t="s">
        <v>166</v>
      </c>
      <c r="CP761" s="27" t="s">
        <v>166</v>
      </c>
      <c r="CQ761" s="27" t="s">
        <v>166</v>
      </c>
      <c r="CR761" s="27" t="s">
        <v>166</v>
      </c>
      <c r="CS761" s="27" t="s">
        <v>166</v>
      </c>
      <c r="CT761" s="27" t="s">
        <v>166</v>
      </c>
      <c r="CU761" s="27" t="s">
        <v>166</v>
      </c>
      <c r="CV761" s="27" t="s">
        <v>166</v>
      </c>
      <c r="CW761" s="27" t="s">
        <v>166</v>
      </c>
      <c r="CX761" s="27" t="s">
        <v>166</v>
      </c>
      <c r="CY761" s="27" t="s">
        <v>166</v>
      </c>
      <c r="CZ761" s="27" t="s">
        <v>166</v>
      </c>
      <c r="DA761" s="27" t="s">
        <v>166</v>
      </c>
      <c r="DB761" s="27" t="s">
        <v>166</v>
      </c>
      <c r="DC761" s="27" t="s">
        <v>166</v>
      </c>
      <c r="DD761" s="27" t="s">
        <v>166</v>
      </c>
      <c r="DE761" s="28" t="s">
        <v>166</v>
      </c>
      <c r="DF761" s="33">
        <v>31</v>
      </c>
      <c r="DG761" s="25" t="s">
        <v>309</v>
      </c>
      <c r="DH761" s="25" t="s">
        <v>193</v>
      </c>
      <c r="DI761" s="25" t="s">
        <v>194</v>
      </c>
      <c r="DJ761" s="25" t="s">
        <v>310</v>
      </c>
      <c r="DK761" s="25" t="s">
        <v>310</v>
      </c>
      <c r="DL761" s="32" t="s">
        <v>2036</v>
      </c>
      <c r="DM761" s="25" t="s">
        <v>198</v>
      </c>
      <c r="DN761" s="24" t="s">
        <v>14570</v>
      </c>
      <c r="DO761" s="31">
        <v>2021</v>
      </c>
      <c r="DP761" s="25" t="s">
        <v>166</v>
      </c>
      <c r="DQ761" s="25" t="s">
        <v>166</v>
      </c>
      <c r="DR761" s="29" t="s">
        <v>166</v>
      </c>
      <c r="DS761" s="27" t="s">
        <v>166</v>
      </c>
      <c r="DT761" s="30" t="s">
        <v>166</v>
      </c>
      <c r="DU761" s="25" t="s">
        <v>166</v>
      </c>
      <c r="DV761" s="29" t="s">
        <v>166</v>
      </c>
      <c r="DW761" s="29" t="s">
        <v>166</v>
      </c>
      <c r="DX761" s="27" t="s">
        <v>166</v>
      </c>
      <c r="DY761" s="27" t="s">
        <v>166</v>
      </c>
      <c r="DZ761" s="28" t="s">
        <v>166</v>
      </c>
      <c r="EA761" s="27" t="s">
        <v>166</v>
      </c>
      <c r="EB761" s="27" t="s">
        <v>166</v>
      </c>
      <c r="EC761" s="27" t="s">
        <v>166</v>
      </c>
      <c r="ED761" s="28" t="s">
        <v>166</v>
      </c>
      <c r="EE761" s="28" t="s">
        <v>166</v>
      </c>
      <c r="EF761" s="28" t="s">
        <v>166</v>
      </c>
      <c r="EG761" s="28" t="s">
        <v>166</v>
      </c>
      <c r="EH761" s="27" t="s">
        <v>166</v>
      </c>
      <c r="EI761" s="27" t="s">
        <v>166</v>
      </c>
      <c r="EJ761" s="27" t="s">
        <v>166</v>
      </c>
      <c r="EK761" s="27" t="s">
        <v>166</v>
      </c>
      <c r="EL761" s="27" t="s">
        <v>166</v>
      </c>
      <c r="EM761" s="27" t="s">
        <v>166</v>
      </c>
      <c r="EN761" s="27" t="s">
        <v>166</v>
      </c>
      <c r="EO761" s="27" t="s">
        <v>166</v>
      </c>
      <c r="EP761" s="27" t="s">
        <v>166</v>
      </c>
      <c r="EQ761" s="27" t="s">
        <v>166</v>
      </c>
      <c r="ER761" s="27" t="s">
        <v>166</v>
      </c>
      <c r="ES761" s="27" t="s">
        <v>166</v>
      </c>
      <c r="ET761" s="25" t="s">
        <v>166</v>
      </c>
      <c r="EU761" s="27" t="s">
        <v>166</v>
      </c>
      <c r="EV761" s="27" t="s">
        <v>166</v>
      </c>
      <c r="EW761" s="27" t="s">
        <v>166</v>
      </c>
      <c r="EX761" s="25" t="s">
        <v>190</v>
      </c>
      <c r="EY761" s="25" t="s">
        <v>166</v>
      </c>
      <c r="EZ761" s="27" t="s">
        <v>166</v>
      </c>
      <c r="FA761" s="26">
        <v>4</v>
      </c>
      <c r="FB761" s="26">
        <v>1</v>
      </c>
      <c r="FC761" s="26">
        <v>4</v>
      </c>
      <c r="FD761" s="26" t="s">
        <v>166</v>
      </c>
      <c r="FE761" s="26" t="s">
        <v>166</v>
      </c>
      <c r="FF761" s="26" t="s">
        <v>166</v>
      </c>
      <c r="FG761" s="25" t="s">
        <v>457</v>
      </c>
      <c r="FH761" s="4">
        <f>HYPERLINK("https://my.pitchbook.com?c=192345-58T","View Company Online")</f>
      </c>
    </row>
    <row r="762">
      <c r="A762" s="14" t="s">
        <v>14571</v>
      </c>
      <c r="B762" s="14" t="s">
        <v>14572</v>
      </c>
      <c r="C762" s="14" t="s">
        <v>14573</v>
      </c>
      <c r="D762" s="14" t="s">
        <v>166</v>
      </c>
      <c r="E762" s="23" t="s">
        <v>14574</v>
      </c>
      <c r="F762" s="21">
        <v>5</v>
      </c>
      <c r="G762" s="14" t="s">
        <v>14575</v>
      </c>
      <c r="H762" s="14" t="s">
        <v>166</v>
      </c>
      <c r="I762" s="14" t="s">
        <v>14576</v>
      </c>
      <c r="J762" s="14" t="s">
        <v>14577</v>
      </c>
      <c r="K762" s="14" t="s">
        <v>207</v>
      </c>
      <c r="L762" s="14" t="s">
        <v>208</v>
      </c>
      <c r="M762" s="14" t="s">
        <v>1940</v>
      </c>
      <c r="N762" s="14" t="s">
        <v>1941</v>
      </c>
      <c r="O762" s="14" t="s">
        <v>5519</v>
      </c>
      <c r="P762" s="14" t="s">
        <v>14578</v>
      </c>
      <c r="Q762" s="14" t="s">
        <v>166</v>
      </c>
      <c r="R762" s="14" t="s">
        <v>177</v>
      </c>
      <c r="S762" s="14" t="s">
        <v>358</v>
      </c>
      <c r="T762" s="14" t="s">
        <v>179</v>
      </c>
      <c r="U762" s="14" t="s">
        <v>14579</v>
      </c>
      <c r="V762" s="14" t="s">
        <v>14580</v>
      </c>
      <c r="W762" s="21" t="s">
        <v>166</v>
      </c>
      <c r="X762" s="14" t="s">
        <v>14581</v>
      </c>
      <c r="Y762" s="14" t="s">
        <v>14582</v>
      </c>
      <c r="Z762" s="14" t="s">
        <v>166</v>
      </c>
      <c r="AA762" s="14" t="s">
        <v>166</v>
      </c>
      <c r="AB762" s="14" t="s">
        <v>166</v>
      </c>
      <c r="AC762" s="14" t="s">
        <v>166</v>
      </c>
      <c r="AD762" s="14" t="s">
        <v>166</v>
      </c>
      <c r="AE762" s="14" t="s">
        <v>166</v>
      </c>
      <c r="AF762" s="14" t="s">
        <v>166</v>
      </c>
      <c r="AG762" s="14" t="s">
        <v>166</v>
      </c>
      <c r="AH762" s="21">
        <v>1</v>
      </c>
      <c r="AI762" s="3">
        <f>HYPERLINK("https://my.pitchbook.com/?d=244874-53T","244874-53T")</f>
      </c>
      <c r="AJ762" s="19" t="s">
        <v>166</v>
      </c>
      <c r="AK762" s="19">
        <v>45134</v>
      </c>
      <c r="AL762" s="18">
        <v>5.7</v>
      </c>
      <c r="AM762" s="14" t="s">
        <v>185</v>
      </c>
      <c r="AN762" s="18">
        <v>20</v>
      </c>
      <c r="AO762" s="18">
        <v>25.7</v>
      </c>
      <c r="AP762" s="14" t="s">
        <v>185</v>
      </c>
      <c r="AQ762" s="21" t="s">
        <v>166</v>
      </c>
      <c r="AR762" s="21" t="s">
        <v>166</v>
      </c>
      <c r="AS762" s="17">
        <v>22.17</v>
      </c>
      <c r="AT762" s="18">
        <v>5.7</v>
      </c>
      <c r="AU762" s="21" t="s">
        <v>186</v>
      </c>
      <c r="AV762" s="21" t="s">
        <v>166</v>
      </c>
      <c r="AW762" s="18" t="s">
        <v>166</v>
      </c>
      <c r="AX762" s="21" t="s">
        <v>166</v>
      </c>
      <c r="AY762" s="14" t="s">
        <v>187</v>
      </c>
      <c r="AZ762" s="14" t="s">
        <v>166</v>
      </c>
      <c r="BA762" s="14" t="s">
        <v>166</v>
      </c>
      <c r="BB762" s="21" t="s">
        <v>166</v>
      </c>
      <c r="BC762" s="14" t="s">
        <v>179</v>
      </c>
      <c r="BD762" s="14" t="s">
        <v>14577</v>
      </c>
      <c r="BE762" s="14" t="s">
        <v>189</v>
      </c>
      <c r="BF762" s="18">
        <v>5.7</v>
      </c>
      <c r="BG762" s="14" t="s">
        <v>190</v>
      </c>
      <c r="BH762" s="14" t="s">
        <v>166</v>
      </c>
      <c r="BI762" s="14" t="s">
        <v>166</v>
      </c>
      <c r="BJ762" s="18" t="s">
        <v>166</v>
      </c>
      <c r="BK762" s="18" t="s">
        <v>166</v>
      </c>
      <c r="BL762" s="14" t="s">
        <v>191</v>
      </c>
      <c r="BM762" s="14" t="s">
        <v>358</v>
      </c>
      <c r="BN762" s="14" t="s">
        <v>177</v>
      </c>
      <c r="BO762" s="22">
        <v>2</v>
      </c>
      <c r="BP762" s="14" t="s">
        <v>14583</v>
      </c>
      <c r="BQ762" s="21">
        <v>5</v>
      </c>
      <c r="BR762" s="14" t="s">
        <v>166</v>
      </c>
      <c r="BS762" s="21" t="s">
        <v>166</v>
      </c>
      <c r="BT762" s="14" t="s">
        <v>14584</v>
      </c>
      <c r="BU762" s="14" t="s">
        <v>166</v>
      </c>
      <c r="BV762" s="14" t="s">
        <v>14585</v>
      </c>
      <c r="BW762" s="14" t="s">
        <v>166</v>
      </c>
      <c r="BX762" s="14" t="s">
        <v>166</v>
      </c>
      <c r="BY762" s="14" t="s">
        <v>166</v>
      </c>
      <c r="BZ762" s="14" t="s">
        <v>166</v>
      </c>
      <c r="CA762" s="14" t="s">
        <v>166</v>
      </c>
      <c r="CB762" s="14" t="s">
        <v>166</v>
      </c>
      <c r="CC762" s="14" t="s">
        <v>166</v>
      </c>
      <c r="CD762" s="14" t="s">
        <v>166</v>
      </c>
      <c r="CE762" s="18" t="s">
        <v>166</v>
      </c>
      <c r="CF762" s="16" t="s">
        <v>166</v>
      </c>
      <c r="CG762" s="17" t="s">
        <v>166</v>
      </c>
      <c r="CH762" s="16" t="s">
        <v>166</v>
      </c>
      <c r="CI762" s="16" t="s">
        <v>166</v>
      </c>
      <c r="CJ762" s="16" t="s">
        <v>166</v>
      </c>
      <c r="CK762" s="16" t="s">
        <v>166</v>
      </c>
      <c r="CL762" s="16" t="s">
        <v>166</v>
      </c>
      <c r="CM762" s="20" t="s">
        <v>166</v>
      </c>
      <c r="CN762" s="16" t="s">
        <v>166</v>
      </c>
      <c r="CO762" s="16" t="s">
        <v>166</v>
      </c>
      <c r="CP762" s="16" t="s">
        <v>166</v>
      </c>
      <c r="CQ762" s="16" t="s">
        <v>166</v>
      </c>
      <c r="CR762" s="16" t="s">
        <v>166</v>
      </c>
      <c r="CS762" s="16" t="s">
        <v>166</v>
      </c>
      <c r="CT762" s="16" t="s">
        <v>166</v>
      </c>
      <c r="CU762" s="16" t="s">
        <v>166</v>
      </c>
      <c r="CV762" s="16" t="s">
        <v>166</v>
      </c>
      <c r="CW762" s="16" t="s">
        <v>166</v>
      </c>
      <c r="CX762" s="16" t="s">
        <v>166</v>
      </c>
      <c r="CY762" s="16" t="s">
        <v>166</v>
      </c>
      <c r="CZ762" s="16" t="s">
        <v>166</v>
      </c>
      <c r="DA762" s="16" t="s">
        <v>166</v>
      </c>
      <c r="DB762" s="16" t="s">
        <v>166</v>
      </c>
      <c r="DC762" s="16" t="s">
        <v>166</v>
      </c>
      <c r="DD762" s="16" t="s">
        <v>166</v>
      </c>
      <c r="DE762" s="17" t="s">
        <v>166</v>
      </c>
      <c r="DF762" s="22">
        <v>9</v>
      </c>
      <c r="DG762" s="14" t="s">
        <v>1540</v>
      </c>
      <c r="DH762" s="14" t="s">
        <v>193</v>
      </c>
      <c r="DI762" s="14" t="s">
        <v>194</v>
      </c>
      <c r="DJ762" s="14" t="s">
        <v>1541</v>
      </c>
      <c r="DK762" s="14" t="s">
        <v>257</v>
      </c>
      <c r="DL762" s="21" t="s">
        <v>12417</v>
      </c>
      <c r="DM762" s="14" t="s">
        <v>198</v>
      </c>
      <c r="DN762" s="13" t="s">
        <v>14586</v>
      </c>
      <c r="DO762" s="20">
        <v>2023</v>
      </c>
      <c r="DP762" s="14" t="s">
        <v>166</v>
      </c>
      <c r="DQ762" s="14" t="s">
        <v>166</v>
      </c>
      <c r="DR762" s="18" t="s">
        <v>166</v>
      </c>
      <c r="DS762" s="16" t="s">
        <v>166</v>
      </c>
      <c r="DT762" s="19" t="s">
        <v>166</v>
      </c>
      <c r="DU762" s="14" t="s">
        <v>166</v>
      </c>
      <c r="DV762" s="18" t="s">
        <v>166</v>
      </c>
      <c r="DW762" s="18" t="s">
        <v>166</v>
      </c>
      <c r="DX762" s="16" t="s">
        <v>166</v>
      </c>
      <c r="DY762" s="16" t="s">
        <v>166</v>
      </c>
      <c r="DZ762" s="17" t="s">
        <v>166</v>
      </c>
      <c r="EA762" s="16" t="s">
        <v>166</v>
      </c>
      <c r="EB762" s="16" t="s">
        <v>166</v>
      </c>
      <c r="EC762" s="16" t="s">
        <v>166</v>
      </c>
      <c r="ED762" s="17" t="s">
        <v>166</v>
      </c>
      <c r="EE762" s="17" t="s">
        <v>166</v>
      </c>
      <c r="EF762" s="17" t="s">
        <v>166</v>
      </c>
      <c r="EG762" s="17" t="s">
        <v>166</v>
      </c>
      <c r="EH762" s="16" t="s">
        <v>166</v>
      </c>
      <c r="EI762" s="16" t="s">
        <v>166</v>
      </c>
      <c r="EJ762" s="16" t="s">
        <v>166</v>
      </c>
      <c r="EK762" s="16" t="s">
        <v>166</v>
      </c>
      <c r="EL762" s="16" t="s">
        <v>166</v>
      </c>
      <c r="EM762" s="16" t="s">
        <v>166</v>
      </c>
      <c r="EN762" s="16" t="s">
        <v>166</v>
      </c>
      <c r="EO762" s="16" t="s">
        <v>166</v>
      </c>
      <c r="EP762" s="16" t="s">
        <v>166</v>
      </c>
      <c r="EQ762" s="16" t="s">
        <v>166</v>
      </c>
      <c r="ER762" s="16" t="s">
        <v>166</v>
      </c>
      <c r="ES762" s="16" t="s">
        <v>166</v>
      </c>
      <c r="ET762" s="14" t="s">
        <v>166</v>
      </c>
      <c r="EU762" s="16" t="s">
        <v>166</v>
      </c>
      <c r="EV762" s="16" t="s">
        <v>166</v>
      </c>
      <c r="EW762" s="16" t="s">
        <v>166</v>
      </c>
      <c r="EX762" s="14" t="s">
        <v>190</v>
      </c>
      <c r="EY762" s="14" t="s">
        <v>166</v>
      </c>
      <c r="EZ762" s="16" t="s">
        <v>166</v>
      </c>
      <c r="FA762" s="15" t="s">
        <v>166</v>
      </c>
      <c r="FB762" s="15" t="s">
        <v>166</v>
      </c>
      <c r="FC762" s="15" t="s">
        <v>166</v>
      </c>
      <c r="FD762" s="15" t="s">
        <v>166</v>
      </c>
      <c r="FE762" s="15" t="s">
        <v>166</v>
      </c>
      <c r="FF762" s="15" t="s">
        <v>166</v>
      </c>
      <c r="FG762" s="14" t="s">
        <v>166</v>
      </c>
      <c r="FH762" s="3">
        <f>HYPERLINK("https://my.pitchbook.com?c=244874-53T","View Company Online")</f>
      </c>
    </row>
    <row r="763">
      <c r="A763" s="25" t="s">
        <v>14587</v>
      </c>
      <c r="B763" s="25" t="s">
        <v>14588</v>
      </c>
      <c r="C763" s="25" t="s">
        <v>14589</v>
      </c>
      <c r="D763" s="25" t="s">
        <v>166</v>
      </c>
      <c r="E763" s="34" t="s">
        <v>14590</v>
      </c>
      <c r="F763" s="32">
        <v>1</v>
      </c>
      <c r="G763" s="25" t="s">
        <v>14591</v>
      </c>
      <c r="H763" s="25" t="s">
        <v>166</v>
      </c>
      <c r="I763" s="25" t="s">
        <v>14592</v>
      </c>
      <c r="J763" s="25" t="s">
        <v>14593</v>
      </c>
      <c r="K763" s="25" t="s">
        <v>207</v>
      </c>
      <c r="L763" s="25" t="s">
        <v>208</v>
      </c>
      <c r="M763" s="25" t="s">
        <v>14594</v>
      </c>
      <c r="N763" s="25" t="s">
        <v>14595</v>
      </c>
      <c r="O763" s="25" t="s">
        <v>14596</v>
      </c>
      <c r="P763" s="25" t="s">
        <v>14597</v>
      </c>
      <c r="Q763" s="25" t="s">
        <v>166</v>
      </c>
      <c r="R763" s="25" t="s">
        <v>177</v>
      </c>
      <c r="S763" s="25" t="s">
        <v>8605</v>
      </c>
      <c r="T763" s="25" t="s">
        <v>179</v>
      </c>
      <c r="U763" s="25" t="s">
        <v>14598</v>
      </c>
      <c r="V763" s="25" t="s">
        <v>14599</v>
      </c>
      <c r="W763" s="32" t="s">
        <v>14600</v>
      </c>
      <c r="X763" s="25" t="s">
        <v>14601</v>
      </c>
      <c r="Y763" s="25" t="s">
        <v>14602</v>
      </c>
      <c r="Z763" s="25" t="s">
        <v>14603</v>
      </c>
      <c r="AA763" s="25" t="s">
        <v>242</v>
      </c>
      <c r="AB763" s="25" t="s">
        <v>243</v>
      </c>
      <c r="AC763" s="25" t="s">
        <v>244</v>
      </c>
      <c r="AD763" s="25" t="s">
        <v>243</v>
      </c>
      <c r="AE763" s="25" t="s">
        <v>243</v>
      </c>
      <c r="AF763" s="25" t="s">
        <v>166</v>
      </c>
      <c r="AG763" s="25" t="s">
        <v>246</v>
      </c>
      <c r="AH763" s="32">
        <v>1</v>
      </c>
      <c r="AI763" s="4">
        <f>HYPERLINK("https://my.pitchbook.com/?d=234288-82T","234288-82T")</f>
      </c>
      <c r="AJ763" s="30" t="s">
        <v>166</v>
      </c>
      <c r="AK763" s="30">
        <v>45160</v>
      </c>
      <c r="AL763" s="29">
        <v>6.51</v>
      </c>
      <c r="AM763" s="25" t="s">
        <v>185</v>
      </c>
      <c r="AN763" s="29">
        <v>123.49</v>
      </c>
      <c r="AO763" s="29">
        <v>130</v>
      </c>
      <c r="AP763" s="25" t="s">
        <v>185</v>
      </c>
      <c r="AQ763" s="32" t="s">
        <v>166</v>
      </c>
      <c r="AR763" s="32" t="s">
        <v>166</v>
      </c>
      <c r="AS763" s="28">
        <v>12.17</v>
      </c>
      <c r="AT763" s="29">
        <v>6.51</v>
      </c>
      <c r="AU763" s="32" t="s">
        <v>186</v>
      </c>
      <c r="AV763" s="32" t="s">
        <v>166</v>
      </c>
      <c r="AW763" s="29">
        <v>2.08</v>
      </c>
      <c r="AX763" s="32" t="s">
        <v>166</v>
      </c>
      <c r="AY763" s="25" t="s">
        <v>217</v>
      </c>
      <c r="AZ763" s="25" t="s">
        <v>217</v>
      </c>
      <c r="BA763" s="25" t="s">
        <v>166</v>
      </c>
      <c r="BB763" s="32" t="s">
        <v>166</v>
      </c>
      <c r="BC763" s="25" t="s">
        <v>179</v>
      </c>
      <c r="BD763" s="25" t="s">
        <v>14604</v>
      </c>
      <c r="BE763" s="25" t="s">
        <v>189</v>
      </c>
      <c r="BF763" s="29">
        <v>6.51</v>
      </c>
      <c r="BG763" s="25" t="s">
        <v>190</v>
      </c>
      <c r="BH763" s="25" t="s">
        <v>166</v>
      </c>
      <c r="BI763" s="25" t="s">
        <v>166</v>
      </c>
      <c r="BJ763" s="29" t="s">
        <v>166</v>
      </c>
      <c r="BK763" s="29" t="s">
        <v>166</v>
      </c>
      <c r="BL763" s="25" t="s">
        <v>191</v>
      </c>
      <c r="BM763" s="25" t="s">
        <v>8605</v>
      </c>
      <c r="BN763" s="25" t="s">
        <v>177</v>
      </c>
      <c r="BO763" s="33">
        <v>11</v>
      </c>
      <c r="BP763" s="25" t="s">
        <v>14590</v>
      </c>
      <c r="BQ763" s="32">
        <v>1</v>
      </c>
      <c r="BR763" s="25" t="s">
        <v>166</v>
      </c>
      <c r="BS763" s="32" t="s">
        <v>166</v>
      </c>
      <c r="BT763" s="25" t="s">
        <v>166</v>
      </c>
      <c r="BU763" s="25" t="s">
        <v>166</v>
      </c>
      <c r="BV763" s="25" t="s">
        <v>166</v>
      </c>
      <c r="BW763" s="25" t="s">
        <v>166</v>
      </c>
      <c r="BX763" s="25" t="s">
        <v>166</v>
      </c>
      <c r="BY763" s="25" t="s">
        <v>166</v>
      </c>
      <c r="BZ763" s="25" t="s">
        <v>872</v>
      </c>
      <c r="CA763" s="25" t="s">
        <v>872</v>
      </c>
      <c r="CB763" s="25" t="s">
        <v>166</v>
      </c>
      <c r="CC763" s="25" t="s">
        <v>166</v>
      </c>
      <c r="CD763" s="25" t="s">
        <v>166</v>
      </c>
      <c r="CE763" s="29" t="s">
        <v>166</v>
      </c>
      <c r="CF763" s="27" t="s">
        <v>166</v>
      </c>
      <c r="CG763" s="28" t="s">
        <v>166</v>
      </c>
      <c r="CH763" s="27" t="s">
        <v>166</v>
      </c>
      <c r="CI763" s="27" t="s">
        <v>166</v>
      </c>
      <c r="CJ763" s="27" t="s">
        <v>166</v>
      </c>
      <c r="CK763" s="27" t="s">
        <v>166</v>
      </c>
      <c r="CL763" s="27" t="s">
        <v>166</v>
      </c>
      <c r="CM763" s="31" t="s">
        <v>166</v>
      </c>
      <c r="CN763" s="27" t="s">
        <v>166</v>
      </c>
      <c r="CO763" s="27" t="s">
        <v>166</v>
      </c>
      <c r="CP763" s="27" t="s">
        <v>166</v>
      </c>
      <c r="CQ763" s="27" t="s">
        <v>166</v>
      </c>
      <c r="CR763" s="27" t="s">
        <v>166</v>
      </c>
      <c r="CS763" s="27" t="s">
        <v>166</v>
      </c>
      <c r="CT763" s="27" t="s">
        <v>166</v>
      </c>
      <c r="CU763" s="27" t="s">
        <v>166</v>
      </c>
      <c r="CV763" s="27" t="s">
        <v>166</v>
      </c>
      <c r="CW763" s="27" t="s">
        <v>166</v>
      </c>
      <c r="CX763" s="27" t="s">
        <v>166</v>
      </c>
      <c r="CY763" s="27" t="s">
        <v>166</v>
      </c>
      <c r="CZ763" s="27" t="s">
        <v>166</v>
      </c>
      <c r="DA763" s="27" t="s">
        <v>166</v>
      </c>
      <c r="DB763" s="27" t="s">
        <v>166</v>
      </c>
      <c r="DC763" s="27" t="s">
        <v>166</v>
      </c>
      <c r="DD763" s="27" t="s">
        <v>166</v>
      </c>
      <c r="DE763" s="28" t="s">
        <v>166</v>
      </c>
      <c r="DF763" s="33">
        <v>15</v>
      </c>
      <c r="DG763" s="25" t="s">
        <v>9507</v>
      </c>
      <c r="DH763" s="25" t="s">
        <v>193</v>
      </c>
      <c r="DI763" s="25" t="s">
        <v>194</v>
      </c>
      <c r="DJ763" s="25" t="s">
        <v>9508</v>
      </c>
      <c r="DK763" s="25" t="s">
        <v>9509</v>
      </c>
      <c r="DL763" s="32" t="s">
        <v>14605</v>
      </c>
      <c r="DM763" s="25" t="s">
        <v>198</v>
      </c>
      <c r="DN763" s="24" t="s">
        <v>14606</v>
      </c>
      <c r="DO763" s="31">
        <v>2020</v>
      </c>
      <c r="DP763" s="25" t="s">
        <v>166</v>
      </c>
      <c r="DQ763" s="25" t="s">
        <v>166</v>
      </c>
      <c r="DR763" s="29" t="s">
        <v>166</v>
      </c>
      <c r="DS763" s="27" t="s">
        <v>166</v>
      </c>
      <c r="DT763" s="30" t="s">
        <v>166</v>
      </c>
      <c r="DU763" s="25" t="s">
        <v>166</v>
      </c>
      <c r="DV763" s="29" t="s">
        <v>166</v>
      </c>
      <c r="DW763" s="29" t="s">
        <v>166</v>
      </c>
      <c r="DX763" s="27" t="s">
        <v>166</v>
      </c>
      <c r="DY763" s="27" t="s">
        <v>166</v>
      </c>
      <c r="DZ763" s="28" t="s">
        <v>166</v>
      </c>
      <c r="EA763" s="27" t="s">
        <v>166</v>
      </c>
      <c r="EB763" s="27" t="s">
        <v>166</v>
      </c>
      <c r="EC763" s="27" t="s">
        <v>166</v>
      </c>
      <c r="ED763" s="28" t="s">
        <v>166</v>
      </c>
      <c r="EE763" s="28" t="s">
        <v>166</v>
      </c>
      <c r="EF763" s="28" t="s">
        <v>166</v>
      </c>
      <c r="EG763" s="28" t="s">
        <v>166</v>
      </c>
      <c r="EH763" s="27" t="s">
        <v>166</v>
      </c>
      <c r="EI763" s="27" t="s">
        <v>166</v>
      </c>
      <c r="EJ763" s="27" t="s">
        <v>166</v>
      </c>
      <c r="EK763" s="27" t="s">
        <v>166</v>
      </c>
      <c r="EL763" s="27" t="s">
        <v>166</v>
      </c>
      <c r="EM763" s="27" t="s">
        <v>166</v>
      </c>
      <c r="EN763" s="27" t="s">
        <v>166</v>
      </c>
      <c r="EO763" s="27" t="s">
        <v>166</v>
      </c>
      <c r="EP763" s="27" t="s">
        <v>166</v>
      </c>
      <c r="EQ763" s="27" t="s">
        <v>166</v>
      </c>
      <c r="ER763" s="27" t="s">
        <v>166</v>
      </c>
      <c r="ES763" s="27" t="s">
        <v>166</v>
      </c>
      <c r="ET763" s="25" t="s">
        <v>166</v>
      </c>
      <c r="EU763" s="27" t="s">
        <v>166</v>
      </c>
      <c r="EV763" s="27" t="s">
        <v>166</v>
      </c>
      <c r="EW763" s="27" t="s">
        <v>166</v>
      </c>
      <c r="EX763" s="25" t="s">
        <v>190</v>
      </c>
      <c r="EY763" s="25" t="s">
        <v>166</v>
      </c>
      <c r="EZ763" s="27" t="s">
        <v>166</v>
      </c>
      <c r="FA763" s="26">
        <v>20</v>
      </c>
      <c r="FB763" s="26">
        <v>11</v>
      </c>
      <c r="FC763" s="26">
        <v>6</v>
      </c>
      <c r="FD763" s="26">
        <v>3</v>
      </c>
      <c r="FE763" s="26">
        <v>1</v>
      </c>
      <c r="FF763" s="26">
        <v>11</v>
      </c>
      <c r="FG763" s="25" t="s">
        <v>14607</v>
      </c>
      <c r="FH763" s="4">
        <f>HYPERLINK("https://my.pitchbook.com?c=234288-82T","View Company Online")</f>
      </c>
    </row>
    <row r="764">
      <c r="A764" s="14" t="s">
        <v>14608</v>
      </c>
      <c r="B764" s="14" t="s">
        <v>14609</v>
      </c>
      <c r="C764" s="14" t="s">
        <v>14610</v>
      </c>
      <c r="D764" s="14" t="s">
        <v>166</v>
      </c>
      <c r="E764" s="23" t="s">
        <v>14611</v>
      </c>
      <c r="F764" s="21">
        <v>9</v>
      </c>
      <c r="G764" s="14" t="s">
        <v>14612</v>
      </c>
      <c r="H764" s="14" t="s">
        <v>166</v>
      </c>
      <c r="I764" s="14" t="s">
        <v>14613</v>
      </c>
      <c r="J764" s="14" t="s">
        <v>14614</v>
      </c>
      <c r="K764" s="14" t="s">
        <v>207</v>
      </c>
      <c r="L764" s="14" t="s">
        <v>208</v>
      </c>
      <c r="M764" s="14" t="s">
        <v>209</v>
      </c>
      <c r="N764" s="14" t="s">
        <v>269</v>
      </c>
      <c r="O764" s="14" t="s">
        <v>5563</v>
      </c>
      <c r="P764" s="14" t="s">
        <v>14615</v>
      </c>
      <c r="Q764" s="14" t="s">
        <v>166</v>
      </c>
      <c r="R764" s="14" t="s">
        <v>177</v>
      </c>
      <c r="S764" s="14" t="s">
        <v>178</v>
      </c>
      <c r="T764" s="14" t="s">
        <v>179</v>
      </c>
      <c r="U764" s="14" t="s">
        <v>14616</v>
      </c>
      <c r="V764" s="14" t="s">
        <v>14617</v>
      </c>
      <c r="W764" s="21" t="s">
        <v>166</v>
      </c>
      <c r="X764" s="14" t="s">
        <v>14618</v>
      </c>
      <c r="Y764" s="14" t="s">
        <v>14619</v>
      </c>
      <c r="Z764" s="14" t="s">
        <v>166</v>
      </c>
      <c r="AA764" s="14" t="s">
        <v>166</v>
      </c>
      <c r="AB764" s="14" t="s">
        <v>166</v>
      </c>
      <c r="AC764" s="14" t="s">
        <v>166</v>
      </c>
      <c r="AD764" s="14" t="s">
        <v>166</v>
      </c>
      <c r="AE764" s="14" t="s">
        <v>166</v>
      </c>
      <c r="AF764" s="14" t="s">
        <v>166</v>
      </c>
      <c r="AG764" s="14" t="s">
        <v>166</v>
      </c>
      <c r="AH764" s="21">
        <v>2</v>
      </c>
      <c r="AI764" s="3">
        <f>HYPERLINK("https://my.pitchbook.com/?d=188705-35T","188705-35T")</f>
      </c>
      <c r="AJ764" s="19" t="s">
        <v>166</v>
      </c>
      <c r="AK764" s="19">
        <v>44272</v>
      </c>
      <c r="AL764" s="18">
        <v>2.3</v>
      </c>
      <c r="AM764" s="14" t="s">
        <v>185</v>
      </c>
      <c r="AN764" s="18" t="s">
        <v>166</v>
      </c>
      <c r="AO764" s="18" t="s">
        <v>166</v>
      </c>
      <c r="AP764" s="14" t="s">
        <v>166</v>
      </c>
      <c r="AQ764" s="21" t="s">
        <v>166</v>
      </c>
      <c r="AR764" s="21" t="s">
        <v>166</v>
      </c>
      <c r="AS764" s="17" t="s">
        <v>166</v>
      </c>
      <c r="AT764" s="18">
        <v>2.42</v>
      </c>
      <c r="AU764" s="21" t="s">
        <v>186</v>
      </c>
      <c r="AV764" s="21" t="s">
        <v>166</v>
      </c>
      <c r="AW764" s="18" t="s">
        <v>166</v>
      </c>
      <c r="AX764" s="21" t="s">
        <v>166</v>
      </c>
      <c r="AY764" s="14" t="s">
        <v>217</v>
      </c>
      <c r="AZ764" s="14" t="s">
        <v>217</v>
      </c>
      <c r="BA764" s="14" t="s">
        <v>166</v>
      </c>
      <c r="BB764" s="21" t="s">
        <v>166</v>
      </c>
      <c r="BC764" s="14" t="s">
        <v>179</v>
      </c>
      <c r="BD764" s="14" t="s">
        <v>14620</v>
      </c>
      <c r="BE764" s="14" t="s">
        <v>189</v>
      </c>
      <c r="BF764" s="18">
        <v>2.3</v>
      </c>
      <c r="BG764" s="14" t="s">
        <v>190</v>
      </c>
      <c r="BH764" s="14" t="s">
        <v>166</v>
      </c>
      <c r="BI764" s="14" t="s">
        <v>166</v>
      </c>
      <c r="BJ764" s="18" t="s">
        <v>166</v>
      </c>
      <c r="BK764" s="18" t="s">
        <v>166</v>
      </c>
      <c r="BL764" s="14" t="s">
        <v>191</v>
      </c>
      <c r="BM764" s="14" t="s">
        <v>178</v>
      </c>
      <c r="BN764" s="14" t="s">
        <v>177</v>
      </c>
      <c r="BO764" s="22" t="s">
        <v>166</v>
      </c>
      <c r="BP764" s="14" t="s">
        <v>14621</v>
      </c>
      <c r="BQ764" s="21">
        <v>9</v>
      </c>
      <c r="BR764" s="14" t="s">
        <v>166</v>
      </c>
      <c r="BS764" s="21" t="s">
        <v>166</v>
      </c>
      <c r="BT764" s="14" t="s">
        <v>166</v>
      </c>
      <c r="BU764" s="14" t="s">
        <v>166</v>
      </c>
      <c r="BV764" s="14" t="s">
        <v>14622</v>
      </c>
      <c r="BW764" s="14" t="s">
        <v>166</v>
      </c>
      <c r="BX764" s="14" t="s">
        <v>166</v>
      </c>
      <c r="BY764" s="14" t="s">
        <v>166</v>
      </c>
      <c r="BZ764" s="14" t="s">
        <v>166</v>
      </c>
      <c r="CA764" s="14" t="s">
        <v>166</v>
      </c>
      <c r="CB764" s="14" t="s">
        <v>166</v>
      </c>
      <c r="CC764" s="14" t="s">
        <v>166</v>
      </c>
      <c r="CD764" s="14" t="s">
        <v>166</v>
      </c>
      <c r="CE764" s="18" t="s">
        <v>166</v>
      </c>
      <c r="CF764" s="16" t="s">
        <v>166</v>
      </c>
      <c r="CG764" s="17" t="s">
        <v>166</v>
      </c>
      <c r="CH764" s="16" t="s">
        <v>166</v>
      </c>
      <c r="CI764" s="16" t="s">
        <v>166</v>
      </c>
      <c r="CJ764" s="16" t="s">
        <v>166</v>
      </c>
      <c r="CK764" s="16" t="s">
        <v>166</v>
      </c>
      <c r="CL764" s="16" t="s">
        <v>166</v>
      </c>
      <c r="CM764" s="20" t="s">
        <v>166</v>
      </c>
      <c r="CN764" s="16" t="s">
        <v>166</v>
      </c>
      <c r="CO764" s="16" t="s">
        <v>166</v>
      </c>
      <c r="CP764" s="16" t="s">
        <v>166</v>
      </c>
      <c r="CQ764" s="16" t="s">
        <v>166</v>
      </c>
      <c r="CR764" s="16" t="s">
        <v>166</v>
      </c>
      <c r="CS764" s="16" t="s">
        <v>166</v>
      </c>
      <c r="CT764" s="16" t="s">
        <v>166</v>
      </c>
      <c r="CU764" s="16" t="s">
        <v>166</v>
      </c>
      <c r="CV764" s="16" t="s">
        <v>166</v>
      </c>
      <c r="CW764" s="16" t="s">
        <v>166</v>
      </c>
      <c r="CX764" s="16" t="s">
        <v>166</v>
      </c>
      <c r="CY764" s="16" t="s">
        <v>166</v>
      </c>
      <c r="CZ764" s="16" t="s">
        <v>166</v>
      </c>
      <c r="DA764" s="16" t="s">
        <v>166</v>
      </c>
      <c r="DB764" s="16" t="s">
        <v>166</v>
      </c>
      <c r="DC764" s="16" t="s">
        <v>166</v>
      </c>
      <c r="DD764" s="16" t="s">
        <v>166</v>
      </c>
      <c r="DE764" s="17" t="s">
        <v>166</v>
      </c>
      <c r="DF764" s="22">
        <v>7</v>
      </c>
      <c r="DG764" s="14" t="s">
        <v>673</v>
      </c>
      <c r="DH764" s="14" t="s">
        <v>193</v>
      </c>
      <c r="DI764" s="14" t="s">
        <v>194</v>
      </c>
      <c r="DJ764" s="14" t="s">
        <v>674</v>
      </c>
      <c r="DK764" s="14" t="s">
        <v>257</v>
      </c>
      <c r="DL764" s="21" t="s">
        <v>1329</v>
      </c>
      <c r="DM764" s="14" t="s">
        <v>198</v>
      </c>
      <c r="DN764" s="13" t="s">
        <v>14623</v>
      </c>
      <c r="DO764" s="20">
        <v>2019</v>
      </c>
      <c r="DP764" s="14" t="s">
        <v>166</v>
      </c>
      <c r="DQ764" s="14" t="s">
        <v>166</v>
      </c>
      <c r="DR764" s="18" t="s">
        <v>166</v>
      </c>
      <c r="DS764" s="16" t="s">
        <v>166</v>
      </c>
      <c r="DT764" s="19" t="s">
        <v>166</v>
      </c>
      <c r="DU764" s="14" t="s">
        <v>166</v>
      </c>
      <c r="DV764" s="18" t="s">
        <v>166</v>
      </c>
      <c r="DW764" s="18" t="s">
        <v>166</v>
      </c>
      <c r="DX764" s="16" t="s">
        <v>166</v>
      </c>
      <c r="DY764" s="16" t="s">
        <v>166</v>
      </c>
      <c r="DZ764" s="17" t="s">
        <v>166</v>
      </c>
      <c r="EA764" s="16" t="s">
        <v>166</v>
      </c>
      <c r="EB764" s="16" t="s">
        <v>166</v>
      </c>
      <c r="EC764" s="16" t="s">
        <v>166</v>
      </c>
      <c r="ED764" s="17" t="s">
        <v>166</v>
      </c>
      <c r="EE764" s="17" t="s">
        <v>166</v>
      </c>
      <c r="EF764" s="17" t="s">
        <v>166</v>
      </c>
      <c r="EG764" s="17" t="s">
        <v>166</v>
      </c>
      <c r="EH764" s="16" t="s">
        <v>166</v>
      </c>
      <c r="EI764" s="16" t="s">
        <v>166</v>
      </c>
      <c r="EJ764" s="16" t="s">
        <v>166</v>
      </c>
      <c r="EK764" s="16" t="s">
        <v>166</v>
      </c>
      <c r="EL764" s="16" t="s">
        <v>166</v>
      </c>
      <c r="EM764" s="16" t="s">
        <v>166</v>
      </c>
      <c r="EN764" s="16" t="s">
        <v>166</v>
      </c>
      <c r="EO764" s="16" t="s">
        <v>166</v>
      </c>
      <c r="EP764" s="16" t="s">
        <v>166</v>
      </c>
      <c r="EQ764" s="16" t="s">
        <v>166</v>
      </c>
      <c r="ER764" s="16" t="s">
        <v>166</v>
      </c>
      <c r="ES764" s="16" t="s">
        <v>166</v>
      </c>
      <c r="ET764" s="14" t="s">
        <v>166</v>
      </c>
      <c r="EU764" s="16" t="s">
        <v>166</v>
      </c>
      <c r="EV764" s="16" t="s">
        <v>166</v>
      </c>
      <c r="EW764" s="16" t="s">
        <v>166</v>
      </c>
      <c r="EX764" s="14" t="s">
        <v>190</v>
      </c>
      <c r="EY764" s="14" t="s">
        <v>166</v>
      </c>
      <c r="EZ764" s="16" t="s">
        <v>166</v>
      </c>
      <c r="FA764" s="15" t="s">
        <v>166</v>
      </c>
      <c r="FB764" s="15" t="s">
        <v>166</v>
      </c>
      <c r="FC764" s="15" t="s">
        <v>166</v>
      </c>
      <c r="FD764" s="15" t="s">
        <v>166</v>
      </c>
      <c r="FE764" s="15" t="s">
        <v>166</v>
      </c>
      <c r="FF764" s="15" t="s">
        <v>166</v>
      </c>
      <c r="FG764" s="14" t="s">
        <v>166</v>
      </c>
      <c r="FH764" s="3">
        <f>HYPERLINK("https://my.pitchbook.com?c=188705-35T","View Company Online")</f>
      </c>
    </row>
    <row r="765">
      <c r="A765" s="25" t="s">
        <v>14624</v>
      </c>
      <c r="B765" s="25" t="s">
        <v>14625</v>
      </c>
      <c r="C765" s="25" t="s">
        <v>14626</v>
      </c>
      <c r="D765" s="25" t="s">
        <v>166</v>
      </c>
      <c r="E765" s="34" t="s">
        <v>14627</v>
      </c>
      <c r="F765" s="32">
        <v>10</v>
      </c>
      <c r="G765" s="25" t="s">
        <v>14628</v>
      </c>
      <c r="H765" s="25" t="s">
        <v>166</v>
      </c>
      <c r="I765" s="25" t="s">
        <v>14629</v>
      </c>
      <c r="J765" s="25" t="s">
        <v>14630</v>
      </c>
      <c r="K765" s="25" t="s">
        <v>207</v>
      </c>
      <c r="L765" s="25" t="s">
        <v>208</v>
      </c>
      <c r="M765" s="25" t="s">
        <v>209</v>
      </c>
      <c r="N765" s="25" t="s">
        <v>684</v>
      </c>
      <c r="O765" s="25" t="s">
        <v>800</v>
      </c>
      <c r="P765" s="25" t="s">
        <v>14631</v>
      </c>
      <c r="Q765" s="25" t="s">
        <v>166</v>
      </c>
      <c r="R765" s="25" t="s">
        <v>177</v>
      </c>
      <c r="S765" s="25" t="s">
        <v>178</v>
      </c>
      <c r="T765" s="25" t="s">
        <v>179</v>
      </c>
      <c r="U765" s="25" t="s">
        <v>14632</v>
      </c>
      <c r="V765" s="25" t="s">
        <v>14633</v>
      </c>
      <c r="W765" s="32" t="s">
        <v>14634</v>
      </c>
      <c r="X765" s="25" t="s">
        <v>14635</v>
      </c>
      <c r="Y765" s="25" t="s">
        <v>14636</v>
      </c>
      <c r="Z765" s="25" t="s">
        <v>14637</v>
      </c>
      <c r="AA765" s="25" t="s">
        <v>242</v>
      </c>
      <c r="AB765" s="25" t="s">
        <v>243</v>
      </c>
      <c r="AC765" s="25" t="s">
        <v>244</v>
      </c>
      <c r="AD765" s="25" t="s">
        <v>243</v>
      </c>
      <c r="AE765" s="25" t="s">
        <v>243</v>
      </c>
      <c r="AF765" s="25" t="s">
        <v>166</v>
      </c>
      <c r="AG765" s="25" t="s">
        <v>246</v>
      </c>
      <c r="AH765" s="32">
        <v>1</v>
      </c>
      <c r="AI765" s="4">
        <f>HYPERLINK("https://my.pitchbook.com/?d=154969-12T","154969-12T")</f>
      </c>
      <c r="AJ765" s="30">
        <v>43935</v>
      </c>
      <c r="AK765" s="30">
        <v>43988</v>
      </c>
      <c r="AL765" s="29">
        <v>2.5</v>
      </c>
      <c r="AM765" s="25" t="s">
        <v>185</v>
      </c>
      <c r="AN765" s="29">
        <v>9</v>
      </c>
      <c r="AO765" s="29">
        <v>11.5</v>
      </c>
      <c r="AP765" s="25" t="s">
        <v>185</v>
      </c>
      <c r="AQ765" s="32" t="s">
        <v>166</v>
      </c>
      <c r="AR765" s="32" t="s">
        <v>166</v>
      </c>
      <c r="AS765" s="28">
        <v>21.74</v>
      </c>
      <c r="AT765" s="29">
        <v>2.5</v>
      </c>
      <c r="AU765" s="32" t="s">
        <v>186</v>
      </c>
      <c r="AV765" s="32" t="s">
        <v>166</v>
      </c>
      <c r="AW765" s="29">
        <v>0.9</v>
      </c>
      <c r="AX765" s="32" t="s">
        <v>166</v>
      </c>
      <c r="AY765" s="25" t="s">
        <v>217</v>
      </c>
      <c r="AZ765" s="25" t="s">
        <v>217</v>
      </c>
      <c r="BA765" s="25" t="s">
        <v>166</v>
      </c>
      <c r="BB765" s="32" t="s">
        <v>166</v>
      </c>
      <c r="BC765" s="25" t="s">
        <v>179</v>
      </c>
      <c r="BD765" s="25" t="s">
        <v>14638</v>
      </c>
      <c r="BE765" s="25" t="s">
        <v>189</v>
      </c>
      <c r="BF765" s="29">
        <v>2.5</v>
      </c>
      <c r="BG765" s="25" t="s">
        <v>190</v>
      </c>
      <c r="BH765" s="25" t="s">
        <v>166</v>
      </c>
      <c r="BI765" s="25" t="s">
        <v>166</v>
      </c>
      <c r="BJ765" s="29" t="s">
        <v>166</v>
      </c>
      <c r="BK765" s="29" t="s">
        <v>166</v>
      </c>
      <c r="BL765" s="25" t="s">
        <v>191</v>
      </c>
      <c r="BM765" s="25" t="s">
        <v>178</v>
      </c>
      <c r="BN765" s="25" t="s">
        <v>177</v>
      </c>
      <c r="BO765" s="33" t="s">
        <v>166</v>
      </c>
      <c r="BP765" s="25" t="s">
        <v>14639</v>
      </c>
      <c r="BQ765" s="32">
        <v>10</v>
      </c>
      <c r="BR765" s="25" t="s">
        <v>166</v>
      </c>
      <c r="BS765" s="32" t="s">
        <v>166</v>
      </c>
      <c r="BT765" s="25" t="s">
        <v>11025</v>
      </c>
      <c r="BU765" s="25" t="s">
        <v>166</v>
      </c>
      <c r="BV765" s="25" t="s">
        <v>14640</v>
      </c>
      <c r="BW765" s="25" t="s">
        <v>166</v>
      </c>
      <c r="BX765" s="25" t="s">
        <v>166</v>
      </c>
      <c r="BY765" s="25" t="s">
        <v>166</v>
      </c>
      <c r="BZ765" s="25" t="s">
        <v>14641</v>
      </c>
      <c r="CA765" s="25" t="s">
        <v>14641</v>
      </c>
      <c r="CB765" s="25" t="s">
        <v>166</v>
      </c>
      <c r="CC765" s="25" t="s">
        <v>166</v>
      </c>
      <c r="CD765" s="25" t="s">
        <v>166</v>
      </c>
      <c r="CE765" s="29" t="s">
        <v>166</v>
      </c>
      <c r="CF765" s="27" t="s">
        <v>166</v>
      </c>
      <c r="CG765" s="28" t="s">
        <v>166</v>
      </c>
      <c r="CH765" s="27" t="s">
        <v>166</v>
      </c>
      <c r="CI765" s="27" t="s">
        <v>166</v>
      </c>
      <c r="CJ765" s="27" t="s">
        <v>166</v>
      </c>
      <c r="CK765" s="27" t="s">
        <v>166</v>
      </c>
      <c r="CL765" s="27" t="s">
        <v>166</v>
      </c>
      <c r="CM765" s="31" t="s">
        <v>166</v>
      </c>
      <c r="CN765" s="27" t="s">
        <v>166</v>
      </c>
      <c r="CO765" s="27" t="s">
        <v>166</v>
      </c>
      <c r="CP765" s="27" t="s">
        <v>166</v>
      </c>
      <c r="CQ765" s="27" t="s">
        <v>166</v>
      </c>
      <c r="CR765" s="27" t="s">
        <v>166</v>
      </c>
      <c r="CS765" s="27" t="s">
        <v>166</v>
      </c>
      <c r="CT765" s="27" t="s">
        <v>166</v>
      </c>
      <c r="CU765" s="27" t="s">
        <v>166</v>
      </c>
      <c r="CV765" s="27" t="s">
        <v>166</v>
      </c>
      <c r="CW765" s="27" t="s">
        <v>166</v>
      </c>
      <c r="CX765" s="27" t="s">
        <v>166</v>
      </c>
      <c r="CY765" s="27" t="s">
        <v>166</v>
      </c>
      <c r="CZ765" s="27" t="s">
        <v>166</v>
      </c>
      <c r="DA765" s="27" t="s">
        <v>166</v>
      </c>
      <c r="DB765" s="27" t="s">
        <v>166</v>
      </c>
      <c r="DC765" s="27" t="s">
        <v>166</v>
      </c>
      <c r="DD765" s="27" t="s">
        <v>166</v>
      </c>
      <c r="DE765" s="28" t="s">
        <v>166</v>
      </c>
      <c r="DF765" s="33">
        <v>25</v>
      </c>
      <c r="DG765" s="25" t="s">
        <v>673</v>
      </c>
      <c r="DH765" s="25" t="s">
        <v>193</v>
      </c>
      <c r="DI765" s="25" t="s">
        <v>194</v>
      </c>
      <c r="DJ765" s="25" t="s">
        <v>674</v>
      </c>
      <c r="DK765" s="25" t="s">
        <v>257</v>
      </c>
      <c r="DL765" s="32" t="s">
        <v>675</v>
      </c>
      <c r="DM765" s="25" t="s">
        <v>198</v>
      </c>
      <c r="DN765" s="24" t="s">
        <v>14642</v>
      </c>
      <c r="DO765" s="31">
        <v>2020</v>
      </c>
      <c r="DP765" s="25" t="s">
        <v>166</v>
      </c>
      <c r="DQ765" s="25" t="s">
        <v>166</v>
      </c>
      <c r="DR765" s="29" t="s">
        <v>166</v>
      </c>
      <c r="DS765" s="27" t="s">
        <v>166</v>
      </c>
      <c r="DT765" s="30" t="s">
        <v>166</v>
      </c>
      <c r="DU765" s="25" t="s">
        <v>166</v>
      </c>
      <c r="DV765" s="29" t="s">
        <v>166</v>
      </c>
      <c r="DW765" s="29" t="s">
        <v>166</v>
      </c>
      <c r="DX765" s="27" t="s">
        <v>166</v>
      </c>
      <c r="DY765" s="27" t="s">
        <v>166</v>
      </c>
      <c r="DZ765" s="28" t="s">
        <v>166</v>
      </c>
      <c r="EA765" s="27" t="s">
        <v>166</v>
      </c>
      <c r="EB765" s="27" t="s">
        <v>166</v>
      </c>
      <c r="EC765" s="27" t="s">
        <v>166</v>
      </c>
      <c r="ED765" s="28" t="s">
        <v>166</v>
      </c>
      <c r="EE765" s="28" t="s">
        <v>166</v>
      </c>
      <c r="EF765" s="28" t="s">
        <v>166</v>
      </c>
      <c r="EG765" s="28" t="s">
        <v>166</v>
      </c>
      <c r="EH765" s="27" t="s">
        <v>166</v>
      </c>
      <c r="EI765" s="27" t="s">
        <v>166</v>
      </c>
      <c r="EJ765" s="27" t="s">
        <v>166</v>
      </c>
      <c r="EK765" s="27" t="s">
        <v>166</v>
      </c>
      <c r="EL765" s="27" t="s">
        <v>166</v>
      </c>
      <c r="EM765" s="27" t="s">
        <v>166</v>
      </c>
      <c r="EN765" s="27" t="s">
        <v>166</v>
      </c>
      <c r="EO765" s="27" t="s">
        <v>166</v>
      </c>
      <c r="EP765" s="27" t="s">
        <v>166</v>
      </c>
      <c r="EQ765" s="27" t="s">
        <v>166</v>
      </c>
      <c r="ER765" s="27" t="s">
        <v>166</v>
      </c>
      <c r="ES765" s="27" t="s">
        <v>166</v>
      </c>
      <c r="ET765" s="25" t="s">
        <v>166</v>
      </c>
      <c r="EU765" s="27" t="s">
        <v>166</v>
      </c>
      <c r="EV765" s="27" t="s">
        <v>166</v>
      </c>
      <c r="EW765" s="27" t="s">
        <v>166</v>
      </c>
      <c r="EX765" s="25" t="s">
        <v>190</v>
      </c>
      <c r="EY765" s="25" t="s">
        <v>166</v>
      </c>
      <c r="EZ765" s="27" t="s">
        <v>166</v>
      </c>
      <c r="FA765" s="26" t="s">
        <v>166</v>
      </c>
      <c r="FB765" s="26" t="s">
        <v>166</v>
      </c>
      <c r="FC765" s="26" t="s">
        <v>166</v>
      </c>
      <c r="FD765" s="26" t="s">
        <v>166</v>
      </c>
      <c r="FE765" s="26" t="s">
        <v>166</v>
      </c>
      <c r="FF765" s="26" t="s">
        <v>166</v>
      </c>
      <c r="FG765" s="25" t="s">
        <v>166</v>
      </c>
      <c r="FH765" s="4">
        <f>HYPERLINK("https://my.pitchbook.com?c=154969-12T","View Company Online")</f>
      </c>
    </row>
    <row r="766">
      <c r="A766" s="14" t="s">
        <v>14643</v>
      </c>
      <c r="B766" s="14" t="s">
        <v>14644</v>
      </c>
      <c r="C766" s="14" t="s">
        <v>14645</v>
      </c>
      <c r="D766" s="14" t="s">
        <v>166</v>
      </c>
      <c r="E766" s="23" t="s">
        <v>14646</v>
      </c>
      <c r="F766" s="21">
        <v>7</v>
      </c>
      <c r="G766" s="14" t="s">
        <v>14647</v>
      </c>
      <c r="H766" s="14" t="s">
        <v>166</v>
      </c>
      <c r="I766" s="14" t="s">
        <v>14648</v>
      </c>
      <c r="J766" s="14" t="s">
        <v>14649</v>
      </c>
      <c r="K766" s="14" t="s">
        <v>207</v>
      </c>
      <c r="L766" s="14" t="s">
        <v>208</v>
      </c>
      <c r="M766" s="14" t="s">
        <v>209</v>
      </c>
      <c r="N766" s="14" t="s">
        <v>9277</v>
      </c>
      <c r="O766" s="14" t="s">
        <v>14650</v>
      </c>
      <c r="P766" s="14" t="s">
        <v>14651</v>
      </c>
      <c r="Q766" s="14" t="s">
        <v>14652</v>
      </c>
      <c r="R766" s="14" t="s">
        <v>177</v>
      </c>
      <c r="S766" s="14" t="s">
        <v>178</v>
      </c>
      <c r="T766" s="14" t="s">
        <v>179</v>
      </c>
      <c r="U766" s="14" t="s">
        <v>14653</v>
      </c>
      <c r="V766" s="14" t="s">
        <v>14654</v>
      </c>
      <c r="W766" s="21" t="s">
        <v>14655</v>
      </c>
      <c r="X766" s="14" t="s">
        <v>14656</v>
      </c>
      <c r="Y766" s="14" t="s">
        <v>14657</v>
      </c>
      <c r="Z766" s="14" t="s">
        <v>166</v>
      </c>
      <c r="AA766" s="14" t="s">
        <v>242</v>
      </c>
      <c r="AB766" s="14" t="s">
        <v>243</v>
      </c>
      <c r="AC766" s="14" t="s">
        <v>244</v>
      </c>
      <c r="AD766" s="14" t="s">
        <v>243</v>
      </c>
      <c r="AE766" s="14" t="s">
        <v>243</v>
      </c>
      <c r="AF766" s="14" t="s">
        <v>245</v>
      </c>
      <c r="AG766" s="14" t="s">
        <v>246</v>
      </c>
      <c r="AH766" s="21">
        <v>3</v>
      </c>
      <c r="AI766" s="3">
        <f>HYPERLINK("https://my.pitchbook.com/?d=169512-67T","169512-67T")</f>
      </c>
      <c r="AJ766" s="19">
        <v>44270</v>
      </c>
      <c r="AK766" s="19">
        <v>44275</v>
      </c>
      <c r="AL766" s="18">
        <v>2.72</v>
      </c>
      <c r="AM766" s="14" t="s">
        <v>185</v>
      </c>
      <c r="AN766" s="18">
        <v>5</v>
      </c>
      <c r="AO766" s="18">
        <v>7.72</v>
      </c>
      <c r="AP766" s="14" t="s">
        <v>185</v>
      </c>
      <c r="AQ766" s="21" t="s">
        <v>166</v>
      </c>
      <c r="AR766" s="21" t="s">
        <v>166</v>
      </c>
      <c r="AS766" s="17">
        <v>38.32</v>
      </c>
      <c r="AT766" s="18">
        <v>2.79</v>
      </c>
      <c r="AU766" s="21" t="s">
        <v>186</v>
      </c>
      <c r="AV766" s="21" t="s">
        <v>166</v>
      </c>
      <c r="AW766" s="18">
        <v>0.92</v>
      </c>
      <c r="AX766" s="21" t="s">
        <v>166</v>
      </c>
      <c r="AY766" s="14" t="s">
        <v>217</v>
      </c>
      <c r="AZ766" s="14" t="s">
        <v>217</v>
      </c>
      <c r="BA766" s="14" t="s">
        <v>166</v>
      </c>
      <c r="BB766" s="21" t="s">
        <v>166</v>
      </c>
      <c r="BC766" s="14" t="s">
        <v>179</v>
      </c>
      <c r="BD766" s="14" t="s">
        <v>14658</v>
      </c>
      <c r="BE766" s="14" t="s">
        <v>189</v>
      </c>
      <c r="BF766" s="18">
        <v>2.72</v>
      </c>
      <c r="BG766" s="14" t="s">
        <v>190</v>
      </c>
      <c r="BH766" s="14" t="s">
        <v>166</v>
      </c>
      <c r="BI766" s="14" t="s">
        <v>166</v>
      </c>
      <c r="BJ766" s="18" t="s">
        <v>166</v>
      </c>
      <c r="BK766" s="18" t="s">
        <v>166</v>
      </c>
      <c r="BL766" s="14" t="s">
        <v>191</v>
      </c>
      <c r="BM766" s="14" t="s">
        <v>178</v>
      </c>
      <c r="BN766" s="14" t="s">
        <v>177</v>
      </c>
      <c r="BO766" s="22" t="s">
        <v>166</v>
      </c>
      <c r="BP766" s="14" t="s">
        <v>14659</v>
      </c>
      <c r="BQ766" s="21">
        <v>7</v>
      </c>
      <c r="BR766" s="14" t="s">
        <v>166</v>
      </c>
      <c r="BS766" s="21" t="s">
        <v>166</v>
      </c>
      <c r="BT766" s="14" t="s">
        <v>14660</v>
      </c>
      <c r="BU766" s="14" t="s">
        <v>166</v>
      </c>
      <c r="BV766" s="14" t="s">
        <v>14661</v>
      </c>
      <c r="BW766" s="14" t="s">
        <v>166</v>
      </c>
      <c r="BX766" s="14" t="s">
        <v>166</v>
      </c>
      <c r="BY766" s="14" t="s">
        <v>166</v>
      </c>
      <c r="BZ766" s="14" t="s">
        <v>14662</v>
      </c>
      <c r="CA766" s="14" t="s">
        <v>1232</v>
      </c>
      <c r="CB766" s="14" t="s">
        <v>166</v>
      </c>
      <c r="CC766" s="14" t="s">
        <v>14663</v>
      </c>
      <c r="CD766" s="14" t="s">
        <v>166</v>
      </c>
      <c r="CE766" s="18" t="s">
        <v>166</v>
      </c>
      <c r="CF766" s="16" t="s">
        <v>166</v>
      </c>
      <c r="CG766" s="17" t="s">
        <v>166</v>
      </c>
      <c r="CH766" s="16" t="s">
        <v>166</v>
      </c>
      <c r="CI766" s="16" t="s">
        <v>166</v>
      </c>
      <c r="CJ766" s="16" t="s">
        <v>166</v>
      </c>
      <c r="CK766" s="16" t="s">
        <v>166</v>
      </c>
      <c r="CL766" s="16" t="s">
        <v>166</v>
      </c>
      <c r="CM766" s="20" t="s">
        <v>166</v>
      </c>
      <c r="CN766" s="16" t="s">
        <v>166</v>
      </c>
      <c r="CO766" s="16" t="s">
        <v>166</v>
      </c>
      <c r="CP766" s="16" t="s">
        <v>166</v>
      </c>
      <c r="CQ766" s="16" t="s">
        <v>166</v>
      </c>
      <c r="CR766" s="16" t="s">
        <v>166</v>
      </c>
      <c r="CS766" s="16" t="s">
        <v>166</v>
      </c>
      <c r="CT766" s="16" t="s">
        <v>166</v>
      </c>
      <c r="CU766" s="16" t="s">
        <v>166</v>
      </c>
      <c r="CV766" s="16" t="s">
        <v>166</v>
      </c>
      <c r="CW766" s="16" t="s">
        <v>166</v>
      </c>
      <c r="CX766" s="16" t="s">
        <v>166</v>
      </c>
      <c r="CY766" s="16" t="s">
        <v>166</v>
      </c>
      <c r="CZ766" s="16" t="s">
        <v>166</v>
      </c>
      <c r="DA766" s="16" t="s">
        <v>166</v>
      </c>
      <c r="DB766" s="16" t="s">
        <v>166</v>
      </c>
      <c r="DC766" s="16" t="s">
        <v>166</v>
      </c>
      <c r="DD766" s="16" t="s">
        <v>166</v>
      </c>
      <c r="DE766" s="17" t="s">
        <v>166</v>
      </c>
      <c r="DF766" s="22">
        <v>22</v>
      </c>
      <c r="DG766" s="14" t="s">
        <v>4914</v>
      </c>
      <c r="DH766" s="14" t="s">
        <v>193</v>
      </c>
      <c r="DI766" s="14" t="s">
        <v>194</v>
      </c>
      <c r="DJ766" s="14" t="s">
        <v>4915</v>
      </c>
      <c r="DK766" s="14" t="s">
        <v>257</v>
      </c>
      <c r="DL766" s="21" t="s">
        <v>14664</v>
      </c>
      <c r="DM766" s="14" t="s">
        <v>198</v>
      </c>
      <c r="DN766" s="13" t="s">
        <v>14665</v>
      </c>
      <c r="DO766" s="20">
        <v>2018</v>
      </c>
      <c r="DP766" s="14" t="s">
        <v>166</v>
      </c>
      <c r="DQ766" s="14" t="s">
        <v>166</v>
      </c>
      <c r="DR766" s="18" t="s">
        <v>166</v>
      </c>
      <c r="DS766" s="16" t="s">
        <v>166</v>
      </c>
      <c r="DT766" s="19" t="s">
        <v>166</v>
      </c>
      <c r="DU766" s="14" t="s">
        <v>166</v>
      </c>
      <c r="DV766" s="18" t="s">
        <v>166</v>
      </c>
      <c r="DW766" s="18" t="s">
        <v>166</v>
      </c>
      <c r="DX766" s="16" t="s">
        <v>166</v>
      </c>
      <c r="DY766" s="16" t="s">
        <v>166</v>
      </c>
      <c r="DZ766" s="17" t="s">
        <v>166</v>
      </c>
      <c r="EA766" s="16" t="s">
        <v>166</v>
      </c>
      <c r="EB766" s="16" t="s">
        <v>166</v>
      </c>
      <c r="EC766" s="16" t="s">
        <v>166</v>
      </c>
      <c r="ED766" s="17" t="s">
        <v>166</v>
      </c>
      <c r="EE766" s="17" t="s">
        <v>166</v>
      </c>
      <c r="EF766" s="17" t="s">
        <v>166</v>
      </c>
      <c r="EG766" s="17" t="s">
        <v>166</v>
      </c>
      <c r="EH766" s="16" t="s">
        <v>166</v>
      </c>
      <c r="EI766" s="16" t="s">
        <v>166</v>
      </c>
      <c r="EJ766" s="16" t="s">
        <v>166</v>
      </c>
      <c r="EK766" s="16" t="s">
        <v>166</v>
      </c>
      <c r="EL766" s="16" t="s">
        <v>166</v>
      </c>
      <c r="EM766" s="16" t="s">
        <v>166</v>
      </c>
      <c r="EN766" s="16" t="s">
        <v>166</v>
      </c>
      <c r="EO766" s="16" t="s">
        <v>166</v>
      </c>
      <c r="EP766" s="16" t="s">
        <v>166</v>
      </c>
      <c r="EQ766" s="16" t="s">
        <v>166</v>
      </c>
      <c r="ER766" s="16" t="s">
        <v>166</v>
      </c>
      <c r="ES766" s="16" t="s">
        <v>166</v>
      </c>
      <c r="ET766" s="14" t="s">
        <v>166</v>
      </c>
      <c r="EU766" s="16" t="s">
        <v>166</v>
      </c>
      <c r="EV766" s="16" t="s">
        <v>166</v>
      </c>
      <c r="EW766" s="16" t="s">
        <v>166</v>
      </c>
      <c r="EX766" s="14" t="s">
        <v>190</v>
      </c>
      <c r="EY766" s="14" t="s">
        <v>166</v>
      </c>
      <c r="EZ766" s="16" t="s">
        <v>166</v>
      </c>
      <c r="FA766" s="15" t="s">
        <v>166</v>
      </c>
      <c r="FB766" s="15" t="s">
        <v>166</v>
      </c>
      <c r="FC766" s="15" t="s">
        <v>166</v>
      </c>
      <c r="FD766" s="15" t="s">
        <v>166</v>
      </c>
      <c r="FE766" s="15" t="s">
        <v>166</v>
      </c>
      <c r="FF766" s="15" t="s">
        <v>166</v>
      </c>
      <c r="FG766" s="14" t="s">
        <v>166</v>
      </c>
      <c r="FH766" s="3">
        <f>HYPERLINK("https://my.pitchbook.com?c=169512-67T","View Company Online")</f>
      </c>
    </row>
    <row r="767">
      <c r="A767" s="25" t="s">
        <v>14666</v>
      </c>
      <c r="B767" s="25" t="s">
        <v>14667</v>
      </c>
      <c r="C767" s="25" t="s">
        <v>14668</v>
      </c>
      <c r="D767" s="25" t="s">
        <v>166</v>
      </c>
      <c r="E767" s="34" t="s">
        <v>14669</v>
      </c>
      <c r="F767" s="32">
        <v>3</v>
      </c>
      <c r="G767" s="25" t="s">
        <v>14670</v>
      </c>
      <c r="H767" s="25" t="s">
        <v>166</v>
      </c>
      <c r="I767" s="25" t="s">
        <v>14671</v>
      </c>
      <c r="J767" s="25" t="s">
        <v>14672</v>
      </c>
      <c r="K767" s="25" t="s">
        <v>1500</v>
      </c>
      <c r="L767" s="25" t="s">
        <v>2334</v>
      </c>
      <c r="M767" s="25" t="s">
        <v>7469</v>
      </c>
      <c r="N767" s="25" t="s">
        <v>7470</v>
      </c>
      <c r="O767" s="25" t="s">
        <v>9979</v>
      </c>
      <c r="P767" s="25" t="s">
        <v>14673</v>
      </c>
      <c r="Q767" s="25" t="s">
        <v>166</v>
      </c>
      <c r="R767" s="25" t="s">
        <v>177</v>
      </c>
      <c r="S767" s="25" t="s">
        <v>178</v>
      </c>
      <c r="T767" s="25" t="s">
        <v>179</v>
      </c>
      <c r="U767" s="25" t="s">
        <v>14674</v>
      </c>
      <c r="V767" s="25" t="s">
        <v>14675</v>
      </c>
      <c r="W767" s="32" t="s">
        <v>14676</v>
      </c>
      <c r="X767" s="25" t="s">
        <v>14677</v>
      </c>
      <c r="Y767" s="25" t="s">
        <v>14678</v>
      </c>
      <c r="Z767" s="25" t="s">
        <v>14679</v>
      </c>
      <c r="AA767" s="25" t="s">
        <v>242</v>
      </c>
      <c r="AB767" s="25" t="s">
        <v>243</v>
      </c>
      <c r="AC767" s="25" t="s">
        <v>244</v>
      </c>
      <c r="AD767" s="25" t="s">
        <v>243</v>
      </c>
      <c r="AE767" s="25" t="s">
        <v>243</v>
      </c>
      <c r="AF767" s="25" t="s">
        <v>166</v>
      </c>
      <c r="AG767" s="25" t="s">
        <v>246</v>
      </c>
      <c r="AH767" s="32">
        <v>1</v>
      </c>
      <c r="AI767" s="4">
        <f>HYPERLINK("https://my.pitchbook.com/?d=169066-09T","169066-09T")</f>
      </c>
      <c r="AJ767" s="30">
        <v>44203</v>
      </c>
      <c r="AK767" s="30">
        <v>44315</v>
      </c>
      <c r="AL767" s="29">
        <v>1.25</v>
      </c>
      <c r="AM767" s="25" t="s">
        <v>185</v>
      </c>
      <c r="AN767" s="29">
        <v>3</v>
      </c>
      <c r="AO767" s="29">
        <v>4.04</v>
      </c>
      <c r="AP767" s="25" t="s">
        <v>185</v>
      </c>
      <c r="AQ767" s="32" t="s">
        <v>166</v>
      </c>
      <c r="AR767" s="32" t="s">
        <v>166</v>
      </c>
      <c r="AS767" s="28">
        <v>25.78</v>
      </c>
      <c r="AT767" s="29">
        <v>1.25</v>
      </c>
      <c r="AU767" s="32" t="s">
        <v>186</v>
      </c>
      <c r="AV767" s="32" t="s">
        <v>166</v>
      </c>
      <c r="AW767" s="29">
        <v>0.4</v>
      </c>
      <c r="AX767" s="32" t="s">
        <v>166</v>
      </c>
      <c r="AY767" s="25" t="s">
        <v>217</v>
      </c>
      <c r="AZ767" s="25" t="s">
        <v>217</v>
      </c>
      <c r="BA767" s="25" t="s">
        <v>166</v>
      </c>
      <c r="BB767" s="32" t="s">
        <v>166</v>
      </c>
      <c r="BC767" s="25" t="s">
        <v>179</v>
      </c>
      <c r="BD767" s="25" t="s">
        <v>14680</v>
      </c>
      <c r="BE767" s="25" t="s">
        <v>189</v>
      </c>
      <c r="BF767" s="29">
        <v>1.04</v>
      </c>
      <c r="BG767" s="25" t="s">
        <v>190</v>
      </c>
      <c r="BH767" s="25" t="s">
        <v>166</v>
      </c>
      <c r="BI767" s="25" t="s">
        <v>166</v>
      </c>
      <c r="BJ767" s="29">
        <v>0.21</v>
      </c>
      <c r="BK767" s="29" t="s">
        <v>166</v>
      </c>
      <c r="BL767" s="25" t="s">
        <v>191</v>
      </c>
      <c r="BM767" s="25" t="s">
        <v>178</v>
      </c>
      <c r="BN767" s="25" t="s">
        <v>177</v>
      </c>
      <c r="BO767" s="33" t="s">
        <v>166</v>
      </c>
      <c r="BP767" s="25" t="s">
        <v>14681</v>
      </c>
      <c r="BQ767" s="32">
        <v>3</v>
      </c>
      <c r="BR767" s="25" t="s">
        <v>166</v>
      </c>
      <c r="BS767" s="32" t="s">
        <v>166</v>
      </c>
      <c r="BT767" s="25" t="s">
        <v>14682</v>
      </c>
      <c r="BU767" s="25" t="s">
        <v>166</v>
      </c>
      <c r="BV767" s="25" t="s">
        <v>14683</v>
      </c>
      <c r="BW767" s="25" t="s">
        <v>166</v>
      </c>
      <c r="BX767" s="25" t="s">
        <v>166</v>
      </c>
      <c r="BY767" s="25" t="s">
        <v>166</v>
      </c>
      <c r="BZ767" s="25" t="s">
        <v>14684</v>
      </c>
      <c r="CA767" s="25" t="s">
        <v>14684</v>
      </c>
      <c r="CB767" s="25" t="s">
        <v>166</v>
      </c>
      <c r="CC767" s="25" t="s">
        <v>166</v>
      </c>
      <c r="CD767" s="25" t="s">
        <v>166</v>
      </c>
      <c r="CE767" s="29" t="s">
        <v>166</v>
      </c>
      <c r="CF767" s="27" t="s">
        <v>166</v>
      </c>
      <c r="CG767" s="28" t="s">
        <v>166</v>
      </c>
      <c r="CH767" s="27" t="s">
        <v>166</v>
      </c>
      <c r="CI767" s="27" t="s">
        <v>166</v>
      </c>
      <c r="CJ767" s="27" t="s">
        <v>166</v>
      </c>
      <c r="CK767" s="27" t="s">
        <v>166</v>
      </c>
      <c r="CL767" s="27" t="s">
        <v>166</v>
      </c>
      <c r="CM767" s="31" t="s">
        <v>166</v>
      </c>
      <c r="CN767" s="27" t="s">
        <v>166</v>
      </c>
      <c r="CO767" s="27" t="s">
        <v>166</v>
      </c>
      <c r="CP767" s="27" t="s">
        <v>166</v>
      </c>
      <c r="CQ767" s="27" t="s">
        <v>166</v>
      </c>
      <c r="CR767" s="27" t="s">
        <v>166</v>
      </c>
      <c r="CS767" s="27" t="s">
        <v>166</v>
      </c>
      <c r="CT767" s="27" t="s">
        <v>166</v>
      </c>
      <c r="CU767" s="27" t="s">
        <v>166</v>
      </c>
      <c r="CV767" s="27" t="s">
        <v>166</v>
      </c>
      <c r="CW767" s="27" t="s">
        <v>166</v>
      </c>
      <c r="CX767" s="27" t="s">
        <v>166</v>
      </c>
      <c r="CY767" s="27">
        <v>0.2</v>
      </c>
      <c r="CZ767" s="27" t="s">
        <v>166</v>
      </c>
      <c r="DA767" s="27" t="s">
        <v>166</v>
      </c>
      <c r="DB767" s="27" t="s">
        <v>166</v>
      </c>
      <c r="DC767" s="27" t="s">
        <v>166</v>
      </c>
      <c r="DD767" s="27" t="s">
        <v>166</v>
      </c>
      <c r="DE767" s="28" t="s">
        <v>166</v>
      </c>
      <c r="DF767" s="33">
        <v>10</v>
      </c>
      <c r="DG767" s="25" t="s">
        <v>2439</v>
      </c>
      <c r="DH767" s="25" t="s">
        <v>193</v>
      </c>
      <c r="DI767" s="25" t="s">
        <v>194</v>
      </c>
      <c r="DJ767" s="25" t="s">
        <v>2440</v>
      </c>
      <c r="DK767" s="25" t="s">
        <v>454</v>
      </c>
      <c r="DL767" s="32" t="s">
        <v>14685</v>
      </c>
      <c r="DM767" s="25" t="s">
        <v>198</v>
      </c>
      <c r="DN767" s="24" t="s">
        <v>14686</v>
      </c>
      <c r="DO767" s="31">
        <v>2019</v>
      </c>
      <c r="DP767" s="25" t="s">
        <v>166</v>
      </c>
      <c r="DQ767" s="25" t="s">
        <v>14687</v>
      </c>
      <c r="DR767" s="29">
        <v>0.21</v>
      </c>
      <c r="DS767" s="27" t="s">
        <v>166</v>
      </c>
      <c r="DT767" s="30" t="s">
        <v>166</v>
      </c>
      <c r="DU767" s="25" t="s">
        <v>166</v>
      </c>
      <c r="DV767" s="29" t="s">
        <v>166</v>
      </c>
      <c r="DW767" s="29" t="s">
        <v>166</v>
      </c>
      <c r="DX767" s="27" t="s">
        <v>166</v>
      </c>
      <c r="DY767" s="27" t="s">
        <v>166</v>
      </c>
      <c r="DZ767" s="28" t="s">
        <v>166</v>
      </c>
      <c r="EA767" s="27" t="s">
        <v>166</v>
      </c>
      <c r="EB767" s="27" t="s">
        <v>166</v>
      </c>
      <c r="EC767" s="27" t="s">
        <v>166</v>
      </c>
      <c r="ED767" s="28" t="s">
        <v>166</v>
      </c>
      <c r="EE767" s="28" t="s">
        <v>166</v>
      </c>
      <c r="EF767" s="28" t="s">
        <v>166</v>
      </c>
      <c r="EG767" s="28" t="s">
        <v>166</v>
      </c>
      <c r="EH767" s="27" t="s">
        <v>166</v>
      </c>
      <c r="EI767" s="27" t="s">
        <v>166</v>
      </c>
      <c r="EJ767" s="27" t="s">
        <v>166</v>
      </c>
      <c r="EK767" s="27" t="s">
        <v>166</v>
      </c>
      <c r="EL767" s="27" t="s">
        <v>166</v>
      </c>
      <c r="EM767" s="27" t="s">
        <v>166</v>
      </c>
      <c r="EN767" s="27" t="s">
        <v>166</v>
      </c>
      <c r="EO767" s="27" t="s">
        <v>166</v>
      </c>
      <c r="EP767" s="27" t="s">
        <v>166</v>
      </c>
      <c r="EQ767" s="27" t="s">
        <v>166</v>
      </c>
      <c r="ER767" s="27" t="s">
        <v>166</v>
      </c>
      <c r="ES767" s="27" t="s">
        <v>166</v>
      </c>
      <c r="ET767" s="25" t="s">
        <v>166</v>
      </c>
      <c r="EU767" s="27" t="s">
        <v>166</v>
      </c>
      <c r="EV767" s="27" t="s">
        <v>166</v>
      </c>
      <c r="EW767" s="27" t="s">
        <v>166</v>
      </c>
      <c r="EX767" s="25" t="s">
        <v>190</v>
      </c>
      <c r="EY767" s="25" t="s">
        <v>190</v>
      </c>
      <c r="EZ767" s="27" t="s">
        <v>166</v>
      </c>
      <c r="FA767" s="26" t="s">
        <v>166</v>
      </c>
      <c r="FB767" s="26" t="s">
        <v>166</v>
      </c>
      <c r="FC767" s="26" t="s">
        <v>166</v>
      </c>
      <c r="FD767" s="26" t="s">
        <v>166</v>
      </c>
      <c r="FE767" s="26" t="s">
        <v>166</v>
      </c>
      <c r="FF767" s="26" t="s">
        <v>166</v>
      </c>
      <c r="FG767" s="25" t="s">
        <v>166</v>
      </c>
      <c r="FH767" s="4">
        <f>HYPERLINK("https://my.pitchbook.com?c=169066-09T","View Company Online")</f>
      </c>
    </row>
    <row r="768">
      <c r="A768" s="14" t="s">
        <v>14688</v>
      </c>
      <c r="B768" s="14" t="s">
        <v>14689</v>
      </c>
      <c r="C768" s="14" t="s">
        <v>14690</v>
      </c>
      <c r="D768" s="14" t="s">
        <v>166</v>
      </c>
      <c r="E768" s="23" t="s">
        <v>14691</v>
      </c>
      <c r="F768" s="21">
        <v>1</v>
      </c>
      <c r="G768" s="14" t="s">
        <v>14692</v>
      </c>
      <c r="H768" s="14" t="s">
        <v>166</v>
      </c>
      <c r="I768" s="14" t="s">
        <v>14693</v>
      </c>
      <c r="J768" s="14" t="s">
        <v>14694</v>
      </c>
      <c r="K768" s="14" t="s">
        <v>207</v>
      </c>
      <c r="L768" s="14" t="s">
        <v>208</v>
      </c>
      <c r="M768" s="14" t="s">
        <v>209</v>
      </c>
      <c r="N768" s="14" t="s">
        <v>3089</v>
      </c>
      <c r="O768" s="14" t="s">
        <v>211</v>
      </c>
      <c r="P768" s="14" t="s">
        <v>14695</v>
      </c>
      <c r="Q768" s="14" t="s">
        <v>166</v>
      </c>
      <c r="R768" s="14" t="s">
        <v>177</v>
      </c>
      <c r="S768" s="14" t="s">
        <v>178</v>
      </c>
      <c r="T768" s="14" t="s">
        <v>179</v>
      </c>
      <c r="U768" s="14" t="s">
        <v>14696</v>
      </c>
      <c r="V768" s="14" t="s">
        <v>14697</v>
      </c>
      <c r="W768" s="21" t="s">
        <v>14698</v>
      </c>
      <c r="X768" s="14" t="s">
        <v>14699</v>
      </c>
      <c r="Y768" s="14" t="s">
        <v>14700</v>
      </c>
      <c r="Z768" s="14" t="s">
        <v>14701</v>
      </c>
      <c r="AA768" s="14" t="s">
        <v>166</v>
      </c>
      <c r="AB768" s="14" t="s">
        <v>166</v>
      </c>
      <c r="AC768" s="14" t="s">
        <v>166</v>
      </c>
      <c r="AD768" s="14" t="s">
        <v>166</v>
      </c>
      <c r="AE768" s="14" t="s">
        <v>166</v>
      </c>
      <c r="AF768" s="14" t="s">
        <v>166</v>
      </c>
      <c r="AG768" s="14" t="s">
        <v>166</v>
      </c>
      <c r="AH768" s="21">
        <v>1</v>
      </c>
      <c r="AI768" s="3">
        <f>HYPERLINK("https://my.pitchbook.com/?d=213507-64T","213507-64T")</f>
      </c>
      <c r="AJ768" s="19" t="s">
        <v>166</v>
      </c>
      <c r="AK768" s="19">
        <v>44866</v>
      </c>
      <c r="AL768" s="18">
        <v>3.5</v>
      </c>
      <c r="AM768" s="14" t="s">
        <v>185</v>
      </c>
      <c r="AN768" s="18" t="s">
        <v>166</v>
      </c>
      <c r="AO768" s="18">
        <v>18</v>
      </c>
      <c r="AP768" s="14" t="s">
        <v>185</v>
      </c>
      <c r="AQ768" s="21" t="s">
        <v>166</v>
      </c>
      <c r="AR768" s="21" t="s">
        <v>166</v>
      </c>
      <c r="AS768" s="17" t="s">
        <v>166</v>
      </c>
      <c r="AT768" s="18">
        <v>3.5</v>
      </c>
      <c r="AU768" s="21" t="s">
        <v>186</v>
      </c>
      <c r="AV768" s="21" t="s">
        <v>166</v>
      </c>
      <c r="AW768" s="18" t="s">
        <v>166</v>
      </c>
      <c r="AX768" s="21" t="s">
        <v>166</v>
      </c>
      <c r="AY768" s="14" t="s">
        <v>187</v>
      </c>
      <c r="AZ768" s="14" t="s">
        <v>166</v>
      </c>
      <c r="BA768" s="14" t="s">
        <v>166</v>
      </c>
      <c r="BB768" s="21" t="s">
        <v>166</v>
      </c>
      <c r="BC768" s="14" t="s">
        <v>179</v>
      </c>
      <c r="BD768" s="14" t="s">
        <v>14702</v>
      </c>
      <c r="BE768" s="14" t="s">
        <v>189</v>
      </c>
      <c r="BF768" s="18" t="s">
        <v>166</v>
      </c>
      <c r="BG768" s="14" t="s">
        <v>190</v>
      </c>
      <c r="BH768" s="14" t="s">
        <v>166</v>
      </c>
      <c r="BI768" s="14" t="s">
        <v>166</v>
      </c>
      <c r="BJ768" s="18" t="s">
        <v>166</v>
      </c>
      <c r="BK768" s="18" t="s">
        <v>166</v>
      </c>
      <c r="BL768" s="14" t="s">
        <v>191</v>
      </c>
      <c r="BM768" s="14" t="s">
        <v>178</v>
      </c>
      <c r="BN768" s="14" t="s">
        <v>177</v>
      </c>
      <c r="BO768" s="22">
        <v>10</v>
      </c>
      <c r="BP768" s="14" t="s">
        <v>14691</v>
      </c>
      <c r="BQ768" s="21">
        <v>1</v>
      </c>
      <c r="BR768" s="14" t="s">
        <v>166</v>
      </c>
      <c r="BS768" s="21" t="s">
        <v>166</v>
      </c>
      <c r="BT768" s="14" t="s">
        <v>166</v>
      </c>
      <c r="BU768" s="14" t="s">
        <v>166</v>
      </c>
      <c r="BV768" s="14" t="s">
        <v>14703</v>
      </c>
      <c r="BW768" s="14" t="s">
        <v>166</v>
      </c>
      <c r="BX768" s="14" t="s">
        <v>166</v>
      </c>
      <c r="BY768" s="14" t="s">
        <v>166</v>
      </c>
      <c r="BZ768" s="14" t="s">
        <v>166</v>
      </c>
      <c r="CA768" s="14" t="s">
        <v>166</v>
      </c>
      <c r="CB768" s="14" t="s">
        <v>166</v>
      </c>
      <c r="CC768" s="14" t="s">
        <v>166</v>
      </c>
      <c r="CD768" s="14" t="s">
        <v>166</v>
      </c>
      <c r="CE768" s="18" t="s">
        <v>166</v>
      </c>
      <c r="CF768" s="16" t="s">
        <v>166</v>
      </c>
      <c r="CG768" s="17" t="s">
        <v>166</v>
      </c>
      <c r="CH768" s="16" t="s">
        <v>166</v>
      </c>
      <c r="CI768" s="16" t="s">
        <v>166</v>
      </c>
      <c r="CJ768" s="16" t="s">
        <v>166</v>
      </c>
      <c r="CK768" s="16" t="s">
        <v>166</v>
      </c>
      <c r="CL768" s="16" t="s">
        <v>166</v>
      </c>
      <c r="CM768" s="20" t="s">
        <v>166</v>
      </c>
      <c r="CN768" s="16" t="s">
        <v>166</v>
      </c>
      <c r="CO768" s="16" t="s">
        <v>166</v>
      </c>
      <c r="CP768" s="16" t="s">
        <v>166</v>
      </c>
      <c r="CQ768" s="16" t="s">
        <v>166</v>
      </c>
      <c r="CR768" s="16" t="s">
        <v>166</v>
      </c>
      <c r="CS768" s="16" t="s">
        <v>166</v>
      </c>
      <c r="CT768" s="16" t="s">
        <v>166</v>
      </c>
      <c r="CU768" s="16" t="s">
        <v>166</v>
      </c>
      <c r="CV768" s="16" t="s">
        <v>166</v>
      </c>
      <c r="CW768" s="16" t="s">
        <v>166</v>
      </c>
      <c r="CX768" s="16" t="s">
        <v>166</v>
      </c>
      <c r="CY768" s="16" t="s">
        <v>166</v>
      </c>
      <c r="CZ768" s="16" t="s">
        <v>166</v>
      </c>
      <c r="DA768" s="16" t="s">
        <v>166</v>
      </c>
      <c r="DB768" s="16" t="s">
        <v>166</v>
      </c>
      <c r="DC768" s="16" t="s">
        <v>166</v>
      </c>
      <c r="DD768" s="16" t="s">
        <v>166</v>
      </c>
      <c r="DE768" s="17" t="s">
        <v>166</v>
      </c>
      <c r="DF768" s="22">
        <v>50</v>
      </c>
      <c r="DG768" s="14" t="s">
        <v>14704</v>
      </c>
      <c r="DH768" s="14" t="s">
        <v>193</v>
      </c>
      <c r="DI768" s="14" t="s">
        <v>194</v>
      </c>
      <c r="DJ768" s="14" t="s">
        <v>14705</v>
      </c>
      <c r="DK768" s="14" t="s">
        <v>14024</v>
      </c>
      <c r="DL768" s="21" t="s">
        <v>14706</v>
      </c>
      <c r="DM768" s="14" t="s">
        <v>198</v>
      </c>
      <c r="DN768" s="13" t="s">
        <v>14707</v>
      </c>
      <c r="DO768" s="20">
        <v>2022</v>
      </c>
      <c r="DP768" s="14" t="s">
        <v>166</v>
      </c>
      <c r="DQ768" s="14" t="s">
        <v>166</v>
      </c>
      <c r="DR768" s="18" t="s">
        <v>166</v>
      </c>
      <c r="DS768" s="16" t="s">
        <v>166</v>
      </c>
      <c r="DT768" s="19" t="s">
        <v>166</v>
      </c>
      <c r="DU768" s="14" t="s">
        <v>166</v>
      </c>
      <c r="DV768" s="18" t="s">
        <v>166</v>
      </c>
      <c r="DW768" s="18" t="s">
        <v>166</v>
      </c>
      <c r="DX768" s="16" t="s">
        <v>166</v>
      </c>
      <c r="DY768" s="16" t="s">
        <v>166</v>
      </c>
      <c r="DZ768" s="17" t="s">
        <v>166</v>
      </c>
      <c r="EA768" s="16" t="s">
        <v>166</v>
      </c>
      <c r="EB768" s="16" t="s">
        <v>166</v>
      </c>
      <c r="EC768" s="16" t="s">
        <v>166</v>
      </c>
      <c r="ED768" s="17" t="s">
        <v>166</v>
      </c>
      <c r="EE768" s="17" t="s">
        <v>166</v>
      </c>
      <c r="EF768" s="17" t="s">
        <v>166</v>
      </c>
      <c r="EG768" s="17" t="s">
        <v>166</v>
      </c>
      <c r="EH768" s="16" t="s">
        <v>166</v>
      </c>
      <c r="EI768" s="16" t="s">
        <v>166</v>
      </c>
      <c r="EJ768" s="16" t="s">
        <v>166</v>
      </c>
      <c r="EK768" s="16" t="s">
        <v>166</v>
      </c>
      <c r="EL768" s="16" t="s">
        <v>166</v>
      </c>
      <c r="EM768" s="16" t="s">
        <v>166</v>
      </c>
      <c r="EN768" s="16" t="s">
        <v>166</v>
      </c>
      <c r="EO768" s="16" t="s">
        <v>166</v>
      </c>
      <c r="EP768" s="16" t="s">
        <v>166</v>
      </c>
      <c r="EQ768" s="16" t="s">
        <v>166</v>
      </c>
      <c r="ER768" s="16" t="s">
        <v>166</v>
      </c>
      <c r="ES768" s="16" t="s">
        <v>166</v>
      </c>
      <c r="ET768" s="14" t="s">
        <v>166</v>
      </c>
      <c r="EU768" s="16" t="s">
        <v>166</v>
      </c>
      <c r="EV768" s="16" t="s">
        <v>166</v>
      </c>
      <c r="EW768" s="16" t="s">
        <v>166</v>
      </c>
      <c r="EX768" s="14" t="s">
        <v>190</v>
      </c>
      <c r="EY768" s="14" t="s">
        <v>166</v>
      </c>
      <c r="EZ768" s="16" t="s">
        <v>166</v>
      </c>
      <c r="FA768" s="15" t="s">
        <v>166</v>
      </c>
      <c r="FB768" s="15" t="s">
        <v>166</v>
      </c>
      <c r="FC768" s="15" t="s">
        <v>166</v>
      </c>
      <c r="FD768" s="15" t="s">
        <v>166</v>
      </c>
      <c r="FE768" s="15" t="s">
        <v>166</v>
      </c>
      <c r="FF768" s="15" t="s">
        <v>166</v>
      </c>
      <c r="FG768" s="14" t="s">
        <v>166</v>
      </c>
      <c r="FH768" s="3">
        <f>HYPERLINK("https://my.pitchbook.com?c=213507-64T","View Company Online")</f>
      </c>
    </row>
    <row r="769">
      <c r="A769" s="25" t="s">
        <v>14708</v>
      </c>
      <c r="B769" s="25" t="s">
        <v>14709</v>
      </c>
      <c r="C769" s="25" t="s">
        <v>14710</v>
      </c>
      <c r="D769" s="25" t="s">
        <v>166</v>
      </c>
      <c r="E769" s="34" t="s">
        <v>14711</v>
      </c>
      <c r="F769" s="32">
        <v>5</v>
      </c>
      <c r="G769" s="25" t="s">
        <v>14712</v>
      </c>
      <c r="H769" s="25" t="s">
        <v>166</v>
      </c>
      <c r="I769" s="25" t="s">
        <v>14713</v>
      </c>
      <c r="J769" s="25" t="s">
        <v>14714</v>
      </c>
      <c r="K769" s="25" t="s">
        <v>207</v>
      </c>
      <c r="L769" s="25" t="s">
        <v>208</v>
      </c>
      <c r="M769" s="25" t="s">
        <v>965</v>
      </c>
      <c r="N769" s="25" t="s">
        <v>14715</v>
      </c>
      <c r="O769" s="25" t="s">
        <v>14716</v>
      </c>
      <c r="P769" s="25" t="s">
        <v>14717</v>
      </c>
      <c r="Q769" s="25" t="s">
        <v>166</v>
      </c>
      <c r="R769" s="25" t="s">
        <v>177</v>
      </c>
      <c r="S769" s="25" t="s">
        <v>785</v>
      </c>
      <c r="T769" s="25" t="s">
        <v>179</v>
      </c>
      <c r="U769" s="25" t="s">
        <v>14718</v>
      </c>
      <c r="V769" s="25" t="s">
        <v>14719</v>
      </c>
      <c r="W769" s="32" t="s">
        <v>166</v>
      </c>
      <c r="X769" s="25" t="s">
        <v>166</v>
      </c>
      <c r="Y769" s="25" t="s">
        <v>14720</v>
      </c>
      <c r="Z769" s="25" t="s">
        <v>14721</v>
      </c>
      <c r="AA769" s="25" t="s">
        <v>166</v>
      </c>
      <c r="AB769" s="25" t="s">
        <v>166</v>
      </c>
      <c r="AC769" s="25" t="s">
        <v>166</v>
      </c>
      <c r="AD769" s="25" t="s">
        <v>166</v>
      </c>
      <c r="AE769" s="25" t="s">
        <v>166</v>
      </c>
      <c r="AF769" s="25" t="s">
        <v>166</v>
      </c>
      <c r="AG769" s="25" t="s">
        <v>166</v>
      </c>
      <c r="AH769" s="32">
        <v>1</v>
      </c>
      <c r="AI769" s="4">
        <f>HYPERLINK("https://my.pitchbook.com/?d=244258-66T","244258-66T")</f>
      </c>
      <c r="AJ769" s="30" t="s">
        <v>166</v>
      </c>
      <c r="AK769" s="30">
        <v>45200</v>
      </c>
      <c r="AL769" s="29">
        <v>0.58</v>
      </c>
      <c r="AM769" s="25" t="s">
        <v>185</v>
      </c>
      <c r="AN769" s="29" t="s">
        <v>166</v>
      </c>
      <c r="AO769" s="29" t="s">
        <v>166</v>
      </c>
      <c r="AP769" s="25" t="s">
        <v>166</v>
      </c>
      <c r="AQ769" s="32" t="s">
        <v>166</v>
      </c>
      <c r="AR769" s="32" t="s">
        <v>166</v>
      </c>
      <c r="AS769" s="28" t="s">
        <v>166</v>
      </c>
      <c r="AT769" s="29">
        <v>0.58</v>
      </c>
      <c r="AU769" s="32" t="s">
        <v>186</v>
      </c>
      <c r="AV769" s="32" t="s">
        <v>166</v>
      </c>
      <c r="AW769" s="29" t="s">
        <v>166</v>
      </c>
      <c r="AX769" s="32" t="s">
        <v>166</v>
      </c>
      <c r="AY769" s="25" t="s">
        <v>187</v>
      </c>
      <c r="AZ769" s="25" t="s">
        <v>166</v>
      </c>
      <c r="BA769" s="25" t="s">
        <v>166</v>
      </c>
      <c r="BB769" s="32" t="s">
        <v>166</v>
      </c>
      <c r="BC769" s="25" t="s">
        <v>8539</v>
      </c>
      <c r="BD769" s="25" t="s">
        <v>14714</v>
      </c>
      <c r="BE769" s="25" t="s">
        <v>189</v>
      </c>
      <c r="BF769" s="29">
        <v>0.58</v>
      </c>
      <c r="BG769" s="25" t="s">
        <v>190</v>
      </c>
      <c r="BH769" s="25" t="s">
        <v>166</v>
      </c>
      <c r="BI769" s="25" t="s">
        <v>166</v>
      </c>
      <c r="BJ769" s="29" t="s">
        <v>166</v>
      </c>
      <c r="BK769" s="29" t="s">
        <v>166</v>
      </c>
      <c r="BL769" s="25" t="s">
        <v>191</v>
      </c>
      <c r="BM769" s="25" t="s">
        <v>785</v>
      </c>
      <c r="BN769" s="25" t="s">
        <v>177</v>
      </c>
      <c r="BO769" s="33" t="s">
        <v>166</v>
      </c>
      <c r="BP769" s="25" t="s">
        <v>14711</v>
      </c>
      <c r="BQ769" s="32">
        <v>5</v>
      </c>
      <c r="BR769" s="25" t="s">
        <v>166</v>
      </c>
      <c r="BS769" s="32" t="s">
        <v>166</v>
      </c>
      <c r="BT769" s="25" t="s">
        <v>166</v>
      </c>
      <c r="BU769" s="25" t="s">
        <v>166</v>
      </c>
      <c r="BV769" s="25" t="s">
        <v>166</v>
      </c>
      <c r="BW769" s="25" t="s">
        <v>166</v>
      </c>
      <c r="BX769" s="25" t="s">
        <v>166</v>
      </c>
      <c r="BY769" s="25" t="s">
        <v>166</v>
      </c>
      <c r="BZ769" s="25" t="s">
        <v>166</v>
      </c>
      <c r="CA769" s="25" t="s">
        <v>166</v>
      </c>
      <c r="CB769" s="25" t="s">
        <v>166</v>
      </c>
      <c r="CC769" s="25" t="s">
        <v>166</v>
      </c>
      <c r="CD769" s="25" t="s">
        <v>166</v>
      </c>
      <c r="CE769" s="29" t="s">
        <v>166</v>
      </c>
      <c r="CF769" s="27" t="s">
        <v>166</v>
      </c>
      <c r="CG769" s="28" t="s">
        <v>166</v>
      </c>
      <c r="CH769" s="27" t="s">
        <v>166</v>
      </c>
      <c r="CI769" s="27" t="s">
        <v>166</v>
      </c>
      <c r="CJ769" s="27" t="s">
        <v>166</v>
      </c>
      <c r="CK769" s="27" t="s">
        <v>166</v>
      </c>
      <c r="CL769" s="27" t="s">
        <v>166</v>
      </c>
      <c r="CM769" s="31" t="s">
        <v>166</v>
      </c>
      <c r="CN769" s="27" t="s">
        <v>166</v>
      </c>
      <c r="CO769" s="27" t="s">
        <v>166</v>
      </c>
      <c r="CP769" s="27" t="s">
        <v>166</v>
      </c>
      <c r="CQ769" s="27" t="s">
        <v>166</v>
      </c>
      <c r="CR769" s="27" t="s">
        <v>166</v>
      </c>
      <c r="CS769" s="27" t="s">
        <v>166</v>
      </c>
      <c r="CT769" s="27" t="s">
        <v>166</v>
      </c>
      <c r="CU769" s="27" t="s">
        <v>166</v>
      </c>
      <c r="CV769" s="27" t="s">
        <v>166</v>
      </c>
      <c r="CW769" s="27" t="s">
        <v>166</v>
      </c>
      <c r="CX769" s="27" t="s">
        <v>166</v>
      </c>
      <c r="CY769" s="27" t="s">
        <v>166</v>
      </c>
      <c r="CZ769" s="27" t="s">
        <v>166</v>
      </c>
      <c r="DA769" s="27" t="s">
        <v>166</v>
      </c>
      <c r="DB769" s="27" t="s">
        <v>166</v>
      </c>
      <c r="DC769" s="27" t="s">
        <v>166</v>
      </c>
      <c r="DD769" s="27" t="s">
        <v>166</v>
      </c>
      <c r="DE769" s="28" t="s">
        <v>166</v>
      </c>
      <c r="DF769" s="33">
        <v>6</v>
      </c>
      <c r="DG769" s="25" t="s">
        <v>1540</v>
      </c>
      <c r="DH769" s="25" t="s">
        <v>193</v>
      </c>
      <c r="DI769" s="25" t="s">
        <v>194</v>
      </c>
      <c r="DJ769" s="25" t="s">
        <v>1541</v>
      </c>
      <c r="DK769" s="25" t="s">
        <v>257</v>
      </c>
      <c r="DL769" s="32" t="s">
        <v>2521</v>
      </c>
      <c r="DM769" s="25" t="s">
        <v>198</v>
      </c>
      <c r="DN769" s="24" t="s">
        <v>14722</v>
      </c>
      <c r="DO769" s="31">
        <v>2022</v>
      </c>
      <c r="DP769" s="25" t="s">
        <v>166</v>
      </c>
      <c r="DQ769" s="25" t="s">
        <v>166</v>
      </c>
      <c r="DR769" s="29" t="s">
        <v>166</v>
      </c>
      <c r="DS769" s="27" t="s">
        <v>166</v>
      </c>
      <c r="DT769" s="30" t="s">
        <v>166</v>
      </c>
      <c r="DU769" s="25" t="s">
        <v>166</v>
      </c>
      <c r="DV769" s="29" t="s">
        <v>166</v>
      </c>
      <c r="DW769" s="29" t="s">
        <v>166</v>
      </c>
      <c r="DX769" s="27" t="s">
        <v>166</v>
      </c>
      <c r="DY769" s="27" t="s">
        <v>166</v>
      </c>
      <c r="DZ769" s="28" t="s">
        <v>166</v>
      </c>
      <c r="EA769" s="27" t="s">
        <v>166</v>
      </c>
      <c r="EB769" s="27" t="s">
        <v>166</v>
      </c>
      <c r="EC769" s="27" t="s">
        <v>166</v>
      </c>
      <c r="ED769" s="28" t="s">
        <v>166</v>
      </c>
      <c r="EE769" s="28" t="s">
        <v>166</v>
      </c>
      <c r="EF769" s="28" t="s">
        <v>166</v>
      </c>
      <c r="EG769" s="28" t="s">
        <v>166</v>
      </c>
      <c r="EH769" s="27" t="s">
        <v>166</v>
      </c>
      <c r="EI769" s="27" t="s">
        <v>166</v>
      </c>
      <c r="EJ769" s="27" t="s">
        <v>166</v>
      </c>
      <c r="EK769" s="27" t="s">
        <v>166</v>
      </c>
      <c r="EL769" s="27" t="s">
        <v>166</v>
      </c>
      <c r="EM769" s="27" t="s">
        <v>166</v>
      </c>
      <c r="EN769" s="27" t="s">
        <v>166</v>
      </c>
      <c r="EO769" s="27" t="s">
        <v>166</v>
      </c>
      <c r="EP769" s="27" t="s">
        <v>166</v>
      </c>
      <c r="EQ769" s="27" t="s">
        <v>166</v>
      </c>
      <c r="ER769" s="27" t="s">
        <v>166</v>
      </c>
      <c r="ES769" s="27" t="s">
        <v>166</v>
      </c>
      <c r="ET769" s="25" t="s">
        <v>166</v>
      </c>
      <c r="EU769" s="27" t="s">
        <v>166</v>
      </c>
      <c r="EV769" s="27" t="s">
        <v>166</v>
      </c>
      <c r="EW769" s="27" t="s">
        <v>166</v>
      </c>
      <c r="EX769" s="25" t="s">
        <v>190</v>
      </c>
      <c r="EY769" s="25" t="s">
        <v>166</v>
      </c>
      <c r="EZ769" s="27" t="s">
        <v>166</v>
      </c>
      <c r="FA769" s="26" t="s">
        <v>166</v>
      </c>
      <c r="FB769" s="26" t="s">
        <v>166</v>
      </c>
      <c r="FC769" s="26" t="s">
        <v>166</v>
      </c>
      <c r="FD769" s="26" t="s">
        <v>166</v>
      </c>
      <c r="FE769" s="26" t="s">
        <v>166</v>
      </c>
      <c r="FF769" s="26" t="s">
        <v>166</v>
      </c>
      <c r="FG769" s="25" t="s">
        <v>166</v>
      </c>
      <c r="FH769" s="4">
        <f>HYPERLINK("https://my.pitchbook.com?c=244258-66T","View Company Online")</f>
      </c>
    </row>
    <row r="770">
      <c r="A770" s="14" t="s">
        <v>14723</v>
      </c>
      <c r="B770" s="14" t="s">
        <v>14724</v>
      </c>
      <c r="C770" s="14" t="s">
        <v>14725</v>
      </c>
      <c r="D770" s="14" t="s">
        <v>166</v>
      </c>
      <c r="E770" s="23" t="s">
        <v>14726</v>
      </c>
      <c r="F770" s="21">
        <v>8</v>
      </c>
      <c r="G770" s="14" t="s">
        <v>14727</v>
      </c>
      <c r="H770" s="14" t="s">
        <v>166</v>
      </c>
      <c r="I770" s="14" t="s">
        <v>14728</v>
      </c>
      <c r="J770" s="14" t="s">
        <v>14729</v>
      </c>
      <c r="K770" s="14" t="s">
        <v>1455</v>
      </c>
      <c r="L770" s="14" t="s">
        <v>1984</v>
      </c>
      <c r="M770" s="14" t="s">
        <v>2112</v>
      </c>
      <c r="N770" s="14" t="s">
        <v>14730</v>
      </c>
      <c r="O770" s="14" t="s">
        <v>14731</v>
      </c>
      <c r="P770" s="14" t="s">
        <v>14732</v>
      </c>
      <c r="Q770" s="14" t="s">
        <v>166</v>
      </c>
      <c r="R770" s="14" t="s">
        <v>177</v>
      </c>
      <c r="S770" s="14" t="s">
        <v>178</v>
      </c>
      <c r="T770" s="14" t="s">
        <v>179</v>
      </c>
      <c r="U770" s="14" t="s">
        <v>14733</v>
      </c>
      <c r="V770" s="14" t="s">
        <v>14734</v>
      </c>
      <c r="W770" s="21" t="s">
        <v>14735</v>
      </c>
      <c r="X770" s="14" t="s">
        <v>14736</v>
      </c>
      <c r="Y770" s="14" t="s">
        <v>14737</v>
      </c>
      <c r="Z770" s="14" t="s">
        <v>166</v>
      </c>
      <c r="AA770" s="14" t="s">
        <v>166</v>
      </c>
      <c r="AB770" s="14" t="s">
        <v>166</v>
      </c>
      <c r="AC770" s="14" t="s">
        <v>166</v>
      </c>
      <c r="AD770" s="14" t="s">
        <v>166</v>
      </c>
      <c r="AE770" s="14" t="s">
        <v>166</v>
      </c>
      <c r="AF770" s="14" t="s">
        <v>166</v>
      </c>
      <c r="AG770" s="14" t="s">
        <v>166</v>
      </c>
      <c r="AH770" s="21">
        <v>3</v>
      </c>
      <c r="AI770" s="3">
        <f>HYPERLINK("https://my.pitchbook.com/?d=189549-91T","189549-91T")</f>
      </c>
      <c r="AJ770" s="19" t="s">
        <v>166</v>
      </c>
      <c r="AK770" s="19">
        <v>44487</v>
      </c>
      <c r="AL770" s="18">
        <v>1</v>
      </c>
      <c r="AM770" s="14" t="s">
        <v>185</v>
      </c>
      <c r="AN770" s="18" t="s">
        <v>166</v>
      </c>
      <c r="AO770" s="18" t="s">
        <v>166</v>
      </c>
      <c r="AP770" s="14" t="s">
        <v>166</v>
      </c>
      <c r="AQ770" s="21" t="s">
        <v>166</v>
      </c>
      <c r="AR770" s="21" t="s">
        <v>166</v>
      </c>
      <c r="AS770" s="17" t="s">
        <v>166</v>
      </c>
      <c r="AT770" s="18">
        <v>1.15</v>
      </c>
      <c r="AU770" s="21" t="s">
        <v>186</v>
      </c>
      <c r="AV770" s="21" t="s">
        <v>166</v>
      </c>
      <c r="AW770" s="18" t="s">
        <v>166</v>
      </c>
      <c r="AX770" s="21" t="s">
        <v>166</v>
      </c>
      <c r="AY770" s="14" t="s">
        <v>217</v>
      </c>
      <c r="AZ770" s="14" t="s">
        <v>217</v>
      </c>
      <c r="BA770" s="14" t="s">
        <v>166</v>
      </c>
      <c r="BB770" s="21" t="s">
        <v>166</v>
      </c>
      <c r="BC770" s="14" t="s">
        <v>179</v>
      </c>
      <c r="BD770" s="14" t="s">
        <v>14738</v>
      </c>
      <c r="BE770" s="14" t="s">
        <v>189</v>
      </c>
      <c r="BF770" s="18">
        <v>1</v>
      </c>
      <c r="BG770" s="14" t="s">
        <v>190</v>
      </c>
      <c r="BH770" s="14" t="s">
        <v>166</v>
      </c>
      <c r="BI770" s="14" t="s">
        <v>166</v>
      </c>
      <c r="BJ770" s="18" t="s">
        <v>166</v>
      </c>
      <c r="BK770" s="18" t="s">
        <v>166</v>
      </c>
      <c r="BL770" s="14" t="s">
        <v>191</v>
      </c>
      <c r="BM770" s="14" t="s">
        <v>178</v>
      </c>
      <c r="BN770" s="14" t="s">
        <v>177</v>
      </c>
      <c r="BO770" s="22" t="s">
        <v>166</v>
      </c>
      <c r="BP770" s="14" t="s">
        <v>14739</v>
      </c>
      <c r="BQ770" s="21">
        <v>8</v>
      </c>
      <c r="BR770" s="14" t="s">
        <v>166</v>
      </c>
      <c r="BS770" s="21" t="s">
        <v>166</v>
      </c>
      <c r="BT770" s="14" t="s">
        <v>14740</v>
      </c>
      <c r="BU770" s="14" t="s">
        <v>166</v>
      </c>
      <c r="BV770" s="14" t="s">
        <v>14741</v>
      </c>
      <c r="BW770" s="14" t="s">
        <v>166</v>
      </c>
      <c r="BX770" s="14" t="s">
        <v>166</v>
      </c>
      <c r="BY770" s="14" t="s">
        <v>166</v>
      </c>
      <c r="BZ770" s="14" t="s">
        <v>166</v>
      </c>
      <c r="CA770" s="14" t="s">
        <v>166</v>
      </c>
      <c r="CB770" s="14" t="s">
        <v>166</v>
      </c>
      <c r="CC770" s="14" t="s">
        <v>166</v>
      </c>
      <c r="CD770" s="14" t="s">
        <v>166</v>
      </c>
      <c r="CE770" s="18" t="s">
        <v>166</v>
      </c>
      <c r="CF770" s="16" t="s">
        <v>166</v>
      </c>
      <c r="CG770" s="17" t="s">
        <v>166</v>
      </c>
      <c r="CH770" s="16" t="s">
        <v>166</v>
      </c>
      <c r="CI770" s="16" t="s">
        <v>166</v>
      </c>
      <c r="CJ770" s="16" t="s">
        <v>166</v>
      </c>
      <c r="CK770" s="16" t="s">
        <v>166</v>
      </c>
      <c r="CL770" s="16" t="s">
        <v>166</v>
      </c>
      <c r="CM770" s="20" t="s">
        <v>166</v>
      </c>
      <c r="CN770" s="16" t="s">
        <v>166</v>
      </c>
      <c r="CO770" s="16" t="s">
        <v>166</v>
      </c>
      <c r="CP770" s="16" t="s">
        <v>166</v>
      </c>
      <c r="CQ770" s="16" t="s">
        <v>166</v>
      </c>
      <c r="CR770" s="16" t="s">
        <v>166</v>
      </c>
      <c r="CS770" s="16" t="s">
        <v>166</v>
      </c>
      <c r="CT770" s="16" t="s">
        <v>166</v>
      </c>
      <c r="CU770" s="16" t="s">
        <v>166</v>
      </c>
      <c r="CV770" s="16" t="s">
        <v>166</v>
      </c>
      <c r="CW770" s="16" t="s">
        <v>166</v>
      </c>
      <c r="CX770" s="16" t="s">
        <v>166</v>
      </c>
      <c r="CY770" s="16" t="s">
        <v>166</v>
      </c>
      <c r="CZ770" s="16" t="s">
        <v>166</v>
      </c>
      <c r="DA770" s="16" t="s">
        <v>166</v>
      </c>
      <c r="DB770" s="16" t="s">
        <v>166</v>
      </c>
      <c r="DC770" s="16" t="s">
        <v>166</v>
      </c>
      <c r="DD770" s="16" t="s">
        <v>166</v>
      </c>
      <c r="DE770" s="17" t="s">
        <v>166</v>
      </c>
      <c r="DF770" s="22">
        <v>21</v>
      </c>
      <c r="DG770" s="14" t="s">
        <v>1540</v>
      </c>
      <c r="DH770" s="14" t="s">
        <v>193</v>
      </c>
      <c r="DI770" s="14" t="s">
        <v>194</v>
      </c>
      <c r="DJ770" s="14" t="s">
        <v>1541</v>
      </c>
      <c r="DK770" s="14" t="s">
        <v>257</v>
      </c>
      <c r="DL770" s="21" t="s">
        <v>14742</v>
      </c>
      <c r="DM770" s="14" t="s">
        <v>198</v>
      </c>
      <c r="DN770" s="13" t="s">
        <v>14743</v>
      </c>
      <c r="DO770" s="20">
        <v>2018</v>
      </c>
      <c r="DP770" s="14" t="s">
        <v>166</v>
      </c>
      <c r="DQ770" s="14" t="s">
        <v>166</v>
      </c>
      <c r="DR770" s="18" t="s">
        <v>166</v>
      </c>
      <c r="DS770" s="16" t="s">
        <v>166</v>
      </c>
      <c r="DT770" s="19" t="s">
        <v>166</v>
      </c>
      <c r="DU770" s="14" t="s">
        <v>166</v>
      </c>
      <c r="DV770" s="18" t="s">
        <v>166</v>
      </c>
      <c r="DW770" s="18" t="s">
        <v>166</v>
      </c>
      <c r="DX770" s="16" t="s">
        <v>166</v>
      </c>
      <c r="DY770" s="16" t="s">
        <v>166</v>
      </c>
      <c r="DZ770" s="17" t="s">
        <v>166</v>
      </c>
      <c r="EA770" s="16" t="s">
        <v>166</v>
      </c>
      <c r="EB770" s="16" t="s">
        <v>166</v>
      </c>
      <c r="EC770" s="16" t="s">
        <v>166</v>
      </c>
      <c r="ED770" s="17" t="s">
        <v>166</v>
      </c>
      <c r="EE770" s="17" t="s">
        <v>166</v>
      </c>
      <c r="EF770" s="17" t="s">
        <v>166</v>
      </c>
      <c r="EG770" s="17" t="s">
        <v>166</v>
      </c>
      <c r="EH770" s="16" t="s">
        <v>166</v>
      </c>
      <c r="EI770" s="16" t="s">
        <v>166</v>
      </c>
      <c r="EJ770" s="16" t="s">
        <v>166</v>
      </c>
      <c r="EK770" s="16" t="s">
        <v>166</v>
      </c>
      <c r="EL770" s="16" t="s">
        <v>166</v>
      </c>
      <c r="EM770" s="16" t="s">
        <v>166</v>
      </c>
      <c r="EN770" s="16" t="s">
        <v>166</v>
      </c>
      <c r="EO770" s="16" t="s">
        <v>166</v>
      </c>
      <c r="EP770" s="16" t="s">
        <v>166</v>
      </c>
      <c r="EQ770" s="16" t="s">
        <v>166</v>
      </c>
      <c r="ER770" s="16" t="s">
        <v>166</v>
      </c>
      <c r="ES770" s="16" t="s">
        <v>166</v>
      </c>
      <c r="ET770" s="14" t="s">
        <v>166</v>
      </c>
      <c r="EU770" s="16" t="s">
        <v>166</v>
      </c>
      <c r="EV770" s="16" t="s">
        <v>166</v>
      </c>
      <c r="EW770" s="16" t="s">
        <v>166</v>
      </c>
      <c r="EX770" s="14" t="s">
        <v>190</v>
      </c>
      <c r="EY770" s="14" t="s">
        <v>166</v>
      </c>
      <c r="EZ770" s="16" t="s">
        <v>166</v>
      </c>
      <c r="FA770" s="15" t="s">
        <v>166</v>
      </c>
      <c r="FB770" s="15" t="s">
        <v>166</v>
      </c>
      <c r="FC770" s="15" t="s">
        <v>166</v>
      </c>
      <c r="FD770" s="15" t="s">
        <v>166</v>
      </c>
      <c r="FE770" s="15" t="s">
        <v>166</v>
      </c>
      <c r="FF770" s="15" t="s">
        <v>166</v>
      </c>
      <c r="FG770" s="14" t="s">
        <v>166</v>
      </c>
      <c r="FH770" s="3">
        <f>HYPERLINK("https://my.pitchbook.com?c=189549-91T","View Company Online")</f>
      </c>
    </row>
    <row r="771">
      <c r="A771" s="25" t="s">
        <v>14744</v>
      </c>
      <c r="B771" s="25" t="s">
        <v>14745</v>
      </c>
      <c r="C771" s="25" t="s">
        <v>14746</v>
      </c>
      <c r="D771" s="25" t="s">
        <v>166</v>
      </c>
      <c r="E771" s="34" t="s">
        <v>14747</v>
      </c>
      <c r="F771" s="32">
        <v>7</v>
      </c>
      <c r="G771" s="25" t="s">
        <v>14748</v>
      </c>
      <c r="H771" s="25" t="s">
        <v>166</v>
      </c>
      <c r="I771" s="25" t="s">
        <v>14749</v>
      </c>
      <c r="J771" s="25" t="s">
        <v>14750</v>
      </c>
      <c r="K771" s="25" t="s">
        <v>1500</v>
      </c>
      <c r="L771" s="25" t="s">
        <v>2334</v>
      </c>
      <c r="M771" s="25" t="s">
        <v>2335</v>
      </c>
      <c r="N771" s="25" t="s">
        <v>10673</v>
      </c>
      <c r="O771" s="25" t="s">
        <v>14751</v>
      </c>
      <c r="P771" s="25" t="s">
        <v>14752</v>
      </c>
      <c r="Q771" s="25" t="s">
        <v>166</v>
      </c>
      <c r="R771" s="25" t="s">
        <v>177</v>
      </c>
      <c r="S771" s="25" t="s">
        <v>178</v>
      </c>
      <c r="T771" s="25" t="s">
        <v>179</v>
      </c>
      <c r="U771" s="25" t="s">
        <v>14753</v>
      </c>
      <c r="V771" s="25" t="s">
        <v>14754</v>
      </c>
      <c r="W771" s="32" t="s">
        <v>14755</v>
      </c>
      <c r="X771" s="25" t="s">
        <v>14756</v>
      </c>
      <c r="Y771" s="25" t="s">
        <v>14757</v>
      </c>
      <c r="Z771" s="25" t="s">
        <v>166</v>
      </c>
      <c r="AA771" s="25" t="s">
        <v>166</v>
      </c>
      <c r="AB771" s="25" t="s">
        <v>166</v>
      </c>
      <c r="AC771" s="25" t="s">
        <v>166</v>
      </c>
      <c r="AD771" s="25" t="s">
        <v>166</v>
      </c>
      <c r="AE771" s="25" t="s">
        <v>166</v>
      </c>
      <c r="AF771" s="25" t="s">
        <v>166</v>
      </c>
      <c r="AG771" s="25" t="s">
        <v>166</v>
      </c>
      <c r="AH771" s="32">
        <v>4</v>
      </c>
      <c r="AI771" s="4">
        <f>HYPERLINK("https://my.pitchbook.com/?d=188791-48T","188791-48T")</f>
      </c>
      <c r="AJ771" s="30">
        <v>44672</v>
      </c>
      <c r="AK771" s="30">
        <v>44680</v>
      </c>
      <c r="AL771" s="29">
        <v>2</v>
      </c>
      <c r="AM771" s="25" t="s">
        <v>185</v>
      </c>
      <c r="AN771" s="29" t="s">
        <v>166</v>
      </c>
      <c r="AO771" s="29" t="s">
        <v>166</v>
      </c>
      <c r="AP771" s="25" t="s">
        <v>166</v>
      </c>
      <c r="AQ771" s="32" t="s">
        <v>166</v>
      </c>
      <c r="AR771" s="32" t="s">
        <v>166</v>
      </c>
      <c r="AS771" s="28" t="s">
        <v>166</v>
      </c>
      <c r="AT771" s="29">
        <v>2.33</v>
      </c>
      <c r="AU771" s="32" t="s">
        <v>186</v>
      </c>
      <c r="AV771" s="32" t="s">
        <v>166</v>
      </c>
      <c r="AW771" s="29" t="s">
        <v>166</v>
      </c>
      <c r="AX771" s="32" t="s">
        <v>166</v>
      </c>
      <c r="AY771" s="25" t="s">
        <v>217</v>
      </c>
      <c r="AZ771" s="25" t="s">
        <v>217</v>
      </c>
      <c r="BA771" s="25" t="s">
        <v>166</v>
      </c>
      <c r="BB771" s="32" t="s">
        <v>166</v>
      </c>
      <c r="BC771" s="25" t="s">
        <v>179</v>
      </c>
      <c r="BD771" s="25" t="s">
        <v>14758</v>
      </c>
      <c r="BE771" s="25" t="s">
        <v>189</v>
      </c>
      <c r="BF771" s="29">
        <v>2</v>
      </c>
      <c r="BG771" s="25" t="s">
        <v>190</v>
      </c>
      <c r="BH771" s="25" t="s">
        <v>166</v>
      </c>
      <c r="BI771" s="25" t="s">
        <v>166</v>
      </c>
      <c r="BJ771" s="29" t="s">
        <v>166</v>
      </c>
      <c r="BK771" s="29" t="s">
        <v>166</v>
      </c>
      <c r="BL771" s="25" t="s">
        <v>191</v>
      </c>
      <c r="BM771" s="25" t="s">
        <v>178</v>
      </c>
      <c r="BN771" s="25" t="s">
        <v>177</v>
      </c>
      <c r="BO771" s="33" t="s">
        <v>166</v>
      </c>
      <c r="BP771" s="25" t="s">
        <v>14759</v>
      </c>
      <c r="BQ771" s="32">
        <v>5</v>
      </c>
      <c r="BR771" s="25" t="s">
        <v>14760</v>
      </c>
      <c r="BS771" s="32">
        <v>2</v>
      </c>
      <c r="BT771" s="25" t="s">
        <v>166</v>
      </c>
      <c r="BU771" s="25" t="s">
        <v>166</v>
      </c>
      <c r="BV771" s="25" t="s">
        <v>14761</v>
      </c>
      <c r="BW771" s="25" t="s">
        <v>166</v>
      </c>
      <c r="BX771" s="25" t="s">
        <v>166</v>
      </c>
      <c r="BY771" s="25" t="s">
        <v>166</v>
      </c>
      <c r="BZ771" s="25" t="s">
        <v>6955</v>
      </c>
      <c r="CA771" s="25" t="s">
        <v>6955</v>
      </c>
      <c r="CB771" s="25" t="s">
        <v>166</v>
      </c>
      <c r="CC771" s="25" t="s">
        <v>166</v>
      </c>
      <c r="CD771" s="25" t="s">
        <v>166</v>
      </c>
      <c r="CE771" s="29" t="s">
        <v>166</v>
      </c>
      <c r="CF771" s="27" t="s">
        <v>166</v>
      </c>
      <c r="CG771" s="28" t="s">
        <v>166</v>
      </c>
      <c r="CH771" s="27" t="s">
        <v>166</v>
      </c>
      <c r="CI771" s="27" t="s">
        <v>166</v>
      </c>
      <c r="CJ771" s="27" t="s">
        <v>166</v>
      </c>
      <c r="CK771" s="27" t="s">
        <v>166</v>
      </c>
      <c r="CL771" s="27" t="s">
        <v>166</v>
      </c>
      <c r="CM771" s="31" t="s">
        <v>166</v>
      </c>
      <c r="CN771" s="27" t="s">
        <v>166</v>
      </c>
      <c r="CO771" s="27" t="s">
        <v>166</v>
      </c>
      <c r="CP771" s="27" t="s">
        <v>166</v>
      </c>
      <c r="CQ771" s="27" t="s">
        <v>166</v>
      </c>
      <c r="CR771" s="27" t="s">
        <v>166</v>
      </c>
      <c r="CS771" s="27" t="s">
        <v>166</v>
      </c>
      <c r="CT771" s="27" t="s">
        <v>166</v>
      </c>
      <c r="CU771" s="27" t="s">
        <v>166</v>
      </c>
      <c r="CV771" s="27" t="s">
        <v>166</v>
      </c>
      <c r="CW771" s="27" t="s">
        <v>166</v>
      </c>
      <c r="CX771" s="27" t="s">
        <v>166</v>
      </c>
      <c r="CY771" s="27" t="s">
        <v>166</v>
      </c>
      <c r="CZ771" s="27" t="s">
        <v>166</v>
      </c>
      <c r="DA771" s="27" t="s">
        <v>166</v>
      </c>
      <c r="DB771" s="27" t="s">
        <v>166</v>
      </c>
      <c r="DC771" s="27" t="s">
        <v>166</v>
      </c>
      <c r="DD771" s="27" t="s">
        <v>166</v>
      </c>
      <c r="DE771" s="28" t="s">
        <v>166</v>
      </c>
      <c r="DF771" s="33">
        <v>6</v>
      </c>
      <c r="DG771" s="25" t="s">
        <v>309</v>
      </c>
      <c r="DH771" s="25" t="s">
        <v>193</v>
      </c>
      <c r="DI771" s="25" t="s">
        <v>194</v>
      </c>
      <c r="DJ771" s="25" t="s">
        <v>310</v>
      </c>
      <c r="DK771" s="25" t="s">
        <v>310</v>
      </c>
      <c r="DL771" s="32" t="s">
        <v>14762</v>
      </c>
      <c r="DM771" s="25" t="s">
        <v>198</v>
      </c>
      <c r="DN771" s="24" t="s">
        <v>14763</v>
      </c>
      <c r="DO771" s="31">
        <v>2020</v>
      </c>
      <c r="DP771" s="25" t="s">
        <v>166</v>
      </c>
      <c r="DQ771" s="25" t="s">
        <v>166</v>
      </c>
      <c r="DR771" s="29" t="s">
        <v>166</v>
      </c>
      <c r="DS771" s="27" t="s">
        <v>166</v>
      </c>
      <c r="DT771" s="30" t="s">
        <v>166</v>
      </c>
      <c r="DU771" s="25" t="s">
        <v>166</v>
      </c>
      <c r="DV771" s="29" t="s">
        <v>166</v>
      </c>
      <c r="DW771" s="29" t="s">
        <v>166</v>
      </c>
      <c r="DX771" s="27" t="s">
        <v>166</v>
      </c>
      <c r="DY771" s="27" t="s">
        <v>166</v>
      </c>
      <c r="DZ771" s="28" t="s">
        <v>166</v>
      </c>
      <c r="EA771" s="27" t="s">
        <v>166</v>
      </c>
      <c r="EB771" s="27" t="s">
        <v>166</v>
      </c>
      <c r="EC771" s="27" t="s">
        <v>166</v>
      </c>
      <c r="ED771" s="28" t="s">
        <v>166</v>
      </c>
      <c r="EE771" s="28" t="s">
        <v>166</v>
      </c>
      <c r="EF771" s="28" t="s">
        <v>166</v>
      </c>
      <c r="EG771" s="28" t="s">
        <v>166</v>
      </c>
      <c r="EH771" s="27" t="s">
        <v>166</v>
      </c>
      <c r="EI771" s="27" t="s">
        <v>166</v>
      </c>
      <c r="EJ771" s="27" t="s">
        <v>166</v>
      </c>
      <c r="EK771" s="27" t="s">
        <v>166</v>
      </c>
      <c r="EL771" s="27" t="s">
        <v>166</v>
      </c>
      <c r="EM771" s="27" t="s">
        <v>166</v>
      </c>
      <c r="EN771" s="27" t="s">
        <v>166</v>
      </c>
      <c r="EO771" s="27" t="s">
        <v>166</v>
      </c>
      <c r="EP771" s="27" t="s">
        <v>166</v>
      </c>
      <c r="EQ771" s="27" t="s">
        <v>166</v>
      </c>
      <c r="ER771" s="27" t="s">
        <v>166</v>
      </c>
      <c r="ES771" s="27" t="s">
        <v>166</v>
      </c>
      <c r="ET771" s="25" t="s">
        <v>166</v>
      </c>
      <c r="EU771" s="27" t="s">
        <v>166</v>
      </c>
      <c r="EV771" s="27" t="s">
        <v>166</v>
      </c>
      <c r="EW771" s="27" t="s">
        <v>166</v>
      </c>
      <c r="EX771" s="25" t="s">
        <v>190</v>
      </c>
      <c r="EY771" s="25" t="s">
        <v>166</v>
      </c>
      <c r="EZ771" s="27" t="s">
        <v>166</v>
      </c>
      <c r="FA771" s="26" t="s">
        <v>166</v>
      </c>
      <c r="FB771" s="26" t="s">
        <v>166</v>
      </c>
      <c r="FC771" s="26" t="s">
        <v>166</v>
      </c>
      <c r="FD771" s="26" t="s">
        <v>166</v>
      </c>
      <c r="FE771" s="26" t="s">
        <v>166</v>
      </c>
      <c r="FF771" s="26" t="s">
        <v>166</v>
      </c>
      <c r="FG771" s="25" t="s">
        <v>166</v>
      </c>
      <c r="FH771" s="4">
        <f>HYPERLINK("https://my.pitchbook.com?c=188791-48T","View Company Online")</f>
      </c>
    </row>
    <row r="772">
      <c r="A772" s="14" t="s">
        <v>14764</v>
      </c>
      <c r="B772" s="14" t="s">
        <v>14765</v>
      </c>
      <c r="C772" s="14" t="s">
        <v>14766</v>
      </c>
      <c r="D772" s="14" t="s">
        <v>166</v>
      </c>
      <c r="E772" s="23" t="s">
        <v>14767</v>
      </c>
      <c r="F772" s="21">
        <v>1</v>
      </c>
      <c r="G772" s="14" t="s">
        <v>14768</v>
      </c>
      <c r="H772" s="14" t="s">
        <v>166</v>
      </c>
      <c r="I772" s="14" t="s">
        <v>14769</v>
      </c>
      <c r="J772" s="14" t="s">
        <v>14770</v>
      </c>
      <c r="K772" s="14" t="s">
        <v>1455</v>
      </c>
      <c r="L772" s="14" t="s">
        <v>1984</v>
      </c>
      <c r="M772" s="14" t="s">
        <v>2112</v>
      </c>
      <c r="N772" s="14" t="s">
        <v>14771</v>
      </c>
      <c r="O772" s="14" t="s">
        <v>580</v>
      </c>
      <c r="P772" s="14" t="s">
        <v>14772</v>
      </c>
      <c r="Q772" s="14" t="s">
        <v>166</v>
      </c>
      <c r="R772" s="14" t="s">
        <v>177</v>
      </c>
      <c r="S772" s="14" t="s">
        <v>178</v>
      </c>
      <c r="T772" s="14" t="s">
        <v>179</v>
      </c>
      <c r="U772" s="14" t="s">
        <v>14773</v>
      </c>
      <c r="V772" s="14" t="s">
        <v>14774</v>
      </c>
      <c r="W772" s="21" t="s">
        <v>14775</v>
      </c>
      <c r="X772" s="14" t="s">
        <v>14776</v>
      </c>
      <c r="Y772" s="14" t="s">
        <v>14777</v>
      </c>
      <c r="Z772" s="14" t="s">
        <v>14778</v>
      </c>
      <c r="AA772" s="14" t="s">
        <v>166</v>
      </c>
      <c r="AB772" s="14" t="s">
        <v>166</v>
      </c>
      <c r="AC772" s="14" t="s">
        <v>166</v>
      </c>
      <c r="AD772" s="14" t="s">
        <v>166</v>
      </c>
      <c r="AE772" s="14" t="s">
        <v>166</v>
      </c>
      <c r="AF772" s="14" t="s">
        <v>166</v>
      </c>
      <c r="AG772" s="14" t="s">
        <v>166</v>
      </c>
      <c r="AH772" s="21">
        <v>1</v>
      </c>
      <c r="AI772" s="3">
        <f>HYPERLINK("https://my.pitchbook.com/?d=247747-78T","247747-78T")</f>
      </c>
      <c r="AJ772" s="19" t="s">
        <v>166</v>
      </c>
      <c r="AK772" s="19">
        <v>45275</v>
      </c>
      <c r="AL772" s="18">
        <v>3</v>
      </c>
      <c r="AM772" s="14" t="s">
        <v>185</v>
      </c>
      <c r="AN772" s="18" t="s">
        <v>166</v>
      </c>
      <c r="AO772" s="18" t="s">
        <v>166</v>
      </c>
      <c r="AP772" s="14" t="s">
        <v>166</v>
      </c>
      <c r="AQ772" s="21" t="s">
        <v>166</v>
      </c>
      <c r="AR772" s="21" t="s">
        <v>166</v>
      </c>
      <c r="AS772" s="17" t="s">
        <v>166</v>
      </c>
      <c r="AT772" s="18">
        <v>3</v>
      </c>
      <c r="AU772" s="21" t="s">
        <v>186</v>
      </c>
      <c r="AV772" s="21" t="s">
        <v>166</v>
      </c>
      <c r="AW772" s="18" t="s">
        <v>166</v>
      </c>
      <c r="AX772" s="21" t="s">
        <v>166</v>
      </c>
      <c r="AY772" s="14" t="s">
        <v>187</v>
      </c>
      <c r="AZ772" s="14" t="s">
        <v>166</v>
      </c>
      <c r="BA772" s="14" t="s">
        <v>166</v>
      </c>
      <c r="BB772" s="21" t="s">
        <v>166</v>
      </c>
      <c r="BC772" s="14" t="s">
        <v>179</v>
      </c>
      <c r="BD772" s="14" t="s">
        <v>14770</v>
      </c>
      <c r="BE772" s="14" t="s">
        <v>189</v>
      </c>
      <c r="BF772" s="18">
        <v>3</v>
      </c>
      <c r="BG772" s="14" t="s">
        <v>190</v>
      </c>
      <c r="BH772" s="14" t="s">
        <v>166</v>
      </c>
      <c r="BI772" s="14" t="s">
        <v>166</v>
      </c>
      <c r="BJ772" s="18" t="s">
        <v>166</v>
      </c>
      <c r="BK772" s="18" t="s">
        <v>166</v>
      </c>
      <c r="BL772" s="14" t="s">
        <v>191</v>
      </c>
      <c r="BM772" s="14" t="s">
        <v>178</v>
      </c>
      <c r="BN772" s="14" t="s">
        <v>177</v>
      </c>
      <c r="BO772" s="22" t="s">
        <v>166</v>
      </c>
      <c r="BP772" s="14" t="s">
        <v>14779</v>
      </c>
      <c r="BQ772" s="21">
        <v>1</v>
      </c>
      <c r="BR772" s="14" t="s">
        <v>166</v>
      </c>
      <c r="BS772" s="21" t="s">
        <v>166</v>
      </c>
      <c r="BT772" s="14" t="s">
        <v>166</v>
      </c>
      <c r="BU772" s="14" t="s">
        <v>166</v>
      </c>
      <c r="BV772" s="14" t="s">
        <v>166</v>
      </c>
      <c r="BW772" s="14" t="s">
        <v>166</v>
      </c>
      <c r="BX772" s="14" t="s">
        <v>166</v>
      </c>
      <c r="BY772" s="14" t="s">
        <v>166</v>
      </c>
      <c r="BZ772" s="14" t="s">
        <v>166</v>
      </c>
      <c r="CA772" s="14" t="s">
        <v>166</v>
      </c>
      <c r="CB772" s="14" t="s">
        <v>166</v>
      </c>
      <c r="CC772" s="14" t="s">
        <v>166</v>
      </c>
      <c r="CD772" s="14" t="s">
        <v>166</v>
      </c>
      <c r="CE772" s="18" t="s">
        <v>166</v>
      </c>
      <c r="CF772" s="16" t="s">
        <v>166</v>
      </c>
      <c r="CG772" s="17" t="s">
        <v>166</v>
      </c>
      <c r="CH772" s="16" t="s">
        <v>166</v>
      </c>
      <c r="CI772" s="16" t="s">
        <v>166</v>
      </c>
      <c r="CJ772" s="16" t="s">
        <v>166</v>
      </c>
      <c r="CK772" s="16" t="s">
        <v>166</v>
      </c>
      <c r="CL772" s="16" t="s">
        <v>166</v>
      </c>
      <c r="CM772" s="20" t="s">
        <v>166</v>
      </c>
      <c r="CN772" s="16" t="s">
        <v>166</v>
      </c>
      <c r="CO772" s="16" t="s">
        <v>166</v>
      </c>
      <c r="CP772" s="16" t="s">
        <v>166</v>
      </c>
      <c r="CQ772" s="16" t="s">
        <v>166</v>
      </c>
      <c r="CR772" s="16" t="s">
        <v>166</v>
      </c>
      <c r="CS772" s="16" t="s">
        <v>166</v>
      </c>
      <c r="CT772" s="16" t="s">
        <v>166</v>
      </c>
      <c r="CU772" s="16" t="s">
        <v>166</v>
      </c>
      <c r="CV772" s="16" t="s">
        <v>166</v>
      </c>
      <c r="CW772" s="16" t="s">
        <v>166</v>
      </c>
      <c r="CX772" s="16" t="s">
        <v>166</v>
      </c>
      <c r="CY772" s="16" t="s">
        <v>166</v>
      </c>
      <c r="CZ772" s="16" t="s">
        <v>166</v>
      </c>
      <c r="DA772" s="16" t="s">
        <v>166</v>
      </c>
      <c r="DB772" s="16" t="s">
        <v>166</v>
      </c>
      <c r="DC772" s="16" t="s">
        <v>166</v>
      </c>
      <c r="DD772" s="16" t="s">
        <v>166</v>
      </c>
      <c r="DE772" s="17" t="s">
        <v>166</v>
      </c>
      <c r="DF772" s="22">
        <v>9</v>
      </c>
      <c r="DG772" s="14" t="s">
        <v>8034</v>
      </c>
      <c r="DH772" s="14" t="s">
        <v>193</v>
      </c>
      <c r="DI772" s="14" t="s">
        <v>194</v>
      </c>
      <c r="DJ772" s="14" t="s">
        <v>8035</v>
      </c>
      <c r="DK772" s="14" t="s">
        <v>6539</v>
      </c>
      <c r="DL772" s="21" t="s">
        <v>9050</v>
      </c>
      <c r="DM772" s="14" t="s">
        <v>198</v>
      </c>
      <c r="DN772" s="13" t="s">
        <v>14780</v>
      </c>
      <c r="DO772" s="20">
        <v>2021</v>
      </c>
      <c r="DP772" s="14" t="s">
        <v>166</v>
      </c>
      <c r="DQ772" s="14" t="s">
        <v>166</v>
      </c>
      <c r="DR772" s="18" t="s">
        <v>166</v>
      </c>
      <c r="DS772" s="16" t="s">
        <v>166</v>
      </c>
      <c r="DT772" s="19" t="s">
        <v>166</v>
      </c>
      <c r="DU772" s="14" t="s">
        <v>166</v>
      </c>
      <c r="DV772" s="18" t="s">
        <v>166</v>
      </c>
      <c r="DW772" s="18" t="s">
        <v>166</v>
      </c>
      <c r="DX772" s="16" t="s">
        <v>166</v>
      </c>
      <c r="DY772" s="16" t="s">
        <v>166</v>
      </c>
      <c r="DZ772" s="17" t="s">
        <v>166</v>
      </c>
      <c r="EA772" s="16" t="s">
        <v>166</v>
      </c>
      <c r="EB772" s="16" t="s">
        <v>166</v>
      </c>
      <c r="EC772" s="16" t="s">
        <v>166</v>
      </c>
      <c r="ED772" s="17" t="s">
        <v>166</v>
      </c>
      <c r="EE772" s="17" t="s">
        <v>166</v>
      </c>
      <c r="EF772" s="17" t="s">
        <v>166</v>
      </c>
      <c r="EG772" s="17" t="s">
        <v>166</v>
      </c>
      <c r="EH772" s="16" t="s">
        <v>166</v>
      </c>
      <c r="EI772" s="16" t="s">
        <v>166</v>
      </c>
      <c r="EJ772" s="16" t="s">
        <v>166</v>
      </c>
      <c r="EK772" s="16" t="s">
        <v>166</v>
      </c>
      <c r="EL772" s="16" t="s">
        <v>166</v>
      </c>
      <c r="EM772" s="16" t="s">
        <v>166</v>
      </c>
      <c r="EN772" s="16" t="s">
        <v>166</v>
      </c>
      <c r="EO772" s="16" t="s">
        <v>166</v>
      </c>
      <c r="EP772" s="16" t="s">
        <v>166</v>
      </c>
      <c r="EQ772" s="16" t="s">
        <v>166</v>
      </c>
      <c r="ER772" s="16" t="s">
        <v>166</v>
      </c>
      <c r="ES772" s="16" t="s">
        <v>166</v>
      </c>
      <c r="ET772" s="14" t="s">
        <v>166</v>
      </c>
      <c r="EU772" s="16" t="s">
        <v>166</v>
      </c>
      <c r="EV772" s="16" t="s">
        <v>166</v>
      </c>
      <c r="EW772" s="16" t="s">
        <v>166</v>
      </c>
      <c r="EX772" s="14" t="s">
        <v>190</v>
      </c>
      <c r="EY772" s="14" t="s">
        <v>166</v>
      </c>
      <c r="EZ772" s="16" t="s">
        <v>166</v>
      </c>
      <c r="FA772" s="15" t="s">
        <v>166</v>
      </c>
      <c r="FB772" s="15" t="s">
        <v>166</v>
      </c>
      <c r="FC772" s="15" t="s">
        <v>166</v>
      </c>
      <c r="FD772" s="15" t="s">
        <v>166</v>
      </c>
      <c r="FE772" s="15" t="s">
        <v>166</v>
      </c>
      <c r="FF772" s="15" t="s">
        <v>166</v>
      </c>
      <c r="FG772" s="14" t="s">
        <v>166</v>
      </c>
      <c r="FH772" s="3">
        <f>HYPERLINK("https://my.pitchbook.com?c=247747-78T","View Company Online")</f>
      </c>
    </row>
    <row r="773">
      <c r="A773" s="25" t="s">
        <v>14781</v>
      </c>
      <c r="B773" s="25" t="s">
        <v>14782</v>
      </c>
      <c r="C773" s="25" t="s">
        <v>14783</v>
      </c>
      <c r="D773" s="25" t="s">
        <v>166</v>
      </c>
      <c r="E773" s="34" t="s">
        <v>14784</v>
      </c>
      <c r="F773" s="32">
        <v>2</v>
      </c>
      <c r="G773" s="25" t="s">
        <v>14785</v>
      </c>
      <c r="H773" s="25" t="s">
        <v>166</v>
      </c>
      <c r="I773" s="25" t="s">
        <v>14786</v>
      </c>
      <c r="J773" s="25" t="s">
        <v>14787</v>
      </c>
      <c r="K773" s="25" t="s">
        <v>207</v>
      </c>
      <c r="L773" s="25" t="s">
        <v>208</v>
      </c>
      <c r="M773" s="25" t="s">
        <v>1766</v>
      </c>
      <c r="N773" s="25" t="s">
        <v>14788</v>
      </c>
      <c r="O773" s="25" t="s">
        <v>2683</v>
      </c>
      <c r="P773" s="25" t="s">
        <v>14789</v>
      </c>
      <c r="Q773" s="25" t="s">
        <v>166</v>
      </c>
      <c r="R773" s="25" t="s">
        <v>177</v>
      </c>
      <c r="S773" s="25" t="s">
        <v>178</v>
      </c>
      <c r="T773" s="25" t="s">
        <v>179</v>
      </c>
      <c r="U773" s="25" t="s">
        <v>14790</v>
      </c>
      <c r="V773" s="25" t="s">
        <v>14791</v>
      </c>
      <c r="W773" s="32" t="s">
        <v>14792</v>
      </c>
      <c r="X773" s="25" t="s">
        <v>14793</v>
      </c>
      <c r="Y773" s="25" t="s">
        <v>14794</v>
      </c>
      <c r="Z773" s="25" t="s">
        <v>166</v>
      </c>
      <c r="AA773" s="25" t="s">
        <v>166</v>
      </c>
      <c r="AB773" s="25" t="s">
        <v>166</v>
      </c>
      <c r="AC773" s="25" t="s">
        <v>166</v>
      </c>
      <c r="AD773" s="25" t="s">
        <v>166</v>
      </c>
      <c r="AE773" s="25" t="s">
        <v>166</v>
      </c>
      <c r="AF773" s="25" t="s">
        <v>166</v>
      </c>
      <c r="AG773" s="25" t="s">
        <v>166</v>
      </c>
      <c r="AH773" s="32">
        <v>1</v>
      </c>
      <c r="AI773" s="4">
        <f>HYPERLINK("https://my.pitchbook.com/?d=185511-79T","185511-79T")</f>
      </c>
      <c r="AJ773" s="30" t="s">
        <v>166</v>
      </c>
      <c r="AK773" s="30">
        <v>44545</v>
      </c>
      <c r="AL773" s="29">
        <v>0.22</v>
      </c>
      <c r="AM773" s="25" t="s">
        <v>185</v>
      </c>
      <c r="AN773" s="29" t="s">
        <v>166</v>
      </c>
      <c r="AO773" s="29" t="s">
        <v>166</v>
      </c>
      <c r="AP773" s="25" t="s">
        <v>166</v>
      </c>
      <c r="AQ773" s="32" t="s">
        <v>166</v>
      </c>
      <c r="AR773" s="32" t="s">
        <v>166</v>
      </c>
      <c r="AS773" s="28" t="s">
        <v>166</v>
      </c>
      <c r="AT773" s="29">
        <v>0.22</v>
      </c>
      <c r="AU773" s="32" t="s">
        <v>186</v>
      </c>
      <c r="AV773" s="32" t="s">
        <v>166</v>
      </c>
      <c r="AW773" s="29" t="s">
        <v>166</v>
      </c>
      <c r="AX773" s="32" t="s">
        <v>166</v>
      </c>
      <c r="AY773" s="25" t="s">
        <v>217</v>
      </c>
      <c r="AZ773" s="25" t="s">
        <v>217</v>
      </c>
      <c r="BA773" s="25" t="s">
        <v>166</v>
      </c>
      <c r="BB773" s="32" t="s">
        <v>166</v>
      </c>
      <c r="BC773" s="25" t="s">
        <v>179</v>
      </c>
      <c r="BD773" s="25" t="s">
        <v>14787</v>
      </c>
      <c r="BE773" s="25" t="s">
        <v>189</v>
      </c>
      <c r="BF773" s="29">
        <v>0.22</v>
      </c>
      <c r="BG773" s="25" t="s">
        <v>190</v>
      </c>
      <c r="BH773" s="25" t="s">
        <v>166</v>
      </c>
      <c r="BI773" s="25" t="s">
        <v>166</v>
      </c>
      <c r="BJ773" s="29" t="s">
        <v>166</v>
      </c>
      <c r="BK773" s="29" t="s">
        <v>166</v>
      </c>
      <c r="BL773" s="25" t="s">
        <v>191</v>
      </c>
      <c r="BM773" s="25" t="s">
        <v>785</v>
      </c>
      <c r="BN773" s="25" t="s">
        <v>177</v>
      </c>
      <c r="BO773" s="33" t="s">
        <v>166</v>
      </c>
      <c r="BP773" s="25" t="s">
        <v>14795</v>
      </c>
      <c r="BQ773" s="32">
        <v>2</v>
      </c>
      <c r="BR773" s="25" t="s">
        <v>166</v>
      </c>
      <c r="BS773" s="32" t="s">
        <v>166</v>
      </c>
      <c r="BT773" s="25" t="s">
        <v>166</v>
      </c>
      <c r="BU773" s="25" t="s">
        <v>166</v>
      </c>
      <c r="BV773" s="25" t="s">
        <v>14796</v>
      </c>
      <c r="BW773" s="25" t="s">
        <v>166</v>
      </c>
      <c r="BX773" s="25" t="s">
        <v>166</v>
      </c>
      <c r="BY773" s="25" t="s">
        <v>166</v>
      </c>
      <c r="BZ773" s="25" t="s">
        <v>166</v>
      </c>
      <c r="CA773" s="25" t="s">
        <v>166</v>
      </c>
      <c r="CB773" s="25" t="s">
        <v>166</v>
      </c>
      <c r="CC773" s="25" t="s">
        <v>166</v>
      </c>
      <c r="CD773" s="25" t="s">
        <v>166</v>
      </c>
      <c r="CE773" s="29" t="s">
        <v>166</v>
      </c>
      <c r="CF773" s="27" t="s">
        <v>166</v>
      </c>
      <c r="CG773" s="28" t="s">
        <v>166</v>
      </c>
      <c r="CH773" s="27" t="s">
        <v>166</v>
      </c>
      <c r="CI773" s="27" t="s">
        <v>166</v>
      </c>
      <c r="CJ773" s="27" t="s">
        <v>166</v>
      </c>
      <c r="CK773" s="27" t="s">
        <v>166</v>
      </c>
      <c r="CL773" s="27" t="s">
        <v>166</v>
      </c>
      <c r="CM773" s="31" t="s">
        <v>166</v>
      </c>
      <c r="CN773" s="27" t="s">
        <v>166</v>
      </c>
      <c r="CO773" s="27" t="s">
        <v>166</v>
      </c>
      <c r="CP773" s="27" t="s">
        <v>166</v>
      </c>
      <c r="CQ773" s="27" t="s">
        <v>166</v>
      </c>
      <c r="CR773" s="27" t="s">
        <v>166</v>
      </c>
      <c r="CS773" s="27" t="s">
        <v>166</v>
      </c>
      <c r="CT773" s="27" t="s">
        <v>166</v>
      </c>
      <c r="CU773" s="27" t="s">
        <v>166</v>
      </c>
      <c r="CV773" s="27" t="s">
        <v>166</v>
      </c>
      <c r="CW773" s="27" t="s">
        <v>166</v>
      </c>
      <c r="CX773" s="27" t="s">
        <v>166</v>
      </c>
      <c r="CY773" s="27" t="s">
        <v>166</v>
      </c>
      <c r="CZ773" s="27" t="s">
        <v>166</v>
      </c>
      <c r="DA773" s="27" t="s">
        <v>166</v>
      </c>
      <c r="DB773" s="27" t="s">
        <v>166</v>
      </c>
      <c r="DC773" s="27" t="s">
        <v>166</v>
      </c>
      <c r="DD773" s="27" t="s">
        <v>166</v>
      </c>
      <c r="DE773" s="28" t="s">
        <v>166</v>
      </c>
      <c r="DF773" s="33">
        <v>5</v>
      </c>
      <c r="DG773" s="25" t="s">
        <v>14797</v>
      </c>
      <c r="DH773" s="25" t="s">
        <v>193</v>
      </c>
      <c r="DI773" s="25" t="s">
        <v>194</v>
      </c>
      <c r="DJ773" s="25" t="s">
        <v>2839</v>
      </c>
      <c r="DK773" s="25" t="s">
        <v>3974</v>
      </c>
      <c r="DL773" s="32" t="s">
        <v>14798</v>
      </c>
      <c r="DM773" s="25" t="s">
        <v>198</v>
      </c>
      <c r="DN773" s="24" t="s">
        <v>14799</v>
      </c>
      <c r="DO773" s="31">
        <v>2021</v>
      </c>
      <c r="DP773" s="25" t="s">
        <v>166</v>
      </c>
      <c r="DQ773" s="25" t="s">
        <v>166</v>
      </c>
      <c r="DR773" s="29" t="s">
        <v>166</v>
      </c>
      <c r="DS773" s="27" t="s">
        <v>166</v>
      </c>
      <c r="DT773" s="30" t="s">
        <v>166</v>
      </c>
      <c r="DU773" s="25" t="s">
        <v>166</v>
      </c>
      <c r="DV773" s="29" t="s">
        <v>166</v>
      </c>
      <c r="DW773" s="29" t="s">
        <v>166</v>
      </c>
      <c r="DX773" s="27" t="s">
        <v>166</v>
      </c>
      <c r="DY773" s="27" t="s">
        <v>166</v>
      </c>
      <c r="DZ773" s="28" t="s">
        <v>166</v>
      </c>
      <c r="EA773" s="27" t="s">
        <v>166</v>
      </c>
      <c r="EB773" s="27" t="s">
        <v>166</v>
      </c>
      <c r="EC773" s="27" t="s">
        <v>166</v>
      </c>
      <c r="ED773" s="28" t="s">
        <v>166</v>
      </c>
      <c r="EE773" s="28" t="s">
        <v>166</v>
      </c>
      <c r="EF773" s="28" t="s">
        <v>166</v>
      </c>
      <c r="EG773" s="28" t="s">
        <v>166</v>
      </c>
      <c r="EH773" s="27" t="s">
        <v>166</v>
      </c>
      <c r="EI773" s="27" t="s">
        <v>166</v>
      </c>
      <c r="EJ773" s="27" t="s">
        <v>166</v>
      </c>
      <c r="EK773" s="27" t="s">
        <v>166</v>
      </c>
      <c r="EL773" s="27" t="s">
        <v>166</v>
      </c>
      <c r="EM773" s="27" t="s">
        <v>166</v>
      </c>
      <c r="EN773" s="27" t="s">
        <v>166</v>
      </c>
      <c r="EO773" s="27" t="s">
        <v>166</v>
      </c>
      <c r="EP773" s="27" t="s">
        <v>166</v>
      </c>
      <c r="EQ773" s="27" t="s">
        <v>166</v>
      </c>
      <c r="ER773" s="27" t="s">
        <v>166</v>
      </c>
      <c r="ES773" s="27" t="s">
        <v>166</v>
      </c>
      <c r="ET773" s="25" t="s">
        <v>166</v>
      </c>
      <c r="EU773" s="27" t="s">
        <v>166</v>
      </c>
      <c r="EV773" s="27" t="s">
        <v>166</v>
      </c>
      <c r="EW773" s="27" t="s">
        <v>166</v>
      </c>
      <c r="EX773" s="25" t="s">
        <v>190</v>
      </c>
      <c r="EY773" s="25" t="s">
        <v>166</v>
      </c>
      <c r="EZ773" s="27" t="s">
        <v>166</v>
      </c>
      <c r="FA773" s="26" t="s">
        <v>166</v>
      </c>
      <c r="FB773" s="26" t="s">
        <v>166</v>
      </c>
      <c r="FC773" s="26" t="s">
        <v>166</v>
      </c>
      <c r="FD773" s="26" t="s">
        <v>166</v>
      </c>
      <c r="FE773" s="26" t="s">
        <v>166</v>
      </c>
      <c r="FF773" s="26" t="s">
        <v>166</v>
      </c>
      <c r="FG773" s="25" t="s">
        <v>166</v>
      </c>
      <c r="FH773" s="4">
        <f>HYPERLINK("https://my.pitchbook.com?c=185511-79T","View Company Online")</f>
      </c>
    </row>
    <row r="774">
      <c r="A774" s="14" t="s">
        <v>14800</v>
      </c>
      <c r="B774" s="14" t="s">
        <v>14801</v>
      </c>
      <c r="C774" s="14" t="s">
        <v>14802</v>
      </c>
      <c r="D774" s="14" t="s">
        <v>166</v>
      </c>
      <c r="E774" s="23" t="s">
        <v>14803</v>
      </c>
      <c r="F774" s="21">
        <v>3</v>
      </c>
      <c r="G774" s="14" t="s">
        <v>14804</v>
      </c>
      <c r="H774" s="14" t="s">
        <v>166</v>
      </c>
      <c r="I774" s="14" t="s">
        <v>14805</v>
      </c>
      <c r="J774" s="14" t="s">
        <v>14806</v>
      </c>
      <c r="K774" s="14" t="s">
        <v>207</v>
      </c>
      <c r="L774" s="14" t="s">
        <v>208</v>
      </c>
      <c r="M774" s="14" t="s">
        <v>209</v>
      </c>
      <c r="N774" s="14" t="s">
        <v>14807</v>
      </c>
      <c r="O774" s="14" t="s">
        <v>7573</v>
      </c>
      <c r="P774" s="14" t="s">
        <v>14808</v>
      </c>
      <c r="Q774" s="14" t="s">
        <v>166</v>
      </c>
      <c r="R774" s="14" t="s">
        <v>177</v>
      </c>
      <c r="S774" s="14" t="s">
        <v>178</v>
      </c>
      <c r="T774" s="14" t="s">
        <v>179</v>
      </c>
      <c r="U774" s="14" t="s">
        <v>14809</v>
      </c>
      <c r="V774" s="14" t="s">
        <v>14810</v>
      </c>
      <c r="W774" s="21" t="s">
        <v>14811</v>
      </c>
      <c r="X774" s="14" t="s">
        <v>166</v>
      </c>
      <c r="Y774" s="14" t="s">
        <v>14812</v>
      </c>
      <c r="Z774" s="14" t="s">
        <v>14813</v>
      </c>
      <c r="AA774" s="14" t="s">
        <v>166</v>
      </c>
      <c r="AB774" s="14" t="s">
        <v>166</v>
      </c>
      <c r="AC774" s="14" t="s">
        <v>166</v>
      </c>
      <c r="AD774" s="14" t="s">
        <v>166</v>
      </c>
      <c r="AE774" s="14" t="s">
        <v>166</v>
      </c>
      <c r="AF774" s="14" t="s">
        <v>166</v>
      </c>
      <c r="AG774" s="14" t="s">
        <v>166</v>
      </c>
      <c r="AH774" s="21">
        <v>1</v>
      </c>
      <c r="AI774" s="3">
        <f>HYPERLINK("https://my.pitchbook.com/?d=202480-39T","202480-39T")</f>
      </c>
      <c r="AJ774" s="19" t="s">
        <v>166</v>
      </c>
      <c r="AK774" s="19">
        <v>44790</v>
      </c>
      <c r="AL774" s="18">
        <v>1.59</v>
      </c>
      <c r="AM774" s="14" t="s">
        <v>185</v>
      </c>
      <c r="AN774" s="18" t="s">
        <v>166</v>
      </c>
      <c r="AO774" s="18" t="s">
        <v>166</v>
      </c>
      <c r="AP774" s="14" t="s">
        <v>166</v>
      </c>
      <c r="AQ774" s="21" t="s">
        <v>166</v>
      </c>
      <c r="AR774" s="21" t="s">
        <v>166</v>
      </c>
      <c r="AS774" s="17" t="s">
        <v>166</v>
      </c>
      <c r="AT774" s="18">
        <v>1.59</v>
      </c>
      <c r="AU774" s="21" t="s">
        <v>186</v>
      </c>
      <c r="AV774" s="21" t="s">
        <v>166</v>
      </c>
      <c r="AW774" s="18" t="s">
        <v>166</v>
      </c>
      <c r="AX774" s="21" t="s">
        <v>166</v>
      </c>
      <c r="AY774" s="14" t="s">
        <v>217</v>
      </c>
      <c r="AZ774" s="14" t="s">
        <v>217</v>
      </c>
      <c r="BA774" s="14" t="s">
        <v>166</v>
      </c>
      <c r="BB774" s="21" t="s">
        <v>166</v>
      </c>
      <c r="BC774" s="14" t="s">
        <v>179</v>
      </c>
      <c r="BD774" s="14" t="s">
        <v>14814</v>
      </c>
      <c r="BE774" s="14" t="s">
        <v>189</v>
      </c>
      <c r="BF774" s="18" t="s">
        <v>166</v>
      </c>
      <c r="BG774" s="14" t="s">
        <v>190</v>
      </c>
      <c r="BH774" s="14" t="s">
        <v>166</v>
      </c>
      <c r="BI774" s="14" t="s">
        <v>166</v>
      </c>
      <c r="BJ774" s="18" t="s">
        <v>166</v>
      </c>
      <c r="BK774" s="18" t="s">
        <v>166</v>
      </c>
      <c r="BL774" s="14" t="s">
        <v>191</v>
      </c>
      <c r="BM774" s="14" t="s">
        <v>358</v>
      </c>
      <c r="BN774" s="14" t="s">
        <v>177</v>
      </c>
      <c r="BO774" s="22" t="s">
        <v>166</v>
      </c>
      <c r="BP774" s="14" t="s">
        <v>14815</v>
      </c>
      <c r="BQ774" s="21">
        <v>3</v>
      </c>
      <c r="BR774" s="14" t="s">
        <v>166</v>
      </c>
      <c r="BS774" s="21" t="s">
        <v>166</v>
      </c>
      <c r="BT774" s="14" t="s">
        <v>166</v>
      </c>
      <c r="BU774" s="14" t="s">
        <v>166</v>
      </c>
      <c r="BV774" s="14" t="s">
        <v>14816</v>
      </c>
      <c r="BW774" s="14" t="s">
        <v>166</v>
      </c>
      <c r="BX774" s="14" t="s">
        <v>166</v>
      </c>
      <c r="BY774" s="14" t="s">
        <v>166</v>
      </c>
      <c r="BZ774" s="14" t="s">
        <v>166</v>
      </c>
      <c r="CA774" s="14" t="s">
        <v>166</v>
      </c>
      <c r="CB774" s="14" t="s">
        <v>166</v>
      </c>
      <c r="CC774" s="14" t="s">
        <v>166</v>
      </c>
      <c r="CD774" s="14" t="s">
        <v>166</v>
      </c>
      <c r="CE774" s="18" t="s">
        <v>166</v>
      </c>
      <c r="CF774" s="16" t="s">
        <v>166</v>
      </c>
      <c r="CG774" s="17" t="s">
        <v>166</v>
      </c>
      <c r="CH774" s="16" t="s">
        <v>166</v>
      </c>
      <c r="CI774" s="16" t="s">
        <v>166</v>
      </c>
      <c r="CJ774" s="16" t="s">
        <v>166</v>
      </c>
      <c r="CK774" s="16" t="s">
        <v>166</v>
      </c>
      <c r="CL774" s="16" t="s">
        <v>166</v>
      </c>
      <c r="CM774" s="20" t="s">
        <v>166</v>
      </c>
      <c r="CN774" s="16" t="s">
        <v>166</v>
      </c>
      <c r="CO774" s="16" t="s">
        <v>166</v>
      </c>
      <c r="CP774" s="16" t="s">
        <v>166</v>
      </c>
      <c r="CQ774" s="16" t="s">
        <v>166</v>
      </c>
      <c r="CR774" s="16" t="s">
        <v>166</v>
      </c>
      <c r="CS774" s="16" t="s">
        <v>166</v>
      </c>
      <c r="CT774" s="16" t="s">
        <v>166</v>
      </c>
      <c r="CU774" s="16" t="s">
        <v>166</v>
      </c>
      <c r="CV774" s="16" t="s">
        <v>166</v>
      </c>
      <c r="CW774" s="16" t="s">
        <v>166</v>
      </c>
      <c r="CX774" s="16" t="s">
        <v>166</v>
      </c>
      <c r="CY774" s="16" t="s">
        <v>166</v>
      </c>
      <c r="CZ774" s="16" t="s">
        <v>166</v>
      </c>
      <c r="DA774" s="16" t="s">
        <v>166</v>
      </c>
      <c r="DB774" s="16" t="s">
        <v>166</v>
      </c>
      <c r="DC774" s="16" t="s">
        <v>166</v>
      </c>
      <c r="DD774" s="16" t="s">
        <v>166</v>
      </c>
      <c r="DE774" s="17" t="s">
        <v>166</v>
      </c>
      <c r="DF774" s="22">
        <v>6</v>
      </c>
      <c r="DG774" s="14" t="s">
        <v>6991</v>
      </c>
      <c r="DH774" s="14" t="s">
        <v>193</v>
      </c>
      <c r="DI774" s="14" t="s">
        <v>194</v>
      </c>
      <c r="DJ774" s="14" t="s">
        <v>6992</v>
      </c>
      <c r="DK774" s="14" t="s">
        <v>1117</v>
      </c>
      <c r="DL774" s="21" t="s">
        <v>14817</v>
      </c>
      <c r="DM774" s="14" t="s">
        <v>198</v>
      </c>
      <c r="DN774" s="13" t="s">
        <v>14818</v>
      </c>
      <c r="DO774" s="20">
        <v>2021</v>
      </c>
      <c r="DP774" s="14" t="s">
        <v>166</v>
      </c>
      <c r="DQ774" s="14" t="s">
        <v>166</v>
      </c>
      <c r="DR774" s="18" t="s">
        <v>166</v>
      </c>
      <c r="DS774" s="16" t="s">
        <v>166</v>
      </c>
      <c r="DT774" s="19" t="s">
        <v>166</v>
      </c>
      <c r="DU774" s="14" t="s">
        <v>166</v>
      </c>
      <c r="DV774" s="18" t="s">
        <v>166</v>
      </c>
      <c r="DW774" s="18" t="s">
        <v>166</v>
      </c>
      <c r="DX774" s="16" t="s">
        <v>166</v>
      </c>
      <c r="DY774" s="16" t="s">
        <v>166</v>
      </c>
      <c r="DZ774" s="17" t="s">
        <v>166</v>
      </c>
      <c r="EA774" s="16" t="s">
        <v>166</v>
      </c>
      <c r="EB774" s="16" t="s">
        <v>166</v>
      </c>
      <c r="EC774" s="16" t="s">
        <v>166</v>
      </c>
      <c r="ED774" s="17" t="s">
        <v>166</v>
      </c>
      <c r="EE774" s="17" t="s">
        <v>166</v>
      </c>
      <c r="EF774" s="17" t="s">
        <v>166</v>
      </c>
      <c r="EG774" s="17" t="s">
        <v>166</v>
      </c>
      <c r="EH774" s="16" t="s">
        <v>166</v>
      </c>
      <c r="EI774" s="16" t="s">
        <v>166</v>
      </c>
      <c r="EJ774" s="16" t="s">
        <v>166</v>
      </c>
      <c r="EK774" s="16" t="s">
        <v>166</v>
      </c>
      <c r="EL774" s="16" t="s">
        <v>166</v>
      </c>
      <c r="EM774" s="16" t="s">
        <v>166</v>
      </c>
      <c r="EN774" s="16" t="s">
        <v>166</v>
      </c>
      <c r="EO774" s="16" t="s">
        <v>166</v>
      </c>
      <c r="EP774" s="16" t="s">
        <v>166</v>
      </c>
      <c r="EQ774" s="16" t="s">
        <v>166</v>
      </c>
      <c r="ER774" s="16" t="s">
        <v>166</v>
      </c>
      <c r="ES774" s="16" t="s">
        <v>166</v>
      </c>
      <c r="ET774" s="14" t="s">
        <v>166</v>
      </c>
      <c r="EU774" s="16" t="s">
        <v>166</v>
      </c>
      <c r="EV774" s="16" t="s">
        <v>166</v>
      </c>
      <c r="EW774" s="16" t="s">
        <v>166</v>
      </c>
      <c r="EX774" s="14" t="s">
        <v>190</v>
      </c>
      <c r="EY774" s="14" t="s">
        <v>166</v>
      </c>
      <c r="EZ774" s="16" t="s">
        <v>166</v>
      </c>
      <c r="FA774" s="15" t="s">
        <v>166</v>
      </c>
      <c r="FB774" s="15" t="s">
        <v>166</v>
      </c>
      <c r="FC774" s="15" t="s">
        <v>166</v>
      </c>
      <c r="FD774" s="15" t="s">
        <v>166</v>
      </c>
      <c r="FE774" s="15" t="s">
        <v>166</v>
      </c>
      <c r="FF774" s="15" t="s">
        <v>166</v>
      </c>
      <c r="FG774" s="14" t="s">
        <v>166</v>
      </c>
      <c r="FH774" s="3">
        <f>HYPERLINK("https://my.pitchbook.com?c=202480-39T","View Company Online")</f>
      </c>
    </row>
    <row r="775">
      <c r="A775" s="25" t="s">
        <v>14819</v>
      </c>
      <c r="B775" s="25" t="s">
        <v>14820</v>
      </c>
      <c r="C775" s="25" t="s">
        <v>14821</v>
      </c>
      <c r="D775" s="25" t="s">
        <v>166</v>
      </c>
      <c r="E775" s="34" t="s">
        <v>14822</v>
      </c>
      <c r="F775" s="32">
        <v>1</v>
      </c>
      <c r="G775" s="25" t="s">
        <v>3566</v>
      </c>
      <c r="H775" s="25" t="s">
        <v>166</v>
      </c>
      <c r="I775" s="25" t="s">
        <v>14823</v>
      </c>
      <c r="J775" s="25" t="s">
        <v>14824</v>
      </c>
      <c r="K775" s="25" t="s">
        <v>1455</v>
      </c>
      <c r="L775" s="25" t="s">
        <v>1456</v>
      </c>
      <c r="M775" s="25" t="s">
        <v>1457</v>
      </c>
      <c r="N775" s="25" t="s">
        <v>1841</v>
      </c>
      <c r="O775" s="25" t="s">
        <v>800</v>
      </c>
      <c r="P775" s="25" t="s">
        <v>14825</v>
      </c>
      <c r="Q775" s="25" t="s">
        <v>166</v>
      </c>
      <c r="R775" s="25" t="s">
        <v>177</v>
      </c>
      <c r="S775" s="25" t="s">
        <v>178</v>
      </c>
      <c r="T775" s="25" t="s">
        <v>179</v>
      </c>
      <c r="U775" s="25" t="s">
        <v>14826</v>
      </c>
      <c r="V775" s="25" t="s">
        <v>14827</v>
      </c>
      <c r="W775" s="32" t="s">
        <v>166</v>
      </c>
      <c r="X775" s="25" t="s">
        <v>166</v>
      </c>
      <c r="Y775" s="25" t="s">
        <v>14828</v>
      </c>
      <c r="Z775" s="25" t="s">
        <v>166</v>
      </c>
      <c r="AA775" s="25" t="s">
        <v>166</v>
      </c>
      <c r="AB775" s="25" t="s">
        <v>166</v>
      </c>
      <c r="AC775" s="25" t="s">
        <v>166</v>
      </c>
      <c r="AD775" s="25" t="s">
        <v>166</v>
      </c>
      <c r="AE775" s="25" t="s">
        <v>166</v>
      </c>
      <c r="AF775" s="25" t="s">
        <v>166</v>
      </c>
      <c r="AG775" s="25" t="s">
        <v>166</v>
      </c>
      <c r="AH775" s="32">
        <v>1</v>
      </c>
      <c r="AI775" s="4">
        <f>HYPERLINK("https://my.pitchbook.com/?d=166279-15T","166279-15T")</f>
      </c>
      <c r="AJ775" s="30" t="s">
        <v>166</v>
      </c>
      <c r="AK775" s="30">
        <v>44173</v>
      </c>
      <c r="AL775" s="29">
        <v>0.02</v>
      </c>
      <c r="AM775" s="25" t="s">
        <v>185</v>
      </c>
      <c r="AN775" s="29" t="s">
        <v>166</v>
      </c>
      <c r="AO775" s="29" t="s">
        <v>166</v>
      </c>
      <c r="AP775" s="25" t="s">
        <v>166</v>
      </c>
      <c r="AQ775" s="32" t="s">
        <v>166</v>
      </c>
      <c r="AR775" s="32" t="s">
        <v>166</v>
      </c>
      <c r="AS775" s="28" t="s">
        <v>166</v>
      </c>
      <c r="AT775" s="29">
        <v>0.02</v>
      </c>
      <c r="AU775" s="32" t="s">
        <v>186</v>
      </c>
      <c r="AV775" s="32" t="s">
        <v>166</v>
      </c>
      <c r="AW775" s="29" t="s">
        <v>166</v>
      </c>
      <c r="AX775" s="32" t="s">
        <v>746</v>
      </c>
      <c r="AY775" s="25" t="s">
        <v>217</v>
      </c>
      <c r="AZ775" s="25" t="s">
        <v>746</v>
      </c>
      <c r="BA775" s="25" t="s">
        <v>166</v>
      </c>
      <c r="BB775" s="32" t="s">
        <v>166</v>
      </c>
      <c r="BC775" s="25" t="s">
        <v>179</v>
      </c>
      <c r="BD775" s="25" t="s">
        <v>14829</v>
      </c>
      <c r="BE775" s="25" t="s">
        <v>189</v>
      </c>
      <c r="BF775" s="29">
        <v>0.02</v>
      </c>
      <c r="BG775" s="25" t="s">
        <v>190</v>
      </c>
      <c r="BH775" s="25" t="s">
        <v>166</v>
      </c>
      <c r="BI775" s="25" t="s">
        <v>166</v>
      </c>
      <c r="BJ775" s="29" t="s">
        <v>166</v>
      </c>
      <c r="BK775" s="29" t="s">
        <v>166</v>
      </c>
      <c r="BL775" s="25" t="s">
        <v>191</v>
      </c>
      <c r="BM775" s="25" t="s">
        <v>178</v>
      </c>
      <c r="BN775" s="25" t="s">
        <v>177</v>
      </c>
      <c r="BO775" s="33" t="s">
        <v>166</v>
      </c>
      <c r="BP775" s="25" t="s">
        <v>3565</v>
      </c>
      <c r="BQ775" s="32">
        <v>1</v>
      </c>
      <c r="BR775" s="25" t="s">
        <v>166</v>
      </c>
      <c r="BS775" s="32" t="s">
        <v>166</v>
      </c>
      <c r="BT775" s="25" t="s">
        <v>166</v>
      </c>
      <c r="BU775" s="25" t="s">
        <v>166</v>
      </c>
      <c r="BV775" s="25" t="s">
        <v>166</v>
      </c>
      <c r="BW775" s="25" t="s">
        <v>166</v>
      </c>
      <c r="BX775" s="25" t="s">
        <v>166</v>
      </c>
      <c r="BY775" s="25" t="s">
        <v>166</v>
      </c>
      <c r="BZ775" s="25" t="s">
        <v>166</v>
      </c>
      <c r="CA775" s="25" t="s">
        <v>166</v>
      </c>
      <c r="CB775" s="25" t="s">
        <v>166</v>
      </c>
      <c r="CC775" s="25" t="s">
        <v>166</v>
      </c>
      <c r="CD775" s="25" t="s">
        <v>166</v>
      </c>
      <c r="CE775" s="29" t="s">
        <v>166</v>
      </c>
      <c r="CF775" s="27" t="s">
        <v>166</v>
      </c>
      <c r="CG775" s="28" t="s">
        <v>166</v>
      </c>
      <c r="CH775" s="27" t="s">
        <v>166</v>
      </c>
      <c r="CI775" s="27" t="s">
        <v>166</v>
      </c>
      <c r="CJ775" s="27" t="s">
        <v>166</v>
      </c>
      <c r="CK775" s="27" t="s">
        <v>166</v>
      </c>
      <c r="CL775" s="27" t="s">
        <v>166</v>
      </c>
      <c r="CM775" s="31" t="s">
        <v>166</v>
      </c>
      <c r="CN775" s="27" t="s">
        <v>166</v>
      </c>
      <c r="CO775" s="27" t="s">
        <v>166</v>
      </c>
      <c r="CP775" s="27" t="s">
        <v>166</v>
      </c>
      <c r="CQ775" s="27" t="s">
        <v>166</v>
      </c>
      <c r="CR775" s="27" t="s">
        <v>166</v>
      </c>
      <c r="CS775" s="27" t="s">
        <v>166</v>
      </c>
      <c r="CT775" s="27" t="s">
        <v>166</v>
      </c>
      <c r="CU775" s="27" t="s">
        <v>166</v>
      </c>
      <c r="CV775" s="27" t="s">
        <v>166</v>
      </c>
      <c r="CW775" s="27" t="s">
        <v>166</v>
      </c>
      <c r="CX775" s="27" t="s">
        <v>166</v>
      </c>
      <c r="CY775" s="27" t="s">
        <v>166</v>
      </c>
      <c r="CZ775" s="27" t="s">
        <v>166</v>
      </c>
      <c r="DA775" s="27" t="s">
        <v>166</v>
      </c>
      <c r="DB775" s="27" t="s">
        <v>166</v>
      </c>
      <c r="DC775" s="27" t="s">
        <v>166</v>
      </c>
      <c r="DD775" s="27" t="s">
        <v>166</v>
      </c>
      <c r="DE775" s="28" t="s">
        <v>166</v>
      </c>
      <c r="DF775" s="33">
        <v>2</v>
      </c>
      <c r="DG775" s="25" t="s">
        <v>6825</v>
      </c>
      <c r="DH775" s="25" t="s">
        <v>193</v>
      </c>
      <c r="DI775" s="25" t="s">
        <v>194</v>
      </c>
      <c r="DJ775" s="25" t="s">
        <v>6826</v>
      </c>
      <c r="DK775" s="25" t="s">
        <v>1888</v>
      </c>
      <c r="DL775" s="32" t="s">
        <v>7421</v>
      </c>
      <c r="DM775" s="25" t="s">
        <v>198</v>
      </c>
      <c r="DN775" s="24" t="s">
        <v>14830</v>
      </c>
      <c r="DO775" s="31">
        <v>2018</v>
      </c>
      <c r="DP775" s="25" t="s">
        <v>166</v>
      </c>
      <c r="DQ775" s="25" t="s">
        <v>166</v>
      </c>
      <c r="DR775" s="29" t="s">
        <v>166</v>
      </c>
      <c r="DS775" s="27" t="s">
        <v>166</v>
      </c>
      <c r="DT775" s="30" t="s">
        <v>166</v>
      </c>
      <c r="DU775" s="25" t="s">
        <v>166</v>
      </c>
      <c r="DV775" s="29" t="s">
        <v>166</v>
      </c>
      <c r="DW775" s="29" t="s">
        <v>166</v>
      </c>
      <c r="DX775" s="27" t="s">
        <v>166</v>
      </c>
      <c r="DY775" s="27" t="s">
        <v>166</v>
      </c>
      <c r="DZ775" s="28" t="s">
        <v>166</v>
      </c>
      <c r="EA775" s="27" t="s">
        <v>166</v>
      </c>
      <c r="EB775" s="27" t="s">
        <v>166</v>
      </c>
      <c r="EC775" s="27" t="s">
        <v>166</v>
      </c>
      <c r="ED775" s="28" t="s">
        <v>166</v>
      </c>
      <c r="EE775" s="28" t="s">
        <v>166</v>
      </c>
      <c r="EF775" s="28" t="s">
        <v>166</v>
      </c>
      <c r="EG775" s="28" t="s">
        <v>166</v>
      </c>
      <c r="EH775" s="27" t="s">
        <v>166</v>
      </c>
      <c r="EI775" s="27" t="s">
        <v>166</v>
      </c>
      <c r="EJ775" s="27" t="s">
        <v>166</v>
      </c>
      <c r="EK775" s="27" t="s">
        <v>166</v>
      </c>
      <c r="EL775" s="27" t="s">
        <v>166</v>
      </c>
      <c r="EM775" s="27" t="s">
        <v>166</v>
      </c>
      <c r="EN775" s="27" t="s">
        <v>166</v>
      </c>
      <c r="EO775" s="27" t="s">
        <v>166</v>
      </c>
      <c r="EP775" s="27" t="s">
        <v>166</v>
      </c>
      <c r="EQ775" s="27" t="s">
        <v>166</v>
      </c>
      <c r="ER775" s="27" t="s">
        <v>166</v>
      </c>
      <c r="ES775" s="27" t="s">
        <v>166</v>
      </c>
      <c r="ET775" s="25" t="s">
        <v>166</v>
      </c>
      <c r="EU775" s="27" t="s">
        <v>166</v>
      </c>
      <c r="EV775" s="27" t="s">
        <v>166</v>
      </c>
      <c r="EW775" s="27" t="s">
        <v>166</v>
      </c>
      <c r="EX775" s="25" t="s">
        <v>190</v>
      </c>
      <c r="EY775" s="25" t="s">
        <v>166</v>
      </c>
      <c r="EZ775" s="27" t="s">
        <v>166</v>
      </c>
      <c r="FA775" s="26" t="s">
        <v>166</v>
      </c>
      <c r="FB775" s="26" t="s">
        <v>166</v>
      </c>
      <c r="FC775" s="26" t="s">
        <v>166</v>
      </c>
      <c r="FD775" s="26" t="s">
        <v>166</v>
      </c>
      <c r="FE775" s="26" t="s">
        <v>166</v>
      </c>
      <c r="FF775" s="26" t="s">
        <v>166</v>
      </c>
      <c r="FG775" s="25" t="s">
        <v>166</v>
      </c>
      <c r="FH775" s="4">
        <f>HYPERLINK("https://my.pitchbook.com?c=166279-15T","View Company Online")</f>
      </c>
    </row>
    <row r="776">
      <c r="A776" s="14" t="s">
        <v>14831</v>
      </c>
      <c r="B776" s="14" t="s">
        <v>14832</v>
      </c>
      <c r="C776" s="14" t="s">
        <v>14833</v>
      </c>
      <c r="D776" s="14" t="s">
        <v>166</v>
      </c>
      <c r="E776" s="23" t="s">
        <v>14834</v>
      </c>
      <c r="F776" s="21">
        <v>3</v>
      </c>
      <c r="G776" s="14" t="s">
        <v>14835</v>
      </c>
      <c r="H776" s="14" t="s">
        <v>166</v>
      </c>
      <c r="I776" s="14" t="s">
        <v>14836</v>
      </c>
      <c r="J776" s="14" t="s">
        <v>14837</v>
      </c>
      <c r="K776" s="14" t="s">
        <v>207</v>
      </c>
      <c r="L776" s="14" t="s">
        <v>208</v>
      </c>
      <c r="M776" s="14" t="s">
        <v>209</v>
      </c>
      <c r="N776" s="14" t="s">
        <v>5087</v>
      </c>
      <c r="O776" s="14" t="s">
        <v>4739</v>
      </c>
      <c r="P776" s="14" t="s">
        <v>14838</v>
      </c>
      <c r="Q776" s="14" t="s">
        <v>166</v>
      </c>
      <c r="R776" s="14" t="s">
        <v>177</v>
      </c>
      <c r="S776" s="14" t="s">
        <v>178</v>
      </c>
      <c r="T776" s="14" t="s">
        <v>179</v>
      </c>
      <c r="U776" s="14" t="s">
        <v>14839</v>
      </c>
      <c r="V776" s="14" t="s">
        <v>14840</v>
      </c>
      <c r="W776" s="21" t="s">
        <v>14841</v>
      </c>
      <c r="X776" s="14" t="s">
        <v>14842</v>
      </c>
      <c r="Y776" s="14" t="s">
        <v>14843</v>
      </c>
      <c r="Z776" s="14" t="s">
        <v>14844</v>
      </c>
      <c r="AA776" s="14" t="s">
        <v>242</v>
      </c>
      <c r="AB776" s="14" t="s">
        <v>243</v>
      </c>
      <c r="AC776" s="14" t="s">
        <v>244</v>
      </c>
      <c r="AD776" s="14" t="s">
        <v>243</v>
      </c>
      <c r="AE776" s="14" t="s">
        <v>243</v>
      </c>
      <c r="AF776" s="14" t="s">
        <v>166</v>
      </c>
      <c r="AG776" s="14" t="s">
        <v>246</v>
      </c>
      <c r="AH776" s="21">
        <v>1</v>
      </c>
      <c r="AI776" s="3">
        <f>HYPERLINK("https://my.pitchbook.com/?d=166036-96T","166036-96T")</f>
      </c>
      <c r="AJ776" s="19">
        <v>44211</v>
      </c>
      <c r="AK776" s="19">
        <v>44228</v>
      </c>
      <c r="AL776" s="18">
        <v>6.84</v>
      </c>
      <c r="AM776" s="14" t="s">
        <v>185</v>
      </c>
      <c r="AN776" s="18">
        <v>9</v>
      </c>
      <c r="AO776" s="18">
        <v>15.84</v>
      </c>
      <c r="AP776" s="14" t="s">
        <v>185</v>
      </c>
      <c r="AQ776" s="21" t="s">
        <v>166</v>
      </c>
      <c r="AR776" s="21" t="s">
        <v>166</v>
      </c>
      <c r="AS776" s="17">
        <v>43.19</v>
      </c>
      <c r="AT776" s="18">
        <v>6.84</v>
      </c>
      <c r="AU776" s="21" t="s">
        <v>186</v>
      </c>
      <c r="AV776" s="21" t="s">
        <v>166</v>
      </c>
      <c r="AW776" s="18">
        <v>0.82</v>
      </c>
      <c r="AX776" s="21" t="s">
        <v>166</v>
      </c>
      <c r="AY776" s="14" t="s">
        <v>217</v>
      </c>
      <c r="AZ776" s="14" t="s">
        <v>217</v>
      </c>
      <c r="BA776" s="14" t="s">
        <v>166</v>
      </c>
      <c r="BB776" s="21" t="s">
        <v>166</v>
      </c>
      <c r="BC776" s="14" t="s">
        <v>179</v>
      </c>
      <c r="BD776" s="14" t="s">
        <v>14845</v>
      </c>
      <c r="BE776" s="14" t="s">
        <v>189</v>
      </c>
      <c r="BF776" s="18">
        <v>6.84</v>
      </c>
      <c r="BG776" s="14" t="s">
        <v>190</v>
      </c>
      <c r="BH776" s="14" t="s">
        <v>166</v>
      </c>
      <c r="BI776" s="14" t="s">
        <v>166</v>
      </c>
      <c r="BJ776" s="18" t="s">
        <v>166</v>
      </c>
      <c r="BK776" s="18" t="s">
        <v>166</v>
      </c>
      <c r="BL776" s="14" t="s">
        <v>191</v>
      </c>
      <c r="BM776" s="14" t="s">
        <v>178</v>
      </c>
      <c r="BN776" s="14" t="s">
        <v>177</v>
      </c>
      <c r="BO776" s="22" t="s">
        <v>166</v>
      </c>
      <c r="BP776" s="14" t="s">
        <v>14834</v>
      </c>
      <c r="BQ776" s="21">
        <v>3</v>
      </c>
      <c r="BR776" s="14" t="s">
        <v>166</v>
      </c>
      <c r="BS776" s="21" t="s">
        <v>166</v>
      </c>
      <c r="BT776" s="14" t="s">
        <v>14846</v>
      </c>
      <c r="BU776" s="14" t="s">
        <v>166</v>
      </c>
      <c r="BV776" s="14" t="s">
        <v>14847</v>
      </c>
      <c r="BW776" s="14" t="s">
        <v>166</v>
      </c>
      <c r="BX776" s="14" t="s">
        <v>166</v>
      </c>
      <c r="BY776" s="14" t="s">
        <v>166</v>
      </c>
      <c r="BZ776" s="14" t="s">
        <v>14848</v>
      </c>
      <c r="CA776" s="14" t="s">
        <v>14848</v>
      </c>
      <c r="CB776" s="14" t="s">
        <v>166</v>
      </c>
      <c r="CC776" s="14" t="s">
        <v>166</v>
      </c>
      <c r="CD776" s="14" t="s">
        <v>166</v>
      </c>
      <c r="CE776" s="18" t="s">
        <v>166</v>
      </c>
      <c r="CF776" s="16" t="s">
        <v>166</v>
      </c>
      <c r="CG776" s="17" t="s">
        <v>166</v>
      </c>
      <c r="CH776" s="16" t="s">
        <v>166</v>
      </c>
      <c r="CI776" s="16" t="s">
        <v>166</v>
      </c>
      <c r="CJ776" s="16" t="s">
        <v>166</v>
      </c>
      <c r="CK776" s="16" t="s">
        <v>166</v>
      </c>
      <c r="CL776" s="16" t="s">
        <v>166</v>
      </c>
      <c r="CM776" s="20">
        <v>2020</v>
      </c>
      <c r="CN776" s="16" t="s">
        <v>166</v>
      </c>
      <c r="CO776" s="16" t="s">
        <v>166</v>
      </c>
      <c r="CP776" s="16" t="s">
        <v>166</v>
      </c>
      <c r="CQ776" s="16" t="s">
        <v>166</v>
      </c>
      <c r="CR776" s="16" t="s">
        <v>166</v>
      </c>
      <c r="CS776" s="16" t="s">
        <v>166</v>
      </c>
      <c r="CT776" s="16" t="s">
        <v>166</v>
      </c>
      <c r="CU776" s="16" t="s">
        <v>166</v>
      </c>
      <c r="CV776" s="16" t="s">
        <v>166</v>
      </c>
      <c r="CW776" s="16" t="s">
        <v>166</v>
      </c>
      <c r="CX776" s="16" t="s">
        <v>166</v>
      </c>
      <c r="CY776" s="16" t="s">
        <v>166</v>
      </c>
      <c r="CZ776" s="16" t="s">
        <v>166</v>
      </c>
      <c r="DA776" s="16" t="s">
        <v>166</v>
      </c>
      <c r="DB776" s="16" t="s">
        <v>166</v>
      </c>
      <c r="DC776" s="16" t="s">
        <v>166</v>
      </c>
      <c r="DD776" s="16" t="s">
        <v>166</v>
      </c>
      <c r="DE776" s="17" t="s">
        <v>166</v>
      </c>
      <c r="DF776" s="22">
        <v>25</v>
      </c>
      <c r="DG776" s="14" t="s">
        <v>309</v>
      </c>
      <c r="DH776" s="14" t="s">
        <v>193</v>
      </c>
      <c r="DI776" s="14" t="s">
        <v>194</v>
      </c>
      <c r="DJ776" s="14" t="s">
        <v>310</v>
      </c>
      <c r="DK776" s="14" t="s">
        <v>310</v>
      </c>
      <c r="DL776" s="21" t="s">
        <v>2036</v>
      </c>
      <c r="DM776" s="14" t="s">
        <v>198</v>
      </c>
      <c r="DN776" s="13" t="s">
        <v>14849</v>
      </c>
      <c r="DO776" s="20">
        <v>2015</v>
      </c>
      <c r="DP776" s="14" t="s">
        <v>166</v>
      </c>
      <c r="DQ776" s="14" t="s">
        <v>166</v>
      </c>
      <c r="DR776" s="18" t="s">
        <v>166</v>
      </c>
      <c r="DS776" s="16" t="s">
        <v>166</v>
      </c>
      <c r="DT776" s="19" t="s">
        <v>166</v>
      </c>
      <c r="DU776" s="14" t="s">
        <v>166</v>
      </c>
      <c r="DV776" s="18" t="s">
        <v>166</v>
      </c>
      <c r="DW776" s="18" t="s">
        <v>166</v>
      </c>
      <c r="DX776" s="16" t="s">
        <v>166</v>
      </c>
      <c r="DY776" s="16" t="s">
        <v>166</v>
      </c>
      <c r="DZ776" s="17" t="s">
        <v>166</v>
      </c>
      <c r="EA776" s="16" t="s">
        <v>166</v>
      </c>
      <c r="EB776" s="16" t="s">
        <v>166</v>
      </c>
      <c r="EC776" s="16" t="s">
        <v>166</v>
      </c>
      <c r="ED776" s="17" t="s">
        <v>166</v>
      </c>
      <c r="EE776" s="17" t="s">
        <v>166</v>
      </c>
      <c r="EF776" s="17" t="s">
        <v>166</v>
      </c>
      <c r="EG776" s="17" t="s">
        <v>166</v>
      </c>
      <c r="EH776" s="16" t="s">
        <v>166</v>
      </c>
      <c r="EI776" s="16" t="s">
        <v>166</v>
      </c>
      <c r="EJ776" s="16" t="s">
        <v>166</v>
      </c>
      <c r="EK776" s="16" t="s">
        <v>166</v>
      </c>
      <c r="EL776" s="16" t="s">
        <v>166</v>
      </c>
      <c r="EM776" s="16" t="s">
        <v>166</v>
      </c>
      <c r="EN776" s="16" t="s">
        <v>166</v>
      </c>
      <c r="EO776" s="16" t="s">
        <v>166</v>
      </c>
      <c r="EP776" s="16" t="s">
        <v>166</v>
      </c>
      <c r="EQ776" s="16" t="s">
        <v>166</v>
      </c>
      <c r="ER776" s="16" t="s">
        <v>166</v>
      </c>
      <c r="ES776" s="16" t="s">
        <v>166</v>
      </c>
      <c r="ET776" s="14" t="s">
        <v>166</v>
      </c>
      <c r="EU776" s="16" t="s">
        <v>166</v>
      </c>
      <c r="EV776" s="16" t="s">
        <v>166</v>
      </c>
      <c r="EW776" s="16" t="s">
        <v>166</v>
      </c>
      <c r="EX776" s="14" t="s">
        <v>190</v>
      </c>
      <c r="EY776" s="14" t="s">
        <v>166</v>
      </c>
      <c r="EZ776" s="16" t="s">
        <v>166</v>
      </c>
      <c r="FA776" s="15" t="s">
        <v>166</v>
      </c>
      <c r="FB776" s="15" t="s">
        <v>166</v>
      </c>
      <c r="FC776" s="15" t="s">
        <v>166</v>
      </c>
      <c r="FD776" s="15" t="s">
        <v>166</v>
      </c>
      <c r="FE776" s="15" t="s">
        <v>166</v>
      </c>
      <c r="FF776" s="15" t="s">
        <v>166</v>
      </c>
      <c r="FG776" s="14" t="s">
        <v>166</v>
      </c>
      <c r="FH776" s="3">
        <f>HYPERLINK("https://my.pitchbook.com?c=166036-96T","View Company Online")</f>
      </c>
    </row>
    <row r="777">
      <c r="A777" s="25" t="s">
        <v>14850</v>
      </c>
      <c r="B777" s="25" t="s">
        <v>14851</v>
      </c>
      <c r="C777" s="25" t="s">
        <v>14852</v>
      </c>
      <c r="D777" s="25" t="s">
        <v>166</v>
      </c>
      <c r="E777" s="34" t="s">
        <v>14853</v>
      </c>
      <c r="F777" s="32">
        <v>1</v>
      </c>
      <c r="G777" s="25" t="s">
        <v>14854</v>
      </c>
      <c r="H777" s="25" t="s">
        <v>166</v>
      </c>
      <c r="I777" s="25" t="s">
        <v>14855</v>
      </c>
      <c r="J777" s="25" t="s">
        <v>14856</v>
      </c>
      <c r="K777" s="25" t="s">
        <v>207</v>
      </c>
      <c r="L777" s="25" t="s">
        <v>208</v>
      </c>
      <c r="M777" s="25" t="s">
        <v>1181</v>
      </c>
      <c r="N777" s="25" t="s">
        <v>3205</v>
      </c>
      <c r="O777" s="25" t="s">
        <v>665</v>
      </c>
      <c r="P777" s="25" t="s">
        <v>14857</v>
      </c>
      <c r="Q777" s="25" t="s">
        <v>166</v>
      </c>
      <c r="R777" s="25" t="s">
        <v>177</v>
      </c>
      <c r="S777" s="25" t="s">
        <v>178</v>
      </c>
      <c r="T777" s="25" t="s">
        <v>179</v>
      </c>
      <c r="U777" s="25" t="s">
        <v>14858</v>
      </c>
      <c r="V777" s="25" t="s">
        <v>14859</v>
      </c>
      <c r="W777" s="32" t="s">
        <v>14860</v>
      </c>
      <c r="X777" s="25" t="s">
        <v>14861</v>
      </c>
      <c r="Y777" s="25" t="s">
        <v>14862</v>
      </c>
      <c r="Z777" s="25" t="s">
        <v>14863</v>
      </c>
      <c r="AA777" s="25" t="s">
        <v>166</v>
      </c>
      <c r="AB777" s="25" t="s">
        <v>166</v>
      </c>
      <c r="AC777" s="25" t="s">
        <v>166</v>
      </c>
      <c r="AD777" s="25" t="s">
        <v>166</v>
      </c>
      <c r="AE777" s="25" t="s">
        <v>166</v>
      </c>
      <c r="AF777" s="25" t="s">
        <v>166</v>
      </c>
      <c r="AG777" s="25" t="s">
        <v>166</v>
      </c>
      <c r="AH777" s="32">
        <v>3</v>
      </c>
      <c r="AI777" s="4">
        <f>HYPERLINK("https://my.pitchbook.com/?d=228056-77T","228056-77T")</f>
      </c>
      <c r="AJ777" s="30" t="s">
        <v>166</v>
      </c>
      <c r="AK777" s="30">
        <v>44308</v>
      </c>
      <c r="AL777" s="29">
        <v>0.25</v>
      </c>
      <c r="AM777" s="25" t="s">
        <v>185</v>
      </c>
      <c r="AN777" s="29" t="s">
        <v>166</v>
      </c>
      <c r="AO777" s="29">
        <v>3</v>
      </c>
      <c r="AP777" s="25" t="s">
        <v>185</v>
      </c>
      <c r="AQ777" s="32" t="s">
        <v>166</v>
      </c>
      <c r="AR777" s="32" t="s">
        <v>166</v>
      </c>
      <c r="AS777" s="28" t="s">
        <v>166</v>
      </c>
      <c r="AT777" s="29">
        <v>0.01</v>
      </c>
      <c r="AU777" s="32" t="s">
        <v>186</v>
      </c>
      <c r="AV777" s="32" t="s">
        <v>166</v>
      </c>
      <c r="AW777" s="29" t="s">
        <v>166</v>
      </c>
      <c r="AX777" s="32" t="s">
        <v>166</v>
      </c>
      <c r="AY777" s="25" t="s">
        <v>217</v>
      </c>
      <c r="AZ777" s="25" t="s">
        <v>217</v>
      </c>
      <c r="BA777" s="25" t="s">
        <v>166</v>
      </c>
      <c r="BB777" s="32" t="s">
        <v>166</v>
      </c>
      <c r="BC777" s="25" t="s">
        <v>179</v>
      </c>
      <c r="BD777" s="25" t="s">
        <v>14864</v>
      </c>
      <c r="BE777" s="25" t="s">
        <v>189</v>
      </c>
      <c r="BF777" s="29" t="s">
        <v>166</v>
      </c>
      <c r="BG777" s="25" t="s">
        <v>190</v>
      </c>
      <c r="BH777" s="25" t="s">
        <v>166</v>
      </c>
      <c r="BI777" s="25" t="s">
        <v>166</v>
      </c>
      <c r="BJ777" s="29" t="s">
        <v>166</v>
      </c>
      <c r="BK777" s="29" t="s">
        <v>166</v>
      </c>
      <c r="BL777" s="25" t="s">
        <v>191</v>
      </c>
      <c r="BM777" s="25" t="s">
        <v>358</v>
      </c>
      <c r="BN777" s="25" t="s">
        <v>177</v>
      </c>
      <c r="BO777" s="33" t="s">
        <v>166</v>
      </c>
      <c r="BP777" s="25" t="s">
        <v>14853</v>
      </c>
      <c r="BQ777" s="32">
        <v>1</v>
      </c>
      <c r="BR777" s="25" t="s">
        <v>166</v>
      </c>
      <c r="BS777" s="32" t="s">
        <v>166</v>
      </c>
      <c r="BT777" s="25" t="s">
        <v>166</v>
      </c>
      <c r="BU777" s="25" t="s">
        <v>166</v>
      </c>
      <c r="BV777" s="25" t="s">
        <v>166</v>
      </c>
      <c r="BW777" s="25" t="s">
        <v>166</v>
      </c>
      <c r="BX777" s="25" t="s">
        <v>166</v>
      </c>
      <c r="BY777" s="25" t="s">
        <v>166</v>
      </c>
      <c r="BZ777" s="25" t="s">
        <v>166</v>
      </c>
      <c r="CA777" s="25" t="s">
        <v>166</v>
      </c>
      <c r="CB777" s="25" t="s">
        <v>166</v>
      </c>
      <c r="CC777" s="25" t="s">
        <v>166</v>
      </c>
      <c r="CD777" s="25" t="s">
        <v>166</v>
      </c>
      <c r="CE777" s="29" t="s">
        <v>166</v>
      </c>
      <c r="CF777" s="27" t="s">
        <v>166</v>
      </c>
      <c r="CG777" s="28" t="s">
        <v>166</v>
      </c>
      <c r="CH777" s="27" t="s">
        <v>166</v>
      </c>
      <c r="CI777" s="27" t="s">
        <v>166</v>
      </c>
      <c r="CJ777" s="27" t="s">
        <v>166</v>
      </c>
      <c r="CK777" s="27" t="s">
        <v>166</v>
      </c>
      <c r="CL777" s="27" t="s">
        <v>166</v>
      </c>
      <c r="CM777" s="31" t="s">
        <v>166</v>
      </c>
      <c r="CN777" s="27" t="s">
        <v>166</v>
      </c>
      <c r="CO777" s="27" t="s">
        <v>166</v>
      </c>
      <c r="CP777" s="27" t="s">
        <v>166</v>
      </c>
      <c r="CQ777" s="27" t="s">
        <v>166</v>
      </c>
      <c r="CR777" s="27" t="s">
        <v>166</v>
      </c>
      <c r="CS777" s="27" t="s">
        <v>166</v>
      </c>
      <c r="CT777" s="27" t="s">
        <v>166</v>
      </c>
      <c r="CU777" s="27" t="s">
        <v>166</v>
      </c>
      <c r="CV777" s="27" t="s">
        <v>166</v>
      </c>
      <c r="CW777" s="27" t="s">
        <v>166</v>
      </c>
      <c r="CX777" s="27" t="s">
        <v>166</v>
      </c>
      <c r="CY777" s="27" t="s">
        <v>166</v>
      </c>
      <c r="CZ777" s="27" t="s">
        <v>166</v>
      </c>
      <c r="DA777" s="27" t="s">
        <v>166</v>
      </c>
      <c r="DB777" s="27" t="s">
        <v>166</v>
      </c>
      <c r="DC777" s="27" t="s">
        <v>166</v>
      </c>
      <c r="DD777" s="27" t="s">
        <v>166</v>
      </c>
      <c r="DE777" s="28" t="s">
        <v>166</v>
      </c>
      <c r="DF777" s="33">
        <v>10</v>
      </c>
      <c r="DG777" s="25" t="s">
        <v>654</v>
      </c>
      <c r="DH777" s="25" t="s">
        <v>193</v>
      </c>
      <c r="DI777" s="25" t="s">
        <v>194</v>
      </c>
      <c r="DJ777" s="25" t="s">
        <v>655</v>
      </c>
      <c r="DK777" s="25" t="s">
        <v>310</v>
      </c>
      <c r="DL777" s="32" t="s">
        <v>656</v>
      </c>
      <c r="DM777" s="25" t="s">
        <v>198</v>
      </c>
      <c r="DN777" s="24" t="s">
        <v>14865</v>
      </c>
      <c r="DO777" s="31">
        <v>2020</v>
      </c>
      <c r="DP777" s="25" t="s">
        <v>166</v>
      </c>
      <c r="DQ777" s="25" t="s">
        <v>166</v>
      </c>
      <c r="DR777" s="29" t="s">
        <v>166</v>
      </c>
      <c r="DS777" s="27" t="s">
        <v>166</v>
      </c>
      <c r="DT777" s="30" t="s">
        <v>166</v>
      </c>
      <c r="DU777" s="25" t="s">
        <v>166</v>
      </c>
      <c r="DV777" s="29" t="s">
        <v>166</v>
      </c>
      <c r="DW777" s="29" t="s">
        <v>166</v>
      </c>
      <c r="DX777" s="27" t="s">
        <v>166</v>
      </c>
      <c r="DY777" s="27" t="s">
        <v>166</v>
      </c>
      <c r="DZ777" s="28" t="s">
        <v>166</v>
      </c>
      <c r="EA777" s="27" t="s">
        <v>166</v>
      </c>
      <c r="EB777" s="27" t="s">
        <v>166</v>
      </c>
      <c r="EC777" s="27" t="s">
        <v>166</v>
      </c>
      <c r="ED777" s="28" t="s">
        <v>166</v>
      </c>
      <c r="EE777" s="28" t="s">
        <v>166</v>
      </c>
      <c r="EF777" s="28" t="s">
        <v>166</v>
      </c>
      <c r="EG777" s="28" t="s">
        <v>166</v>
      </c>
      <c r="EH777" s="27" t="s">
        <v>166</v>
      </c>
      <c r="EI777" s="27" t="s">
        <v>166</v>
      </c>
      <c r="EJ777" s="27" t="s">
        <v>166</v>
      </c>
      <c r="EK777" s="27" t="s">
        <v>166</v>
      </c>
      <c r="EL777" s="27" t="s">
        <v>166</v>
      </c>
      <c r="EM777" s="27" t="s">
        <v>166</v>
      </c>
      <c r="EN777" s="27" t="s">
        <v>166</v>
      </c>
      <c r="EO777" s="27" t="s">
        <v>166</v>
      </c>
      <c r="EP777" s="27" t="s">
        <v>166</v>
      </c>
      <c r="EQ777" s="27" t="s">
        <v>166</v>
      </c>
      <c r="ER777" s="27" t="s">
        <v>166</v>
      </c>
      <c r="ES777" s="27" t="s">
        <v>166</v>
      </c>
      <c r="ET777" s="25" t="s">
        <v>166</v>
      </c>
      <c r="EU777" s="27" t="s">
        <v>166</v>
      </c>
      <c r="EV777" s="27" t="s">
        <v>166</v>
      </c>
      <c r="EW777" s="27" t="s">
        <v>166</v>
      </c>
      <c r="EX777" s="25" t="s">
        <v>190</v>
      </c>
      <c r="EY777" s="25" t="s">
        <v>166</v>
      </c>
      <c r="EZ777" s="27" t="s">
        <v>166</v>
      </c>
      <c r="FA777" s="26">
        <v>2</v>
      </c>
      <c r="FB777" s="26">
        <v>2</v>
      </c>
      <c r="FC777" s="26" t="s">
        <v>166</v>
      </c>
      <c r="FD777" s="26">
        <v>2</v>
      </c>
      <c r="FE777" s="26" t="s">
        <v>166</v>
      </c>
      <c r="FF777" s="26" t="s">
        <v>166</v>
      </c>
      <c r="FG777" s="25" t="s">
        <v>14866</v>
      </c>
      <c r="FH777" s="4">
        <f>HYPERLINK("https://my.pitchbook.com?c=228056-77T","View Company Online")</f>
      </c>
    </row>
    <row r="778">
      <c r="A778" s="14" t="s">
        <v>14867</v>
      </c>
      <c r="B778" s="14" t="s">
        <v>14868</v>
      </c>
      <c r="C778" s="14" t="s">
        <v>14869</v>
      </c>
      <c r="D778" s="14" t="s">
        <v>166</v>
      </c>
      <c r="E778" s="23" t="s">
        <v>14870</v>
      </c>
      <c r="F778" s="21">
        <v>9</v>
      </c>
      <c r="G778" s="14" t="s">
        <v>14871</v>
      </c>
      <c r="H778" s="14" t="s">
        <v>166</v>
      </c>
      <c r="I778" s="14" t="s">
        <v>14872</v>
      </c>
      <c r="J778" s="14" t="s">
        <v>14873</v>
      </c>
      <c r="K778" s="14" t="s">
        <v>207</v>
      </c>
      <c r="L778" s="14" t="s">
        <v>208</v>
      </c>
      <c r="M778" s="14" t="s">
        <v>296</v>
      </c>
      <c r="N778" s="14" t="s">
        <v>1202</v>
      </c>
      <c r="O778" s="14" t="s">
        <v>1318</v>
      </c>
      <c r="P778" s="14" t="s">
        <v>14874</v>
      </c>
      <c r="Q778" s="14" t="s">
        <v>166</v>
      </c>
      <c r="R778" s="14" t="s">
        <v>177</v>
      </c>
      <c r="S778" s="14" t="s">
        <v>178</v>
      </c>
      <c r="T778" s="14" t="s">
        <v>179</v>
      </c>
      <c r="U778" s="14" t="s">
        <v>14875</v>
      </c>
      <c r="V778" s="14" t="s">
        <v>14876</v>
      </c>
      <c r="W778" s="21" t="s">
        <v>14877</v>
      </c>
      <c r="X778" s="14" t="s">
        <v>14878</v>
      </c>
      <c r="Y778" s="14" t="s">
        <v>14879</v>
      </c>
      <c r="Z778" s="14" t="s">
        <v>166</v>
      </c>
      <c r="AA778" s="14" t="s">
        <v>242</v>
      </c>
      <c r="AB778" s="14" t="s">
        <v>243</v>
      </c>
      <c r="AC778" s="14" t="s">
        <v>244</v>
      </c>
      <c r="AD778" s="14" t="s">
        <v>243</v>
      </c>
      <c r="AE778" s="14" t="s">
        <v>243</v>
      </c>
      <c r="AF778" s="14" t="s">
        <v>245</v>
      </c>
      <c r="AG778" s="14" t="s">
        <v>246</v>
      </c>
      <c r="AH778" s="21">
        <v>1</v>
      </c>
      <c r="AI778" s="3">
        <f>HYPERLINK("https://my.pitchbook.com/?d=192340-81T","192340-81T")</f>
      </c>
      <c r="AJ778" s="19">
        <v>44565</v>
      </c>
      <c r="AK778" s="19">
        <v>44565</v>
      </c>
      <c r="AL778" s="18">
        <v>6.2</v>
      </c>
      <c r="AM778" s="14" t="s">
        <v>185</v>
      </c>
      <c r="AN778" s="18">
        <v>13.8</v>
      </c>
      <c r="AO778" s="18">
        <v>20</v>
      </c>
      <c r="AP778" s="14" t="s">
        <v>185</v>
      </c>
      <c r="AQ778" s="21" t="s">
        <v>166</v>
      </c>
      <c r="AR778" s="21" t="s">
        <v>166</v>
      </c>
      <c r="AS778" s="17">
        <v>32.58</v>
      </c>
      <c r="AT778" s="18">
        <v>6.2</v>
      </c>
      <c r="AU778" s="21" t="s">
        <v>186</v>
      </c>
      <c r="AV778" s="21" t="s">
        <v>166</v>
      </c>
      <c r="AW778" s="18">
        <v>1.3</v>
      </c>
      <c r="AX778" s="21" t="s">
        <v>166</v>
      </c>
      <c r="AY778" s="14" t="s">
        <v>217</v>
      </c>
      <c r="AZ778" s="14" t="s">
        <v>217</v>
      </c>
      <c r="BA778" s="14" t="s">
        <v>166</v>
      </c>
      <c r="BB778" s="21" t="s">
        <v>166</v>
      </c>
      <c r="BC778" s="14" t="s">
        <v>179</v>
      </c>
      <c r="BD778" s="14" t="s">
        <v>14880</v>
      </c>
      <c r="BE778" s="14" t="s">
        <v>189</v>
      </c>
      <c r="BF778" s="18">
        <v>6.2</v>
      </c>
      <c r="BG778" s="14" t="s">
        <v>190</v>
      </c>
      <c r="BH778" s="14" t="s">
        <v>166</v>
      </c>
      <c r="BI778" s="14" t="s">
        <v>166</v>
      </c>
      <c r="BJ778" s="18" t="s">
        <v>166</v>
      </c>
      <c r="BK778" s="18" t="s">
        <v>166</v>
      </c>
      <c r="BL778" s="14" t="s">
        <v>191</v>
      </c>
      <c r="BM778" s="14" t="s">
        <v>178</v>
      </c>
      <c r="BN778" s="14" t="s">
        <v>177</v>
      </c>
      <c r="BO778" s="22" t="s">
        <v>166</v>
      </c>
      <c r="BP778" s="14" t="s">
        <v>14881</v>
      </c>
      <c r="BQ778" s="21">
        <v>9</v>
      </c>
      <c r="BR778" s="14" t="s">
        <v>166</v>
      </c>
      <c r="BS778" s="21" t="s">
        <v>166</v>
      </c>
      <c r="BT778" s="14" t="s">
        <v>14882</v>
      </c>
      <c r="BU778" s="14" t="s">
        <v>166</v>
      </c>
      <c r="BV778" s="14" t="s">
        <v>14883</v>
      </c>
      <c r="BW778" s="14" t="s">
        <v>166</v>
      </c>
      <c r="BX778" s="14" t="s">
        <v>166</v>
      </c>
      <c r="BY778" s="14" t="s">
        <v>166</v>
      </c>
      <c r="BZ778" s="14" t="s">
        <v>14884</v>
      </c>
      <c r="CA778" s="14" t="s">
        <v>872</v>
      </c>
      <c r="CB778" s="14" t="s">
        <v>166</v>
      </c>
      <c r="CC778" s="14" t="s">
        <v>14885</v>
      </c>
      <c r="CD778" s="14" t="s">
        <v>166</v>
      </c>
      <c r="CE778" s="18" t="s">
        <v>166</v>
      </c>
      <c r="CF778" s="16" t="s">
        <v>166</v>
      </c>
      <c r="CG778" s="17" t="s">
        <v>166</v>
      </c>
      <c r="CH778" s="16" t="s">
        <v>166</v>
      </c>
      <c r="CI778" s="16" t="s">
        <v>166</v>
      </c>
      <c r="CJ778" s="16" t="s">
        <v>166</v>
      </c>
      <c r="CK778" s="16" t="s">
        <v>166</v>
      </c>
      <c r="CL778" s="16" t="s">
        <v>166</v>
      </c>
      <c r="CM778" s="20" t="s">
        <v>166</v>
      </c>
      <c r="CN778" s="16" t="s">
        <v>166</v>
      </c>
      <c r="CO778" s="16" t="s">
        <v>166</v>
      </c>
      <c r="CP778" s="16" t="s">
        <v>166</v>
      </c>
      <c r="CQ778" s="16" t="s">
        <v>166</v>
      </c>
      <c r="CR778" s="16" t="s">
        <v>166</v>
      </c>
      <c r="CS778" s="16" t="s">
        <v>166</v>
      </c>
      <c r="CT778" s="16" t="s">
        <v>166</v>
      </c>
      <c r="CU778" s="16" t="s">
        <v>166</v>
      </c>
      <c r="CV778" s="16" t="s">
        <v>166</v>
      </c>
      <c r="CW778" s="16" t="s">
        <v>166</v>
      </c>
      <c r="CX778" s="16" t="s">
        <v>166</v>
      </c>
      <c r="CY778" s="16" t="s">
        <v>166</v>
      </c>
      <c r="CZ778" s="16" t="s">
        <v>166</v>
      </c>
      <c r="DA778" s="16" t="s">
        <v>166</v>
      </c>
      <c r="DB778" s="16" t="s">
        <v>166</v>
      </c>
      <c r="DC778" s="16" t="s">
        <v>166</v>
      </c>
      <c r="DD778" s="16" t="s">
        <v>166</v>
      </c>
      <c r="DE778" s="17" t="s">
        <v>166</v>
      </c>
      <c r="DF778" s="22">
        <v>8</v>
      </c>
      <c r="DG778" s="14" t="s">
        <v>309</v>
      </c>
      <c r="DH778" s="14" t="s">
        <v>193</v>
      </c>
      <c r="DI778" s="14" t="s">
        <v>194</v>
      </c>
      <c r="DJ778" s="14" t="s">
        <v>310</v>
      </c>
      <c r="DK778" s="14" t="s">
        <v>310</v>
      </c>
      <c r="DL778" s="21" t="s">
        <v>14886</v>
      </c>
      <c r="DM778" s="14" t="s">
        <v>198</v>
      </c>
      <c r="DN778" s="13" t="s">
        <v>14887</v>
      </c>
      <c r="DO778" s="20">
        <v>2021</v>
      </c>
      <c r="DP778" s="14" t="s">
        <v>166</v>
      </c>
      <c r="DQ778" s="14" t="s">
        <v>166</v>
      </c>
      <c r="DR778" s="18" t="s">
        <v>166</v>
      </c>
      <c r="DS778" s="16" t="s">
        <v>166</v>
      </c>
      <c r="DT778" s="19" t="s">
        <v>166</v>
      </c>
      <c r="DU778" s="14" t="s">
        <v>166</v>
      </c>
      <c r="DV778" s="18" t="s">
        <v>166</v>
      </c>
      <c r="DW778" s="18" t="s">
        <v>166</v>
      </c>
      <c r="DX778" s="16" t="s">
        <v>166</v>
      </c>
      <c r="DY778" s="16" t="s">
        <v>166</v>
      </c>
      <c r="DZ778" s="17" t="s">
        <v>166</v>
      </c>
      <c r="EA778" s="16" t="s">
        <v>166</v>
      </c>
      <c r="EB778" s="16" t="s">
        <v>166</v>
      </c>
      <c r="EC778" s="16" t="s">
        <v>166</v>
      </c>
      <c r="ED778" s="17" t="s">
        <v>166</v>
      </c>
      <c r="EE778" s="17" t="s">
        <v>166</v>
      </c>
      <c r="EF778" s="17" t="s">
        <v>166</v>
      </c>
      <c r="EG778" s="17" t="s">
        <v>166</v>
      </c>
      <c r="EH778" s="16" t="s">
        <v>166</v>
      </c>
      <c r="EI778" s="16" t="s">
        <v>166</v>
      </c>
      <c r="EJ778" s="16" t="s">
        <v>166</v>
      </c>
      <c r="EK778" s="16" t="s">
        <v>166</v>
      </c>
      <c r="EL778" s="16" t="s">
        <v>166</v>
      </c>
      <c r="EM778" s="16" t="s">
        <v>166</v>
      </c>
      <c r="EN778" s="16" t="s">
        <v>166</v>
      </c>
      <c r="EO778" s="16" t="s">
        <v>166</v>
      </c>
      <c r="EP778" s="16" t="s">
        <v>166</v>
      </c>
      <c r="EQ778" s="16" t="s">
        <v>166</v>
      </c>
      <c r="ER778" s="16" t="s">
        <v>166</v>
      </c>
      <c r="ES778" s="16" t="s">
        <v>166</v>
      </c>
      <c r="ET778" s="14" t="s">
        <v>166</v>
      </c>
      <c r="EU778" s="16" t="s">
        <v>166</v>
      </c>
      <c r="EV778" s="16" t="s">
        <v>166</v>
      </c>
      <c r="EW778" s="16" t="s">
        <v>166</v>
      </c>
      <c r="EX778" s="14" t="s">
        <v>190</v>
      </c>
      <c r="EY778" s="14" t="s">
        <v>166</v>
      </c>
      <c r="EZ778" s="16" t="s">
        <v>166</v>
      </c>
      <c r="FA778" s="15">
        <v>1</v>
      </c>
      <c r="FB778" s="15">
        <v>1</v>
      </c>
      <c r="FC778" s="15" t="s">
        <v>166</v>
      </c>
      <c r="FD778" s="15">
        <v>1</v>
      </c>
      <c r="FE778" s="15" t="s">
        <v>166</v>
      </c>
      <c r="FF778" s="15" t="s">
        <v>166</v>
      </c>
      <c r="FG778" s="14" t="s">
        <v>457</v>
      </c>
      <c r="FH778" s="3">
        <f>HYPERLINK("https://my.pitchbook.com?c=192340-81T","View Company Online")</f>
      </c>
    </row>
    <row r="779">
      <c r="A779" s="25" t="s">
        <v>14888</v>
      </c>
      <c r="B779" s="25" t="s">
        <v>14889</v>
      </c>
      <c r="C779" s="25" t="s">
        <v>14890</v>
      </c>
      <c r="D779" s="25" t="s">
        <v>166</v>
      </c>
      <c r="E779" s="34" t="s">
        <v>14891</v>
      </c>
      <c r="F779" s="32">
        <v>12</v>
      </c>
      <c r="G779" s="25" t="s">
        <v>14892</v>
      </c>
      <c r="H779" s="25" t="s">
        <v>166</v>
      </c>
      <c r="I779" s="25" t="s">
        <v>14893</v>
      </c>
      <c r="J779" s="25" t="s">
        <v>14894</v>
      </c>
      <c r="K779" s="25" t="s">
        <v>171</v>
      </c>
      <c r="L779" s="25" t="s">
        <v>172</v>
      </c>
      <c r="M779" s="25" t="s">
        <v>173</v>
      </c>
      <c r="N779" s="25" t="s">
        <v>2890</v>
      </c>
      <c r="O779" s="25" t="s">
        <v>166</v>
      </c>
      <c r="P779" s="25" t="s">
        <v>14895</v>
      </c>
      <c r="Q779" s="25" t="s">
        <v>166</v>
      </c>
      <c r="R779" s="25" t="s">
        <v>177</v>
      </c>
      <c r="S779" s="25" t="s">
        <v>178</v>
      </c>
      <c r="T779" s="25" t="s">
        <v>179</v>
      </c>
      <c r="U779" s="25" t="s">
        <v>14896</v>
      </c>
      <c r="V779" s="25" t="s">
        <v>14897</v>
      </c>
      <c r="W779" s="32" t="s">
        <v>166</v>
      </c>
      <c r="X779" s="25" t="s">
        <v>14898</v>
      </c>
      <c r="Y779" s="25" t="s">
        <v>14899</v>
      </c>
      <c r="Z779" s="25" t="s">
        <v>166</v>
      </c>
      <c r="AA779" s="25" t="s">
        <v>166</v>
      </c>
      <c r="AB779" s="25" t="s">
        <v>166</v>
      </c>
      <c r="AC779" s="25" t="s">
        <v>166</v>
      </c>
      <c r="AD779" s="25" t="s">
        <v>166</v>
      </c>
      <c r="AE779" s="25" t="s">
        <v>166</v>
      </c>
      <c r="AF779" s="25" t="s">
        <v>166</v>
      </c>
      <c r="AG779" s="25" t="s">
        <v>166</v>
      </c>
      <c r="AH779" s="32">
        <v>2</v>
      </c>
      <c r="AI779" s="4">
        <f>HYPERLINK("https://my.pitchbook.com/?d=206371-18T","206371-18T")</f>
      </c>
      <c r="AJ779" s="30">
        <v>44682</v>
      </c>
      <c r="AK779" s="30">
        <v>44896</v>
      </c>
      <c r="AL779" s="29">
        <v>5.2</v>
      </c>
      <c r="AM779" s="25" t="s">
        <v>185</v>
      </c>
      <c r="AN779" s="29" t="s">
        <v>166</v>
      </c>
      <c r="AO779" s="29" t="s">
        <v>166</v>
      </c>
      <c r="AP779" s="25" t="s">
        <v>166</v>
      </c>
      <c r="AQ779" s="32" t="s">
        <v>166</v>
      </c>
      <c r="AR779" s="32" t="s">
        <v>166</v>
      </c>
      <c r="AS779" s="28" t="s">
        <v>166</v>
      </c>
      <c r="AT779" s="29">
        <v>5.7</v>
      </c>
      <c r="AU779" s="32" t="s">
        <v>186</v>
      </c>
      <c r="AV779" s="32" t="s">
        <v>166</v>
      </c>
      <c r="AW779" s="29" t="s">
        <v>166</v>
      </c>
      <c r="AX779" s="32" t="s">
        <v>166</v>
      </c>
      <c r="AY779" s="25" t="s">
        <v>217</v>
      </c>
      <c r="AZ779" s="25" t="s">
        <v>217</v>
      </c>
      <c r="BA779" s="25" t="s">
        <v>166</v>
      </c>
      <c r="BB779" s="32" t="s">
        <v>166</v>
      </c>
      <c r="BC779" s="25" t="s">
        <v>179</v>
      </c>
      <c r="BD779" s="25" t="s">
        <v>14900</v>
      </c>
      <c r="BE779" s="25" t="s">
        <v>189</v>
      </c>
      <c r="BF779" s="29">
        <v>5.2</v>
      </c>
      <c r="BG779" s="25" t="s">
        <v>190</v>
      </c>
      <c r="BH779" s="25" t="s">
        <v>166</v>
      </c>
      <c r="BI779" s="25" t="s">
        <v>166</v>
      </c>
      <c r="BJ779" s="29" t="s">
        <v>166</v>
      </c>
      <c r="BK779" s="29" t="s">
        <v>166</v>
      </c>
      <c r="BL779" s="25" t="s">
        <v>191</v>
      </c>
      <c r="BM779" s="25" t="s">
        <v>178</v>
      </c>
      <c r="BN779" s="25" t="s">
        <v>177</v>
      </c>
      <c r="BO779" s="33" t="s">
        <v>166</v>
      </c>
      <c r="BP779" s="25" t="s">
        <v>14901</v>
      </c>
      <c r="BQ779" s="32">
        <v>11</v>
      </c>
      <c r="BR779" s="25" t="s">
        <v>914</v>
      </c>
      <c r="BS779" s="32">
        <v>1</v>
      </c>
      <c r="BT779" s="25" t="s">
        <v>166</v>
      </c>
      <c r="BU779" s="25" t="s">
        <v>166</v>
      </c>
      <c r="BV779" s="25" t="s">
        <v>14902</v>
      </c>
      <c r="BW779" s="25" t="s">
        <v>166</v>
      </c>
      <c r="BX779" s="25" t="s">
        <v>166</v>
      </c>
      <c r="BY779" s="25" t="s">
        <v>166</v>
      </c>
      <c r="BZ779" s="25" t="s">
        <v>14903</v>
      </c>
      <c r="CA779" s="25" t="s">
        <v>166</v>
      </c>
      <c r="CB779" s="25" t="s">
        <v>166</v>
      </c>
      <c r="CC779" s="25" t="s">
        <v>14903</v>
      </c>
      <c r="CD779" s="25" t="s">
        <v>166</v>
      </c>
      <c r="CE779" s="29" t="s">
        <v>166</v>
      </c>
      <c r="CF779" s="27" t="s">
        <v>166</v>
      </c>
      <c r="CG779" s="28" t="s">
        <v>166</v>
      </c>
      <c r="CH779" s="27" t="s">
        <v>166</v>
      </c>
      <c r="CI779" s="27" t="s">
        <v>166</v>
      </c>
      <c r="CJ779" s="27" t="s">
        <v>166</v>
      </c>
      <c r="CK779" s="27" t="s">
        <v>166</v>
      </c>
      <c r="CL779" s="27" t="s">
        <v>166</v>
      </c>
      <c r="CM779" s="31" t="s">
        <v>166</v>
      </c>
      <c r="CN779" s="27" t="s">
        <v>166</v>
      </c>
      <c r="CO779" s="27" t="s">
        <v>166</v>
      </c>
      <c r="CP779" s="27" t="s">
        <v>166</v>
      </c>
      <c r="CQ779" s="27" t="s">
        <v>166</v>
      </c>
      <c r="CR779" s="27" t="s">
        <v>166</v>
      </c>
      <c r="CS779" s="27" t="s">
        <v>166</v>
      </c>
      <c r="CT779" s="27" t="s">
        <v>166</v>
      </c>
      <c r="CU779" s="27" t="s">
        <v>166</v>
      </c>
      <c r="CV779" s="27" t="s">
        <v>166</v>
      </c>
      <c r="CW779" s="27" t="s">
        <v>166</v>
      </c>
      <c r="CX779" s="27" t="s">
        <v>166</v>
      </c>
      <c r="CY779" s="27" t="s">
        <v>166</v>
      </c>
      <c r="CZ779" s="27" t="s">
        <v>166</v>
      </c>
      <c r="DA779" s="27" t="s">
        <v>166</v>
      </c>
      <c r="DB779" s="27" t="s">
        <v>166</v>
      </c>
      <c r="DC779" s="27" t="s">
        <v>166</v>
      </c>
      <c r="DD779" s="27" t="s">
        <v>166</v>
      </c>
      <c r="DE779" s="28" t="s">
        <v>166</v>
      </c>
      <c r="DF779" s="33">
        <v>4</v>
      </c>
      <c r="DG779" s="25" t="s">
        <v>673</v>
      </c>
      <c r="DH779" s="25" t="s">
        <v>193</v>
      </c>
      <c r="DI779" s="25" t="s">
        <v>194</v>
      </c>
      <c r="DJ779" s="25" t="s">
        <v>674</v>
      </c>
      <c r="DK779" s="25" t="s">
        <v>257</v>
      </c>
      <c r="DL779" s="32" t="s">
        <v>1491</v>
      </c>
      <c r="DM779" s="25" t="s">
        <v>198</v>
      </c>
      <c r="DN779" s="24" t="s">
        <v>14904</v>
      </c>
      <c r="DO779" s="31">
        <v>2021</v>
      </c>
      <c r="DP779" s="25" t="s">
        <v>166</v>
      </c>
      <c r="DQ779" s="25" t="s">
        <v>166</v>
      </c>
      <c r="DR779" s="29" t="s">
        <v>166</v>
      </c>
      <c r="DS779" s="27" t="s">
        <v>166</v>
      </c>
      <c r="DT779" s="30" t="s">
        <v>166</v>
      </c>
      <c r="DU779" s="25" t="s">
        <v>166</v>
      </c>
      <c r="DV779" s="29" t="s">
        <v>166</v>
      </c>
      <c r="DW779" s="29" t="s">
        <v>166</v>
      </c>
      <c r="DX779" s="27" t="s">
        <v>166</v>
      </c>
      <c r="DY779" s="27" t="s">
        <v>166</v>
      </c>
      <c r="DZ779" s="28" t="s">
        <v>166</v>
      </c>
      <c r="EA779" s="27" t="s">
        <v>166</v>
      </c>
      <c r="EB779" s="27" t="s">
        <v>166</v>
      </c>
      <c r="EC779" s="27" t="s">
        <v>166</v>
      </c>
      <c r="ED779" s="28" t="s">
        <v>166</v>
      </c>
      <c r="EE779" s="28" t="s">
        <v>166</v>
      </c>
      <c r="EF779" s="28" t="s">
        <v>166</v>
      </c>
      <c r="EG779" s="28" t="s">
        <v>166</v>
      </c>
      <c r="EH779" s="27" t="s">
        <v>166</v>
      </c>
      <c r="EI779" s="27" t="s">
        <v>166</v>
      </c>
      <c r="EJ779" s="27" t="s">
        <v>166</v>
      </c>
      <c r="EK779" s="27" t="s">
        <v>166</v>
      </c>
      <c r="EL779" s="27" t="s">
        <v>166</v>
      </c>
      <c r="EM779" s="27" t="s">
        <v>166</v>
      </c>
      <c r="EN779" s="27" t="s">
        <v>166</v>
      </c>
      <c r="EO779" s="27" t="s">
        <v>166</v>
      </c>
      <c r="EP779" s="27" t="s">
        <v>166</v>
      </c>
      <c r="EQ779" s="27" t="s">
        <v>166</v>
      </c>
      <c r="ER779" s="27" t="s">
        <v>166</v>
      </c>
      <c r="ES779" s="27" t="s">
        <v>166</v>
      </c>
      <c r="ET779" s="25" t="s">
        <v>166</v>
      </c>
      <c r="EU779" s="27" t="s">
        <v>166</v>
      </c>
      <c r="EV779" s="27" t="s">
        <v>166</v>
      </c>
      <c r="EW779" s="27" t="s">
        <v>166</v>
      </c>
      <c r="EX779" s="25" t="s">
        <v>190</v>
      </c>
      <c r="EY779" s="25" t="s">
        <v>166</v>
      </c>
      <c r="EZ779" s="27" t="s">
        <v>166</v>
      </c>
      <c r="FA779" s="26" t="s">
        <v>166</v>
      </c>
      <c r="FB779" s="26" t="s">
        <v>166</v>
      </c>
      <c r="FC779" s="26" t="s">
        <v>166</v>
      </c>
      <c r="FD779" s="26" t="s">
        <v>166</v>
      </c>
      <c r="FE779" s="26" t="s">
        <v>166</v>
      </c>
      <c r="FF779" s="26" t="s">
        <v>166</v>
      </c>
      <c r="FG779" s="25" t="s">
        <v>166</v>
      </c>
      <c r="FH779" s="4">
        <f>HYPERLINK("https://my.pitchbook.com?c=206371-18T","View Company Online")</f>
      </c>
    </row>
    <row r="780">
      <c r="A780" s="14" t="s">
        <v>14905</v>
      </c>
      <c r="B780" s="14" t="s">
        <v>14906</v>
      </c>
      <c r="C780" s="14" t="s">
        <v>14907</v>
      </c>
      <c r="D780" s="14" t="s">
        <v>166</v>
      </c>
      <c r="E780" s="23" t="s">
        <v>14908</v>
      </c>
      <c r="F780" s="21">
        <v>9</v>
      </c>
      <c r="G780" s="14" t="s">
        <v>14909</v>
      </c>
      <c r="H780" s="14" t="s">
        <v>166</v>
      </c>
      <c r="I780" s="14" t="s">
        <v>14910</v>
      </c>
      <c r="J780" s="14" t="s">
        <v>14911</v>
      </c>
      <c r="K780" s="14" t="s">
        <v>321</v>
      </c>
      <c r="L780" s="14" t="s">
        <v>322</v>
      </c>
      <c r="M780" s="14" t="s">
        <v>322</v>
      </c>
      <c r="N780" s="14" t="s">
        <v>14912</v>
      </c>
      <c r="O780" s="14" t="s">
        <v>1318</v>
      </c>
      <c r="P780" s="14" t="s">
        <v>14913</v>
      </c>
      <c r="Q780" s="14" t="s">
        <v>166</v>
      </c>
      <c r="R780" s="14" t="s">
        <v>177</v>
      </c>
      <c r="S780" s="14" t="s">
        <v>178</v>
      </c>
      <c r="T780" s="14" t="s">
        <v>179</v>
      </c>
      <c r="U780" s="14" t="s">
        <v>14914</v>
      </c>
      <c r="V780" s="14" t="s">
        <v>14915</v>
      </c>
      <c r="W780" s="21" t="s">
        <v>166</v>
      </c>
      <c r="X780" s="14" t="s">
        <v>14916</v>
      </c>
      <c r="Y780" s="14" t="s">
        <v>14917</v>
      </c>
      <c r="Z780" s="14" t="s">
        <v>166</v>
      </c>
      <c r="AA780" s="14" t="s">
        <v>166</v>
      </c>
      <c r="AB780" s="14" t="s">
        <v>166</v>
      </c>
      <c r="AC780" s="14" t="s">
        <v>166</v>
      </c>
      <c r="AD780" s="14" t="s">
        <v>166</v>
      </c>
      <c r="AE780" s="14" t="s">
        <v>166</v>
      </c>
      <c r="AF780" s="14" t="s">
        <v>166</v>
      </c>
      <c r="AG780" s="14" t="s">
        <v>166</v>
      </c>
      <c r="AH780" s="21">
        <v>2</v>
      </c>
      <c r="AI780" s="3">
        <f>HYPERLINK("https://my.pitchbook.com/?d=168909-58T","168909-58T")</f>
      </c>
      <c r="AJ780" s="19" t="s">
        <v>166</v>
      </c>
      <c r="AK780" s="19">
        <v>44276</v>
      </c>
      <c r="AL780" s="18">
        <v>5</v>
      </c>
      <c r="AM780" s="14" t="s">
        <v>185</v>
      </c>
      <c r="AN780" s="18">
        <v>95</v>
      </c>
      <c r="AO780" s="18">
        <v>100</v>
      </c>
      <c r="AP780" s="14" t="s">
        <v>185</v>
      </c>
      <c r="AQ780" s="21" t="s">
        <v>166</v>
      </c>
      <c r="AR780" s="21" t="s">
        <v>166</v>
      </c>
      <c r="AS780" s="17">
        <v>5</v>
      </c>
      <c r="AT780" s="18">
        <v>5.13</v>
      </c>
      <c r="AU780" s="21" t="s">
        <v>186</v>
      </c>
      <c r="AV780" s="21" t="s">
        <v>166</v>
      </c>
      <c r="AW780" s="18" t="s">
        <v>166</v>
      </c>
      <c r="AX780" s="21" t="s">
        <v>746</v>
      </c>
      <c r="AY780" s="14" t="s">
        <v>217</v>
      </c>
      <c r="AZ780" s="14" t="s">
        <v>746</v>
      </c>
      <c r="BA780" s="14" t="s">
        <v>166</v>
      </c>
      <c r="BB780" s="21" t="s">
        <v>166</v>
      </c>
      <c r="BC780" s="14" t="s">
        <v>179</v>
      </c>
      <c r="BD780" s="14" t="s">
        <v>14918</v>
      </c>
      <c r="BE780" s="14" t="s">
        <v>189</v>
      </c>
      <c r="BF780" s="18">
        <v>5</v>
      </c>
      <c r="BG780" s="14" t="s">
        <v>190</v>
      </c>
      <c r="BH780" s="14" t="s">
        <v>166</v>
      </c>
      <c r="BI780" s="14" t="s">
        <v>166</v>
      </c>
      <c r="BJ780" s="18" t="s">
        <v>166</v>
      </c>
      <c r="BK780" s="18" t="s">
        <v>166</v>
      </c>
      <c r="BL780" s="14" t="s">
        <v>191</v>
      </c>
      <c r="BM780" s="14" t="s">
        <v>178</v>
      </c>
      <c r="BN780" s="14" t="s">
        <v>177</v>
      </c>
      <c r="BO780" s="22" t="s">
        <v>166</v>
      </c>
      <c r="BP780" s="14" t="s">
        <v>14919</v>
      </c>
      <c r="BQ780" s="21">
        <v>9</v>
      </c>
      <c r="BR780" s="14" t="s">
        <v>166</v>
      </c>
      <c r="BS780" s="21" t="s">
        <v>166</v>
      </c>
      <c r="BT780" s="14" t="s">
        <v>166</v>
      </c>
      <c r="BU780" s="14" t="s">
        <v>166</v>
      </c>
      <c r="BV780" s="14" t="s">
        <v>166</v>
      </c>
      <c r="BW780" s="14" t="s">
        <v>166</v>
      </c>
      <c r="BX780" s="14" t="s">
        <v>166</v>
      </c>
      <c r="BY780" s="14" t="s">
        <v>166</v>
      </c>
      <c r="BZ780" s="14" t="s">
        <v>166</v>
      </c>
      <c r="CA780" s="14" t="s">
        <v>166</v>
      </c>
      <c r="CB780" s="14" t="s">
        <v>166</v>
      </c>
      <c r="CC780" s="14" t="s">
        <v>166</v>
      </c>
      <c r="CD780" s="14" t="s">
        <v>166</v>
      </c>
      <c r="CE780" s="18" t="s">
        <v>166</v>
      </c>
      <c r="CF780" s="16" t="s">
        <v>166</v>
      </c>
      <c r="CG780" s="17" t="s">
        <v>166</v>
      </c>
      <c r="CH780" s="16" t="s">
        <v>166</v>
      </c>
      <c r="CI780" s="16" t="s">
        <v>166</v>
      </c>
      <c r="CJ780" s="16" t="s">
        <v>166</v>
      </c>
      <c r="CK780" s="16" t="s">
        <v>166</v>
      </c>
      <c r="CL780" s="16" t="s">
        <v>166</v>
      </c>
      <c r="CM780" s="20" t="s">
        <v>166</v>
      </c>
      <c r="CN780" s="16" t="s">
        <v>166</v>
      </c>
      <c r="CO780" s="16" t="s">
        <v>166</v>
      </c>
      <c r="CP780" s="16" t="s">
        <v>166</v>
      </c>
      <c r="CQ780" s="16" t="s">
        <v>166</v>
      </c>
      <c r="CR780" s="16" t="s">
        <v>166</v>
      </c>
      <c r="CS780" s="16" t="s">
        <v>166</v>
      </c>
      <c r="CT780" s="16" t="s">
        <v>166</v>
      </c>
      <c r="CU780" s="16" t="s">
        <v>166</v>
      </c>
      <c r="CV780" s="16" t="s">
        <v>166</v>
      </c>
      <c r="CW780" s="16" t="s">
        <v>166</v>
      </c>
      <c r="CX780" s="16" t="s">
        <v>166</v>
      </c>
      <c r="CY780" s="16" t="s">
        <v>166</v>
      </c>
      <c r="CZ780" s="16" t="s">
        <v>166</v>
      </c>
      <c r="DA780" s="16" t="s">
        <v>166</v>
      </c>
      <c r="DB780" s="16" t="s">
        <v>166</v>
      </c>
      <c r="DC780" s="16" t="s">
        <v>166</v>
      </c>
      <c r="DD780" s="16" t="s">
        <v>166</v>
      </c>
      <c r="DE780" s="17" t="s">
        <v>166</v>
      </c>
      <c r="DF780" s="22">
        <v>28</v>
      </c>
      <c r="DG780" s="14" t="s">
        <v>673</v>
      </c>
      <c r="DH780" s="14" t="s">
        <v>193</v>
      </c>
      <c r="DI780" s="14" t="s">
        <v>194</v>
      </c>
      <c r="DJ780" s="14" t="s">
        <v>674</v>
      </c>
      <c r="DK780" s="14" t="s">
        <v>257</v>
      </c>
      <c r="DL780" s="21" t="s">
        <v>675</v>
      </c>
      <c r="DM780" s="14" t="s">
        <v>198</v>
      </c>
      <c r="DN780" s="13" t="s">
        <v>14920</v>
      </c>
      <c r="DO780" s="20">
        <v>2020</v>
      </c>
      <c r="DP780" s="14" t="s">
        <v>166</v>
      </c>
      <c r="DQ780" s="14" t="s">
        <v>166</v>
      </c>
      <c r="DR780" s="18" t="s">
        <v>166</v>
      </c>
      <c r="DS780" s="16" t="s">
        <v>166</v>
      </c>
      <c r="DT780" s="19" t="s">
        <v>166</v>
      </c>
      <c r="DU780" s="14" t="s">
        <v>166</v>
      </c>
      <c r="DV780" s="18" t="s">
        <v>166</v>
      </c>
      <c r="DW780" s="18" t="s">
        <v>166</v>
      </c>
      <c r="DX780" s="16" t="s">
        <v>166</v>
      </c>
      <c r="DY780" s="16" t="s">
        <v>166</v>
      </c>
      <c r="DZ780" s="17" t="s">
        <v>166</v>
      </c>
      <c r="EA780" s="16" t="s">
        <v>166</v>
      </c>
      <c r="EB780" s="16" t="s">
        <v>166</v>
      </c>
      <c r="EC780" s="16" t="s">
        <v>166</v>
      </c>
      <c r="ED780" s="17" t="s">
        <v>166</v>
      </c>
      <c r="EE780" s="17" t="s">
        <v>166</v>
      </c>
      <c r="EF780" s="17" t="s">
        <v>166</v>
      </c>
      <c r="EG780" s="17" t="s">
        <v>166</v>
      </c>
      <c r="EH780" s="16" t="s">
        <v>166</v>
      </c>
      <c r="EI780" s="16" t="s">
        <v>166</v>
      </c>
      <c r="EJ780" s="16" t="s">
        <v>166</v>
      </c>
      <c r="EK780" s="16" t="s">
        <v>166</v>
      </c>
      <c r="EL780" s="16" t="s">
        <v>166</v>
      </c>
      <c r="EM780" s="16" t="s">
        <v>166</v>
      </c>
      <c r="EN780" s="16" t="s">
        <v>166</v>
      </c>
      <c r="EO780" s="16" t="s">
        <v>166</v>
      </c>
      <c r="EP780" s="16" t="s">
        <v>166</v>
      </c>
      <c r="EQ780" s="16" t="s">
        <v>166</v>
      </c>
      <c r="ER780" s="16" t="s">
        <v>166</v>
      </c>
      <c r="ES780" s="16" t="s">
        <v>166</v>
      </c>
      <c r="ET780" s="14" t="s">
        <v>166</v>
      </c>
      <c r="EU780" s="16" t="s">
        <v>166</v>
      </c>
      <c r="EV780" s="16" t="s">
        <v>166</v>
      </c>
      <c r="EW780" s="16" t="s">
        <v>166</v>
      </c>
      <c r="EX780" s="14" t="s">
        <v>190</v>
      </c>
      <c r="EY780" s="14" t="s">
        <v>166</v>
      </c>
      <c r="EZ780" s="16" t="s">
        <v>166</v>
      </c>
      <c r="FA780" s="15" t="s">
        <v>166</v>
      </c>
      <c r="FB780" s="15" t="s">
        <v>166</v>
      </c>
      <c r="FC780" s="15" t="s">
        <v>166</v>
      </c>
      <c r="FD780" s="15" t="s">
        <v>166</v>
      </c>
      <c r="FE780" s="15" t="s">
        <v>166</v>
      </c>
      <c r="FF780" s="15" t="s">
        <v>166</v>
      </c>
      <c r="FG780" s="14" t="s">
        <v>166</v>
      </c>
      <c r="FH780" s="3">
        <f>HYPERLINK("https://my.pitchbook.com?c=168909-58T","View Company Online")</f>
      </c>
    </row>
    <row r="781">
      <c r="A781" s="25" t="s">
        <v>14921</v>
      </c>
      <c r="B781" s="25" t="s">
        <v>14922</v>
      </c>
      <c r="C781" s="25" t="s">
        <v>14923</v>
      </c>
      <c r="D781" s="25" t="s">
        <v>166</v>
      </c>
      <c r="E781" s="34" t="s">
        <v>14924</v>
      </c>
      <c r="F781" s="32">
        <v>1</v>
      </c>
      <c r="G781" s="25" t="s">
        <v>14925</v>
      </c>
      <c r="H781" s="25" t="s">
        <v>166</v>
      </c>
      <c r="I781" s="25" t="s">
        <v>14926</v>
      </c>
      <c r="J781" s="25" t="s">
        <v>14927</v>
      </c>
      <c r="K781" s="25" t="s">
        <v>207</v>
      </c>
      <c r="L781" s="25" t="s">
        <v>208</v>
      </c>
      <c r="M781" s="25" t="s">
        <v>209</v>
      </c>
      <c r="N781" s="25" t="s">
        <v>684</v>
      </c>
      <c r="O781" s="25" t="s">
        <v>211</v>
      </c>
      <c r="P781" s="25" t="s">
        <v>14928</v>
      </c>
      <c r="Q781" s="25" t="s">
        <v>166</v>
      </c>
      <c r="R781" s="25" t="s">
        <v>177</v>
      </c>
      <c r="S781" s="25" t="s">
        <v>178</v>
      </c>
      <c r="T781" s="25" t="s">
        <v>179</v>
      </c>
      <c r="U781" s="25" t="s">
        <v>14929</v>
      </c>
      <c r="V781" s="25" t="s">
        <v>14930</v>
      </c>
      <c r="W781" s="32" t="s">
        <v>166</v>
      </c>
      <c r="X781" s="25" t="s">
        <v>166</v>
      </c>
      <c r="Y781" s="25" t="s">
        <v>14931</v>
      </c>
      <c r="Z781" s="25" t="s">
        <v>166</v>
      </c>
      <c r="AA781" s="25" t="s">
        <v>242</v>
      </c>
      <c r="AB781" s="25" t="s">
        <v>243</v>
      </c>
      <c r="AC781" s="25" t="s">
        <v>244</v>
      </c>
      <c r="AD781" s="25" t="s">
        <v>243</v>
      </c>
      <c r="AE781" s="25" t="s">
        <v>243</v>
      </c>
      <c r="AF781" s="25" t="s">
        <v>166</v>
      </c>
      <c r="AG781" s="25" t="s">
        <v>807</v>
      </c>
      <c r="AH781" s="32">
        <v>2</v>
      </c>
      <c r="AI781" s="4">
        <f>HYPERLINK("https://my.pitchbook.com/?d=188394-49T","188394-49T")</f>
      </c>
      <c r="AJ781" s="30">
        <v>44393</v>
      </c>
      <c r="AK781" s="30">
        <v>44501</v>
      </c>
      <c r="AL781" s="29">
        <v>0.73</v>
      </c>
      <c r="AM781" s="25" t="s">
        <v>185</v>
      </c>
      <c r="AN781" s="29" t="s">
        <v>166</v>
      </c>
      <c r="AO781" s="29" t="s">
        <v>166</v>
      </c>
      <c r="AP781" s="25" t="s">
        <v>166</v>
      </c>
      <c r="AQ781" s="32" t="s">
        <v>166</v>
      </c>
      <c r="AR781" s="32" t="s">
        <v>166</v>
      </c>
      <c r="AS781" s="28" t="s">
        <v>166</v>
      </c>
      <c r="AT781" s="29">
        <v>0.87</v>
      </c>
      <c r="AU781" s="32" t="s">
        <v>186</v>
      </c>
      <c r="AV781" s="32" t="s">
        <v>166</v>
      </c>
      <c r="AW781" s="29" t="s">
        <v>166</v>
      </c>
      <c r="AX781" s="32" t="s">
        <v>166</v>
      </c>
      <c r="AY781" s="25" t="s">
        <v>217</v>
      </c>
      <c r="AZ781" s="25" t="s">
        <v>217</v>
      </c>
      <c r="BA781" s="25" t="s">
        <v>166</v>
      </c>
      <c r="BB781" s="32" t="s">
        <v>166</v>
      </c>
      <c r="BC781" s="25" t="s">
        <v>179</v>
      </c>
      <c r="BD781" s="25" t="s">
        <v>14932</v>
      </c>
      <c r="BE781" s="25" t="s">
        <v>189</v>
      </c>
      <c r="BF781" s="29">
        <v>0.73</v>
      </c>
      <c r="BG781" s="25" t="s">
        <v>190</v>
      </c>
      <c r="BH781" s="25" t="s">
        <v>166</v>
      </c>
      <c r="BI781" s="25" t="s">
        <v>166</v>
      </c>
      <c r="BJ781" s="29" t="s">
        <v>166</v>
      </c>
      <c r="BK781" s="29" t="s">
        <v>166</v>
      </c>
      <c r="BL781" s="25" t="s">
        <v>191</v>
      </c>
      <c r="BM781" s="25" t="s">
        <v>178</v>
      </c>
      <c r="BN781" s="25" t="s">
        <v>177</v>
      </c>
      <c r="BO781" s="33" t="s">
        <v>166</v>
      </c>
      <c r="BP781" s="25" t="s">
        <v>14924</v>
      </c>
      <c r="BQ781" s="32">
        <v>1</v>
      </c>
      <c r="BR781" s="25" t="s">
        <v>166</v>
      </c>
      <c r="BS781" s="32" t="s">
        <v>166</v>
      </c>
      <c r="BT781" s="25" t="s">
        <v>14924</v>
      </c>
      <c r="BU781" s="25" t="s">
        <v>166</v>
      </c>
      <c r="BV781" s="25" t="s">
        <v>14933</v>
      </c>
      <c r="BW781" s="25" t="s">
        <v>166</v>
      </c>
      <c r="BX781" s="25" t="s">
        <v>166</v>
      </c>
      <c r="BY781" s="25" t="s">
        <v>166</v>
      </c>
      <c r="BZ781" s="25" t="s">
        <v>166</v>
      </c>
      <c r="CA781" s="25" t="s">
        <v>166</v>
      </c>
      <c r="CB781" s="25" t="s">
        <v>166</v>
      </c>
      <c r="CC781" s="25" t="s">
        <v>166</v>
      </c>
      <c r="CD781" s="25" t="s">
        <v>166</v>
      </c>
      <c r="CE781" s="29" t="s">
        <v>166</v>
      </c>
      <c r="CF781" s="27" t="s">
        <v>166</v>
      </c>
      <c r="CG781" s="28" t="s">
        <v>166</v>
      </c>
      <c r="CH781" s="27" t="s">
        <v>166</v>
      </c>
      <c r="CI781" s="27" t="s">
        <v>166</v>
      </c>
      <c r="CJ781" s="27" t="s">
        <v>166</v>
      </c>
      <c r="CK781" s="27" t="s">
        <v>166</v>
      </c>
      <c r="CL781" s="27" t="s">
        <v>166</v>
      </c>
      <c r="CM781" s="31" t="s">
        <v>166</v>
      </c>
      <c r="CN781" s="27" t="s">
        <v>166</v>
      </c>
      <c r="CO781" s="27" t="s">
        <v>166</v>
      </c>
      <c r="CP781" s="27" t="s">
        <v>166</v>
      </c>
      <c r="CQ781" s="27" t="s">
        <v>166</v>
      </c>
      <c r="CR781" s="27" t="s">
        <v>166</v>
      </c>
      <c r="CS781" s="27" t="s">
        <v>166</v>
      </c>
      <c r="CT781" s="27" t="s">
        <v>166</v>
      </c>
      <c r="CU781" s="27" t="s">
        <v>166</v>
      </c>
      <c r="CV781" s="27" t="s">
        <v>166</v>
      </c>
      <c r="CW781" s="27" t="s">
        <v>166</v>
      </c>
      <c r="CX781" s="27" t="s">
        <v>166</v>
      </c>
      <c r="CY781" s="27" t="s">
        <v>166</v>
      </c>
      <c r="CZ781" s="27" t="s">
        <v>166</v>
      </c>
      <c r="DA781" s="27" t="s">
        <v>166</v>
      </c>
      <c r="DB781" s="27" t="s">
        <v>166</v>
      </c>
      <c r="DC781" s="27" t="s">
        <v>166</v>
      </c>
      <c r="DD781" s="27" t="s">
        <v>166</v>
      </c>
      <c r="DE781" s="28" t="s">
        <v>166</v>
      </c>
      <c r="DF781" s="33">
        <v>10</v>
      </c>
      <c r="DG781" s="25" t="s">
        <v>14934</v>
      </c>
      <c r="DH781" s="25" t="s">
        <v>193</v>
      </c>
      <c r="DI781" s="25" t="s">
        <v>194</v>
      </c>
      <c r="DJ781" s="25" t="s">
        <v>14935</v>
      </c>
      <c r="DK781" s="25" t="s">
        <v>454</v>
      </c>
      <c r="DL781" s="32" t="s">
        <v>14936</v>
      </c>
      <c r="DM781" s="25" t="s">
        <v>198</v>
      </c>
      <c r="DN781" s="24" t="s">
        <v>14937</v>
      </c>
      <c r="DO781" s="31">
        <v>2019</v>
      </c>
      <c r="DP781" s="25" t="s">
        <v>166</v>
      </c>
      <c r="DQ781" s="25" t="s">
        <v>166</v>
      </c>
      <c r="DR781" s="29" t="s">
        <v>166</v>
      </c>
      <c r="DS781" s="27" t="s">
        <v>166</v>
      </c>
      <c r="DT781" s="30" t="s">
        <v>166</v>
      </c>
      <c r="DU781" s="25" t="s">
        <v>166</v>
      </c>
      <c r="DV781" s="29" t="s">
        <v>166</v>
      </c>
      <c r="DW781" s="29" t="s">
        <v>166</v>
      </c>
      <c r="DX781" s="27" t="s">
        <v>166</v>
      </c>
      <c r="DY781" s="27" t="s">
        <v>166</v>
      </c>
      <c r="DZ781" s="28" t="s">
        <v>166</v>
      </c>
      <c r="EA781" s="27" t="s">
        <v>166</v>
      </c>
      <c r="EB781" s="27" t="s">
        <v>166</v>
      </c>
      <c r="EC781" s="27" t="s">
        <v>166</v>
      </c>
      <c r="ED781" s="28" t="s">
        <v>166</v>
      </c>
      <c r="EE781" s="28" t="s">
        <v>166</v>
      </c>
      <c r="EF781" s="28" t="s">
        <v>166</v>
      </c>
      <c r="EG781" s="28" t="s">
        <v>166</v>
      </c>
      <c r="EH781" s="27" t="s">
        <v>166</v>
      </c>
      <c r="EI781" s="27" t="s">
        <v>166</v>
      </c>
      <c r="EJ781" s="27" t="s">
        <v>166</v>
      </c>
      <c r="EK781" s="27" t="s">
        <v>166</v>
      </c>
      <c r="EL781" s="27" t="s">
        <v>166</v>
      </c>
      <c r="EM781" s="27" t="s">
        <v>166</v>
      </c>
      <c r="EN781" s="27" t="s">
        <v>166</v>
      </c>
      <c r="EO781" s="27" t="s">
        <v>166</v>
      </c>
      <c r="EP781" s="27" t="s">
        <v>166</v>
      </c>
      <c r="EQ781" s="27" t="s">
        <v>166</v>
      </c>
      <c r="ER781" s="27" t="s">
        <v>166</v>
      </c>
      <c r="ES781" s="27" t="s">
        <v>166</v>
      </c>
      <c r="ET781" s="25" t="s">
        <v>166</v>
      </c>
      <c r="EU781" s="27" t="s">
        <v>166</v>
      </c>
      <c r="EV781" s="27" t="s">
        <v>166</v>
      </c>
      <c r="EW781" s="27" t="s">
        <v>166</v>
      </c>
      <c r="EX781" s="25" t="s">
        <v>190</v>
      </c>
      <c r="EY781" s="25" t="s">
        <v>166</v>
      </c>
      <c r="EZ781" s="27" t="s">
        <v>166</v>
      </c>
      <c r="FA781" s="26">
        <v>3</v>
      </c>
      <c r="FB781" s="26">
        <v>1</v>
      </c>
      <c r="FC781" s="26">
        <v>2</v>
      </c>
      <c r="FD781" s="26">
        <v>1</v>
      </c>
      <c r="FE781" s="26" t="s">
        <v>166</v>
      </c>
      <c r="FF781" s="26" t="s">
        <v>166</v>
      </c>
      <c r="FG781" s="25" t="s">
        <v>5033</v>
      </c>
      <c r="FH781" s="4">
        <f>HYPERLINK("https://my.pitchbook.com?c=188394-49T","View Company Online")</f>
      </c>
    </row>
    <row r="782">
      <c r="A782" s="14" t="s">
        <v>14938</v>
      </c>
      <c r="B782" s="14" t="s">
        <v>14939</v>
      </c>
      <c r="C782" s="14" t="s">
        <v>14940</v>
      </c>
      <c r="D782" s="14" t="s">
        <v>166</v>
      </c>
      <c r="E782" s="23" t="s">
        <v>14941</v>
      </c>
      <c r="F782" s="21">
        <v>2</v>
      </c>
      <c r="G782" s="14" t="s">
        <v>14942</v>
      </c>
      <c r="H782" s="14" t="s">
        <v>166</v>
      </c>
      <c r="I782" s="14" t="s">
        <v>14943</v>
      </c>
      <c r="J782" s="14" t="s">
        <v>14944</v>
      </c>
      <c r="K782" s="14" t="s">
        <v>1455</v>
      </c>
      <c r="L782" s="14" t="s">
        <v>1984</v>
      </c>
      <c r="M782" s="14" t="s">
        <v>2112</v>
      </c>
      <c r="N782" s="14" t="s">
        <v>6453</v>
      </c>
      <c r="O782" s="14" t="s">
        <v>166</v>
      </c>
      <c r="P782" s="14" t="s">
        <v>14945</v>
      </c>
      <c r="Q782" s="14" t="s">
        <v>166</v>
      </c>
      <c r="R782" s="14" t="s">
        <v>177</v>
      </c>
      <c r="S782" s="14" t="s">
        <v>178</v>
      </c>
      <c r="T782" s="14" t="s">
        <v>179</v>
      </c>
      <c r="U782" s="14" t="s">
        <v>14946</v>
      </c>
      <c r="V782" s="14" t="s">
        <v>14947</v>
      </c>
      <c r="W782" s="21" t="s">
        <v>14948</v>
      </c>
      <c r="X782" s="14" t="s">
        <v>14949</v>
      </c>
      <c r="Y782" s="14" t="s">
        <v>14950</v>
      </c>
      <c r="Z782" s="14" t="s">
        <v>166</v>
      </c>
      <c r="AA782" s="14" t="s">
        <v>166</v>
      </c>
      <c r="AB782" s="14" t="s">
        <v>166</v>
      </c>
      <c r="AC782" s="14" t="s">
        <v>166</v>
      </c>
      <c r="AD782" s="14" t="s">
        <v>166</v>
      </c>
      <c r="AE782" s="14" t="s">
        <v>166</v>
      </c>
      <c r="AF782" s="14" t="s">
        <v>166</v>
      </c>
      <c r="AG782" s="14" t="s">
        <v>166</v>
      </c>
      <c r="AH782" s="21">
        <v>1</v>
      </c>
      <c r="AI782" s="3">
        <f>HYPERLINK("https://my.pitchbook.com/?d=169419-07T","169419-07T")</f>
      </c>
      <c r="AJ782" s="19">
        <v>44278</v>
      </c>
      <c r="AK782" s="19">
        <v>44559</v>
      </c>
      <c r="AL782" s="18">
        <v>0.5</v>
      </c>
      <c r="AM782" s="14" t="s">
        <v>185</v>
      </c>
      <c r="AN782" s="18">
        <v>3.7</v>
      </c>
      <c r="AO782" s="18">
        <v>4.2</v>
      </c>
      <c r="AP782" s="14" t="s">
        <v>185</v>
      </c>
      <c r="AQ782" s="21" t="s">
        <v>166</v>
      </c>
      <c r="AR782" s="21" t="s">
        <v>166</v>
      </c>
      <c r="AS782" s="17">
        <v>11.9</v>
      </c>
      <c r="AT782" s="18">
        <v>0.5</v>
      </c>
      <c r="AU782" s="21" t="s">
        <v>186</v>
      </c>
      <c r="AV782" s="21" t="s">
        <v>166</v>
      </c>
      <c r="AW782" s="18" t="s">
        <v>166</v>
      </c>
      <c r="AX782" s="21" t="s">
        <v>166</v>
      </c>
      <c r="AY782" s="14" t="s">
        <v>187</v>
      </c>
      <c r="AZ782" s="14" t="s">
        <v>166</v>
      </c>
      <c r="BA782" s="14" t="s">
        <v>166</v>
      </c>
      <c r="BB782" s="21" t="s">
        <v>166</v>
      </c>
      <c r="BC782" s="14" t="s">
        <v>179</v>
      </c>
      <c r="BD782" s="14" t="s">
        <v>14951</v>
      </c>
      <c r="BE782" s="14" t="s">
        <v>189</v>
      </c>
      <c r="BF782" s="18">
        <v>0.5</v>
      </c>
      <c r="BG782" s="14" t="s">
        <v>190</v>
      </c>
      <c r="BH782" s="14" t="s">
        <v>166</v>
      </c>
      <c r="BI782" s="14" t="s">
        <v>166</v>
      </c>
      <c r="BJ782" s="18" t="s">
        <v>166</v>
      </c>
      <c r="BK782" s="18" t="s">
        <v>166</v>
      </c>
      <c r="BL782" s="14" t="s">
        <v>191</v>
      </c>
      <c r="BM782" s="14" t="s">
        <v>178</v>
      </c>
      <c r="BN782" s="14" t="s">
        <v>177</v>
      </c>
      <c r="BO782" s="22" t="s">
        <v>166</v>
      </c>
      <c r="BP782" s="14" t="s">
        <v>14952</v>
      </c>
      <c r="BQ782" s="21">
        <v>2</v>
      </c>
      <c r="BR782" s="14" t="s">
        <v>166</v>
      </c>
      <c r="BS782" s="21" t="s">
        <v>166</v>
      </c>
      <c r="BT782" s="14" t="s">
        <v>166</v>
      </c>
      <c r="BU782" s="14" t="s">
        <v>166</v>
      </c>
      <c r="BV782" s="14" t="s">
        <v>14953</v>
      </c>
      <c r="BW782" s="14" t="s">
        <v>166</v>
      </c>
      <c r="BX782" s="14" t="s">
        <v>166</v>
      </c>
      <c r="BY782" s="14" t="s">
        <v>166</v>
      </c>
      <c r="BZ782" s="14" t="s">
        <v>166</v>
      </c>
      <c r="CA782" s="14" t="s">
        <v>166</v>
      </c>
      <c r="CB782" s="14" t="s">
        <v>166</v>
      </c>
      <c r="CC782" s="14" t="s">
        <v>166</v>
      </c>
      <c r="CD782" s="14" t="s">
        <v>166</v>
      </c>
      <c r="CE782" s="18" t="s">
        <v>166</v>
      </c>
      <c r="CF782" s="16">
        <v>0.47</v>
      </c>
      <c r="CG782" s="17" t="s">
        <v>166</v>
      </c>
      <c r="CH782" s="16" t="s">
        <v>166</v>
      </c>
      <c r="CI782" s="16" t="s">
        <v>166</v>
      </c>
      <c r="CJ782" s="16" t="s">
        <v>166</v>
      </c>
      <c r="CK782" s="16" t="s">
        <v>166</v>
      </c>
      <c r="CL782" s="16" t="s">
        <v>166</v>
      </c>
      <c r="CM782" s="20">
        <v>2021</v>
      </c>
      <c r="CN782" s="16" t="s">
        <v>166</v>
      </c>
      <c r="CO782" s="16" t="s">
        <v>166</v>
      </c>
      <c r="CP782" s="16" t="s">
        <v>166</v>
      </c>
      <c r="CQ782" s="16">
        <v>9.03</v>
      </c>
      <c r="CR782" s="16" t="s">
        <v>166</v>
      </c>
      <c r="CS782" s="16" t="s">
        <v>166</v>
      </c>
      <c r="CT782" s="16" t="s">
        <v>166</v>
      </c>
      <c r="CU782" s="16" t="s">
        <v>166</v>
      </c>
      <c r="CV782" s="16">
        <v>1.08</v>
      </c>
      <c r="CW782" s="16" t="s">
        <v>166</v>
      </c>
      <c r="CX782" s="16" t="s">
        <v>166</v>
      </c>
      <c r="CY782" s="16" t="s">
        <v>166</v>
      </c>
      <c r="CZ782" s="16" t="s">
        <v>166</v>
      </c>
      <c r="DA782" s="16" t="s">
        <v>166</v>
      </c>
      <c r="DB782" s="16" t="s">
        <v>166</v>
      </c>
      <c r="DC782" s="16" t="s">
        <v>166</v>
      </c>
      <c r="DD782" s="16" t="s">
        <v>166</v>
      </c>
      <c r="DE782" s="17" t="s">
        <v>166</v>
      </c>
      <c r="DF782" s="22">
        <v>17</v>
      </c>
      <c r="DG782" s="14" t="s">
        <v>8014</v>
      </c>
      <c r="DH782" s="14" t="s">
        <v>193</v>
      </c>
      <c r="DI782" s="14" t="s">
        <v>194</v>
      </c>
      <c r="DJ782" s="14" t="s">
        <v>8015</v>
      </c>
      <c r="DK782" s="14" t="s">
        <v>4226</v>
      </c>
      <c r="DL782" s="21" t="s">
        <v>14954</v>
      </c>
      <c r="DM782" s="14" t="s">
        <v>198</v>
      </c>
      <c r="DN782" s="13" t="s">
        <v>14955</v>
      </c>
      <c r="DO782" s="20">
        <v>2019</v>
      </c>
      <c r="DP782" s="14" t="s">
        <v>166</v>
      </c>
      <c r="DQ782" s="14" t="s">
        <v>14956</v>
      </c>
      <c r="DR782" s="18" t="s">
        <v>166</v>
      </c>
      <c r="DS782" s="16" t="s">
        <v>166</v>
      </c>
      <c r="DT782" s="19" t="s">
        <v>166</v>
      </c>
      <c r="DU782" s="14" t="s">
        <v>166</v>
      </c>
      <c r="DV782" s="18" t="s">
        <v>166</v>
      </c>
      <c r="DW782" s="18" t="s">
        <v>166</v>
      </c>
      <c r="DX782" s="16" t="s">
        <v>166</v>
      </c>
      <c r="DY782" s="16" t="s">
        <v>166</v>
      </c>
      <c r="DZ782" s="17" t="s">
        <v>166</v>
      </c>
      <c r="EA782" s="16" t="s">
        <v>166</v>
      </c>
      <c r="EB782" s="16" t="s">
        <v>166</v>
      </c>
      <c r="EC782" s="16" t="s">
        <v>166</v>
      </c>
      <c r="ED782" s="17" t="s">
        <v>166</v>
      </c>
      <c r="EE782" s="17" t="s">
        <v>166</v>
      </c>
      <c r="EF782" s="17" t="s">
        <v>166</v>
      </c>
      <c r="EG782" s="17" t="s">
        <v>166</v>
      </c>
      <c r="EH782" s="16" t="s">
        <v>166</v>
      </c>
      <c r="EI782" s="16" t="s">
        <v>166</v>
      </c>
      <c r="EJ782" s="16" t="s">
        <v>166</v>
      </c>
      <c r="EK782" s="16" t="s">
        <v>166</v>
      </c>
      <c r="EL782" s="16" t="s">
        <v>166</v>
      </c>
      <c r="EM782" s="16" t="s">
        <v>166</v>
      </c>
      <c r="EN782" s="16" t="s">
        <v>166</v>
      </c>
      <c r="EO782" s="16" t="s">
        <v>166</v>
      </c>
      <c r="EP782" s="16" t="s">
        <v>166</v>
      </c>
      <c r="EQ782" s="16" t="s">
        <v>166</v>
      </c>
      <c r="ER782" s="16" t="s">
        <v>166</v>
      </c>
      <c r="ES782" s="16" t="s">
        <v>166</v>
      </c>
      <c r="ET782" s="14" t="s">
        <v>166</v>
      </c>
      <c r="EU782" s="16" t="s">
        <v>166</v>
      </c>
      <c r="EV782" s="16" t="s">
        <v>166</v>
      </c>
      <c r="EW782" s="16" t="s">
        <v>166</v>
      </c>
      <c r="EX782" s="14" t="s">
        <v>190</v>
      </c>
      <c r="EY782" s="14" t="s">
        <v>190</v>
      </c>
      <c r="EZ782" s="16" t="s">
        <v>166</v>
      </c>
      <c r="FA782" s="15" t="s">
        <v>166</v>
      </c>
      <c r="FB782" s="15" t="s">
        <v>166</v>
      </c>
      <c r="FC782" s="15" t="s">
        <v>166</v>
      </c>
      <c r="FD782" s="15" t="s">
        <v>166</v>
      </c>
      <c r="FE782" s="15" t="s">
        <v>166</v>
      </c>
      <c r="FF782" s="15" t="s">
        <v>166</v>
      </c>
      <c r="FG782" s="14" t="s">
        <v>166</v>
      </c>
      <c r="FH782" s="3">
        <f>HYPERLINK("https://my.pitchbook.com?c=169419-07T","View Company Online")</f>
      </c>
    </row>
    <row r="783">
      <c r="A783" s="25" t="s">
        <v>14957</v>
      </c>
      <c r="B783" s="25" t="s">
        <v>14958</v>
      </c>
      <c r="C783" s="25" t="s">
        <v>14959</v>
      </c>
      <c r="D783" s="25" t="s">
        <v>166</v>
      </c>
      <c r="E783" s="34" t="s">
        <v>14960</v>
      </c>
      <c r="F783" s="32">
        <v>1</v>
      </c>
      <c r="G783" s="25" t="s">
        <v>14961</v>
      </c>
      <c r="H783" s="25" t="s">
        <v>166</v>
      </c>
      <c r="I783" s="25" t="s">
        <v>14962</v>
      </c>
      <c r="J783" s="25" t="s">
        <v>14963</v>
      </c>
      <c r="K783" s="25" t="s">
        <v>207</v>
      </c>
      <c r="L783" s="25" t="s">
        <v>208</v>
      </c>
      <c r="M783" s="25" t="s">
        <v>209</v>
      </c>
      <c r="N783" s="25" t="s">
        <v>684</v>
      </c>
      <c r="O783" s="25" t="s">
        <v>14964</v>
      </c>
      <c r="P783" s="25" t="s">
        <v>14965</v>
      </c>
      <c r="Q783" s="25" t="s">
        <v>14966</v>
      </c>
      <c r="R783" s="25" t="s">
        <v>177</v>
      </c>
      <c r="S783" s="25" t="s">
        <v>178</v>
      </c>
      <c r="T783" s="25" t="s">
        <v>179</v>
      </c>
      <c r="U783" s="25" t="s">
        <v>14967</v>
      </c>
      <c r="V783" s="25" t="s">
        <v>14968</v>
      </c>
      <c r="W783" s="32" t="s">
        <v>14969</v>
      </c>
      <c r="X783" s="25" t="s">
        <v>14970</v>
      </c>
      <c r="Y783" s="25" t="s">
        <v>14971</v>
      </c>
      <c r="Z783" s="25" t="s">
        <v>166</v>
      </c>
      <c r="AA783" s="25" t="s">
        <v>166</v>
      </c>
      <c r="AB783" s="25" t="s">
        <v>166</v>
      </c>
      <c r="AC783" s="25" t="s">
        <v>166</v>
      </c>
      <c r="AD783" s="25" t="s">
        <v>166</v>
      </c>
      <c r="AE783" s="25" t="s">
        <v>166</v>
      </c>
      <c r="AF783" s="25" t="s">
        <v>166</v>
      </c>
      <c r="AG783" s="25" t="s">
        <v>166</v>
      </c>
      <c r="AH783" s="32">
        <v>4</v>
      </c>
      <c r="AI783" s="4">
        <f>HYPERLINK("https://my.pitchbook.com/?d=193979-62T","193979-62T")</f>
      </c>
      <c r="AJ783" s="30" t="s">
        <v>166</v>
      </c>
      <c r="AK783" s="30">
        <v>44494</v>
      </c>
      <c r="AL783" s="29">
        <v>0.85</v>
      </c>
      <c r="AM783" s="25" t="s">
        <v>185</v>
      </c>
      <c r="AN783" s="29" t="s">
        <v>166</v>
      </c>
      <c r="AO783" s="29" t="s">
        <v>166</v>
      </c>
      <c r="AP783" s="25" t="s">
        <v>166</v>
      </c>
      <c r="AQ783" s="32" t="s">
        <v>166</v>
      </c>
      <c r="AR783" s="32" t="s">
        <v>166</v>
      </c>
      <c r="AS783" s="28" t="s">
        <v>166</v>
      </c>
      <c r="AT783" s="29">
        <v>0.97</v>
      </c>
      <c r="AU783" s="32" t="s">
        <v>186</v>
      </c>
      <c r="AV783" s="32" t="s">
        <v>166</v>
      </c>
      <c r="AW783" s="29" t="s">
        <v>166</v>
      </c>
      <c r="AX783" s="32" t="s">
        <v>166</v>
      </c>
      <c r="AY783" s="25" t="s">
        <v>187</v>
      </c>
      <c r="AZ783" s="25" t="s">
        <v>166</v>
      </c>
      <c r="BA783" s="25" t="s">
        <v>166</v>
      </c>
      <c r="BB783" s="32" t="s">
        <v>166</v>
      </c>
      <c r="BC783" s="25" t="s">
        <v>179</v>
      </c>
      <c r="BD783" s="25" t="s">
        <v>14963</v>
      </c>
      <c r="BE783" s="25" t="s">
        <v>189</v>
      </c>
      <c r="BF783" s="29" t="s">
        <v>166</v>
      </c>
      <c r="BG783" s="25" t="s">
        <v>190</v>
      </c>
      <c r="BH783" s="25" t="s">
        <v>166</v>
      </c>
      <c r="BI783" s="25" t="s">
        <v>166</v>
      </c>
      <c r="BJ783" s="29">
        <v>0.85</v>
      </c>
      <c r="BK783" s="29" t="s">
        <v>166</v>
      </c>
      <c r="BL783" s="25" t="s">
        <v>191</v>
      </c>
      <c r="BM783" s="25" t="s">
        <v>178</v>
      </c>
      <c r="BN783" s="25" t="s">
        <v>177</v>
      </c>
      <c r="BO783" s="33" t="s">
        <v>166</v>
      </c>
      <c r="BP783" s="25" t="s">
        <v>14960</v>
      </c>
      <c r="BQ783" s="32">
        <v>1</v>
      </c>
      <c r="BR783" s="25" t="s">
        <v>166</v>
      </c>
      <c r="BS783" s="32" t="s">
        <v>166</v>
      </c>
      <c r="BT783" s="25" t="s">
        <v>166</v>
      </c>
      <c r="BU783" s="25" t="s">
        <v>166</v>
      </c>
      <c r="BV783" s="25" t="s">
        <v>166</v>
      </c>
      <c r="BW783" s="25" t="s">
        <v>166</v>
      </c>
      <c r="BX783" s="25" t="s">
        <v>166</v>
      </c>
      <c r="BY783" s="25" t="s">
        <v>166</v>
      </c>
      <c r="BZ783" s="25" t="s">
        <v>166</v>
      </c>
      <c r="CA783" s="25" t="s">
        <v>166</v>
      </c>
      <c r="CB783" s="25" t="s">
        <v>166</v>
      </c>
      <c r="CC783" s="25" t="s">
        <v>166</v>
      </c>
      <c r="CD783" s="25" t="s">
        <v>166</v>
      </c>
      <c r="CE783" s="29" t="s">
        <v>166</v>
      </c>
      <c r="CF783" s="27">
        <v>0.5</v>
      </c>
      <c r="CG783" s="28" t="s">
        <v>166</v>
      </c>
      <c r="CH783" s="27" t="s">
        <v>166</v>
      </c>
      <c r="CI783" s="27" t="s">
        <v>166</v>
      </c>
      <c r="CJ783" s="27" t="s">
        <v>166</v>
      </c>
      <c r="CK783" s="27" t="s">
        <v>166</v>
      </c>
      <c r="CL783" s="27" t="s">
        <v>166</v>
      </c>
      <c r="CM783" s="31">
        <v>2021</v>
      </c>
      <c r="CN783" s="27" t="s">
        <v>166</v>
      </c>
      <c r="CO783" s="27" t="s">
        <v>166</v>
      </c>
      <c r="CP783" s="27" t="s">
        <v>166</v>
      </c>
      <c r="CQ783" s="27" t="s">
        <v>166</v>
      </c>
      <c r="CR783" s="27" t="s">
        <v>166</v>
      </c>
      <c r="CS783" s="27" t="s">
        <v>166</v>
      </c>
      <c r="CT783" s="27" t="s">
        <v>166</v>
      </c>
      <c r="CU783" s="27" t="s">
        <v>166</v>
      </c>
      <c r="CV783" s="27">
        <v>1.7</v>
      </c>
      <c r="CW783" s="27" t="s">
        <v>166</v>
      </c>
      <c r="CX783" s="27" t="s">
        <v>166</v>
      </c>
      <c r="CY783" s="27" t="s">
        <v>166</v>
      </c>
      <c r="CZ783" s="27" t="s">
        <v>166</v>
      </c>
      <c r="DA783" s="27" t="s">
        <v>166</v>
      </c>
      <c r="DB783" s="27" t="s">
        <v>166</v>
      </c>
      <c r="DC783" s="27" t="s">
        <v>166</v>
      </c>
      <c r="DD783" s="27" t="s">
        <v>166</v>
      </c>
      <c r="DE783" s="28" t="s">
        <v>166</v>
      </c>
      <c r="DF783" s="33">
        <v>13</v>
      </c>
      <c r="DG783" s="25" t="s">
        <v>4592</v>
      </c>
      <c r="DH783" s="25" t="s">
        <v>193</v>
      </c>
      <c r="DI783" s="25" t="s">
        <v>194</v>
      </c>
      <c r="DJ783" s="25" t="s">
        <v>4593</v>
      </c>
      <c r="DK783" s="25" t="s">
        <v>1023</v>
      </c>
      <c r="DL783" s="32" t="s">
        <v>166</v>
      </c>
      <c r="DM783" s="25" t="s">
        <v>198</v>
      </c>
      <c r="DN783" s="24" t="s">
        <v>14972</v>
      </c>
      <c r="DO783" s="31">
        <v>2019</v>
      </c>
      <c r="DP783" s="25" t="s">
        <v>166</v>
      </c>
      <c r="DQ783" s="25" t="s">
        <v>14973</v>
      </c>
      <c r="DR783" s="29">
        <v>0.85</v>
      </c>
      <c r="DS783" s="27" t="s">
        <v>166</v>
      </c>
      <c r="DT783" s="30" t="s">
        <v>166</v>
      </c>
      <c r="DU783" s="25" t="s">
        <v>166</v>
      </c>
      <c r="DV783" s="29" t="s">
        <v>166</v>
      </c>
      <c r="DW783" s="29" t="s">
        <v>166</v>
      </c>
      <c r="DX783" s="27" t="s">
        <v>166</v>
      </c>
      <c r="DY783" s="27" t="s">
        <v>166</v>
      </c>
      <c r="DZ783" s="28" t="s">
        <v>166</v>
      </c>
      <c r="EA783" s="27" t="s">
        <v>166</v>
      </c>
      <c r="EB783" s="27" t="s">
        <v>166</v>
      </c>
      <c r="EC783" s="27" t="s">
        <v>166</v>
      </c>
      <c r="ED783" s="28" t="s">
        <v>166</v>
      </c>
      <c r="EE783" s="28" t="s">
        <v>166</v>
      </c>
      <c r="EF783" s="28" t="s">
        <v>166</v>
      </c>
      <c r="EG783" s="28" t="s">
        <v>166</v>
      </c>
      <c r="EH783" s="27" t="s">
        <v>166</v>
      </c>
      <c r="EI783" s="27" t="s">
        <v>166</v>
      </c>
      <c r="EJ783" s="27" t="s">
        <v>166</v>
      </c>
      <c r="EK783" s="27" t="s">
        <v>166</v>
      </c>
      <c r="EL783" s="27" t="s">
        <v>166</v>
      </c>
      <c r="EM783" s="27" t="s">
        <v>166</v>
      </c>
      <c r="EN783" s="27" t="s">
        <v>166</v>
      </c>
      <c r="EO783" s="27" t="s">
        <v>166</v>
      </c>
      <c r="EP783" s="27" t="s">
        <v>166</v>
      </c>
      <c r="EQ783" s="27" t="s">
        <v>166</v>
      </c>
      <c r="ER783" s="27" t="s">
        <v>166</v>
      </c>
      <c r="ES783" s="27" t="s">
        <v>166</v>
      </c>
      <c r="ET783" s="25" t="s">
        <v>166</v>
      </c>
      <c r="EU783" s="27" t="s">
        <v>166</v>
      </c>
      <c r="EV783" s="27" t="s">
        <v>166</v>
      </c>
      <c r="EW783" s="27" t="s">
        <v>166</v>
      </c>
      <c r="EX783" s="25" t="s">
        <v>190</v>
      </c>
      <c r="EY783" s="25" t="s">
        <v>190</v>
      </c>
      <c r="EZ783" s="27" t="s">
        <v>166</v>
      </c>
      <c r="FA783" s="26" t="s">
        <v>166</v>
      </c>
      <c r="FB783" s="26" t="s">
        <v>166</v>
      </c>
      <c r="FC783" s="26" t="s">
        <v>166</v>
      </c>
      <c r="FD783" s="26" t="s">
        <v>166</v>
      </c>
      <c r="FE783" s="26" t="s">
        <v>166</v>
      </c>
      <c r="FF783" s="26" t="s">
        <v>166</v>
      </c>
      <c r="FG783" s="25" t="s">
        <v>166</v>
      </c>
      <c r="FH783" s="4">
        <f>HYPERLINK("https://my.pitchbook.com?c=193979-62T","View Company Online")</f>
      </c>
    </row>
    <row r="784">
      <c r="A784" s="14" t="s">
        <v>14974</v>
      </c>
      <c r="B784" s="14" t="s">
        <v>14975</v>
      </c>
      <c r="C784" s="14" t="s">
        <v>14976</v>
      </c>
      <c r="D784" s="14" t="s">
        <v>166</v>
      </c>
      <c r="E784" s="23" t="s">
        <v>14977</v>
      </c>
      <c r="F784" s="21">
        <v>2</v>
      </c>
      <c r="G784" s="14" t="s">
        <v>14978</v>
      </c>
      <c r="H784" s="14" t="s">
        <v>166</v>
      </c>
      <c r="I784" s="14" t="s">
        <v>14979</v>
      </c>
      <c r="J784" s="14" t="s">
        <v>14980</v>
      </c>
      <c r="K784" s="14" t="s">
        <v>1455</v>
      </c>
      <c r="L784" s="14" t="s">
        <v>5912</v>
      </c>
      <c r="M784" s="14" t="s">
        <v>5913</v>
      </c>
      <c r="N784" s="14" t="s">
        <v>14981</v>
      </c>
      <c r="O784" s="14" t="s">
        <v>6927</v>
      </c>
      <c r="P784" s="14" t="s">
        <v>14982</v>
      </c>
      <c r="Q784" s="14" t="s">
        <v>166</v>
      </c>
      <c r="R784" s="14" t="s">
        <v>177</v>
      </c>
      <c r="S784" s="14" t="s">
        <v>178</v>
      </c>
      <c r="T784" s="14" t="s">
        <v>179</v>
      </c>
      <c r="U784" s="14" t="s">
        <v>14983</v>
      </c>
      <c r="V784" s="14" t="s">
        <v>14984</v>
      </c>
      <c r="W784" s="21" t="s">
        <v>14985</v>
      </c>
      <c r="X784" s="14" t="s">
        <v>14986</v>
      </c>
      <c r="Y784" s="14" t="s">
        <v>14987</v>
      </c>
      <c r="Z784" s="14" t="s">
        <v>14988</v>
      </c>
      <c r="AA784" s="14" t="s">
        <v>166</v>
      </c>
      <c r="AB784" s="14" t="s">
        <v>166</v>
      </c>
      <c r="AC784" s="14" t="s">
        <v>166</v>
      </c>
      <c r="AD784" s="14" t="s">
        <v>166</v>
      </c>
      <c r="AE784" s="14" t="s">
        <v>166</v>
      </c>
      <c r="AF784" s="14" t="s">
        <v>166</v>
      </c>
      <c r="AG784" s="14" t="s">
        <v>166</v>
      </c>
      <c r="AH784" s="21">
        <v>2</v>
      </c>
      <c r="AI784" s="3">
        <f>HYPERLINK("https://my.pitchbook.com/?d=196519-51T","196519-51T")</f>
      </c>
      <c r="AJ784" s="19">
        <v>44718</v>
      </c>
      <c r="AK784" s="19">
        <v>44732</v>
      </c>
      <c r="AL784" s="18">
        <v>2.5</v>
      </c>
      <c r="AM784" s="14" t="s">
        <v>185</v>
      </c>
      <c r="AN784" s="18" t="s">
        <v>166</v>
      </c>
      <c r="AO784" s="18" t="s">
        <v>166</v>
      </c>
      <c r="AP784" s="14" t="s">
        <v>166</v>
      </c>
      <c r="AQ784" s="21" t="s">
        <v>166</v>
      </c>
      <c r="AR784" s="21" t="s">
        <v>166</v>
      </c>
      <c r="AS784" s="17" t="s">
        <v>166</v>
      </c>
      <c r="AT784" s="18">
        <v>2.75</v>
      </c>
      <c r="AU784" s="21" t="s">
        <v>186</v>
      </c>
      <c r="AV784" s="21" t="s">
        <v>166</v>
      </c>
      <c r="AW784" s="18" t="s">
        <v>166</v>
      </c>
      <c r="AX784" s="21" t="s">
        <v>166</v>
      </c>
      <c r="AY784" s="14" t="s">
        <v>217</v>
      </c>
      <c r="AZ784" s="14" t="s">
        <v>217</v>
      </c>
      <c r="BA784" s="14" t="s">
        <v>166</v>
      </c>
      <c r="BB784" s="21" t="s">
        <v>166</v>
      </c>
      <c r="BC784" s="14" t="s">
        <v>179</v>
      </c>
      <c r="BD784" s="14" t="s">
        <v>14989</v>
      </c>
      <c r="BE784" s="14" t="s">
        <v>189</v>
      </c>
      <c r="BF784" s="18">
        <v>2.5</v>
      </c>
      <c r="BG784" s="14" t="s">
        <v>190</v>
      </c>
      <c r="BH784" s="14" t="s">
        <v>166</v>
      </c>
      <c r="BI784" s="14" t="s">
        <v>166</v>
      </c>
      <c r="BJ784" s="18" t="s">
        <v>166</v>
      </c>
      <c r="BK784" s="18" t="s">
        <v>166</v>
      </c>
      <c r="BL784" s="14" t="s">
        <v>191</v>
      </c>
      <c r="BM784" s="14" t="s">
        <v>178</v>
      </c>
      <c r="BN784" s="14" t="s">
        <v>177</v>
      </c>
      <c r="BO784" s="22" t="s">
        <v>166</v>
      </c>
      <c r="BP784" s="14" t="s">
        <v>14990</v>
      </c>
      <c r="BQ784" s="21">
        <v>2</v>
      </c>
      <c r="BR784" s="14" t="s">
        <v>166</v>
      </c>
      <c r="BS784" s="21" t="s">
        <v>166</v>
      </c>
      <c r="BT784" s="14" t="s">
        <v>14991</v>
      </c>
      <c r="BU784" s="14" t="s">
        <v>166</v>
      </c>
      <c r="BV784" s="14" t="s">
        <v>166</v>
      </c>
      <c r="BW784" s="14" t="s">
        <v>166</v>
      </c>
      <c r="BX784" s="14" t="s">
        <v>166</v>
      </c>
      <c r="BY784" s="14" t="s">
        <v>166</v>
      </c>
      <c r="BZ784" s="14" t="s">
        <v>166</v>
      </c>
      <c r="CA784" s="14" t="s">
        <v>166</v>
      </c>
      <c r="CB784" s="14" t="s">
        <v>166</v>
      </c>
      <c r="CC784" s="14" t="s">
        <v>166</v>
      </c>
      <c r="CD784" s="14" t="s">
        <v>166</v>
      </c>
      <c r="CE784" s="18" t="s">
        <v>166</v>
      </c>
      <c r="CF784" s="16" t="s">
        <v>166</v>
      </c>
      <c r="CG784" s="17" t="s">
        <v>166</v>
      </c>
      <c r="CH784" s="16" t="s">
        <v>166</v>
      </c>
      <c r="CI784" s="16" t="s">
        <v>166</v>
      </c>
      <c r="CJ784" s="16" t="s">
        <v>166</v>
      </c>
      <c r="CK784" s="16" t="s">
        <v>166</v>
      </c>
      <c r="CL784" s="16" t="s">
        <v>166</v>
      </c>
      <c r="CM784" s="20" t="s">
        <v>166</v>
      </c>
      <c r="CN784" s="16" t="s">
        <v>166</v>
      </c>
      <c r="CO784" s="16" t="s">
        <v>166</v>
      </c>
      <c r="CP784" s="16" t="s">
        <v>166</v>
      </c>
      <c r="CQ784" s="16" t="s">
        <v>166</v>
      </c>
      <c r="CR784" s="16" t="s">
        <v>166</v>
      </c>
      <c r="CS784" s="16" t="s">
        <v>166</v>
      </c>
      <c r="CT784" s="16" t="s">
        <v>166</v>
      </c>
      <c r="CU784" s="16" t="s">
        <v>166</v>
      </c>
      <c r="CV784" s="16" t="s">
        <v>166</v>
      </c>
      <c r="CW784" s="16" t="s">
        <v>166</v>
      </c>
      <c r="CX784" s="16" t="s">
        <v>166</v>
      </c>
      <c r="CY784" s="16" t="s">
        <v>166</v>
      </c>
      <c r="CZ784" s="16" t="s">
        <v>166</v>
      </c>
      <c r="DA784" s="16" t="s">
        <v>166</v>
      </c>
      <c r="DB784" s="16" t="s">
        <v>166</v>
      </c>
      <c r="DC784" s="16" t="s">
        <v>166</v>
      </c>
      <c r="DD784" s="16" t="s">
        <v>166</v>
      </c>
      <c r="DE784" s="17" t="s">
        <v>166</v>
      </c>
      <c r="DF784" s="22">
        <v>4</v>
      </c>
      <c r="DG784" s="14" t="s">
        <v>14992</v>
      </c>
      <c r="DH784" s="14" t="s">
        <v>193</v>
      </c>
      <c r="DI784" s="14" t="s">
        <v>194</v>
      </c>
      <c r="DJ784" s="14" t="s">
        <v>8035</v>
      </c>
      <c r="DK784" s="14" t="s">
        <v>2731</v>
      </c>
      <c r="DL784" s="21" t="s">
        <v>14993</v>
      </c>
      <c r="DM784" s="14" t="s">
        <v>198</v>
      </c>
      <c r="DN784" s="13" t="s">
        <v>14994</v>
      </c>
      <c r="DO784" s="20">
        <v>2013</v>
      </c>
      <c r="DP784" s="14" t="s">
        <v>166</v>
      </c>
      <c r="DQ784" s="14" t="s">
        <v>166</v>
      </c>
      <c r="DR784" s="18" t="s">
        <v>166</v>
      </c>
      <c r="DS784" s="16" t="s">
        <v>166</v>
      </c>
      <c r="DT784" s="19" t="s">
        <v>166</v>
      </c>
      <c r="DU784" s="14" t="s">
        <v>166</v>
      </c>
      <c r="DV784" s="18" t="s">
        <v>166</v>
      </c>
      <c r="DW784" s="18" t="s">
        <v>166</v>
      </c>
      <c r="DX784" s="16" t="s">
        <v>166</v>
      </c>
      <c r="DY784" s="16" t="s">
        <v>166</v>
      </c>
      <c r="DZ784" s="17" t="s">
        <v>166</v>
      </c>
      <c r="EA784" s="16" t="s">
        <v>166</v>
      </c>
      <c r="EB784" s="16" t="s">
        <v>166</v>
      </c>
      <c r="EC784" s="16" t="s">
        <v>166</v>
      </c>
      <c r="ED784" s="17" t="s">
        <v>166</v>
      </c>
      <c r="EE784" s="17" t="s">
        <v>166</v>
      </c>
      <c r="EF784" s="17" t="s">
        <v>166</v>
      </c>
      <c r="EG784" s="17" t="s">
        <v>166</v>
      </c>
      <c r="EH784" s="16" t="s">
        <v>166</v>
      </c>
      <c r="EI784" s="16" t="s">
        <v>166</v>
      </c>
      <c r="EJ784" s="16" t="s">
        <v>166</v>
      </c>
      <c r="EK784" s="16" t="s">
        <v>166</v>
      </c>
      <c r="EL784" s="16" t="s">
        <v>166</v>
      </c>
      <c r="EM784" s="16" t="s">
        <v>166</v>
      </c>
      <c r="EN784" s="16" t="s">
        <v>166</v>
      </c>
      <c r="EO784" s="16" t="s">
        <v>166</v>
      </c>
      <c r="EP784" s="16" t="s">
        <v>166</v>
      </c>
      <c r="EQ784" s="16" t="s">
        <v>166</v>
      </c>
      <c r="ER784" s="16" t="s">
        <v>166</v>
      </c>
      <c r="ES784" s="16" t="s">
        <v>166</v>
      </c>
      <c r="ET784" s="14" t="s">
        <v>166</v>
      </c>
      <c r="EU784" s="16" t="s">
        <v>166</v>
      </c>
      <c r="EV784" s="16" t="s">
        <v>166</v>
      </c>
      <c r="EW784" s="16" t="s">
        <v>166</v>
      </c>
      <c r="EX784" s="14" t="s">
        <v>190</v>
      </c>
      <c r="EY784" s="14" t="s">
        <v>166</v>
      </c>
      <c r="EZ784" s="16" t="s">
        <v>166</v>
      </c>
      <c r="FA784" s="15" t="s">
        <v>166</v>
      </c>
      <c r="FB784" s="15" t="s">
        <v>166</v>
      </c>
      <c r="FC784" s="15" t="s">
        <v>166</v>
      </c>
      <c r="FD784" s="15" t="s">
        <v>166</v>
      </c>
      <c r="FE784" s="15" t="s">
        <v>166</v>
      </c>
      <c r="FF784" s="15" t="s">
        <v>166</v>
      </c>
      <c r="FG784" s="14" t="s">
        <v>166</v>
      </c>
      <c r="FH784" s="3">
        <f>HYPERLINK("https://my.pitchbook.com?c=196519-51T","View Company Online")</f>
      </c>
    </row>
    <row r="785">
      <c r="A785" s="25" t="s">
        <v>14995</v>
      </c>
      <c r="B785" s="25" t="s">
        <v>14996</v>
      </c>
      <c r="C785" s="25" t="s">
        <v>14997</v>
      </c>
      <c r="D785" s="25" t="s">
        <v>166</v>
      </c>
      <c r="E785" s="34" t="s">
        <v>14998</v>
      </c>
      <c r="F785" s="32">
        <v>2</v>
      </c>
      <c r="G785" s="25" t="s">
        <v>166</v>
      </c>
      <c r="H785" s="25" t="s">
        <v>166</v>
      </c>
      <c r="I785" s="25" t="s">
        <v>14999</v>
      </c>
      <c r="J785" s="25" t="s">
        <v>15000</v>
      </c>
      <c r="K785" s="25" t="s">
        <v>207</v>
      </c>
      <c r="L785" s="25" t="s">
        <v>208</v>
      </c>
      <c r="M785" s="25" t="s">
        <v>296</v>
      </c>
      <c r="N785" s="25" t="s">
        <v>944</v>
      </c>
      <c r="O785" s="25" t="s">
        <v>1318</v>
      </c>
      <c r="P785" s="25" t="s">
        <v>15001</v>
      </c>
      <c r="Q785" s="25" t="s">
        <v>166</v>
      </c>
      <c r="R785" s="25" t="s">
        <v>177</v>
      </c>
      <c r="S785" s="25" t="s">
        <v>178</v>
      </c>
      <c r="T785" s="25" t="s">
        <v>179</v>
      </c>
      <c r="U785" s="25" t="s">
        <v>15002</v>
      </c>
      <c r="V785" s="25" t="s">
        <v>15003</v>
      </c>
      <c r="W785" s="32" t="s">
        <v>15004</v>
      </c>
      <c r="X785" s="25" t="s">
        <v>15005</v>
      </c>
      <c r="Y785" s="25" t="s">
        <v>15006</v>
      </c>
      <c r="Z785" s="25" t="s">
        <v>166</v>
      </c>
      <c r="AA785" s="25" t="s">
        <v>166</v>
      </c>
      <c r="AB785" s="25" t="s">
        <v>166</v>
      </c>
      <c r="AC785" s="25" t="s">
        <v>166</v>
      </c>
      <c r="AD785" s="25" t="s">
        <v>166</v>
      </c>
      <c r="AE785" s="25" t="s">
        <v>166</v>
      </c>
      <c r="AF785" s="25" t="s">
        <v>166</v>
      </c>
      <c r="AG785" s="25" t="s">
        <v>166</v>
      </c>
      <c r="AH785" s="32">
        <v>1</v>
      </c>
      <c r="AI785" s="4">
        <f>HYPERLINK("https://my.pitchbook.com/?d=194465-98T","194465-98T")</f>
      </c>
      <c r="AJ785" s="30" t="s">
        <v>166</v>
      </c>
      <c r="AK785" s="30">
        <v>44701</v>
      </c>
      <c r="AL785" s="29">
        <v>0.75</v>
      </c>
      <c r="AM785" s="25" t="s">
        <v>185</v>
      </c>
      <c r="AN785" s="29" t="s">
        <v>166</v>
      </c>
      <c r="AO785" s="29" t="s">
        <v>166</v>
      </c>
      <c r="AP785" s="25" t="s">
        <v>166</v>
      </c>
      <c r="AQ785" s="32" t="s">
        <v>166</v>
      </c>
      <c r="AR785" s="32" t="s">
        <v>166</v>
      </c>
      <c r="AS785" s="28" t="s">
        <v>166</v>
      </c>
      <c r="AT785" s="29">
        <v>0.75</v>
      </c>
      <c r="AU785" s="32" t="s">
        <v>186</v>
      </c>
      <c r="AV785" s="32" t="s">
        <v>166</v>
      </c>
      <c r="AW785" s="29" t="s">
        <v>166</v>
      </c>
      <c r="AX785" s="32" t="s">
        <v>166</v>
      </c>
      <c r="AY785" s="25" t="s">
        <v>217</v>
      </c>
      <c r="AZ785" s="25" t="s">
        <v>217</v>
      </c>
      <c r="BA785" s="25" t="s">
        <v>166</v>
      </c>
      <c r="BB785" s="32" t="s">
        <v>166</v>
      </c>
      <c r="BC785" s="25" t="s">
        <v>179</v>
      </c>
      <c r="BD785" s="25" t="s">
        <v>15000</v>
      </c>
      <c r="BE785" s="25" t="s">
        <v>189</v>
      </c>
      <c r="BF785" s="29">
        <v>0.75</v>
      </c>
      <c r="BG785" s="25" t="s">
        <v>190</v>
      </c>
      <c r="BH785" s="25" t="s">
        <v>166</v>
      </c>
      <c r="BI785" s="25" t="s">
        <v>166</v>
      </c>
      <c r="BJ785" s="29" t="s">
        <v>166</v>
      </c>
      <c r="BK785" s="29" t="s">
        <v>166</v>
      </c>
      <c r="BL785" s="25" t="s">
        <v>191</v>
      </c>
      <c r="BM785" s="25" t="s">
        <v>178</v>
      </c>
      <c r="BN785" s="25" t="s">
        <v>177</v>
      </c>
      <c r="BO785" s="33" t="s">
        <v>166</v>
      </c>
      <c r="BP785" s="25" t="s">
        <v>15007</v>
      </c>
      <c r="BQ785" s="32">
        <v>2</v>
      </c>
      <c r="BR785" s="25" t="s">
        <v>166</v>
      </c>
      <c r="BS785" s="32" t="s">
        <v>166</v>
      </c>
      <c r="BT785" s="25" t="s">
        <v>166</v>
      </c>
      <c r="BU785" s="25" t="s">
        <v>166</v>
      </c>
      <c r="BV785" s="25" t="s">
        <v>166</v>
      </c>
      <c r="BW785" s="25" t="s">
        <v>166</v>
      </c>
      <c r="BX785" s="25" t="s">
        <v>166</v>
      </c>
      <c r="BY785" s="25" t="s">
        <v>166</v>
      </c>
      <c r="BZ785" s="25" t="s">
        <v>166</v>
      </c>
      <c r="CA785" s="25" t="s">
        <v>166</v>
      </c>
      <c r="CB785" s="25" t="s">
        <v>166</v>
      </c>
      <c r="CC785" s="25" t="s">
        <v>166</v>
      </c>
      <c r="CD785" s="25" t="s">
        <v>166</v>
      </c>
      <c r="CE785" s="29" t="s">
        <v>166</v>
      </c>
      <c r="CF785" s="27" t="s">
        <v>166</v>
      </c>
      <c r="CG785" s="28" t="s">
        <v>166</v>
      </c>
      <c r="CH785" s="27" t="s">
        <v>166</v>
      </c>
      <c r="CI785" s="27" t="s">
        <v>166</v>
      </c>
      <c r="CJ785" s="27" t="s">
        <v>166</v>
      </c>
      <c r="CK785" s="27" t="s">
        <v>166</v>
      </c>
      <c r="CL785" s="27" t="s">
        <v>166</v>
      </c>
      <c r="CM785" s="31" t="s">
        <v>166</v>
      </c>
      <c r="CN785" s="27" t="s">
        <v>166</v>
      </c>
      <c r="CO785" s="27" t="s">
        <v>166</v>
      </c>
      <c r="CP785" s="27" t="s">
        <v>166</v>
      </c>
      <c r="CQ785" s="27" t="s">
        <v>166</v>
      </c>
      <c r="CR785" s="27" t="s">
        <v>166</v>
      </c>
      <c r="CS785" s="27" t="s">
        <v>166</v>
      </c>
      <c r="CT785" s="27" t="s">
        <v>166</v>
      </c>
      <c r="CU785" s="27" t="s">
        <v>166</v>
      </c>
      <c r="CV785" s="27" t="s">
        <v>166</v>
      </c>
      <c r="CW785" s="27" t="s">
        <v>166</v>
      </c>
      <c r="CX785" s="27" t="s">
        <v>166</v>
      </c>
      <c r="CY785" s="27" t="s">
        <v>166</v>
      </c>
      <c r="CZ785" s="27" t="s">
        <v>166</v>
      </c>
      <c r="DA785" s="27" t="s">
        <v>166</v>
      </c>
      <c r="DB785" s="27" t="s">
        <v>166</v>
      </c>
      <c r="DC785" s="27" t="s">
        <v>166</v>
      </c>
      <c r="DD785" s="27" t="s">
        <v>166</v>
      </c>
      <c r="DE785" s="28" t="s">
        <v>166</v>
      </c>
      <c r="DF785" s="33">
        <v>4</v>
      </c>
      <c r="DG785" s="25" t="s">
        <v>14272</v>
      </c>
      <c r="DH785" s="25" t="s">
        <v>193</v>
      </c>
      <c r="DI785" s="25" t="s">
        <v>194</v>
      </c>
      <c r="DJ785" s="25" t="s">
        <v>14273</v>
      </c>
      <c r="DK785" s="25" t="s">
        <v>386</v>
      </c>
      <c r="DL785" s="32" t="s">
        <v>166</v>
      </c>
      <c r="DM785" s="25" t="s">
        <v>198</v>
      </c>
      <c r="DN785" s="24" t="s">
        <v>15008</v>
      </c>
      <c r="DO785" s="31">
        <v>2018</v>
      </c>
      <c r="DP785" s="25" t="s">
        <v>166</v>
      </c>
      <c r="DQ785" s="25" t="s">
        <v>166</v>
      </c>
      <c r="DR785" s="29" t="s">
        <v>166</v>
      </c>
      <c r="DS785" s="27" t="s">
        <v>166</v>
      </c>
      <c r="DT785" s="30" t="s">
        <v>166</v>
      </c>
      <c r="DU785" s="25" t="s">
        <v>166</v>
      </c>
      <c r="DV785" s="29" t="s">
        <v>166</v>
      </c>
      <c r="DW785" s="29" t="s">
        <v>166</v>
      </c>
      <c r="DX785" s="27" t="s">
        <v>166</v>
      </c>
      <c r="DY785" s="27" t="s">
        <v>166</v>
      </c>
      <c r="DZ785" s="28" t="s">
        <v>166</v>
      </c>
      <c r="EA785" s="27" t="s">
        <v>166</v>
      </c>
      <c r="EB785" s="27" t="s">
        <v>166</v>
      </c>
      <c r="EC785" s="27" t="s">
        <v>166</v>
      </c>
      <c r="ED785" s="28" t="s">
        <v>166</v>
      </c>
      <c r="EE785" s="28" t="s">
        <v>166</v>
      </c>
      <c r="EF785" s="28" t="s">
        <v>166</v>
      </c>
      <c r="EG785" s="28" t="s">
        <v>166</v>
      </c>
      <c r="EH785" s="27" t="s">
        <v>166</v>
      </c>
      <c r="EI785" s="27" t="s">
        <v>166</v>
      </c>
      <c r="EJ785" s="27" t="s">
        <v>166</v>
      </c>
      <c r="EK785" s="27" t="s">
        <v>166</v>
      </c>
      <c r="EL785" s="27" t="s">
        <v>166</v>
      </c>
      <c r="EM785" s="27" t="s">
        <v>166</v>
      </c>
      <c r="EN785" s="27" t="s">
        <v>166</v>
      </c>
      <c r="EO785" s="27" t="s">
        <v>166</v>
      </c>
      <c r="EP785" s="27" t="s">
        <v>166</v>
      </c>
      <c r="EQ785" s="27" t="s">
        <v>166</v>
      </c>
      <c r="ER785" s="27" t="s">
        <v>166</v>
      </c>
      <c r="ES785" s="27" t="s">
        <v>166</v>
      </c>
      <c r="ET785" s="25" t="s">
        <v>166</v>
      </c>
      <c r="EU785" s="27" t="s">
        <v>166</v>
      </c>
      <c r="EV785" s="27" t="s">
        <v>166</v>
      </c>
      <c r="EW785" s="27" t="s">
        <v>166</v>
      </c>
      <c r="EX785" s="25" t="s">
        <v>190</v>
      </c>
      <c r="EY785" s="25" t="s">
        <v>166</v>
      </c>
      <c r="EZ785" s="27" t="s">
        <v>166</v>
      </c>
      <c r="FA785" s="26" t="s">
        <v>166</v>
      </c>
      <c r="FB785" s="26" t="s">
        <v>166</v>
      </c>
      <c r="FC785" s="26" t="s">
        <v>166</v>
      </c>
      <c r="FD785" s="26" t="s">
        <v>166</v>
      </c>
      <c r="FE785" s="26" t="s">
        <v>166</v>
      </c>
      <c r="FF785" s="26" t="s">
        <v>166</v>
      </c>
      <c r="FG785" s="25" t="s">
        <v>166</v>
      </c>
      <c r="FH785" s="4">
        <f>HYPERLINK("https://my.pitchbook.com?c=194465-98T","View Company Online")</f>
      </c>
    </row>
    <row r="786">
      <c r="A786" s="14" t="s">
        <v>15009</v>
      </c>
      <c r="B786" s="14" t="s">
        <v>15010</v>
      </c>
      <c r="C786" s="14" t="s">
        <v>15011</v>
      </c>
      <c r="D786" s="14" t="s">
        <v>166</v>
      </c>
      <c r="E786" s="23" t="s">
        <v>15012</v>
      </c>
      <c r="F786" s="21">
        <v>2</v>
      </c>
      <c r="G786" s="14" t="s">
        <v>15013</v>
      </c>
      <c r="H786" s="14" t="s">
        <v>166</v>
      </c>
      <c r="I786" s="14" t="s">
        <v>15014</v>
      </c>
      <c r="J786" s="14" t="s">
        <v>15015</v>
      </c>
      <c r="K786" s="14" t="s">
        <v>171</v>
      </c>
      <c r="L786" s="14" t="s">
        <v>172</v>
      </c>
      <c r="M786" s="14" t="s">
        <v>173</v>
      </c>
      <c r="N786" s="14" t="s">
        <v>2890</v>
      </c>
      <c r="O786" s="14" t="s">
        <v>665</v>
      </c>
      <c r="P786" s="14" t="s">
        <v>15016</v>
      </c>
      <c r="Q786" s="14" t="s">
        <v>166</v>
      </c>
      <c r="R786" s="14" t="s">
        <v>177</v>
      </c>
      <c r="S786" s="14" t="s">
        <v>178</v>
      </c>
      <c r="T786" s="14" t="s">
        <v>179</v>
      </c>
      <c r="U786" s="14" t="s">
        <v>15017</v>
      </c>
      <c r="V786" s="14" t="s">
        <v>15018</v>
      </c>
      <c r="W786" s="21" t="s">
        <v>15019</v>
      </c>
      <c r="X786" s="14" t="s">
        <v>15020</v>
      </c>
      <c r="Y786" s="14" t="s">
        <v>15021</v>
      </c>
      <c r="Z786" s="14" t="s">
        <v>15022</v>
      </c>
      <c r="AA786" s="14" t="s">
        <v>166</v>
      </c>
      <c r="AB786" s="14" t="s">
        <v>166</v>
      </c>
      <c r="AC786" s="14" t="s">
        <v>166</v>
      </c>
      <c r="AD786" s="14" t="s">
        <v>166</v>
      </c>
      <c r="AE786" s="14" t="s">
        <v>166</v>
      </c>
      <c r="AF786" s="14" t="s">
        <v>166</v>
      </c>
      <c r="AG786" s="14" t="s">
        <v>166</v>
      </c>
      <c r="AH786" s="21">
        <v>1</v>
      </c>
      <c r="AI786" s="3">
        <f>HYPERLINK("https://my.pitchbook.com/?d=214331-68T","214331-68T")</f>
      </c>
      <c r="AJ786" s="19" t="s">
        <v>166</v>
      </c>
      <c r="AK786" s="19">
        <v>44148</v>
      </c>
      <c r="AL786" s="18">
        <v>7.3</v>
      </c>
      <c r="AM786" s="14" t="s">
        <v>185</v>
      </c>
      <c r="AN786" s="18">
        <v>70</v>
      </c>
      <c r="AO786" s="18">
        <v>77.3</v>
      </c>
      <c r="AP786" s="14" t="s">
        <v>185</v>
      </c>
      <c r="AQ786" s="21" t="s">
        <v>166</v>
      </c>
      <c r="AR786" s="21" t="s">
        <v>166</v>
      </c>
      <c r="AS786" s="17">
        <v>9.44</v>
      </c>
      <c r="AT786" s="18">
        <v>7.3</v>
      </c>
      <c r="AU786" s="21" t="s">
        <v>186</v>
      </c>
      <c r="AV786" s="21" t="s">
        <v>166</v>
      </c>
      <c r="AW786" s="18" t="s">
        <v>166</v>
      </c>
      <c r="AX786" s="21" t="s">
        <v>166</v>
      </c>
      <c r="AY786" s="14" t="s">
        <v>217</v>
      </c>
      <c r="AZ786" s="14" t="s">
        <v>217</v>
      </c>
      <c r="BA786" s="14" t="s">
        <v>166</v>
      </c>
      <c r="BB786" s="21" t="s">
        <v>166</v>
      </c>
      <c r="BC786" s="14" t="s">
        <v>179</v>
      </c>
      <c r="BD786" s="14" t="s">
        <v>15023</v>
      </c>
      <c r="BE786" s="14" t="s">
        <v>189</v>
      </c>
      <c r="BF786" s="18">
        <v>7.3</v>
      </c>
      <c r="BG786" s="14" t="s">
        <v>190</v>
      </c>
      <c r="BH786" s="14" t="s">
        <v>166</v>
      </c>
      <c r="BI786" s="14" t="s">
        <v>166</v>
      </c>
      <c r="BJ786" s="18" t="s">
        <v>166</v>
      </c>
      <c r="BK786" s="18" t="s">
        <v>166</v>
      </c>
      <c r="BL786" s="14" t="s">
        <v>191</v>
      </c>
      <c r="BM786" s="14" t="s">
        <v>358</v>
      </c>
      <c r="BN786" s="14" t="s">
        <v>177</v>
      </c>
      <c r="BO786" s="22" t="s">
        <v>166</v>
      </c>
      <c r="BP786" s="14" t="s">
        <v>15012</v>
      </c>
      <c r="BQ786" s="21">
        <v>2</v>
      </c>
      <c r="BR786" s="14" t="s">
        <v>166</v>
      </c>
      <c r="BS786" s="21" t="s">
        <v>166</v>
      </c>
      <c r="BT786" s="14" t="s">
        <v>15012</v>
      </c>
      <c r="BU786" s="14" t="s">
        <v>166</v>
      </c>
      <c r="BV786" s="14" t="s">
        <v>166</v>
      </c>
      <c r="BW786" s="14" t="s">
        <v>166</v>
      </c>
      <c r="BX786" s="14" t="s">
        <v>166</v>
      </c>
      <c r="BY786" s="14" t="s">
        <v>166</v>
      </c>
      <c r="BZ786" s="14" t="s">
        <v>166</v>
      </c>
      <c r="CA786" s="14" t="s">
        <v>166</v>
      </c>
      <c r="CB786" s="14" t="s">
        <v>166</v>
      </c>
      <c r="CC786" s="14" t="s">
        <v>166</v>
      </c>
      <c r="CD786" s="14" t="s">
        <v>166</v>
      </c>
      <c r="CE786" s="18" t="s">
        <v>166</v>
      </c>
      <c r="CF786" s="16" t="s">
        <v>166</v>
      </c>
      <c r="CG786" s="17" t="s">
        <v>166</v>
      </c>
      <c r="CH786" s="16" t="s">
        <v>166</v>
      </c>
      <c r="CI786" s="16" t="s">
        <v>166</v>
      </c>
      <c r="CJ786" s="16" t="s">
        <v>166</v>
      </c>
      <c r="CK786" s="16" t="s">
        <v>166</v>
      </c>
      <c r="CL786" s="16" t="s">
        <v>166</v>
      </c>
      <c r="CM786" s="20" t="s">
        <v>166</v>
      </c>
      <c r="CN786" s="16" t="s">
        <v>166</v>
      </c>
      <c r="CO786" s="16" t="s">
        <v>166</v>
      </c>
      <c r="CP786" s="16" t="s">
        <v>166</v>
      </c>
      <c r="CQ786" s="16" t="s">
        <v>166</v>
      </c>
      <c r="CR786" s="16" t="s">
        <v>166</v>
      </c>
      <c r="CS786" s="16" t="s">
        <v>166</v>
      </c>
      <c r="CT786" s="16" t="s">
        <v>166</v>
      </c>
      <c r="CU786" s="16" t="s">
        <v>166</v>
      </c>
      <c r="CV786" s="16" t="s">
        <v>166</v>
      </c>
      <c r="CW786" s="16" t="s">
        <v>166</v>
      </c>
      <c r="CX786" s="16" t="s">
        <v>166</v>
      </c>
      <c r="CY786" s="16" t="s">
        <v>166</v>
      </c>
      <c r="CZ786" s="16" t="s">
        <v>166</v>
      </c>
      <c r="DA786" s="16" t="s">
        <v>166</v>
      </c>
      <c r="DB786" s="16" t="s">
        <v>166</v>
      </c>
      <c r="DC786" s="16" t="s">
        <v>166</v>
      </c>
      <c r="DD786" s="16" t="s">
        <v>166</v>
      </c>
      <c r="DE786" s="17" t="s">
        <v>166</v>
      </c>
      <c r="DF786" s="22">
        <v>29</v>
      </c>
      <c r="DG786" s="14" t="s">
        <v>309</v>
      </c>
      <c r="DH786" s="14" t="s">
        <v>193</v>
      </c>
      <c r="DI786" s="14" t="s">
        <v>194</v>
      </c>
      <c r="DJ786" s="14" t="s">
        <v>310</v>
      </c>
      <c r="DK786" s="14" t="s">
        <v>310</v>
      </c>
      <c r="DL786" s="21" t="s">
        <v>1910</v>
      </c>
      <c r="DM786" s="14" t="s">
        <v>198</v>
      </c>
      <c r="DN786" s="13" t="s">
        <v>15024</v>
      </c>
      <c r="DO786" s="20">
        <v>2020</v>
      </c>
      <c r="DP786" s="14" t="s">
        <v>166</v>
      </c>
      <c r="DQ786" s="14" t="s">
        <v>166</v>
      </c>
      <c r="DR786" s="18" t="s">
        <v>166</v>
      </c>
      <c r="DS786" s="16" t="s">
        <v>166</v>
      </c>
      <c r="DT786" s="19" t="s">
        <v>166</v>
      </c>
      <c r="DU786" s="14" t="s">
        <v>166</v>
      </c>
      <c r="DV786" s="18" t="s">
        <v>166</v>
      </c>
      <c r="DW786" s="18" t="s">
        <v>166</v>
      </c>
      <c r="DX786" s="16" t="s">
        <v>166</v>
      </c>
      <c r="DY786" s="16" t="s">
        <v>166</v>
      </c>
      <c r="DZ786" s="17" t="s">
        <v>166</v>
      </c>
      <c r="EA786" s="16" t="s">
        <v>166</v>
      </c>
      <c r="EB786" s="16" t="s">
        <v>166</v>
      </c>
      <c r="EC786" s="16" t="s">
        <v>166</v>
      </c>
      <c r="ED786" s="17" t="s">
        <v>166</v>
      </c>
      <c r="EE786" s="17" t="s">
        <v>166</v>
      </c>
      <c r="EF786" s="17" t="s">
        <v>166</v>
      </c>
      <c r="EG786" s="17" t="s">
        <v>166</v>
      </c>
      <c r="EH786" s="16" t="s">
        <v>166</v>
      </c>
      <c r="EI786" s="16" t="s">
        <v>166</v>
      </c>
      <c r="EJ786" s="16" t="s">
        <v>166</v>
      </c>
      <c r="EK786" s="16" t="s">
        <v>166</v>
      </c>
      <c r="EL786" s="16" t="s">
        <v>166</v>
      </c>
      <c r="EM786" s="16" t="s">
        <v>166</v>
      </c>
      <c r="EN786" s="16" t="s">
        <v>166</v>
      </c>
      <c r="EO786" s="16" t="s">
        <v>166</v>
      </c>
      <c r="EP786" s="16" t="s">
        <v>166</v>
      </c>
      <c r="EQ786" s="16" t="s">
        <v>166</v>
      </c>
      <c r="ER786" s="16" t="s">
        <v>166</v>
      </c>
      <c r="ES786" s="16" t="s">
        <v>166</v>
      </c>
      <c r="ET786" s="14" t="s">
        <v>166</v>
      </c>
      <c r="EU786" s="16" t="s">
        <v>166</v>
      </c>
      <c r="EV786" s="16" t="s">
        <v>166</v>
      </c>
      <c r="EW786" s="16" t="s">
        <v>166</v>
      </c>
      <c r="EX786" s="14" t="s">
        <v>190</v>
      </c>
      <c r="EY786" s="14" t="s">
        <v>166</v>
      </c>
      <c r="EZ786" s="16" t="s">
        <v>166</v>
      </c>
      <c r="FA786" s="15" t="s">
        <v>166</v>
      </c>
      <c r="FB786" s="15" t="s">
        <v>166</v>
      </c>
      <c r="FC786" s="15" t="s">
        <v>166</v>
      </c>
      <c r="FD786" s="15" t="s">
        <v>166</v>
      </c>
      <c r="FE786" s="15" t="s">
        <v>166</v>
      </c>
      <c r="FF786" s="15" t="s">
        <v>166</v>
      </c>
      <c r="FG786" s="14" t="s">
        <v>166</v>
      </c>
      <c r="FH786" s="3">
        <f>HYPERLINK("https://my.pitchbook.com?c=214331-68T","View Company Online")</f>
      </c>
    </row>
    <row r="787">
      <c r="A787" s="25" t="s">
        <v>15025</v>
      </c>
      <c r="B787" s="25" t="s">
        <v>15026</v>
      </c>
      <c r="C787" s="25" t="s">
        <v>15027</v>
      </c>
      <c r="D787" s="25" t="s">
        <v>166</v>
      </c>
      <c r="E787" s="34" t="s">
        <v>15028</v>
      </c>
      <c r="F787" s="32">
        <v>14</v>
      </c>
      <c r="G787" s="25" t="s">
        <v>15029</v>
      </c>
      <c r="H787" s="25" t="s">
        <v>166</v>
      </c>
      <c r="I787" s="25" t="s">
        <v>15030</v>
      </c>
      <c r="J787" s="25" t="s">
        <v>15031</v>
      </c>
      <c r="K787" s="25" t="s">
        <v>207</v>
      </c>
      <c r="L787" s="25" t="s">
        <v>208</v>
      </c>
      <c r="M787" s="25" t="s">
        <v>209</v>
      </c>
      <c r="N787" s="25" t="s">
        <v>15032</v>
      </c>
      <c r="O787" s="25" t="s">
        <v>15033</v>
      </c>
      <c r="P787" s="25" t="s">
        <v>15034</v>
      </c>
      <c r="Q787" s="25" t="s">
        <v>166</v>
      </c>
      <c r="R787" s="25" t="s">
        <v>177</v>
      </c>
      <c r="S787" s="25" t="s">
        <v>178</v>
      </c>
      <c r="T787" s="25" t="s">
        <v>179</v>
      </c>
      <c r="U787" s="25" t="s">
        <v>15035</v>
      </c>
      <c r="V787" s="25" t="s">
        <v>15036</v>
      </c>
      <c r="W787" s="32" t="s">
        <v>15037</v>
      </c>
      <c r="X787" s="25" t="s">
        <v>15038</v>
      </c>
      <c r="Y787" s="25" t="s">
        <v>15039</v>
      </c>
      <c r="Z787" s="25" t="s">
        <v>15040</v>
      </c>
      <c r="AA787" s="25" t="s">
        <v>242</v>
      </c>
      <c r="AB787" s="25" t="s">
        <v>243</v>
      </c>
      <c r="AC787" s="25" t="s">
        <v>244</v>
      </c>
      <c r="AD787" s="25" t="s">
        <v>166</v>
      </c>
      <c r="AE787" s="25" t="s">
        <v>166</v>
      </c>
      <c r="AF787" s="25" t="s">
        <v>245</v>
      </c>
      <c r="AG787" s="25" t="s">
        <v>246</v>
      </c>
      <c r="AH787" s="32">
        <v>5</v>
      </c>
      <c r="AI787" s="4">
        <f>HYPERLINK("https://my.pitchbook.com/?d=168354-73T","168354-73T")</f>
      </c>
      <c r="AJ787" s="30" t="s">
        <v>166</v>
      </c>
      <c r="AK787" s="30">
        <v>44266</v>
      </c>
      <c r="AL787" s="29">
        <v>0.51</v>
      </c>
      <c r="AM787" s="25" t="s">
        <v>247</v>
      </c>
      <c r="AN787" s="29">
        <v>1</v>
      </c>
      <c r="AO787" s="29">
        <v>1.51</v>
      </c>
      <c r="AP787" s="25" t="s">
        <v>185</v>
      </c>
      <c r="AQ787" s="32" t="s">
        <v>166</v>
      </c>
      <c r="AR787" s="32" t="s">
        <v>166</v>
      </c>
      <c r="AS787" s="28">
        <v>33.77</v>
      </c>
      <c r="AT787" s="29">
        <v>0.63</v>
      </c>
      <c r="AU787" s="32" t="s">
        <v>186</v>
      </c>
      <c r="AV787" s="32" t="s">
        <v>166</v>
      </c>
      <c r="AW787" s="29">
        <v>3.18</v>
      </c>
      <c r="AX787" s="32" t="s">
        <v>166</v>
      </c>
      <c r="AY787" s="25" t="s">
        <v>217</v>
      </c>
      <c r="AZ787" s="25" t="s">
        <v>217</v>
      </c>
      <c r="BA787" s="25" t="s">
        <v>166</v>
      </c>
      <c r="BB787" s="32" t="s">
        <v>166</v>
      </c>
      <c r="BC787" s="25" t="s">
        <v>179</v>
      </c>
      <c r="BD787" s="25" t="s">
        <v>15041</v>
      </c>
      <c r="BE787" s="25" t="s">
        <v>189</v>
      </c>
      <c r="BF787" s="29">
        <v>0.51</v>
      </c>
      <c r="BG787" s="25" t="s">
        <v>190</v>
      </c>
      <c r="BH787" s="25" t="s">
        <v>166</v>
      </c>
      <c r="BI787" s="25" t="s">
        <v>166</v>
      </c>
      <c r="BJ787" s="29" t="s">
        <v>166</v>
      </c>
      <c r="BK787" s="29" t="s">
        <v>166</v>
      </c>
      <c r="BL787" s="25" t="s">
        <v>191</v>
      </c>
      <c r="BM787" s="25" t="s">
        <v>178</v>
      </c>
      <c r="BN787" s="25" t="s">
        <v>177</v>
      </c>
      <c r="BO787" s="33" t="s">
        <v>166</v>
      </c>
      <c r="BP787" s="25" t="s">
        <v>15042</v>
      </c>
      <c r="BQ787" s="32">
        <v>13</v>
      </c>
      <c r="BR787" s="25" t="s">
        <v>914</v>
      </c>
      <c r="BS787" s="32">
        <v>1</v>
      </c>
      <c r="BT787" s="25" t="s">
        <v>166</v>
      </c>
      <c r="BU787" s="25" t="s">
        <v>166</v>
      </c>
      <c r="BV787" s="25" t="s">
        <v>166</v>
      </c>
      <c r="BW787" s="25" t="s">
        <v>166</v>
      </c>
      <c r="BX787" s="25" t="s">
        <v>166</v>
      </c>
      <c r="BY787" s="25" t="s">
        <v>166</v>
      </c>
      <c r="BZ787" s="25" t="s">
        <v>15043</v>
      </c>
      <c r="CA787" s="25" t="s">
        <v>15043</v>
      </c>
      <c r="CB787" s="25" t="s">
        <v>166</v>
      </c>
      <c r="CC787" s="25" t="s">
        <v>166</v>
      </c>
      <c r="CD787" s="25" t="s">
        <v>166</v>
      </c>
      <c r="CE787" s="29" t="s">
        <v>166</v>
      </c>
      <c r="CF787" s="27" t="s">
        <v>166</v>
      </c>
      <c r="CG787" s="28" t="s">
        <v>166</v>
      </c>
      <c r="CH787" s="27" t="s">
        <v>166</v>
      </c>
      <c r="CI787" s="27" t="s">
        <v>166</v>
      </c>
      <c r="CJ787" s="27" t="s">
        <v>166</v>
      </c>
      <c r="CK787" s="27" t="s">
        <v>166</v>
      </c>
      <c r="CL787" s="27" t="s">
        <v>166</v>
      </c>
      <c r="CM787" s="31" t="s">
        <v>166</v>
      </c>
      <c r="CN787" s="27" t="s">
        <v>166</v>
      </c>
      <c r="CO787" s="27" t="s">
        <v>166</v>
      </c>
      <c r="CP787" s="27" t="s">
        <v>166</v>
      </c>
      <c r="CQ787" s="27" t="s">
        <v>166</v>
      </c>
      <c r="CR787" s="27" t="s">
        <v>166</v>
      </c>
      <c r="CS787" s="27" t="s">
        <v>166</v>
      </c>
      <c r="CT787" s="27" t="s">
        <v>166</v>
      </c>
      <c r="CU787" s="27" t="s">
        <v>166</v>
      </c>
      <c r="CV787" s="27" t="s">
        <v>166</v>
      </c>
      <c r="CW787" s="27" t="s">
        <v>166</v>
      </c>
      <c r="CX787" s="27" t="s">
        <v>166</v>
      </c>
      <c r="CY787" s="27" t="s">
        <v>166</v>
      </c>
      <c r="CZ787" s="27" t="s">
        <v>166</v>
      </c>
      <c r="DA787" s="27" t="s">
        <v>166</v>
      </c>
      <c r="DB787" s="27" t="s">
        <v>166</v>
      </c>
      <c r="DC787" s="27" t="s">
        <v>166</v>
      </c>
      <c r="DD787" s="27" t="s">
        <v>166</v>
      </c>
      <c r="DE787" s="28" t="s">
        <v>166</v>
      </c>
      <c r="DF787" s="33">
        <v>31</v>
      </c>
      <c r="DG787" s="25" t="s">
        <v>2481</v>
      </c>
      <c r="DH787" s="25" t="s">
        <v>193</v>
      </c>
      <c r="DI787" s="25" t="s">
        <v>194</v>
      </c>
      <c r="DJ787" s="25" t="s">
        <v>2482</v>
      </c>
      <c r="DK787" s="25" t="s">
        <v>257</v>
      </c>
      <c r="DL787" s="32" t="s">
        <v>2483</v>
      </c>
      <c r="DM787" s="25" t="s">
        <v>198</v>
      </c>
      <c r="DN787" s="24" t="s">
        <v>15044</v>
      </c>
      <c r="DO787" s="31">
        <v>2013</v>
      </c>
      <c r="DP787" s="25" t="s">
        <v>166</v>
      </c>
      <c r="DQ787" s="25" t="s">
        <v>166</v>
      </c>
      <c r="DR787" s="29" t="s">
        <v>166</v>
      </c>
      <c r="DS787" s="27" t="s">
        <v>166</v>
      </c>
      <c r="DT787" s="30" t="s">
        <v>166</v>
      </c>
      <c r="DU787" s="25" t="s">
        <v>166</v>
      </c>
      <c r="DV787" s="29" t="s">
        <v>166</v>
      </c>
      <c r="DW787" s="29" t="s">
        <v>166</v>
      </c>
      <c r="DX787" s="27" t="s">
        <v>166</v>
      </c>
      <c r="DY787" s="27" t="s">
        <v>166</v>
      </c>
      <c r="DZ787" s="28" t="s">
        <v>166</v>
      </c>
      <c r="EA787" s="27" t="s">
        <v>166</v>
      </c>
      <c r="EB787" s="27" t="s">
        <v>166</v>
      </c>
      <c r="EC787" s="27" t="s">
        <v>166</v>
      </c>
      <c r="ED787" s="28" t="s">
        <v>166</v>
      </c>
      <c r="EE787" s="28" t="s">
        <v>166</v>
      </c>
      <c r="EF787" s="28" t="s">
        <v>166</v>
      </c>
      <c r="EG787" s="28" t="s">
        <v>166</v>
      </c>
      <c r="EH787" s="27" t="s">
        <v>166</v>
      </c>
      <c r="EI787" s="27" t="s">
        <v>166</v>
      </c>
      <c r="EJ787" s="27" t="s">
        <v>166</v>
      </c>
      <c r="EK787" s="27" t="s">
        <v>166</v>
      </c>
      <c r="EL787" s="27" t="s">
        <v>166</v>
      </c>
      <c r="EM787" s="27" t="s">
        <v>166</v>
      </c>
      <c r="EN787" s="27" t="s">
        <v>166</v>
      </c>
      <c r="EO787" s="27" t="s">
        <v>166</v>
      </c>
      <c r="EP787" s="27" t="s">
        <v>166</v>
      </c>
      <c r="EQ787" s="27" t="s">
        <v>166</v>
      </c>
      <c r="ER787" s="27" t="s">
        <v>166</v>
      </c>
      <c r="ES787" s="27" t="s">
        <v>166</v>
      </c>
      <c r="ET787" s="25" t="s">
        <v>166</v>
      </c>
      <c r="EU787" s="27" t="s">
        <v>166</v>
      </c>
      <c r="EV787" s="27" t="s">
        <v>166</v>
      </c>
      <c r="EW787" s="27" t="s">
        <v>166</v>
      </c>
      <c r="EX787" s="25" t="s">
        <v>190</v>
      </c>
      <c r="EY787" s="25" t="s">
        <v>166</v>
      </c>
      <c r="EZ787" s="27" t="s">
        <v>166</v>
      </c>
      <c r="FA787" s="26">
        <v>3</v>
      </c>
      <c r="FB787" s="26">
        <v>1</v>
      </c>
      <c r="FC787" s="26">
        <v>2</v>
      </c>
      <c r="FD787" s="26" t="s">
        <v>166</v>
      </c>
      <c r="FE787" s="26" t="s">
        <v>166</v>
      </c>
      <c r="FF787" s="26">
        <v>1</v>
      </c>
      <c r="FG787" s="25" t="s">
        <v>457</v>
      </c>
      <c r="FH787" s="4">
        <f>HYPERLINK("https://my.pitchbook.com?c=168354-73T","View Company Online")</f>
      </c>
    </row>
    <row r="788">
      <c r="A788" s="14" t="s">
        <v>15045</v>
      </c>
      <c r="B788" s="14" t="s">
        <v>15046</v>
      </c>
      <c r="C788" s="14" t="s">
        <v>15047</v>
      </c>
      <c r="D788" s="14" t="s">
        <v>166</v>
      </c>
      <c r="E788" s="23" t="s">
        <v>15048</v>
      </c>
      <c r="F788" s="21">
        <v>1</v>
      </c>
      <c r="G788" s="14" t="s">
        <v>15049</v>
      </c>
      <c r="H788" s="14" t="s">
        <v>166</v>
      </c>
      <c r="I788" s="14" t="s">
        <v>15050</v>
      </c>
      <c r="J788" s="14" t="s">
        <v>15051</v>
      </c>
      <c r="K788" s="14" t="s">
        <v>207</v>
      </c>
      <c r="L788" s="14" t="s">
        <v>208</v>
      </c>
      <c r="M788" s="14" t="s">
        <v>639</v>
      </c>
      <c r="N788" s="14" t="s">
        <v>8769</v>
      </c>
      <c r="O788" s="14" t="s">
        <v>1842</v>
      </c>
      <c r="P788" s="14" t="s">
        <v>15052</v>
      </c>
      <c r="Q788" s="14" t="s">
        <v>166</v>
      </c>
      <c r="R788" s="14" t="s">
        <v>177</v>
      </c>
      <c r="S788" s="14" t="s">
        <v>178</v>
      </c>
      <c r="T788" s="14" t="s">
        <v>179</v>
      </c>
      <c r="U788" s="14" t="s">
        <v>15053</v>
      </c>
      <c r="V788" s="14" t="s">
        <v>15054</v>
      </c>
      <c r="W788" s="21" t="s">
        <v>166</v>
      </c>
      <c r="X788" s="14" t="s">
        <v>15055</v>
      </c>
      <c r="Y788" s="14" t="s">
        <v>15056</v>
      </c>
      <c r="Z788" s="14" t="s">
        <v>166</v>
      </c>
      <c r="AA788" s="14" t="s">
        <v>166</v>
      </c>
      <c r="AB788" s="14" t="s">
        <v>166</v>
      </c>
      <c r="AC788" s="14" t="s">
        <v>166</v>
      </c>
      <c r="AD788" s="14" t="s">
        <v>166</v>
      </c>
      <c r="AE788" s="14" t="s">
        <v>166</v>
      </c>
      <c r="AF788" s="14" t="s">
        <v>166</v>
      </c>
      <c r="AG788" s="14" t="s">
        <v>166</v>
      </c>
      <c r="AH788" s="21">
        <v>1</v>
      </c>
      <c r="AI788" s="3">
        <f>HYPERLINK("https://my.pitchbook.com/?d=190949-50T","190949-50T")</f>
      </c>
      <c r="AJ788" s="19" t="s">
        <v>166</v>
      </c>
      <c r="AK788" s="19">
        <v>44644</v>
      </c>
      <c r="AL788" s="18">
        <v>0.25</v>
      </c>
      <c r="AM788" s="14" t="s">
        <v>185</v>
      </c>
      <c r="AN788" s="18" t="s">
        <v>166</v>
      </c>
      <c r="AO788" s="18" t="s">
        <v>166</v>
      </c>
      <c r="AP788" s="14" t="s">
        <v>166</v>
      </c>
      <c r="AQ788" s="21" t="s">
        <v>166</v>
      </c>
      <c r="AR788" s="21" t="s">
        <v>166</v>
      </c>
      <c r="AS788" s="17" t="s">
        <v>166</v>
      </c>
      <c r="AT788" s="18">
        <v>0.25</v>
      </c>
      <c r="AU788" s="21" t="s">
        <v>186</v>
      </c>
      <c r="AV788" s="21" t="s">
        <v>166</v>
      </c>
      <c r="AW788" s="18" t="s">
        <v>166</v>
      </c>
      <c r="AX788" s="21" t="s">
        <v>166</v>
      </c>
      <c r="AY788" s="14" t="s">
        <v>217</v>
      </c>
      <c r="AZ788" s="14" t="s">
        <v>217</v>
      </c>
      <c r="BA788" s="14" t="s">
        <v>166</v>
      </c>
      <c r="BB788" s="21" t="s">
        <v>166</v>
      </c>
      <c r="BC788" s="14" t="s">
        <v>179</v>
      </c>
      <c r="BD788" s="14" t="s">
        <v>15051</v>
      </c>
      <c r="BE788" s="14" t="s">
        <v>189</v>
      </c>
      <c r="BF788" s="18">
        <v>0.25</v>
      </c>
      <c r="BG788" s="14" t="s">
        <v>190</v>
      </c>
      <c r="BH788" s="14" t="s">
        <v>166</v>
      </c>
      <c r="BI788" s="14" t="s">
        <v>166</v>
      </c>
      <c r="BJ788" s="18" t="s">
        <v>166</v>
      </c>
      <c r="BK788" s="18" t="s">
        <v>166</v>
      </c>
      <c r="BL788" s="14" t="s">
        <v>191</v>
      </c>
      <c r="BM788" s="14" t="s">
        <v>178</v>
      </c>
      <c r="BN788" s="14" t="s">
        <v>177</v>
      </c>
      <c r="BO788" s="22" t="s">
        <v>166</v>
      </c>
      <c r="BP788" s="14" t="s">
        <v>15057</v>
      </c>
      <c r="BQ788" s="21">
        <v>1</v>
      </c>
      <c r="BR788" s="14" t="s">
        <v>166</v>
      </c>
      <c r="BS788" s="21" t="s">
        <v>166</v>
      </c>
      <c r="BT788" s="14" t="s">
        <v>166</v>
      </c>
      <c r="BU788" s="14" t="s">
        <v>166</v>
      </c>
      <c r="BV788" s="14" t="s">
        <v>166</v>
      </c>
      <c r="BW788" s="14" t="s">
        <v>166</v>
      </c>
      <c r="BX788" s="14" t="s">
        <v>166</v>
      </c>
      <c r="BY788" s="14" t="s">
        <v>166</v>
      </c>
      <c r="BZ788" s="14" t="s">
        <v>166</v>
      </c>
      <c r="CA788" s="14" t="s">
        <v>166</v>
      </c>
      <c r="CB788" s="14" t="s">
        <v>166</v>
      </c>
      <c r="CC788" s="14" t="s">
        <v>166</v>
      </c>
      <c r="CD788" s="14" t="s">
        <v>166</v>
      </c>
      <c r="CE788" s="18" t="s">
        <v>166</v>
      </c>
      <c r="CF788" s="16" t="s">
        <v>166</v>
      </c>
      <c r="CG788" s="17" t="s">
        <v>166</v>
      </c>
      <c r="CH788" s="16" t="s">
        <v>166</v>
      </c>
      <c r="CI788" s="16" t="s">
        <v>166</v>
      </c>
      <c r="CJ788" s="16" t="s">
        <v>166</v>
      </c>
      <c r="CK788" s="16" t="s">
        <v>166</v>
      </c>
      <c r="CL788" s="16" t="s">
        <v>166</v>
      </c>
      <c r="CM788" s="20" t="s">
        <v>166</v>
      </c>
      <c r="CN788" s="16" t="s">
        <v>166</v>
      </c>
      <c r="CO788" s="16" t="s">
        <v>166</v>
      </c>
      <c r="CP788" s="16" t="s">
        <v>166</v>
      </c>
      <c r="CQ788" s="16" t="s">
        <v>166</v>
      </c>
      <c r="CR788" s="16" t="s">
        <v>166</v>
      </c>
      <c r="CS788" s="16" t="s">
        <v>166</v>
      </c>
      <c r="CT788" s="16" t="s">
        <v>166</v>
      </c>
      <c r="CU788" s="16" t="s">
        <v>166</v>
      </c>
      <c r="CV788" s="16" t="s">
        <v>166</v>
      </c>
      <c r="CW788" s="16" t="s">
        <v>166</v>
      </c>
      <c r="CX788" s="16" t="s">
        <v>166</v>
      </c>
      <c r="CY788" s="16" t="s">
        <v>166</v>
      </c>
      <c r="CZ788" s="16" t="s">
        <v>166</v>
      </c>
      <c r="DA788" s="16" t="s">
        <v>166</v>
      </c>
      <c r="DB788" s="16" t="s">
        <v>166</v>
      </c>
      <c r="DC788" s="16" t="s">
        <v>166</v>
      </c>
      <c r="DD788" s="16" t="s">
        <v>166</v>
      </c>
      <c r="DE788" s="17" t="s">
        <v>166</v>
      </c>
      <c r="DF788" s="22" t="s">
        <v>166</v>
      </c>
      <c r="DG788" s="14" t="s">
        <v>1540</v>
      </c>
      <c r="DH788" s="14" t="s">
        <v>193</v>
      </c>
      <c r="DI788" s="14" t="s">
        <v>194</v>
      </c>
      <c r="DJ788" s="14" t="s">
        <v>1541</v>
      </c>
      <c r="DK788" s="14" t="s">
        <v>257</v>
      </c>
      <c r="DL788" s="21" t="s">
        <v>166</v>
      </c>
      <c r="DM788" s="14" t="s">
        <v>198</v>
      </c>
      <c r="DN788" s="13" t="s">
        <v>15058</v>
      </c>
      <c r="DO788" s="20">
        <v>2021</v>
      </c>
      <c r="DP788" s="14" t="s">
        <v>166</v>
      </c>
      <c r="DQ788" s="14" t="s">
        <v>166</v>
      </c>
      <c r="DR788" s="18" t="s">
        <v>166</v>
      </c>
      <c r="DS788" s="16" t="s">
        <v>166</v>
      </c>
      <c r="DT788" s="19" t="s">
        <v>166</v>
      </c>
      <c r="DU788" s="14" t="s">
        <v>166</v>
      </c>
      <c r="DV788" s="18" t="s">
        <v>166</v>
      </c>
      <c r="DW788" s="18" t="s">
        <v>166</v>
      </c>
      <c r="DX788" s="16" t="s">
        <v>166</v>
      </c>
      <c r="DY788" s="16" t="s">
        <v>166</v>
      </c>
      <c r="DZ788" s="17" t="s">
        <v>166</v>
      </c>
      <c r="EA788" s="16" t="s">
        <v>166</v>
      </c>
      <c r="EB788" s="16" t="s">
        <v>166</v>
      </c>
      <c r="EC788" s="16" t="s">
        <v>166</v>
      </c>
      <c r="ED788" s="17" t="s">
        <v>166</v>
      </c>
      <c r="EE788" s="17" t="s">
        <v>166</v>
      </c>
      <c r="EF788" s="17" t="s">
        <v>166</v>
      </c>
      <c r="EG788" s="17" t="s">
        <v>166</v>
      </c>
      <c r="EH788" s="16" t="s">
        <v>166</v>
      </c>
      <c r="EI788" s="16" t="s">
        <v>166</v>
      </c>
      <c r="EJ788" s="16" t="s">
        <v>166</v>
      </c>
      <c r="EK788" s="16" t="s">
        <v>166</v>
      </c>
      <c r="EL788" s="16" t="s">
        <v>166</v>
      </c>
      <c r="EM788" s="16" t="s">
        <v>166</v>
      </c>
      <c r="EN788" s="16" t="s">
        <v>166</v>
      </c>
      <c r="EO788" s="16" t="s">
        <v>166</v>
      </c>
      <c r="EP788" s="16" t="s">
        <v>166</v>
      </c>
      <c r="EQ788" s="16" t="s">
        <v>166</v>
      </c>
      <c r="ER788" s="16" t="s">
        <v>166</v>
      </c>
      <c r="ES788" s="16" t="s">
        <v>166</v>
      </c>
      <c r="ET788" s="14" t="s">
        <v>166</v>
      </c>
      <c r="EU788" s="16" t="s">
        <v>166</v>
      </c>
      <c r="EV788" s="16" t="s">
        <v>166</v>
      </c>
      <c r="EW788" s="16" t="s">
        <v>166</v>
      </c>
      <c r="EX788" s="14" t="s">
        <v>190</v>
      </c>
      <c r="EY788" s="14" t="s">
        <v>166</v>
      </c>
      <c r="EZ788" s="16" t="s">
        <v>166</v>
      </c>
      <c r="FA788" s="15" t="s">
        <v>166</v>
      </c>
      <c r="FB788" s="15" t="s">
        <v>166</v>
      </c>
      <c r="FC788" s="15" t="s">
        <v>166</v>
      </c>
      <c r="FD788" s="15" t="s">
        <v>166</v>
      </c>
      <c r="FE788" s="15" t="s">
        <v>166</v>
      </c>
      <c r="FF788" s="15" t="s">
        <v>166</v>
      </c>
      <c r="FG788" s="14" t="s">
        <v>166</v>
      </c>
      <c r="FH788" s="3">
        <f>HYPERLINK("https://my.pitchbook.com?c=190949-50T","View Company Online")</f>
      </c>
    </row>
    <row r="789">
      <c r="A789" s="25" t="s">
        <v>15059</v>
      </c>
      <c r="B789" s="25" t="s">
        <v>15060</v>
      </c>
      <c r="C789" s="25" t="s">
        <v>15061</v>
      </c>
      <c r="D789" s="25" t="s">
        <v>166</v>
      </c>
      <c r="E789" s="34" t="s">
        <v>15062</v>
      </c>
      <c r="F789" s="32">
        <v>15</v>
      </c>
      <c r="G789" s="25" t="s">
        <v>15063</v>
      </c>
      <c r="H789" s="25" t="s">
        <v>166</v>
      </c>
      <c r="I789" s="25" t="s">
        <v>15064</v>
      </c>
      <c r="J789" s="25" t="s">
        <v>15065</v>
      </c>
      <c r="K789" s="25" t="s">
        <v>207</v>
      </c>
      <c r="L789" s="25" t="s">
        <v>208</v>
      </c>
      <c r="M789" s="25" t="s">
        <v>639</v>
      </c>
      <c r="N789" s="25" t="s">
        <v>3553</v>
      </c>
      <c r="O789" s="25" t="s">
        <v>2931</v>
      </c>
      <c r="P789" s="25" t="s">
        <v>15066</v>
      </c>
      <c r="Q789" s="25" t="s">
        <v>166</v>
      </c>
      <c r="R789" s="25" t="s">
        <v>177</v>
      </c>
      <c r="S789" s="25" t="s">
        <v>178</v>
      </c>
      <c r="T789" s="25" t="s">
        <v>179</v>
      </c>
      <c r="U789" s="25" t="s">
        <v>15067</v>
      </c>
      <c r="V789" s="25" t="s">
        <v>15068</v>
      </c>
      <c r="W789" s="32" t="s">
        <v>166</v>
      </c>
      <c r="X789" s="25" t="s">
        <v>166</v>
      </c>
      <c r="Y789" s="25" t="s">
        <v>15069</v>
      </c>
      <c r="Z789" s="25" t="s">
        <v>15070</v>
      </c>
      <c r="AA789" s="25" t="s">
        <v>166</v>
      </c>
      <c r="AB789" s="25" t="s">
        <v>166</v>
      </c>
      <c r="AC789" s="25" t="s">
        <v>166</v>
      </c>
      <c r="AD789" s="25" t="s">
        <v>166</v>
      </c>
      <c r="AE789" s="25" t="s">
        <v>166</v>
      </c>
      <c r="AF789" s="25" t="s">
        <v>166</v>
      </c>
      <c r="AG789" s="25" t="s">
        <v>166</v>
      </c>
      <c r="AH789" s="32">
        <v>1</v>
      </c>
      <c r="AI789" s="4">
        <f>HYPERLINK("https://my.pitchbook.com/?d=200485-09T","200485-09T")</f>
      </c>
      <c r="AJ789" s="30">
        <v>44733</v>
      </c>
      <c r="AK789" s="30">
        <v>44769</v>
      </c>
      <c r="AL789" s="29">
        <v>2</v>
      </c>
      <c r="AM789" s="25" t="s">
        <v>185</v>
      </c>
      <c r="AN789" s="29" t="s">
        <v>166</v>
      </c>
      <c r="AO789" s="29" t="s">
        <v>166</v>
      </c>
      <c r="AP789" s="25" t="s">
        <v>166</v>
      </c>
      <c r="AQ789" s="32" t="s">
        <v>166</v>
      </c>
      <c r="AR789" s="32" t="s">
        <v>166</v>
      </c>
      <c r="AS789" s="28" t="s">
        <v>166</v>
      </c>
      <c r="AT789" s="29">
        <v>2</v>
      </c>
      <c r="AU789" s="32" t="s">
        <v>186</v>
      </c>
      <c r="AV789" s="32" t="s">
        <v>166</v>
      </c>
      <c r="AW789" s="29" t="s">
        <v>166</v>
      </c>
      <c r="AX789" s="32" t="s">
        <v>166</v>
      </c>
      <c r="AY789" s="25" t="s">
        <v>217</v>
      </c>
      <c r="AZ789" s="25" t="s">
        <v>217</v>
      </c>
      <c r="BA789" s="25" t="s">
        <v>166</v>
      </c>
      <c r="BB789" s="32" t="s">
        <v>166</v>
      </c>
      <c r="BC789" s="25" t="s">
        <v>179</v>
      </c>
      <c r="BD789" s="25" t="s">
        <v>15065</v>
      </c>
      <c r="BE789" s="25" t="s">
        <v>189</v>
      </c>
      <c r="BF789" s="29">
        <v>2</v>
      </c>
      <c r="BG789" s="25" t="s">
        <v>190</v>
      </c>
      <c r="BH789" s="25" t="s">
        <v>166</v>
      </c>
      <c r="BI789" s="25" t="s">
        <v>166</v>
      </c>
      <c r="BJ789" s="29" t="s">
        <v>166</v>
      </c>
      <c r="BK789" s="29" t="s">
        <v>166</v>
      </c>
      <c r="BL789" s="25" t="s">
        <v>191</v>
      </c>
      <c r="BM789" s="25" t="s">
        <v>178</v>
      </c>
      <c r="BN789" s="25" t="s">
        <v>177</v>
      </c>
      <c r="BO789" s="33" t="s">
        <v>166</v>
      </c>
      <c r="BP789" s="25" t="s">
        <v>15071</v>
      </c>
      <c r="BQ789" s="32">
        <v>15</v>
      </c>
      <c r="BR789" s="25" t="s">
        <v>166</v>
      </c>
      <c r="BS789" s="32" t="s">
        <v>166</v>
      </c>
      <c r="BT789" s="25" t="s">
        <v>15072</v>
      </c>
      <c r="BU789" s="25" t="s">
        <v>166</v>
      </c>
      <c r="BV789" s="25" t="s">
        <v>166</v>
      </c>
      <c r="BW789" s="25" t="s">
        <v>166</v>
      </c>
      <c r="BX789" s="25" t="s">
        <v>166</v>
      </c>
      <c r="BY789" s="25" t="s">
        <v>166</v>
      </c>
      <c r="BZ789" s="25" t="s">
        <v>166</v>
      </c>
      <c r="CA789" s="25" t="s">
        <v>166</v>
      </c>
      <c r="CB789" s="25" t="s">
        <v>166</v>
      </c>
      <c r="CC789" s="25" t="s">
        <v>166</v>
      </c>
      <c r="CD789" s="25" t="s">
        <v>166</v>
      </c>
      <c r="CE789" s="29" t="s">
        <v>166</v>
      </c>
      <c r="CF789" s="27" t="s">
        <v>166</v>
      </c>
      <c r="CG789" s="28" t="s">
        <v>166</v>
      </c>
      <c r="CH789" s="27" t="s">
        <v>166</v>
      </c>
      <c r="CI789" s="27" t="s">
        <v>166</v>
      </c>
      <c r="CJ789" s="27" t="s">
        <v>166</v>
      </c>
      <c r="CK789" s="27" t="s">
        <v>166</v>
      </c>
      <c r="CL789" s="27" t="s">
        <v>166</v>
      </c>
      <c r="CM789" s="31" t="s">
        <v>166</v>
      </c>
      <c r="CN789" s="27" t="s">
        <v>166</v>
      </c>
      <c r="CO789" s="27" t="s">
        <v>166</v>
      </c>
      <c r="CP789" s="27" t="s">
        <v>166</v>
      </c>
      <c r="CQ789" s="27" t="s">
        <v>166</v>
      </c>
      <c r="CR789" s="27" t="s">
        <v>166</v>
      </c>
      <c r="CS789" s="27" t="s">
        <v>166</v>
      </c>
      <c r="CT789" s="27" t="s">
        <v>166</v>
      </c>
      <c r="CU789" s="27" t="s">
        <v>166</v>
      </c>
      <c r="CV789" s="27" t="s">
        <v>166</v>
      </c>
      <c r="CW789" s="27" t="s">
        <v>166</v>
      </c>
      <c r="CX789" s="27" t="s">
        <v>166</v>
      </c>
      <c r="CY789" s="27" t="s">
        <v>166</v>
      </c>
      <c r="CZ789" s="27" t="s">
        <v>166</v>
      </c>
      <c r="DA789" s="27" t="s">
        <v>166</v>
      </c>
      <c r="DB789" s="27" t="s">
        <v>166</v>
      </c>
      <c r="DC789" s="27" t="s">
        <v>166</v>
      </c>
      <c r="DD789" s="27" t="s">
        <v>166</v>
      </c>
      <c r="DE789" s="28" t="s">
        <v>166</v>
      </c>
      <c r="DF789" s="33">
        <v>2</v>
      </c>
      <c r="DG789" s="25" t="s">
        <v>309</v>
      </c>
      <c r="DH789" s="25" t="s">
        <v>193</v>
      </c>
      <c r="DI789" s="25" t="s">
        <v>194</v>
      </c>
      <c r="DJ789" s="25" t="s">
        <v>310</v>
      </c>
      <c r="DK789" s="25" t="s">
        <v>310</v>
      </c>
      <c r="DL789" s="32" t="s">
        <v>166</v>
      </c>
      <c r="DM789" s="25" t="s">
        <v>198</v>
      </c>
      <c r="DN789" s="24" t="s">
        <v>15073</v>
      </c>
      <c r="DO789" s="31">
        <v>2022</v>
      </c>
      <c r="DP789" s="25" t="s">
        <v>166</v>
      </c>
      <c r="DQ789" s="25" t="s">
        <v>166</v>
      </c>
      <c r="DR789" s="29" t="s">
        <v>166</v>
      </c>
      <c r="DS789" s="27" t="s">
        <v>166</v>
      </c>
      <c r="DT789" s="30" t="s">
        <v>166</v>
      </c>
      <c r="DU789" s="25" t="s">
        <v>166</v>
      </c>
      <c r="DV789" s="29" t="s">
        <v>166</v>
      </c>
      <c r="DW789" s="29" t="s">
        <v>166</v>
      </c>
      <c r="DX789" s="27" t="s">
        <v>166</v>
      </c>
      <c r="DY789" s="27" t="s">
        <v>166</v>
      </c>
      <c r="DZ789" s="28" t="s">
        <v>166</v>
      </c>
      <c r="EA789" s="27" t="s">
        <v>166</v>
      </c>
      <c r="EB789" s="27" t="s">
        <v>166</v>
      </c>
      <c r="EC789" s="27" t="s">
        <v>166</v>
      </c>
      <c r="ED789" s="28" t="s">
        <v>166</v>
      </c>
      <c r="EE789" s="28" t="s">
        <v>166</v>
      </c>
      <c r="EF789" s="28" t="s">
        <v>166</v>
      </c>
      <c r="EG789" s="28" t="s">
        <v>166</v>
      </c>
      <c r="EH789" s="27" t="s">
        <v>166</v>
      </c>
      <c r="EI789" s="27" t="s">
        <v>166</v>
      </c>
      <c r="EJ789" s="27" t="s">
        <v>166</v>
      </c>
      <c r="EK789" s="27" t="s">
        <v>166</v>
      </c>
      <c r="EL789" s="27" t="s">
        <v>166</v>
      </c>
      <c r="EM789" s="27" t="s">
        <v>166</v>
      </c>
      <c r="EN789" s="27" t="s">
        <v>166</v>
      </c>
      <c r="EO789" s="27" t="s">
        <v>166</v>
      </c>
      <c r="EP789" s="27" t="s">
        <v>166</v>
      </c>
      <c r="EQ789" s="27" t="s">
        <v>166</v>
      </c>
      <c r="ER789" s="27" t="s">
        <v>166</v>
      </c>
      <c r="ES789" s="27" t="s">
        <v>166</v>
      </c>
      <c r="ET789" s="25" t="s">
        <v>166</v>
      </c>
      <c r="EU789" s="27" t="s">
        <v>166</v>
      </c>
      <c r="EV789" s="27" t="s">
        <v>166</v>
      </c>
      <c r="EW789" s="27" t="s">
        <v>166</v>
      </c>
      <c r="EX789" s="25" t="s">
        <v>190</v>
      </c>
      <c r="EY789" s="25" t="s">
        <v>166</v>
      </c>
      <c r="EZ789" s="27" t="s">
        <v>166</v>
      </c>
      <c r="FA789" s="26">
        <v>1</v>
      </c>
      <c r="FB789" s="26">
        <v>1</v>
      </c>
      <c r="FC789" s="26" t="s">
        <v>166</v>
      </c>
      <c r="FD789" s="26" t="s">
        <v>166</v>
      </c>
      <c r="FE789" s="26" t="s">
        <v>166</v>
      </c>
      <c r="FF789" s="26">
        <v>1</v>
      </c>
      <c r="FG789" s="25" t="s">
        <v>166</v>
      </c>
      <c r="FH789" s="4">
        <f>HYPERLINK("https://my.pitchbook.com?c=200485-09T","View Company Online")</f>
      </c>
    </row>
    <row r="790">
      <c r="A790" s="14" t="s">
        <v>15074</v>
      </c>
      <c r="B790" s="14" t="s">
        <v>15075</v>
      </c>
      <c r="C790" s="14" t="s">
        <v>15076</v>
      </c>
      <c r="D790" s="14" t="s">
        <v>166</v>
      </c>
      <c r="E790" s="23" t="s">
        <v>15077</v>
      </c>
      <c r="F790" s="21">
        <v>8</v>
      </c>
      <c r="G790" s="14" t="s">
        <v>15078</v>
      </c>
      <c r="H790" s="14" t="s">
        <v>166</v>
      </c>
      <c r="I790" s="14" t="s">
        <v>15079</v>
      </c>
      <c r="J790" s="14" t="s">
        <v>15080</v>
      </c>
      <c r="K790" s="14" t="s">
        <v>207</v>
      </c>
      <c r="L790" s="14" t="s">
        <v>208</v>
      </c>
      <c r="M790" s="14" t="s">
        <v>621</v>
      </c>
      <c r="N790" s="14" t="s">
        <v>15081</v>
      </c>
      <c r="O790" s="14" t="s">
        <v>1842</v>
      </c>
      <c r="P790" s="14" t="s">
        <v>15082</v>
      </c>
      <c r="Q790" s="14" t="s">
        <v>166</v>
      </c>
      <c r="R790" s="14" t="s">
        <v>177</v>
      </c>
      <c r="S790" s="14" t="s">
        <v>178</v>
      </c>
      <c r="T790" s="14" t="s">
        <v>179</v>
      </c>
      <c r="U790" s="14" t="s">
        <v>15083</v>
      </c>
      <c r="V790" s="14" t="s">
        <v>15084</v>
      </c>
      <c r="W790" s="21" t="s">
        <v>15085</v>
      </c>
      <c r="X790" s="14" t="s">
        <v>15086</v>
      </c>
      <c r="Y790" s="14" t="s">
        <v>15087</v>
      </c>
      <c r="Z790" s="14" t="s">
        <v>15088</v>
      </c>
      <c r="AA790" s="14" t="s">
        <v>242</v>
      </c>
      <c r="AB790" s="14" t="s">
        <v>243</v>
      </c>
      <c r="AC790" s="14" t="s">
        <v>244</v>
      </c>
      <c r="AD790" s="14" t="s">
        <v>243</v>
      </c>
      <c r="AE790" s="14" t="s">
        <v>243</v>
      </c>
      <c r="AF790" s="14" t="s">
        <v>166</v>
      </c>
      <c r="AG790" s="14" t="s">
        <v>246</v>
      </c>
      <c r="AH790" s="21">
        <v>1</v>
      </c>
      <c r="AI790" s="3">
        <f>HYPERLINK("https://my.pitchbook.com/?d=211901-14T","211901-14T")</f>
      </c>
      <c r="AJ790" s="19" t="s">
        <v>166</v>
      </c>
      <c r="AK790" s="19">
        <v>44370</v>
      </c>
      <c r="AL790" s="18">
        <v>5.19</v>
      </c>
      <c r="AM790" s="14" t="s">
        <v>185</v>
      </c>
      <c r="AN790" s="18">
        <v>15.5</v>
      </c>
      <c r="AO790" s="18">
        <v>20.69</v>
      </c>
      <c r="AP790" s="14" t="s">
        <v>185</v>
      </c>
      <c r="AQ790" s="21" t="s">
        <v>166</v>
      </c>
      <c r="AR790" s="21" t="s">
        <v>166</v>
      </c>
      <c r="AS790" s="17">
        <v>25.1</v>
      </c>
      <c r="AT790" s="18">
        <v>5.19</v>
      </c>
      <c r="AU790" s="21" t="s">
        <v>186</v>
      </c>
      <c r="AV790" s="21" t="s">
        <v>166</v>
      </c>
      <c r="AW790" s="18">
        <v>1.6</v>
      </c>
      <c r="AX790" s="21" t="s">
        <v>166</v>
      </c>
      <c r="AY790" s="14" t="s">
        <v>217</v>
      </c>
      <c r="AZ790" s="14" t="s">
        <v>217</v>
      </c>
      <c r="BA790" s="14" t="s">
        <v>166</v>
      </c>
      <c r="BB790" s="21" t="s">
        <v>166</v>
      </c>
      <c r="BC790" s="14" t="s">
        <v>179</v>
      </c>
      <c r="BD790" s="14" t="s">
        <v>15089</v>
      </c>
      <c r="BE790" s="14" t="s">
        <v>189</v>
      </c>
      <c r="BF790" s="18">
        <v>5.19</v>
      </c>
      <c r="BG790" s="14" t="s">
        <v>190</v>
      </c>
      <c r="BH790" s="14" t="s">
        <v>166</v>
      </c>
      <c r="BI790" s="14" t="s">
        <v>166</v>
      </c>
      <c r="BJ790" s="18" t="s">
        <v>166</v>
      </c>
      <c r="BK790" s="18" t="s">
        <v>166</v>
      </c>
      <c r="BL790" s="14" t="s">
        <v>191</v>
      </c>
      <c r="BM790" s="14" t="s">
        <v>178</v>
      </c>
      <c r="BN790" s="14" t="s">
        <v>177</v>
      </c>
      <c r="BO790" s="22" t="s">
        <v>166</v>
      </c>
      <c r="BP790" s="14" t="s">
        <v>15090</v>
      </c>
      <c r="BQ790" s="21">
        <v>8</v>
      </c>
      <c r="BR790" s="14" t="s">
        <v>166</v>
      </c>
      <c r="BS790" s="21" t="s">
        <v>166</v>
      </c>
      <c r="BT790" s="14" t="s">
        <v>15091</v>
      </c>
      <c r="BU790" s="14" t="s">
        <v>166</v>
      </c>
      <c r="BV790" s="14" t="s">
        <v>15092</v>
      </c>
      <c r="BW790" s="14" t="s">
        <v>166</v>
      </c>
      <c r="BX790" s="14" t="s">
        <v>166</v>
      </c>
      <c r="BY790" s="14" t="s">
        <v>166</v>
      </c>
      <c r="BZ790" s="14" t="s">
        <v>166</v>
      </c>
      <c r="CA790" s="14" t="s">
        <v>166</v>
      </c>
      <c r="CB790" s="14" t="s">
        <v>166</v>
      </c>
      <c r="CC790" s="14" t="s">
        <v>166</v>
      </c>
      <c r="CD790" s="14" t="s">
        <v>166</v>
      </c>
      <c r="CE790" s="18" t="s">
        <v>166</v>
      </c>
      <c r="CF790" s="16" t="s">
        <v>166</v>
      </c>
      <c r="CG790" s="17" t="s">
        <v>166</v>
      </c>
      <c r="CH790" s="16" t="s">
        <v>166</v>
      </c>
      <c r="CI790" s="16" t="s">
        <v>166</v>
      </c>
      <c r="CJ790" s="16" t="s">
        <v>166</v>
      </c>
      <c r="CK790" s="16" t="s">
        <v>166</v>
      </c>
      <c r="CL790" s="16" t="s">
        <v>166</v>
      </c>
      <c r="CM790" s="20" t="s">
        <v>166</v>
      </c>
      <c r="CN790" s="16" t="s">
        <v>166</v>
      </c>
      <c r="CO790" s="16" t="s">
        <v>166</v>
      </c>
      <c r="CP790" s="16" t="s">
        <v>166</v>
      </c>
      <c r="CQ790" s="16" t="s">
        <v>166</v>
      </c>
      <c r="CR790" s="16" t="s">
        <v>166</v>
      </c>
      <c r="CS790" s="16" t="s">
        <v>166</v>
      </c>
      <c r="CT790" s="16" t="s">
        <v>166</v>
      </c>
      <c r="CU790" s="16" t="s">
        <v>166</v>
      </c>
      <c r="CV790" s="16" t="s">
        <v>166</v>
      </c>
      <c r="CW790" s="16" t="s">
        <v>166</v>
      </c>
      <c r="CX790" s="16" t="s">
        <v>166</v>
      </c>
      <c r="CY790" s="16" t="s">
        <v>166</v>
      </c>
      <c r="CZ790" s="16" t="s">
        <v>166</v>
      </c>
      <c r="DA790" s="16" t="s">
        <v>166</v>
      </c>
      <c r="DB790" s="16" t="s">
        <v>166</v>
      </c>
      <c r="DC790" s="16" t="s">
        <v>166</v>
      </c>
      <c r="DD790" s="16" t="s">
        <v>166</v>
      </c>
      <c r="DE790" s="17" t="s">
        <v>166</v>
      </c>
      <c r="DF790" s="22">
        <v>10</v>
      </c>
      <c r="DG790" s="14" t="s">
        <v>309</v>
      </c>
      <c r="DH790" s="14" t="s">
        <v>193</v>
      </c>
      <c r="DI790" s="14" t="s">
        <v>194</v>
      </c>
      <c r="DJ790" s="14" t="s">
        <v>310</v>
      </c>
      <c r="DK790" s="14" t="s">
        <v>310</v>
      </c>
      <c r="DL790" s="21" t="s">
        <v>7959</v>
      </c>
      <c r="DM790" s="14" t="s">
        <v>198</v>
      </c>
      <c r="DN790" s="13" t="s">
        <v>15093</v>
      </c>
      <c r="DO790" s="20" t="s">
        <v>166</v>
      </c>
      <c r="DP790" s="14" t="s">
        <v>166</v>
      </c>
      <c r="DQ790" s="14" t="s">
        <v>166</v>
      </c>
      <c r="DR790" s="18" t="s">
        <v>166</v>
      </c>
      <c r="DS790" s="16" t="s">
        <v>166</v>
      </c>
      <c r="DT790" s="19" t="s">
        <v>166</v>
      </c>
      <c r="DU790" s="14" t="s">
        <v>166</v>
      </c>
      <c r="DV790" s="18" t="s">
        <v>166</v>
      </c>
      <c r="DW790" s="18" t="s">
        <v>166</v>
      </c>
      <c r="DX790" s="16" t="s">
        <v>166</v>
      </c>
      <c r="DY790" s="16" t="s">
        <v>166</v>
      </c>
      <c r="DZ790" s="17" t="s">
        <v>166</v>
      </c>
      <c r="EA790" s="16" t="s">
        <v>166</v>
      </c>
      <c r="EB790" s="16" t="s">
        <v>166</v>
      </c>
      <c r="EC790" s="16" t="s">
        <v>166</v>
      </c>
      <c r="ED790" s="17" t="s">
        <v>166</v>
      </c>
      <c r="EE790" s="17" t="s">
        <v>166</v>
      </c>
      <c r="EF790" s="17" t="s">
        <v>166</v>
      </c>
      <c r="EG790" s="17" t="s">
        <v>166</v>
      </c>
      <c r="EH790" s="16" t="s">
        <v>166</v>
      </c>
      <c r="EI790" s="16" t="s">
        <v>166</v>
      </c>
      <c r="EJ790" s="16" t="s">
        <v>166</v>
      </c>
      <c r="EK790" s="16" t="s">
        <v>166</v>
      </c>
      <c r="EL790" s="16" t="s">
        <v>166</v>
      </c>
      <c r="EM790" s="16" t="s">
        <v>166</v>
      </c>
      <c r="EN790" s="16" t="s">
        <v>166</v>
      </c>
      <c r="EO790" s="16" t="s">
        <v>166</v>
      </c>
      <c r="EP790" s="16" t="s">
        <v>166</v>
      </c>
      <c r="EQ790" s="16" t="s">
        <v>166</v>
      </c>
      <c r="ER790" s="16" t="s">
        <v>166</v>
      </c>
      <c r="ES790" s="16" t="s">
        <v>166</v>
      </c>
      <c r="ET790" s="14" t="s">
        <v>166</v>
      </c>
      <c r="EU790" s="16" t="s">
        <v>166</v>
      </c>
      <c r="EV790" s="16" t="s">
        <v>166</v>
      </c>
      <c r="EW790" s="16" t="s">
        <v>166</v>
      </c>
      <c r="EX790" s="14" t="s">
        <v>190</v>
      </c>
      <c r="EY790" s="14" t="s">
        <v>166</v>
      </c>
      <c r="EZ790" s="16" t="s">
        <v>166</v>
      </c>
      <c r="FA790" s="15" t="s">
        <v>166</v>
      </c>
      <c r="FB790" s="15" t="s">
        <v>166</v>
      </c>
      <c r="FC790" s="15" t="s">
        <v>166</v>
      </c>
      <c r="FD790" s="15" t="s">
        <v>166</v>
      </c>
      <c r="FE790" s="15" t="s">
        <v>166</v>
      </c>
      <c r="FF790" s="15" t="s">
        <v>166</v>
      </c>
      <c r="FG790" s="14" t="s">
        <v>166</v>
      </c>
      <c r="FH790" s="3">
        <f>HYPERLINK("https://my.pitchbook.com?c=211901-14T","View Company Online")</f>
      </c>
    </row>
    <row r="791">
      <c r="A791" s="25" t="s">
        <v>15094</v>
      </c>
      <c r="B791" s="25" t="s">
        <v>15095</v>
      </c>
      <c r="C791" s="25" t="s">
        <v>15096</v>
      </c>
      <c r="D791" s="25" t="s">
        <v>166</v>
      </c>
      <c r="E791" s="34" t="s">
        <v>15097</v>
      </c>
      <c r="F791" s="32">
        <v>1</v>
      </c>
      <c r="G791" s="25" t="s">
        <v>15098</v>
      </c>
      <c r="H791" s="25" t="s">
        <v>166</v>
      </c>
      <c r="I791" s="25" t="s">
        <v>15099</v>
      </c>
      <c r="J791" s="25" t="s">
        <v>15100</v>
      </c>
      <c r="K791" s="25" t="s">
        <v>207</v>
      </c>
      <c r="L791" s="25" t="s">
        <v>418</v>
      </c>
      <c r="M791" s="25" t="s">
        <v>7278</v>
      </c>
      <c r="N791" s="25" t="s">
        <v>15101</v>
      </c>
      <c r="O791" s="25" t="s">
        <v>15102</v>
      </c>
      <c r="P791" s="25" t="s">
        <v>15103</v>
      </c>
      <c r="Q791" s="25" t="s">
        <v>166</v>
      </c>
      <c r="R791" s="25" t="s">
        <v>177</v>
      </c>
      <c r="S791" s="25" t="s">
        <v>178</v>
      </c>
      <c r="T791" s="25" t="s">
        <v>179</v>
      </c>
      <c r="U791" s="25" t="s">
        <v>15104</v>
      </c>
      <c r="V791" s="25" t="s">
        <v>15105</v>
      </c>
      <c r="W791" s="32" t="s">
        <v>15106</v>
      </c>
      <c r="X791" s="25" t="s">
        <v>15107</v>
      </c>
      <c r="Y791" s="25" t="s">
        <v>15108</v>
      </c>
      <c r="Z791" s="25" t="s">
        <v>15109</v>
      </c>
      <c r="AA791" s="25" t="s">
        <v>166</v>
      </c>
      <c r="AB791" s="25" t="s">
        <v>166</v>
      </c>
      <c r="AC791" s="25" t="s">
        <v>166</v>
      </c>
      <c r="AD791" s="25" t="s">
        <v>166</v>
      </c>
      <c r="AE791" s="25" t="s">
        <v>166</v>
      </c>
      <c r="AF791" s="25" t="s">
        <v>166</v>
      </c>
      <c r="AG791" s="25" t="s">
        <v>166</v>
      </c>
      <c r="AH791" s="32">
        <v>1</v>
      </c>
      <c r="AI791" s="4">
        <f>HYPERLINK("https://my.pitchbook.com/?d=218371-69T","218371-69T")</f>
      </c>
      <c r="AJ791" s="30">
        <v>44992</v>
      </c>
      <c r="AK791" s="30">
        <v>45125</v>
      </c>
      <c r="AL791" s="29">
        <v>0.05</v>
      </c>
      <c r="AM791" s="25" t="s">
        <v>185</v>
      </c>
      <c r="AN791" s="29" t="s">
        <v>166</v>
      </c>
      <c r="AO791" s="29" t="s">
        <v>166</v>
      </c>
      <c r="AP791" s="25" t="s">
        <v>166</v>
      </c>
      <c r="AQ791" s="32" t="s">
        <v>166</v>
      </c>
      <c r="AR791" s="32" t="s">
        <v>166</v>
      </c>
      <c r="AS791" s="28" t="s">
        <v>166</v>
      </c>
      <c r="AT791" s="29">
        <v>0.05</v>
      </c>
      <c r="AU791" s="32" t="s">
        <v>186</v>
      </c>
      <c r="AV791" s="32" t="s">
        <v>166</v>
      </c>
      <c r="AW791" s="29" t="s">
        <v>166</v>
      </c>
      <c r="AX791" s="32" t="s">
        <v>166</v>
      </c>
      <c r="AY791" s="25" t="s">
        <v>249</v>
      </c>
      <c r="AZ791" s="25" t="s">
        <v>166</v>
      </c>
      <c r="BA791" s="25" t="s">
        <v>166</v>
      </c>
      <c r="BB791" s="32" t="s">
        <v>166</v>
      </c>
      <c r="BC791" s="25" t="s">
        <v>179</v>
      </c>
      <c r="BD791" s="25" t="s">
        <v>15100</v>
      </c>
      <c r="BE791" s="25" t="s">
        <v>189</v>
      </c>
      <c r="BF791" s="29" t="s">
        <v>166</v>
      </c>
      <c r="BG791" s="25" t="s">
        <v>190</v>
      </c>
      <c r="BH791" s="25" t="s">
        <v>166</v>
      </c>
      <c r="BI791" s="25" t="s">
        <v>166</v>
      </c>
      <c r="BJ791" s="29" t="s">
        <v>166</v>
      </c>
      <c r="BK791" s="29" t="s">
        <v>166</v>
      </c>
      <c r="BL791" s="25" t="s">
        <v>191</v>
      </c>
      <c r="BM791" s="25" t="s">
        <v>178</v>
      </c>
      <c r="BN791" s="25" t="s">
        <v>177</v>
      </c>
      <c r="BO791" s="33" t="s">
        <v>166</v>
      </c>
      <c r="BP791" s="25" t="s">
        <v>15097</v>
      </c>
      <c r="BQ791" s="32">
        <v>1</v>
      </c>
      <c r="BR791" s="25" t="s">
        <v>166</v>
      </c>
      <c r="BS791" s="32" t="s">
        <v>166</v>
      </c>
      <c r="BT791" s="25" t="s">
        <v>166</v>
      </c>
      <c r="BU791" s="25" t="s">
        <v>166</v>
      </c>
      <c r="BV791" s="25" t="s">
        <v>166</v>
      </c>
      <c r="BW791" s="25" t="s">
        <v>166</v>
      </c>
      <c r="BX791" s="25" t="s">
        <v>166</v>
      </c>
      <c r="BY791" s="25" t="s">
        <v>166</v>
      </c>
      <c r="BZ791" s="25" t="s">
        <v>166</v>
      </c>
      <c r="CA791" s="25" t="s">
        <v>166</v>
      </c>
      <c r="CB791" s="25" t="s">
        <v>166</v>
      </c>
      <c r="CC791" s="25" t="s">
        <v>166</v>
      </c>
      <c r="CD791" s="25" t="s">
        <v>166</v>
      </c>
      <c r="CE791" s="29" t="s">
        <v>166</v>
      </c>
      <c r="CF791" s="27" t="s">
        <v>166</v>
      </c>
      <c r="CG791" s="28" t="s">
        <v>166</v>
      </c>
      <c r="CH791" s="27" t="s">
        <v>166</v>
      </c>
      <c r="CI791" s="27" t="s">
        <v>166</v>
      </c>
      <c r="CJ791" s="27" t="s">
        <v>166</v>
      </c>
      <c r="CK791" s="27" t="s">
        <v>166</v>
      </c>
      <c r="CL791" s="27" t="s">
        <v>166</v>
      </c>
      <c r="CM791" s="31" t="s">
        <v>166</v>
      </c>
      <c r="CN791" s="27" t="s">
        <v>166</v>
      </c>
      <c r="CO791" s="27" t="s">
        <v>166</v>
      </c>
      <c r="CP791" s="27" t="s">
        <v>166</v>
      </c>
      <c r="CQ791" s="27" t="s">
        <v>166</v>
      </c>
      <c r="CR791" s="27" t="s">
        <v>166</v>
      </c>
      <c r="CS791" s="27" t="s">
        <v>166</v>
      </c>
      <c r="CT791" s="27" t="s">
        <v>166</v>
      </c>
      <c r="CU791" s="27" t="s">
        <v>166</v>
      </c>
      <c r="CV791" s="27" t="s">
        <v>166</v>
      </c>
      <c r="CW791" s="27" t="s">
        <v>166</v>
      </c>
      <c r="CX791" s="27" t="s">
        <v>166</v>
      </c>
      <c r="CY791" s="27" t="s">
        <v>166</v>
      </c>
      <c r="CZ791" s="27" t="s">
        <v>166</v>
      </c>
      <c r="DA791" s="27" t="s">
        <v>166</v>
      </c>
      <c r="DB791" s="27" t="s">
        <v>166</v>
      </c>
      <c r="DC791" s="27" t="s">
        <v>166</v>
      </c>
      <c r="DD791" s="27" t="s">
        <v>166</v>
      </c>
      <c r="DE791" s="28" t="s">
        <v>166</v>
      </c>
      <c r="DF791" s="33">
        <v>11</v>
      </c>
      <c r="DG791" s="25" t="s">
        <v>406</v>
      </c>
      <c r="DH791" s="25" t="s">
        <v>193</v>
      </c>
      <c r="DI791" s="25" t="s">
        <v>194</v>
      </c>
      <c r="DJ791" s="25" t="s">
        <v>407</v>
      </c>
      <c r="DK791" s="25" t="s">
        <v>408</v>
      </c>
      <c r="DL791" s="32" t="s">
        <v>15110</v>
      </c>
      <c r="DM791" s="25" t="s">
        <v>198</v>
      </c>
      <c r="DN791" s="24" t="s">
        <v>15111</v>
      </c>
      <c r="DO791" s="31">
        <v>2018</v>
      </c>
      <c r="DP791" s="25" t="s">
        <v>166</v>
      </c>
      <c r="DQ791" s="25" t="s">
        <v>166</v>
      </c>
      <c r="DR791" s="29" t="s">
        <v>166</v>
      </c>
      <c r="DS791" s="27" t="s">
        <v>166</v>
      </c>
      <c r="DT791" s="30" t="s">
        <v>166</v>
      </c>
      <c r="DU791" s="25" t="s">
        <v>166</v>
      </c>
      <c r="DV791" s="29" t="s">
        <v>166</v>
      </c>
      <c r="DW791" s="29" t="s">
        <v>166</v>
      </c>
      <c r="DX791" s="27" t="s">
        <v>166</v>
      </c>
      <c r="DY791" s="27" t="s">
        <v>166</v>
      </c>
      <c r="DZ791" s="28" t="s">
        <v>166</v>
      </c>
      <c r="EA791" s="27" t="s">
        <v>166</v>
      </c>
      <c r="EB791" s="27" t="s">
        <v>166</v>
      </c>
      <c r="EC791" s="27" t="s">
        <v>166</v>
      </c>
      <c r="ED791" s="28" t="s">
        <v>166</v>
      </c>
      <c r="EE791" s="28" t="s">
        <v>166</v>
      </c>
      <c r="EF791" s="28" t="s">
        <v>166</v>
      </c>
      <c r="EG791" s="28" t="s">
        <v>166</v>
      </c>
      <c r="EH791" s="27" t="s">
        <v>166</v>
      </c>
      <c r="EI791" s="27" t="s">
        <v>166</v>
      </c>
      <c r="EJ791" s="27" t="s">
        <v>166</v>
      </c>
      <c r="EK791" s="27" t="s">
        <v>166</v>
      </c>
      <c r="EL791" s="27" t="s">
        <v>166</v>
      </c>
      <c r="EM791" s="27" t="s">
        <v>166</v>
      </c>
      <c r="EN791" s="27" t="s">
        <v>166</v>
      </c>
      <c r="EO791" s="27" t="s">
        <v>166</v>
      </c>
      <c r="EP791" s="27" t="s">
        <v>166</v>
      </c>
      <c r="EQ791" s="27" t="s">
        <v>166</v>
      </c>
      <c r="ER791" s="27" t="s">
        <v>166</v>
      </c>
      <c r="ES791" s="27" t="s">
        <v>166</v>
      </c>
      <c r="ET791" s="25" t="s">
        <v>166</v>
      </c>
      <c r="EU791" s="27" t="s">
        <v>166</v>
      </c>
      <c r="EV791" s="27" t="s">
        <v>166</v>
      </c>
      <c r="EW791" s="27" t="s">
        <v>166</v>
      </c>
      <c r="EX791" s="25" t="s">
        <v>190</v>
      </c>
      <c r="EY791" s="25" t="s">
        <v>166</v>
      </c>
      <c r="EZ791" s="27" t="s">
        <v>166</v>
      </c>
      <c r="FA791" s="26" t="s">
        <v>166</v>
      </c>
      <c r="FB791" s="26" t="s">
        <v>166</v>
      </c>
      <c r="FC791" s="26" t="s">
        <v>166</v>
      </c>
      <c r="FD791" s="26" t="s">
        <v>166</v>
      </c>
      <c r="FE791" s="26" t="s">
        <v>166</v>
      </c>
      <c r="FF791" s="26" t="s">
        <v>166</v>
      </c>
      <c r="FG791" s="25" t="s">
        <v>166</v>
      </c>
      <c r="FH791" s="4">
        <f>HYPERLINK("https://my.pitchbook.com?c=218371-69T","View Company Online")</f>
      </c>
    </row>
    <row r="792">
      <c r="A792" s="14" t="s">
        <v>15112</v>
      </c>
      <c r="B792" s="14" t="s">
        <v>15113</v>
      </c>
      <c r="C792" s="14" t="s">
        <v>15114</v>
      </c>
      <c r="D792" s="14" t="s">
        <v>166</v>
      </c>
      <c r="E792" s="23" t="s">
        <v>15115</v>
      </c>
      <c r="F792" s="21">
        <v>2</v>
      </c>
      <c r="G792" s="14" t="s">
        <v>15116</v>
      </c>
      <c r="H792" s="14" t="s">
        <v>166</v>
      </c>
      <c r="I792" s="14" t="s">
        <v>15117</v>
      </c>
      <c r="J792" s="14" t="s">
        <v>15118</v>
      </c>
      <c r="K792" s="14" t="s">
        <v>207</v>
      </c>
      <c r="L792" s="14" t="s">
        <v>418</v>
      </c>
      <c r="M792" s="14" t="s">
        <v>419</v>
      </c>
      <c r="N792" s="14" t="s">
        <v>15119</v>
      </c>
      <c r="O792" s="14" t="s">
        <v>15120</v>
      </c>
      <c r="P792" s="14" t="s">
        <v>15121</v>
      </c>
      <c r="Q792" s="14" t="s">
        <v>15122</v>
      </c>
      <c r="R792" s="14" t="s">
        <v>177</v>
      </c>
      <c r="S792" s="14" t="s">
        <v>178</v>
      </c>
      <c r="T792" s="14" t="s">
        <v>179</v>
      </c>
      <c r="U792" s="14" t="s">
        <v>15123</v>
      </c>
      <c r="V792" s="14" t="s">
        <v>15124</v>
      </c>
      <c r="W792" s="21" t="s">
        <v>166</v>
      </c>
      <c r="X792" s="14" t="s">
        <v>166</v>
      </c>
      <c r="Y792" s="14" t="s">
        <v>15125</v>
      </c>
      <c r="Z792" s="14" t="s">
        <v>15126</v>
      </c>
      <c r="AA792" s="14" t="s">
        <v>166</v>
      </c>
      <c r="AB792" s="14" t="s">
        <v>166</v>
      </c>
      <c r="AC792" s="14" t="s">
        <v>166</v>
      </c>
      <c r="AD792" s="14" t="s">
        <v>166</v>
      </c>
      <c r="AE792" s="14" t="s">
        <v>166</v>
      </c>
      <c r="AF792" s="14" t="s">
        <v>166</v>
      </c>
      <c r="AG792" s="14" t="s">
        <v>166</v>
      </c>
      <c r="AH792" s="21">
        <v>2</v>
      </c>
      <c r="AI792" s="3">
        <f>HYPERLINK("https://my.pitchbook.com/?d=201240-55T","201240-55T")</f>
      </c>
      <c r="AJ792" s="19">
        <v>44763</v>
      </c>
      <c r="AK792" s="19">
        <v>44776</v>
      </c>
      <c r="AL792" s="18">
        <v>1.9</v>
      </c>
      <c r="AM792" s="14" t="s">
        <v>185</v>
      </c>
      <c r="AN792" s="18" t="s">
        <v>166</v>
      </c>
      <c r="AO792" s="18" t="s">
        <v>166</v>
      </c>
      <c r="AP792" s="14" t="s">
        <v>166</v>
      </c>
      <c r="AQ792" s="21" t="s">
        <v>166</v>
      </c>
      <c r="AR792" s="21" t="s">
        <v>166</v>
      </c>
      <c r="AS792" s="17" t="s">
        <v>166</v>
      </c>
      <c r="AT792" s="18">
        <v>1.9</v>
      </c>
      <c r="AU792" s="21" t="s">
        <v>186</v>
      </c>
      <c r="AV792" s="21" t="s">
        <v>166</v>
      </c>
      <c r="AW792" s="18" t="s">
        <v>166</v>
      </c>
      <c r="AX792" s="21" t="s">
        <v>248</v>
      </c>
      <c r="AY792" s="14" t="s">
        <v>217</v>
      </c>
      <c r="AZ792" s="14" t="s">
        <v>248</v>
      </c>
      <c r="BA792" s="14" t="s">
        <v>166</v>
      </c>
      <c r="BB792" s="21" t="s">
        <v>166</v>
      </c>
      <c r="BC792" s="14" t="s">
        <v>179</v>
      </c>
      <c r="BD792" s="14" t="s">
        <v>15127</v>
      </c>
      <c r="BE792" s="14" t="s">
        <v>189</v>
      </c>
      <c r="BF792" s="18" t="s">
        <v>166</v>
      </c>
      <c r="BG792" s="14" t="s">
        <v>190</v>
      </c>
      <c r="BH792" s="14" t="s">
        <v>166</v>
      </c>
      <c r="BI792" s="14" t="s">
        <v>166</v>
      </c>
      <c r="BJ792" s="18" t="s">
        <v>166</v>
      </c>
      <c r="BK792" s="18" t="s">
        <v>166</v>
      </c>
      <c r="BL792" s="14" t="s">
        <v>191</v>
      </c>
      <c r="BM792" s="14" t="s">
        <v>178</v>
      </c>
      <c r="BN792" s="14" t="s">
        <v>177</v>
      </c>
      <c r="BO792" s="22" t="s">
        <v>166</v>
      </c>
      <c r="BP792" s="14" t="s">
        <v>15128</v>
      </c>
      <c r="BQ792" s="21">
        <v>2</v>
      </c>
      <c r="BR792" s="14" t="s">
        <v>166</v>
      </c>
      <c r="BS792" s="21" t="s">
        <v>166</v>
      </c>
      <c r="BT792" s="14" t="s">
        <v>166</v>
      </c>
      <c r="BU792" s="14" t="s">
        <v>166</v>
      </c>
      <c r="BV792" s="14" t="s">
        <v>166</v>
      </c>
      <c r="BW792" s="14" t="s">
        <v>166</v>
      </c>
      <c r="BX792" s="14" t="s">
        <v>166</v>
      </c>
      <c r="BY792" s="14" t="s">
        <v>166</v>
      </c>
      <c r="BZ792" s="14" t="s">
        <v>166</v>
      </c>
      <c r="CA792" s="14" t="s">
        <v>166</v>
      </c>
      <c r="CB792" s="14" t="s">
        <v>166</v>
      </c>
      <c r="CC792" s="14" t="s">
        <v>166</v>
      </c>
      <c r="CD792" s="14" t="s">
        <v>166</v>
      </c>
      <c r="CE792" s="18" t="s">
        <v>166</v>
      </c>
      <c r="CF792" s="16" t="s">
        <v>166</v>
      </c>
      <c r="CG792" s="17" t="s">
        <v>166</v>
      </c>
      <c r="CH792" s="16" t="s">
        <v>166</v>
      </c>
      <c r="CI792" s="16" t="s">
        <v>166</v>
      </c>
      <c r="CJ792" s="16" t="s">
        <v>166</v>
      </c>
      <c r="CK792" s="16" t="s">
        <v>166</v>
      </c>
      <c r="CL792" s="16" t="s">
        <v>166</v>
      </c>
      <c r="CM792" s="20" t="s">
        <v>166</v>
      </c>
      <c r="CN792" s="16" t="s">
        <v>166</v>
      </c>
      <c r="CO792" s="16" t="s">
        <v>166</v>
      </c>
      <c r="CP792" s="16" t="s">
        <v>166</v>
      </c>
      <c r="CQ792" s="16" t="s">
        <v>166</v>
      </c>
      <c r="CR792" s="16" t="s">
        <v>166</v>
      </c>
      <c r="CS792" s="16" t="s">
        <v>166</v>
      </c>
      <c r="CT792" s="16" t="s">
        <v>166</v>
      </c>
      <c r="CU792" s="16" t="s">
        <v>166</v>
      </c>
      <c r="CV792" s="16" t="s">
        <v>166</v>
      </c>
      <c r="CW792" s="16" t="s">
        <v>166</v>
      </c>
      <c r="CX792" s="16" t="s">
        <v>166</v>
      </c>
      <c r="CY792" s="16" t="s">
        <v>166</v>
      </c>
      <c r="CZ792" s="16" t="s">
        <v>166</v>
      </c>
      <c r="DA792" s="16" t="s">
        <v>166</v>
      </c>
      <c r="DB792" s="16" t="s">
        <v>166</v>
      </c>
      <c r="DC792" s="16" t="s">
        <v>166</v>
      </c>
      <c r="DD792" s="16" t="s">
        <v>166</v>
      </c>
      <c r="DE792" s="17" t="s">
        <v>166</v>
      </c>
      <c r="DF792" s="22">
        <v>5</v>
      </c>
      <c r="DG792" s="14" t="s">
        <v>15129</v>
      </c>
      <c r="DH792" s="14" t="s">
        <v>193</v>
      </c>
      <c r="DI792" s="14" t="s">
        <v>194</v>
      </c>
      <c r="DJ792" s="14" t="s">
        <v>15130</v>
      </c>
      <c r="DK792" s="14" t="s">
        <v>408</v>
      </c>
      <c r="DL792" s="21" t="s">
        <v>15131</v>
      </c>
      <c r="DM792" s="14" t="s">
        <v>198</v>
      </c>
      <c r="DN792" s="13" t="s">
        <v>15132</v>
      </c>
      <c r="DO792" s="20">
        <v>2021</v>
      </c>
      <c r="DP792" s="14" t="s">
        <v>166</v>
      </c>
      <c r="DQ792" s="14" t="s">
        <v>166</v>
      </c>
      <c r="DR792" s="18" t="s">
        <v>166</v>
      </c>
      <c r="DS792" s="16" t="s">
        <v>166</v>
      </c>
      <c r="DT792" s="19" t="s">
        <v>166</v>
      </c>
      <c r="DU792" s="14" t="s">
        <v>166</v>
      </c>
      <c r="DV792" s="18" t="s">
        <v>166</v>
      </c>
      <c r="DW792" s="18" t="s">
        <v>166</v>
      </c>
      <c r="DX792" s="16" t="s">
        <v>166</v>
      </c>
      <c r="DY792" s="16" t="s">
        <v>166</v>
      </c>
      <c r="DZ792" s="17" t="s">
        <v>166</v>
      </c>
      <c r="EA792" s="16" t="s">
        <v>166</v>
      </c>
      <c r="EB792" s="16" t="s">
        <v>166</v>
      </c>
      <c r="EC792" s="16" t="s">
        <v>166</v>
      </c>
      <c r="ED792" s="17" t="s">
        <v>166</v>
      </c>
      <c r="EE792" s="17" t="s">
        <v>166</v>
      </c>
      <c r="EF792" s="17" t="s">
        <v>166</v>
      </c>
      <c r="EG792" s="17" t="s">
        <v>166</v>
      </c>
      <c r="EH792" s="16" t="s">
        <v>166</v>
      </c>
      <c r="EI792" s="16" t="s">
        <v>166</v>
      </c>
      <c r="EJ792" s="16" t="s">
        <v>166</v>
      </c>
      <c r="EK792" s="16" t="s">
        <v>166</v>
      </c>
      <c r="EL792" s="16" t="s">
        <v>166</v>
      </c>
      <c r="EM792" s="16" t="s">
        <v>166</v>
      </c>
      <c r="EN792" s="16" t="s">
        <v>166</v>
      </c>
      <c r="EO792" s="16" t="s">
        <v>166</v>
      </c>
      <c r="EP792" s="16" t="s">
        <v>166</v>
      </c>
      <c r="EQ792" s="16" t="s">
        <v>166</v>
      </c>
      <c r="ER792" s="16" t="s">
        <v>166</v>
      </c>
      <c r="ES792" s="16" t="s">
        <v>166</v>
      </c>
      <c r="ET792" s="14" t="s">
        <v>166</v>
      </c>
      <c r="EU792" s="16" t="s">
        <v>166</v>
      </c>
      <c r="EV792" s="16" t="s">
        <v>166</v>
      </c>
      <c r="EW792" s="16" t="s">
        <v>166</v>
      </c>
      <c r="EX792" s="14" t="s">
        <v>190</v>
      </c>
      <c r="EY792" s="14" t="s">
        <v>166</v>
      </c>
      <c r="EZ792" s="16" t="s">
        <v>166</v>
      </c>
      <c r="FA792" s="15" t="s">
        <v>166</v>
      </c>
      <c r="FB792" s="15" t="s">
        <v>166</v>
      </c>
      <c r="FC792" s="15" t="s">
        <v>166</v>
      </c>
      <c r="FD792" s="15" t="s">
        <v>166</v>
      </c>
      <c r="FE792" s="15" t="s">
        <v>166</v>
      </c>
      <c r="FF792" s="15" t="s">
        <v>166</v>
      </c>
      <c r="FG792" s="14" t="s">
        <v>166</v>
      </c>
      <c r="FH792" s="3">
        <f>HYPERLINK("https://my.pitchbook.com?c=201240-55T","View Company Online")</f>
      </c>
    </row>
    <row r="793">
      <c r="A793" s="25" t="s">
        <v>15133</v>
      </c>
      <c r="B793" s="25" t="s">
        <v>15134</v>
      </c>
      <c r="C793" s="25" t="s">
        <v>15135</v>
      </c>
      <c r="D793" s="25" t="s">
        <v>166</v>
      </c>
      <c r="E793" s="34" t="s">
        <v>15136</v>
      </c>
      <c r="F793" s="32">
        <v>8</v>
      </c>
      <c r="G793" s="25" t="s">
        <v>15137</v>
      </c>
      <c r="H793" s="25" t="s">
        <v>166</v>
      </c>
      <c r="I793" s="25" t="s">
        <v>15138</v>
      </c>
      <c r="J793" s="25" t="s">
        <v>15139</v>
      </c>
      <c r="K793" s="25" t="s">
        <v>207</v>
      </c>
      <c r="L793" s="25" t="s">
        <v>208</v>
      </c>
      <c r="M793" s="25" t="s">
        <v>639</v>
      </c>
      <c r="N793" s="25" t="s">
        <v>4526</v>
      </c>
      <c r="O793" s="25" t="s">
        <v>166</v>
      </c>
      <c r="P793" s="25" t="s">
        <v>15140</v>
      </c>
      <c r="Q793" s="25" t="s">
        <v>166</v>
      </c>
      <c r="R793" s="25" t="s">
        <v>177</v>
      </c>
      <c r="S793" s="25" t="s">
        <v>178</v>
      </c>
      <c r="T793" s="25" t="s">
        <v>179</v>
      </c>
      <c r="U793" s="25" t="s">
        <v>15141</v>
      </c>
      <c r="V793" s="25" t="s">
        <v>15142</v>
      </c>
      <c r="W793" s="32" t="s">
        <v>15143</v>
      </c>
      <c r="X793" s="25" t="s">
        <v>15144</v>
      </c>
      <c r="Y793" s="25" t="s">
        <v>15145</v>
      </c>
      <c r="Z793" s="25" t="s">
        <v>15146</v>
      </c>
      <c r="AA793" s="25" t="s">
        <v>166</v>
      </c>
      <c r="AB793" s="25" t="s">
        <v>166</v>
      </c>
      <c r="AC793" s="25" t="s">
        <v>166</v>
      </c>
      <c r="AD793" s="25" t="s">
        <v>166</v>
      </c>
      <c r="AE793" s="25" t="s">
        <v>166</v>
      </c>
      <c r="AF793" s="25" t="s">
        <v>166</v>
      </c>
      <c r="AG793" s="25" t="s">
        <v>166</v>
      </c>
      <c r="AH793" s="32">
        <v>1</v>
      </c>
      <c r="AI793" s="4">
        <f>HYPERLINK("https://my.pitchbook.com/?d=219789-91T","219789-91T")</f>
      </c>
      <c r="AJ793" s="30" t="s">
        <v>166</v>
      </c>
      <c r="AK793" s="30">
        <v>44986</v>
      </c>
      <c r="AL793" s="29">
        <v>1.7</v>
      </c>
      <c r="AM793" s="25" t="s">
        <v>185</v>
      </c>
      <c r="AN793" s="29" t="s">
        <v>166</v>
      </c>
      <c r="AO793" s="29" t="s">
        <v>166</v>
      </c>
      <c r="AP793" s="25" t="s">
        <v>166</v>
      </c>
      <c r="AQ793" s="32" t="s">
        <v>166</v>
      </c>
      <c r="AR793" s="32" t="s">
        <v>166</v>
      </c>
      <c r="AS793" s="28" t="s">
        <v>166</v>
      </c>
      <c r="AT793" s="29">
        <v>1.7</v>
      </c>
      <c r="AU793" s="32" t="s">
        <v>186</v>
      </c>
      <c r="AV793" s="32" t="s">
        <v>166</v>
      </c>
      <c r="AW793" s="29" t="s">
        <v>166</v>
      </c>
      <c r="AX793" s="32" t="s">
        <v>166</v>
      </c>
      <c r="AY793" s="25" t="s">
        <v>217</v>
      </c>
      <c r="AZ793" s="25" t="s">
        <v>217</v>
      </c>
      <c r="BA793" s="25" t="s">
        <v>166</v>
      </c>
      <c r="BB793" s="32" t="s">
        <v>166</v>
      </c>
      <c r="BC793" s="25" t="s">
        <v>179</v>
      </c>
      <c r="BD793" s="25" t="s">
        <v>15147</v>
      </c>
      <c r="BE793" s="25" t="s">
        <v>189</v>
      </c>
      <c r="BF793" s="29">
        <v>1.7</v>
      </c>
      <c r="BG793" s="25" t="s">
        <v>190</v>
      </c>
      <c r="BH793" s="25" t="s">
        <v>166</v>
      </c>
      <c r="BI793" s="25" t="s">
        <v>166</v>
      </c>
      <c r="BJ793" s="29" t="s">
        <v>166</v>
      </c>
      <c r="BK793" s="29" t="s">
        <v>166</v>
      </c>
      <c r="BL793" s="25" t="s">
        <v>191</v>
      </c>
      <c r="BM793" s="25" t="s">
        <v>178</v>
      </c>
      <c r="BN793" s="25" t="s">
        <v>177</v>
      </c>
      <c r="BO793" s="33" t="s">
        <v>166</v>
      </c>
      <c r="BP793" s="25" t="s">
        <v>15148</v>
      </c>
      <c r="BQ793" s="32">
        <v>8</v>
      </c>
      <c r="BR793" s="25" t="s">
        <v>166</v>
      </c>
      <c r="BS793" s="32" t="s">
        <v>166</v>
      </c>
      <c r="BT793" s="25" t="s">
        <v>15149</v>
      </c>
      <c r="BU793" s="25" t="s">
        <v>166</v>
      </c>
      <c r="BV793" s="25" t="s">
        <v>15150</v>
      </c>
      <c r="BW793" s="25" t="s">
        <v>166</v>
      </c>
      <c r="BX793" s="25" t="s">
        <v>166</v>
      </c>
      <c r="BY793" s="25" t="s">
        <v>166</v>
      </c>
      <c r="BZ793" s="25" t="s">
        <v>996</v>
      </c>
      <c r="CA793" s="25" t="s">
        <v>996</v>
      </c>
      <c r="CB793" s="25" t="s">
        <v>166</v>
      </c>
      <c r="CC793" s="25" t="s">
        <v>166</v>
      </c>
      <c r="CD793" s="25" t="s">
        <v>166</v>
      </c>
      <c r="CE793" s="29" t="s">
        <v>166</v>
      </c>
      <c r="CF793" s="27" t="s">
        <v>166</v>
      </c>
      <c r="CG793" s="28" t="s">
        <v>166</v>
      </c>
      <c r="CH793" s="27" t="s">
        <v>166</v>
      </c>
      <c r="CI793" s="27" t="s">
        <v>166</v>
      </c>
      <c r="CJ793" s="27" t="s">
        <v>166</v>
      </c>
      <c r="CK793" s="27" t="s">
        <v>166</v>
      </c>
      <c r="CL793" s="27" t="s">
        <v>166</v>
      </c>
      <c r="CM793" s="31" t="s">
        <v>166</v>
      </c>
      <c r="CN793" s="27" t="s">
        <v>166</v>
      </c>
      <c r="CO793" s="27" t="s">
        <v>166</v>
      </c>
      <c r="CP793" s="27" t="s">
        <v>166</v>
      </c>
      <c r="CQ793" s="27" t="s">
        <v>166</v>
      </c>
      <c r="CR793" s="27" t="s">
        <v>166</v>
      </c>
      <c r="CS793" s="27" t="s">
        <v>166</v>
      </c>
      <c r="CT793" s="27" t="s">
        <v>166</v>
      </c>
      <c r="CU793" s="27" t="s">
        <v>166</v>
      </c>
      <c r="CV793" s="27" t="s">
        <v>166</v>
      </c>
      <c r="CW793" s="27" t="s">
        <v>166</v>
      </c>
      <c r="CX793" s="27" t="s">
        <v>166</v>
      </c>
      <c r="CY793" s="27" t="s">
        <v>166</v>
      </c>
      <c r="CZ793" s="27" t="s">
        <v>166</v>
      </c>
      <c r="DA793" s="27" t="s">
        <v>166</v>
      </c>
      <c r="DB793" s="27" t="s">
        <v>166</v>
      </c>
      <c r="DC793" s="27" t="s">
        <v>166</v>
      </c>
      <c r="DD793" s="27" t="s">
        <v>166</v>
      </c>
      <c r="DE793" s="28" t="s">
        <v>166</v>
      </c>
      <c r="DF793" s="33">
        <v>5</v>
      </c>
      <c r="DG793" s="25" t="s">
        <v>309</v>
      </c>
      <c r="DH793" s="25" t="s">
        <v>193</v>
      </c>
      <c r="DI793" s="25" t="s">
        <v>194</v>
      </c>
      <c r="DJ793" s="25" t="s">
        <v>310</v>
      </c>
      <c r="DK793" s="25" t="s">
        <v>310</v>
      </c>
      <c r="DL793" s="32" t="s">
        <v>873</v>
      </c>
      <c r="DM793" s="25" t="s">
        <v>198</v>
      </c>
      <c r="DN793" s="24" t="s">
        <v>15151</v>
      </c>
      <c r="DO793" s="31">
        <v>2022</v>
      </c>
      <c r="DP793" s="25" t="s">
        <v>166</v>
      </c>
      <c r="DQ793" s="25" t="s">
        <v>166</v>
      </c>
      <c r="DR793" s="29" t="s">
        <v>166</v>
      </c>
      <c r="DS793" s="27" t="s">
        <v>166</v>
      </c>
      <c r="DT793" s="30" t="s">
        <v>166</v>
      </c>
      <c r="DU793" s="25" t="s">
        <v>166</v>
      </c>
      <c r="DV793" s="29" t="s">
        <v>166</v>
      </c>
      <c r="DW793" s="29" t="s">
        <v>166</v>
      </c>
      <c r="DX793" s="27" t="s">
        <v>166</v>
      </c>
      <c r="DY793" s="27" t="s">
        <v>166</v>
      </c>
      <c r="DZ793" s="28" t="s">
        <v>166</v>
      </c>
      <c r="EA793" s="27" t="s">
        <v>166</v>
      </c>
      <c r="EB793" s="27" t="s">
        <v>166</v>
      </c>
      <c r="EC793" s="27" t="s">
        <v>166</v>
      </c>
      <c r="ED793" s="28" t="s">
        <v>166</v>
      </c>
      <c r="EE793" s="28" t="s">
        <v>166</v>
      </c>
      <c r="EF793" s="28" t="s">
        <v>166</v>
      </c>
      <c r="EG793" s="28" t="s">
        <v>166</v>
      </c>
      <c r="EH793" s="27" t="s">
        <v>166</v>
      </c>
      <c r="EI793" s="27" t="s">
        <v>166</v>
      </c>
      <c r="EJ793" s="27" t="s">
        <v>166</v>
      </c>
      <c r="EK793" s="27" t="s">
        <v>166</v>
      </c>
      <c r="EL793" s="27" t="s">
        <v>166</v>
      </c>
      <c r="EM793" s="27" t="s">
        <v>166</v>
      </c>
      <c r="EN793" s="27" t="s">
        <v>166</v>
      </c>
      <c r="EO793" s="27" t="s">
        <v>166</v>
      </c>
      <c r="EP793" s="27" t="s">
        <v>166</v>
      </c>
      <c r="EQ793" s="27" t="s">
        <v>166</v>
      </c>
      <c r="ER793" s="27" t="s">
        <v>166</v>
      </c>
      <c r="ES793" s="27" t="s">
        <v>166</v>
      </c>
      <c r="ET793" s="25" t="s">
        <v>166</v>
      </c>
      <c r="EU793" s="27" t="s">
        <v>166</v>
      </c>
      <c r="EV793" s="27" t="s">
        <v>166</v>
      </c>
      <c r="EW793" s="27" t="s">
        <v>166</v>
      </c>
      <c r="EX793" s="25" t="s">
        <v>190</v>
      </c>
      <c r="EY793" s="25" t="s">
        <v>166</v>
      </c>
      <c r="EZ793" s="27" t="s">
        <v>166</v>
      </c>
      <c r="FA793" s="26" t="s">
        <v>166</v>
      </c>
      <c r="FB793" s="26" t="s">
        <v>166</v>
      </c>
      <c r="FC793" s="26" t="s">
        <v>166</v>
      </c>
      <c r="FD793" s="26" t="s">
        <v>166</v>
      </c>
      <c r="FE793" s="26" t="s">
        <v>166</v>
      </c>
      <c r="FF793" s="26" t="s">
        <v>166</v>
      </c>
      <c r="FG793" s="25" t="s">
        <v>166</v>
      </c>
      <c r="FH793" s="4">
        <f>HYPERLINK("https://my.pitchbook.com?c=219789-91T","View Company Online")</f>
      </c>
    </row>
    <row r="794">
      <c r="A794" s="14" t="s">
        <v>15152</v>
      </c>
      <c r="B794" s="14" t="s">
        <v>15153</v>
      </c>
      <c r="C794" s="14" t="s">
        <v>15154</v>
      </c>
      <c r="D794" s="14" t="s">
        <v>166</v>
      </c>
      <c r="E794" s="23" t="s">
        <v>15155</v>
      </c>
      <c r="F794" s="21">
        <v>1</v>
      </c>
      <c r="G794" s="14" t="s">
        <v>15156</v>
      </c>
      <c r="H794" s="14" t="s">
        <v>166</v>
      </c>
      <c r="I794" s="14" t="s">
        <v>15157</v>
      </c>
      <c r="J794" s="14" t="s">
        <v>15158</v>
      </c>
      <c r="K794" s="14" t="s">
        <v>207</v>
      </c>
      <c r="L794" s="14" t="s">
        <v>418</v>
      </c>
      <c r="M794" s="14" t="s">
        <v>419</v>
      </c>
      <c r="N794" s="14" t="s">
        <v>15159</v>
      </c>
      <c r="O794" s="14" t="s">
        <v>580</v>
      </c>
      <c r="P794" s="14" t="s">
        <v>15160</v>
      </c>
      <c r="Q794" s="14" t="s">
        <v>15161</v>
      </c>
      <c r="R794" s="14" t="s">
        <v>177</v>
      </c>
      <c r="S794" s="14" t="s">
        <v>178</v>
      </c>
      <c r="T794" s="14" t="s">
        <v>179</v>
      </c>
      <c r="U794" s="14" t="s">
        <v>15162</v>
      </c>
      <c r="V794" s="14" t="s">
        <v>15163</v>
      </c>
      <c r="W794" s="21" t="s">
        <v>166</v>
      </c>
      <c r="X794" s="14" t="s">
        <v>15164</v>
      </c>
      <c r="Y794" s="14" t="s">
        <v>15165</v>
      </c>
      <c r="Z794" s="14" t="s">
        <v>15166</v>
      </c>
      <c r="AA794" s="14" t="s">
        <v>242</v>
      </c>
      <c r="AB794" s="14" t="s">
        <v>243</v>
      </c>
      <c r="AC794" s="14" t="s">
        <v>244</v>
      </c>
      <c r="AD794" s="14" t="s">
        <v>243</v>
      </c>
      <c r="AE794" s="14" t="s">
        <v>243</v>
      </c>
      <c r="AF794" s="14" t="s">
        <v>166</v>
      </c>
      <c r="AG794" s="14" t="s">
        <v>807</v>
      </c>
      <c r="AH794" s="21">
        <v>3</v>
      </c>
      <c r="AI794" s="3">
        <f>HYPERLINK("https://my.pitchbook.com/?d=176277-16T","176277-16T")</f>
      </c>
      <c r="AJ794" s="19" t="s">
        <v>166</v>
      </c>
      <c r="AK794" s="19">
        <v>44088</v>
      </c>
      <c r="AL794" s="18">
        <v>3.1</v>
      </c>
      <c r="AM794" s="14" t="s">
        <v>247</v>
      </c>
      <c r="AN794" s="18">
        <v>12</v>
      </c>
      <c r="AO794" s="18">
        <v>15.1</v>
      </c>
      <c r="AP794" s="14" t="s">
        <v>185</v>
      </c>
      <c r="AQ794" s="21" t="s">
        <v>166</v>
      </c>
      <c r="AR794" s="21" t="s">
        <v>166</v>
      </c>
      <c r="AS794" s="17">
        <v>20.53</v>
      </c>
      <c r="AT794" s="18">
        <v>3.1</v>
      </c>
      <c r="AU794" s="21" t="s">
        <v>186</v>
      </c>
      <c r="AV794" s="21" t="s">
        <v>166</v>
      </c>
      <c r="AW794" s="18">
        <v>2.17</v>
      </c>
      <c r="AX794" s="21" t="s">
        <v>166</v>
      </c>
      <c r="AY794" s="14" t="s">
        <v>217</v>
      </c>
      <c r="AZ794" s="14" t="s">
        <v>217</v>
      </c>
      <c r="BA794" s="14" t="s">
        <v>166</v>
      </c>
      <c r="BB794" s="21" t="s">
        <v>166</v>
      </c>
      <c r="BC794" s="14" t="s">
        <v>179</v>
      </c>
      <c r="BD794" s="14" t="s">
        <v>15167</v>
      </c>
      <c r="BE794" s="14" t="s">
        <v>189</v>
      </c>
      <c r="BF794" s="18">
        <v>3.1</v>
      </c>
      <c r="BG794" s="14" t="s">
        <v>190</v>
      </c>
      <c r="BH794" s="14" t="s">
        <v>166</v>
      </c>
      <c r="BI794" s="14" t="s">
        <v>166</v>
      </c>
      <c r="BJ794" s="18" t="s">
        <v>166</v>
      </c>
      <c r="BK794" s="18" t="s">
        <v>166</v>
      </c>
      <c r="BL794" s="14" t="s">
        <v>191</v>
      </c>
      <c r="BM794" s="14" t="s">
        <v>358</v>
      </c>
      <c r="BN794" s="14" t="s">
        <v>177</v>
      </c>
      <c r="BO794" s="22" t="s">
        <v>166</v>
      </c>
      <c r="BP794" s="14" t="s">
        <v>15168</v>
      </c>
      <c r="BQ794" s="21">
        <v>1</v>
      </c>
      <c r="BR794" s="14" t="s">
        <v>166</v>
      </c>
      <c r="BS794" s="21" t="s">
        <v>166</v>
      </c>
      <c r="BT794" s="14" t="s">
        <v>166</v>
      </c>
      <c r="BU794" s="14" t="s">
        <v>166</v>
      </c>
      <c r="BV794" s="14" t="s">
        <v>15169</v>
      </c>
      <c r="BW794" s="14" t="s">
        <v>166</v>
      </c>
      <c r="BX794" s="14" t="s">
        <v>166</v>
      </c>
      <c r="BY794" s="14" t="s">
        <v>166</v>
      </c>
      <c r="BZ794" s="14" t="s">
        <v>166</v>
      </c>
      <c r="CA794" s="14" t="s">
        <v>166</v>
      </c>
      <c r="CB794" s="14" t="s">
        <v>166</v>
      </c>
      <c r="CC794" s="14" t="s">
        <v>166</v>
      </c>
      <c r="CD794" s="14" t="s">
        <v>166</v>
      </c>
      <c r="CE794" s="18" t="s">
        <v>166</v>
      </c>
      <c r="CF794" s="16" t="s">
        <v>166</v>
      </c>
      <c r="CG794" s="17" t="s">
        <v>166</v>
      </c>
      <c r="CH794" s="16" t="s">
        <v>166</v>
      </c>
      <c r="CI794" s="16" t="s">
        <v>166</v>
      </c>
      <c r="CJ794" s="16" t="s">
        <v>166</v>
      </c>
      <c r="CK794" s="16" t="s">
        <v>166</v>
      </c>
      <c r="CL794" s="16" t="s">
        <v>166</v>
      </c>
      <c r="CM794" s="20" t="s">
        <v>166</v>
      </c>
      <c r="CN794" s="16" t="s">
        <v>166</v>
      </c>
      <c r="CO794" s="16" t="s">
        <v>166</v>
      </c>
      <c r="CP794" s="16" t="s">
        <v>166</v>
      </c>
      <c r="CQ794" s="16" t="s">
        <v>166</v>
      </c>
      <c r="CR794" s="16" t="s">
        <v>166</v>
      </c>
      <c r="CS794" s="16" t="s">
        <v>166</v>
      </c>
      <c r="CT794" s="16" t="s">
        <v>166</v>
      </c>
      <c r="CU794" s="16" t="s">
        <v>166</v>
      </c>
      <c r="CV794" s="16" t="s">
        <v>166</v>
      </c>
      <c r="CW794" s="16" t="s">
        <v>166</v>
      </c>
      <c r="CX794" s="16" t="s">
        <v>166</v>
      </c>
      <c r="CY794" s="16" t="s">
        <v>166</v>
      </c>
      <c r="CZ794" s="16" t="s">
        <v>166</v>
      </c>
      <c r="DA794" s="16" t="s">
        <v>166</v>
      </c>
      <c r="DB794" s="16" t="s">
        <v>166</v>
      </c>
      <c r="DC794" s="16" t="s">
        <v>166</v>
      </c>
      <c r="DD794" s="16" t="s">
        <v>166</v>
      </c>
      <c r="DE794" s="17" t="s">
        <v>166</v>
      </c>
      <c r="DF794" s="22">
        <v>24</v>
      </c>
      <c r="DG794" s="14" t="s">
        <v>5921</v>
      </c>
      <c r="DH794" s="14" t="s">
        <v>193</v>
      </c>
      <c r="DI794" s="14" t="s">
        <v>194</v>
      </c>
      <c r="DJ794" s="14" t="s">
        <v>5922</v>
      </c>
      <c r="DK794" s="14" t="s">
        <v>257</v>
      </c>
      <c r="DL794" s="21" t="s">
        <v>15170</v>
      </c>
      <c r="DM794" s="14" t="s">
        <v>198</v>
      </c>
      <c r="DN794" s="13" t="s">
        <v>15171</v>
      </c>
      <c r="DO794" s="20">
        <v>2018</v>
      </c>
      <c r="DP794" s="14" t="s">
        <v>166</v>
      </c>
      <c r="DQ794" s="14" t="s">
        <v>166</v>
      </c>
      <c r="DR794" s="18" t="s">
        <v>166</v>
      </c>
      <c r="DS794" s="16" t="s">
        <v>166</v>
      </c>
      <c r="DT794" s="19" t="s">
        <v>166</v>
      </c>
      <c r="DU794" s="14" t="s">
        <v>166</v>
      </c>
      <c r="DV794" s="18" t="s">
        <v>166</v>
      </c>
      <c r="DW794" s="18" t="s">
        <v>166</v>
      </c>
      <c r="DX794" s="16" t="s">
        <v>166</v>
      </c>
      <c r="DY794" s="16" t="s">
        <v>166</v>
      </c>
      <c r="DZ794" s="17" t="s">
        <v>166</v>
      </c>
      <c r="EA794" s="16" t="s">
        <v>166</v>
      </c>
      <c r="EB794" s="16" t="s">
        <v>166</v>
      </c>
      <c r="EC794" s="16" t="s">
        <v>166</v>
      </c>
      <c r="ED794" s="17" t="s">
        <v>166</v>
      </c>
      <c r="EE794" s="17" t="s">
        <v>166</v>
      </c>
      <c r="EF794" s="17" t="s">
        <v>166</v>
      </c>
      <c r="EG794" s="17" t="s">
        <v>166</v>
      </c>
      <c r="EH794" s="16" t="s">
        <v>166</v>
      </c>
      <c r="EI794" s="16" t="s">
        <v>166</v>
      </c>
      <c r="EJ794" s="16" t="s">
        <v>166</v>
      </c>
      <c r="EK794" s="16" t="s">
        <v>166</v>
      </c>
      <c r="EL794" s="16" t="s">
        <v>166</v>
      </c>
      <c r="EM794" s="16" t="s">
        <v>166</v>
      </c>
      <c r="EN794" s="16" t="s">
        <v>166</v>
      </c>
      <c r="EO794" s="16" t="s">
        <v>166</v>
      </c>
      <c r="EP794" s="16" t="s">
        <v>166</v>
      </c>
      <c r="EQ794" s="16" t="s">
        <v>166</v>
      </c>
      <c r="ER794" s="16" t="s">
        <v>166</v>
      </c>
      <c r="ES794" s="16" t="s">
        <v>166</v>
      </c>
      <c r="ET794" s="14" t="s">
        <v>166</v>
      </c>
      <c r="EU794" s="16" t="s">
        <v>166</v>
      </c>
      <c r="EV794" s="16" t="s">
        <v>166</v>
      </c>
      <c r="EW794" s="16" t="s">
        <v>166</v>
      </c>
      <c r="EX794" s="14" t="s">
        <v>190</v>
      </c>
      <c r="EY794" s="14" t="s">
        <v>166</v>
      </c>
      <c r="EZ794" s="16" t="s">
        <v>166</v>
      </c>
      <c r="FA794" s="15">
        <v>11</v>
      </c>
      <c r="FB794" s="15">
        <v>3</v>
      </c>
      <c r="FC794" s="15">
        <v>3</v>
      </c>
      <c r="FD794" s="15">
        <v>8</v>
      </c>
      <c r="FE794" s="15" t="s">
        <v>166</v>
      </c>
      <c r="FF794" s="15" t="s">
        <v>166</v>
      </c>
      <c r="FG794" s="14" t="s">
        <v>15172</v>
      </c>
      <c r="FH794" s="3">
        <f>HYPERLINK("https://my.pitchbook.com?c=176277-16T","View Company Online")</f>
      </c>
    </row>
    <row r="795">
      <c r="A795" s="25" t="s">
        <v>15173</v>
      </c>
      <c r="B795" s="25" t="s">
        <v>15174</v>
      </c>
      <c r="C795" s="25" t="s">
        <v>15175</v>
      </c>
      <c r="D795" s="25" t="s">
        <v>166</v>
      </c>
      <c r="E795" s="34" t="s">
        <v>15176</v>
      </c>
      <c r="F795" s="32">
        <v>1</v>
      </c>
      <c r="G795" s="25" t="s">
        <v>15177</v>
      </c>
      <c r="H795" s="25" t="s">
        <v>166</v>
      </c>
      <c r="I795" s="25" t="s">
        <v>15178</v>
      </c>
      <c r="J795" s="25" t="s">
        <v>15179</v>
      </c>
      <c r="K795" s="25" t="s">
        <v>207</v>
      </c>
      <c r="L795" s="25" t="s">
        <v>208</v>
      </c>
      <c r="M795" s="25" t="s">
        <v>1766</v>
      </c>
      <c r="N795" s="25" t="s">
        <v>2393</v>
      </c>
      <c r="O795" s="25" t="s">
        <v>9758</v>
      </c>
      <c r="P795" s="25" t="s">
        <v>15180</v>
      </c>
      <c r="Q795" s="25" t="s">
        <v>166</v>
      </c>
      <c r="R795" s="25" t="s">
        <v>177</v>
      </c>
      <c r="S795" s="25" t="s">
        <v>178</v>
      </c>
      <c r="T795" s="25" t="s">
        <v>179</v>
      </c>
      <c r="U795" s="25" t="s">
        <v>15181</v>
      </c>
      <c r="V795" s="25" t="s">
        <v>15182</v>
      </c>
      <c r="W795" s="32" t="s">
        <v>166</v>
      </c>
      <c r="X795" s="25" t="s">
        <v>15183</v>
      </c>
      <c r="Y795" s="25" t="s">
        <v>15184</v>
      </c>
      <c r="Z795" s="25" t="s">
        <v>15070</v>
      </c>
      <c r="AA795" s="25" t="s">
        <v>166</v>
      </c>
      <c r="AB795" s="25" t="s">
        <v>166</v>
      </c>
      <c r="AC795" s="25" t="s">
        <v>166</v>
      </c>
      <c r="AD795" s="25" t="s">
        <v>166</v>
      </c>
      <c r="AE795" s="25" t="s">
        <v>166</v>
      </c>
      <c r="AF795" s="25" t="s">
        <v>166</v>
      </c>
      <c r="AG795" s="25" t="s">
        <v>166</v>
      </c>
      <c r="AH795" s="32">
        <v>1</v>
      </c>
      <c r="AI795" s="4">
        <f>HYPERLINK("https://my.pitchbook.com/?d=275674-78T","275674-78T")</f>
      </c>
      <c r="AJ795" s="30">
        <v>45149</v>
      </c>
      <c r="AK795" s="30">
        <v>45427</v>
      </c>
      <c r="AL795" s="29">
        <v>0.1</v>
      </c>
      <c r="AM795" s="25" t="s">
        <v>185</v>
      </c>
      <c r="AN795" s="29" t="s">
        <v>166</v>
      </c>
      <c r="AO795" s="29" t="s">
        <v>166</v>
      </c>
      <c r="AP795" s="25" t="s">
        <v>166</v>
      </c>
      <c r="AQ795" s="32" t="s">
        <v>166</v>
      </c>
      <c r="AR795" s="32" t="s">
        <v>166</v>
      </c>
      <c r="AS795" s="28" t="s">
        <v>166</v>
      </c>
      <c r="AT795" s="29">
        <v>0.1</v>
      </c>
      <c r="AU795" s="32" t="s">
        <v>186</v>
      </c>
      <c r="AV795" s="32" t="s">
        <v>166</v>
      </c>
      <c r="AW795" s="29" t="s">
        <v>166</v>
      </c>
      <c r="AX795" s="32" t="s">
        <v>166</v>
      </c>
      <c r="AY795" s="25" t="s">
        <v>187</v>
      </c>
      <c r="AZ795" s="25" t="s">
        <v>166</v>
      </c>
      <c r="BA795" s="25" t="s">
        <v>166</v>
      </c>
      <c r="BB795" s="32" t="s">
        <v>166</v>
      </c>
      <c r="BC795" s="25" t="s">
        <v>179</v>
      </c>
      <c r="BD795" s="25" t="s">
        <v>15179</v>
      </c>
      <c r="BE795" s="25" t="s">
        <v>189</v>
      </c>
      <c r="BF795" s="29">
        <v>0.1</v>
      </c>
      <c r="BG795" s="25" t="s">
        <v>190</v>
      </c>
      <c r="BH795" s="25" t="s">
        <v>166</v>
      </c>
      <c r="BI795" s="25" t="s">
        <v>166</v>
      </c>
      <c r="BJ795" s="29" t="s">
        <v>166</v>
      </c>
      <c r="BK795" s="29" t="s">
        <v>166</v>
      </c>
      <c r="BL795" s="25" t="s">
        <v>191</v>
      </c>
      <c r="BM795" s="25" t="s">
        <v>178</v>
      </c>
      <c r="BN795" s="25" t="s">
        <v>177</v>
      </c>
      <c r="BO795" s="33" t="s">
        <v>166</v>
      </c>
      <c r="BP795" s="25" t="s">
        <v>15176</v>
      </c>
      <c r="BQ795" s="32">
        <v>1</v>
      </c>
      <c r="BR795" s="25" t="s">
        <v>166</v>
      </c>
      <c r="BS795" s="32" t="s">
        <v>166</v>
      </c>
      <c r="BT795" s="25" t="s">
        <v>166</v>
      </c>
      <c r="BU795" s="25" t="s">
        <v>166</v>
      </c>
      <c r="BV795" s="25" t="s">
        <v>15185</v>
      </c>
      <c r="BW795" s="25" t="s">
        <v>166</v>
      </c>
      <c r="BX795" s="25" t="s">
        <v>166</v>
      </c>
      <c r="BY795" s="25" t="s">
        <v>166</v>
      </c>
      <c r="BZ795" s="25" t="s">
        <v>166</v>
      </c>
      <c r="CA795" s="25" t="s">
        <v>166</v>
      </c>
      <c r="CB795" s="25" t="s">
        <v>166</v>
      </c>
      <c r="CC795" s="25" t="s">
        <v>166</v>
      </c>
      <c r="CD795" s="25" t="s">
        <v>166</v>
      </c>
      <c r="CE795" s="29" t="s">
        <v>166</v>
      </c>
      <c r="CF795" s="27" t="s">
        <v>166</v>
      </c>
      <c r="CG795" s="28" t="s">
        <v>166</v>
      </c>
      <c r="CH795" s="27" t="s">
        <v>166</v>
      </c>
      <c r="CI795" s="27" t="s">
        <v>166</v>
      </c>
      <c r="CJ795" s="27" t="s">
        <v>166</v>
      </c>
      <c r="CK795" s="27" t="s">
        <v>166</v>
      </c>
      <c r="CL795" s="27" t="s">
        <v>166</v>
      </c>
      <c r="CM795" s="31" t="s">
        <v>166</v>
      </c>
      <c r="CN795" s="27" t="s">
        <v>166</v>
      </c>
      <c r="CO795" s="27" t="s">
        <v>166</v>
      </c>
      <c r="CP795" s="27" t="s">
        <v>166</v>
      </c>
      <c r="CQ795" s="27" t="s">
        <v>166</v>
      </c>
      <c r="CR795" s="27" t="s">
        <v>166</v>
      </c>
      <c r="CS795" s="27" t="s">
        <v>166</v>
      </c>
      <c r="CT795" s="27" t="s">
        <v>166</v>
      </c>
      <c r="CU795" s="27" t="s">
        <v>166</v>
      </c>
      <c r="CV795" s="27" t="s">
        <v>166</v>
      </c>
      <c r="CW795" s="27" t="s">
        <v>166</v>
      </c>
      <c r="CX795" s="27" t="s">
        <v>166</v>
      </c>
      <c r="CY795" s="27" t="s">
        <v>166</v>
      </c>
      <c r="CZ795" s="27" t="s">
        <v>166</v>
      </c>
      <c r="DA795" s="27" t="s">
        <v>166</v>
      </c>
      <c r="DB795" s="27" t="s">
        <v>166</v>
      </c>
      <c r="DC795" s="27" t="s">
        <v>166</v>
      </c>
      <c r="DD795" s="27" t="s">
        <v>166</v>
      </c>
      <c r="DE795" s="28" t="s">
        <v>166</v>
      </c>
      <c r="DF795" s="33">
        <v>14</v>
      </c>
      <c r="DG795" s="25" t="s">
        <v>673</v>
      </c>
      <c r="DH795" s="25" t="s">
        <v>193</v>
      </c>
      <c r="DI795" s="25" t="s">
        <v>194</v>
      </c>
      <c r="DJ795" s="25" t="s">
        <v>674</v>
      </c>
      <c r="DK795" s="25" t="s">
        <v>257</v>
      </c>
      <c r="DL795" s="32" t="s">
        <v>166</v>
      </c>
      <c r="DM795" s="25" t="s">
        <v>198</v>
      </c>
      <c r="DN795" s="24" t="s">
        <v>15186</v>
      </c>
      <c r="DO795" s="31">
        <v>2020</v>
      </c>
      <c r="DP795" s="25" t="s">
        <v>166</v>
      </c>
      <c r="DQ795" s="25" t="s">
        <v>166</v>
      </c>
      <c r="DR795" s="29" t="s">
        <v>166</v>
      </c>
      <c r="DS795" s="27" t="s">
        <v>166</v>
      </c>
      <c r="DT795" s="30" t="s">
        <v>166</v>
      </c>
      <c r="DU795" s="25" t="s">
        <v>166</v>
      </c>
      <c r="DV795" s="29" t="s">
        <v>166</v>
      </c>
      <c r="DW795" s="29" t="s">
        <v>166</v>
      </c>
      <c r="DX795" s="27" t="s">
        <v>166</v>
      </c>
      <c r="DY795" s="27" t="s">
        <v>166</v>
      </c>
      <c r="DZ795" s="28" t="s">
        <v>166</v>
      </c>
      <c r="EA795" s="27" t="s">
        <v>166</v>
      </c>
      <c r="EB795" s="27" t="s">
        <v>166</v>
      </c>
      <c r="EC795" s="27" t="s">
        <v>166</v>
      </c>
      <c r="ED795" s="28" t="s">
        <v>166</v>
      </c>
      <c r="EE795" s="28" t="s">
        <v>166</v>
      </c>
      <c r="EF795" s="28" t="s">
        <v>166</v>
      </c>
      <c r="EG795" s="28" t="s">
        <v>166</v>
      </c>
      <c r="EH795" s="27" t="s">
        <v>166</v>
      </c>
      <c r="EI795" s="27" t="s">
        <v>166</v>
      </c>
      <c r="EJ795" s="27" t="s">
        <v>166</v>
      </c>
      <c r="EK795" s="27" t="s">
        <v>166</v>
      </c>
      <c r="EL795" s="27" t="s">
        <v>166</v>
      </c>
      <c r="EM795" s="27" t="s">
        <v>166</v>
      </c>
      <c r="EN795" s="27" t="s">
        <v>166</v>
      </c>
      <c r="EO795" s="27" t="s">
        <v>166</v>
      </c>
      <c r="EP795" s="27" t="s">
        <v>166</v>
      </c>
      <c r="EQ795" s="27" t="s">
        <v>166</v>
      </c>
      <c r="ER795" s="27" t="s">
        <v>166</v>
      </c>
      <c r="ES795" s="27" t="s">
        <v>166</v>
      </c>
      <c r="ET795" s="25" t="s">
        <v>166</v>
      </c>
      <c r="EU795" s="27" t="s">
        <v>166</v>
      </c>
      <c r="EV795" s="27" t="s">
        <v>166</v>
      </c>
      <c r="EW795" s="27" t="s">
        <v>166</v>
      </c>
      <c r="EX795" s="25" t="s">
        <v>190</v>
      </c>
      <c r="EY795" s="25" t="s">
        <v>166</v>
      </c>
      <c r="EZ795" s="27" t="s">
        <v>166</v>
      </c>
      <c r="FA795" s="26" t="s">
        <v>166</v>
      </c>
      <c r="FB795" s="26" t="s">
        <v>166</v>
      </c>
      <c r="FC795" s="26" t="s">
        <v>166</v>
      </c>
      <c r="FD795" s="26" t="s">
        <v>166</v>
      </c>
      <c r="FE795" s="26" t="s">
        <v>166</v>
      </c>
      <c r="FF795" s="26" t="s">
        <v>166</v>
      </c>
      <c r="FG795" s="25" t="s">
        <v>166</v>
      </c>
      <c r="FH795" s="4">
        <f>HYPERLINK("https://my.pitchbook.com?c=275674-78T","View Company Online")</f>
      </c>
    </row>
    <row r="796">
      <c r="A796" s="14" t="s">
        <v>15187</v>
      </c>
      <c r="B796" s="14" t="s">
        <v>15188</v>
      </c>
      <c r="C796" s="14" t="s">
        <v>15189</v>
      </c>
      <c r="D796" s="14" t="s">
        <v>166</v>
      </c>
      <c r="E796" s="23" t="s">
        <v>15190</v>
      </c>
      <c r="F796" s="21">
        <v>1</v>
      </c>
      <c r="G796" s="14" t="s">
        <v>15191</v>
      </c>
      <c r="H796" s="14" t="s">
        <v>166</v>
      </c>
      <c r="I796" s="14" t="s">
        <v>15192</v>
      </c>
      <c r="J796" s="14" t="s">
        <v>15193</v>
      </c>
      <c r="K796" s="14" t="s">
        <v>207</v>
      </c>
      <c r="L796" s="14" t="s">
        <v>208</v>
      </c>
      <c r="M796" s="14" t="s">
        <v>296</v>
      </c>
      <c r="N796" s="14" t="s">
        <v>1202</v>
      </c>
      <c r="O796" s="14" t="s">
        <v>15194</v>
      </c>
      <c r="P796" s="14" t="s">
        <v>15195</v>
      </c>
      <c r="Q796" s="14" t="s">
        <v>15196</v>
      </c>
      <c r="R796" s="14" t="s">
        <v>177</v>
      </c>
      <c r="S796" s="14" t="s">
        <v>178</v>
      </c>
      <c r="T796" s="14" t="s">
        <v>179</v>
      </c>
      <c r="U796" s="14" t="s">
        <v>15197</v>
      </c>
      <c r="V796" s="14" t="s">
        <v>15198</v>
      </c>
      <c r="W796" s="21" t="s">
        <v>15199</v>
      </c>
      <c r="X796" s="14" t="s">
        <v>166</v>
      </c>
      <c r="Y796" s="14" t="s">
        <v>15200</v>
      </c>
      <c r="Z796" s="14" t="s">
        <v>15201</v>
      </c>
      <c r="AA796" s="14" t="s">
        <v>242</v>
      </c>
      <c r="AB796" s="14" t="s">
        <v>243</v>
      </c>
      <c r="AC796" s="14" t="s">
        <v>244</v>
      </c>
      <c r="AD796" s="14" t="s">
        <v>243</v>
      </c>
      <c r="AE796" s="14" t="s">
        <v>243</v>
      </c>
      <c r="AF796" s="14" t="s">
        <v>245</v>
      </c>
      <c r="AG796" s="14" t="s">
        <v>246</v>
      </c>
      <c r="AH796" s="21">
        <v>1</v>
      </c>
      <c r="AI796" s="3">
        <f>HYPERLINK("https://my.pitchbook.com/?d=206737-84T","206737-84T")</f>
      </c>
      <c r="AJ796" s="19" t="s">
        <v>166</v>
      </c>
      <c r="AK796" s="19">
        <v>44489</v>
      </c>
      <c r="AL796" s="18">
        <v>1.15</v>
      </c>
      <c r="AM796" s="14" t="s">
        <v>247</v>
      </c>
      <c r="AN796" s="18">
        <v>4</v>
      </c>
      <c r="AO796" s="18">
        <v>5.15</v>
      </c>
      <c r="AP796" s="14" t="s">
        <v>185</v>
      </c>
      <c r="AQ796" s="21" t="s">
        <v>166</v>
      </c>
      <c r="AR796" s="21" t="s">
        <v>166</v>
      </c>
      <c r="AS796" s="17">
        <v>22.33</v>
      </c>
      <c r="AT796" s="18">
        <v>1.15</v>
      </c>
      <c r="AU796" s="21" t="s">
        <v>186</v>
      </c>
      <c r="AV796" s="21" t="s">
        <v>166</v>
      </c>
      <c r="AW796" s="18">
        <v>1.2</v>
      </c>
      <c r="AX796" s="21" t="s">
        <v>166</v>
      </c>
      <c r="AY796" s="14" t="s">
        <v>217</v>
      </c>
      <c r="AZ796" s="14" t="s">
        <v>217</v>
      </c>
      <c r="BA796" s="14" t="s">
        <v>166</v>
      </c>
      <c r="BB796" s="21" t="s">
        <v>166</v>
      </c>
      <c r="BC796" s="14" t="s">
        <v>179</v>
      </c>
      <c r="BD796" s="14" t="s">
        <v>15202</v>
      </c>
      <c r="BE796" s="14" t="s">
        <v>189</v>
      </c>
      <c r="BF796" s="18">
        <v>1.15</v>
      </c>
      <c r="BG796" s="14" t="s">
        <v>190</v>
      </c>
      <c r="BH796" s="14" t="s">
        <v>166</v>
      </c>
      <c r="BI796" s="14" t="s">
        <v>166</v>
      </c>
      <c r="BJ796" s="18" t="s">
        <v>166</v>
      </c>
      <c r="BK796" s="18" t="s">
        <v>166</v>
      </c>
      <c r="BL796" s="14" t="s">
        <v>191</v>
      </c>
      <c r="BM796" s="14" t="s">
        <v>358</v>
      </c>
      <c r="BN796" s="14" t="s">
        <v>177</v>
      </c>
      <c r="BO796" s="22" t="s">
        <v>166</v>
      </c>
      <c r="BP796" s="14" t="s">
        <v>15190</v>
      </c>
      <c r="BQ796" s="21">
        <v>1</v>
      </c>
      <c r="BR796" s="14" t="s">
        <v>166</v>
      </c>
      <c r="BS796" s="21" t="s">
        <v>166</v>
      </c>
      <c r="BT796" s="14" t="s">
        <v>166</v>
      </c>
      <c r="BU796" s="14" t="s">
        <v>166</v>
      </c>
      <c r="BV796" s="14" t="s">
        <v>15203</v>
      </c>
      <c r="BW796" s="14" t="s">
        <v>166</v>
      </c>
      <c r="BX796" s="14" t="s">
        <v>166</v>
      </c>
      <c r="BY796" s="14" t="s">
        <v>166</v>
      </c>
      <c r="BZ796" s="14" t="s">
        <v>166</v>
      </c>
      <c r="CA796" s="14" t="s">
        <v>166</v>
      </c>
      <c r="CB796" s="14" t="s">
        <v>166</v>
      </c>
      <c r="CC796" s="14" t="s">
        <v>166</v>
      </c>
      <c r="CD796" s="14" t="s">
        <v>166</v>
      </c>
      <c r="CE796" s="18" t="s">
        <v>166</v>
      </c>
      <c r="CF796" s="16" t="s">
        <v>166</v>
      </c>
      <c r="CG796" s="17" t="s">
        <v>166</v>
      </c>
      <c r="CH796" s="16" t="s">
        <v>166</v>
      </c>
      <c r="CI796" s="16" t="s">
        <v>166</v>
      </c>
      <c r="CJ796" s="16" t="s">
        <v>166</v>
      </c>
      <c r="CK796" s="16" t="s">
        <v>166</v>
      </c>
      <c r="CL796" s="16" t="s">
        <v>166</v>
      </c>
      <c r="CM796" s="20" t="s">
        <v>166</v>
      </c>
      <c r="CN796" s="16" t="s">
        <v>166</v>
      </c>
      <c r="CO796" s="16" t="s">
        <v>166</v>
      </c>
      <c r="CP796" s="16" t="s">
        <v>166</v>
      </c>
      <c r="CQ796" s="16" t="s">
        <v>166</v>
      </c>
      <c r="CR796" s="16" t="s">
        <v>166</v>
      </c>
      <c r="CS796" s="16" t="s">
        <v>166</v>
      </c>
      <c r="CT796" s="16" t="s">
        <v>166</v>
      </c>
      <c r="CU796" s="16" t="s">
        <v>166</v>
      </c>
      <c r="CV796" s="16" t="s">
        <v>166</v>
      </c>
      <c r="CW796" s="16" t="s">
        <v>166</v>
      </c>
      <c r="CX796" s="16" t="s">
        <v>166</v>
      </c>
      <c r="CY796" s="16" t="s">
        <v>166</v>
      </c>
      <c r="CZ796" s="16" t="s">
        <v>166</v>
      </c>
      <c r="DA796" s="16" t="s">
        <v>166</v>
      </c>
      <c r="DB796" s="16" t="s">
        <v>166</v>
      </c>
      <c r="DC796" s="16" t="s">
        <v>166</v>
      </c>
      <c r="DD796" s="16" t="s">
        <v>166</v>
      </c>
      <c r="DE796" s="17" t="s">
        <v>166</v>
      </c>
      <c r="DF796" s="22">
        <v>50</v>
      </c>
      <c r="DG796" s="14" t="s">
        <v>360</v>
      </c>
      <c r="DH796" s="14" t="s">
        <v>193</v>
      </c>
      <c r="DI796" s="14" t="s">
        <v>194</v>
      </c>
      <c r="DJ796" s="14" t="s">
        <v>361</v>
      </c>
      <c r="DK796" s="14" t="s">
        <v>196</v>
      </c>
      <c r="DL796" s="21" t="s">
        <v>2564</v>
      </c>
      <c r="DM796" s="14" t="s">
        <v>198</v>
      </c>
      <c r="DN796" s="13" t="s">
        <v>15204</v>
      </c>
      <c r="DO796" s="20">
        <v>2021</v>
      </c>
      <c r="DP796" s="14" t="s">
        <v>166</v>
      </c>
      <c r="DQ796" s="14" t="s">
        <v>166</v>
      </c>
      <c r="DR796" s="18" t="s">
        <v>166</v>
      </c>
      <c r="DS796" s="16" t="s">
        <v>166</v>
      </c>
      <c r="DT796" s="19" t="s">
        <v>166</v>
      </c>
      <c r="DU796" s="14" t="s">
        <v>166</v>
      </c>
      <c r="DV796" s="18" t="s">
        <v>166</v>
      </c>
      <c r="DW796" s="18" t="s">
        <v>166</v>
      </c>
      <c r="DX796" s="16" t="s">
        <v>166</v>
      </c>
      <c r="DY796" s="16" t="s">
        <v>166</v>
      </c>
      <c r="DZ796" s="17" t="s">
        <v>166</v>
      </c>
      <c r="EA796" s="16" t="s">
        <v>166</v>
      </c>
      <c r="EB796" s="16" t="s">
        <v>166</v>
      </c>
      <c r="EC796" s="16" t="s">
        <v>166</v>
      </c>
      <c r="ED796" s="17" t="s">
        <v>166</v>
      </c>
      <c r="EE796" s="17" t="s">
        <v>166</v>
      </c>
      <c r="EF796" s="17" t="s">
        <v>166</v>
      </c>
      <c r="EG796" s="17" t="s">
        <v>166</v>
      </c>
      <c r="EH796" s="16" t="s">
        <v>166</v>
      </c>
      <c r="EI796" s="16" t="s">
        <v>166</v>
      </c>
      <c r="EJ796" s="16" t="s">
        <v>166</v>
      </c>
      <c r="EK796" s="16" t="s">
        <v>166</v>
      </c>
      <c r="EL796" s="16" t="s">
        <v>166</v>
      </c>
      <c r="EM796" s="16" t="s">
        <v>166</v>
      </c>
      <c r="EN796" s="16" t="s">
        <v>166</v>
      </c>
      <c r="EO796" s="16" t="s">
        <v>166</v>
      </c>
      <c r="EP796" s="16" t="s">
        <v>166</v>
      </c>
      <c r="EQ796" s="16" t="s">
        <v>166</v>
      </c>
      <c r="ER796" s="16" t="s">
        <v>166</v>
      </c>
      <c r="ES796" s="16" t="s">
        <v>166</v>
      </c>
      <c r="ET796" s="14" t="s">
        <v>166</v>
      </c>
      <c r="EU796" s="16" t="s">
        <v>166</v>
      </c>
      <c r="EV796" s="16" t="s">
        <v>166</v>
      </c>
      <c r="EW796" s="16" t="s">
        <v>166</v>
      </c>
      <c r="EX796" s="14" t="s">
        <v>190</v>
      </c>
      <c r="EY796" s="14" t="s">
        <v>166</v>
      </c>
      <c r="EZ796" s="16" t="s">
        <v>166</v>
      </c>
      <c r="FA796" s="15" t="s">
        <v>166</v>
      </c>
      <c r="FB796" s="15" t="s">
        <v>166</v>
      </c>
      <c r="FC796" s="15" t="s">
        <v>166</v>
      </c>
      <c r="FD796" s="15" t="s">
        <v>166</v>
      </c>
      <c r="FE796" s="15" t="s">
        <v>166</v>
      </c>
      <c r="FF796" s="15" t="s">
        <v>166</v>
      </c>
      <c r="FG796" s="14" t="s">
        <v>166</v>
      </c>
      <c r="FH796" s="3">
        <f>HYPERLINK("https://my.pitchbook.com?c=206737-84T","View Company Online")</f>
      </c>
    </row>
    <row r="797">
      <c r="A797" s="25" t="s">
        <v>15205</v>
      </c>
      <c r="B797" s="25" t="s">
        <v>15206</v>
      </c>
      <c r="C797" s="25" t="s">
        <v>15207</v>
      </c>
      <c r="D797" s="25" t="s">
        <v>166</v>
      </c>
      <c r="E797" s="34" t="s">
        <v>15208</v>
      </c>
      <c r="F797" s="32">
        <v>6</v>
      </c>
      <c r="G797" s="25" t="s">
        <v>15209</v>
      </c>
      <c r="H797" s="25" t="s">
        <v>166</v>
      </c>
      <c r="I797" s="25" t="s">
        <v>15210</v>
      </c>
      <c r="J797" s="25" t="s">
        <v>15211</v>
      </c>
      <c r="K797" s="25" t="s">
        <v>207</v>
      </c>
      <c r="L797" s="25" t="s">
        <v>208</v>
      </c>
      <c r="M797" s="25" t="s">
        <v>965</v>
      </c>
      <c r="N797" s="25" t="s">
        <v>15212</v>
      </c>
      <c r="O797" s="25" t="s">
        <v>1803</v>
      </c>
      <c r="P797" s="25" t="s">
        <v>15213</v>
      </c>
      <c r="Q797" s="25" t="s">
        <v>926</v>
      </c>
      <c r="R797" s="25" t="s">
        <v>177</v>
      </c>
      <c r="S797" s="25" t="s">
        <v>178</v>
      </c>
      <c r="T797" s="25" t="s">
        <v>179</v>
      </c>
      <c r="U797" s="25" t="s">
        <v>15214</v>
      </c>
      <c r="V797" s="25" t="s">
        <v>15215</v>
      </c>
      <c r="W797" s="32" t="s">
        <v>15216</v>
      </c>
      <c r="X797" s="25" t="s">
        <v>15217</v>
      </c>
      <c r="Y797" s="25" t="s">
        <v>15218</v>
      </c>
      <c r="Z797" s="25" t="s">
        <v>15219</v>
      </c>
      <c r="AA797" s="25" t="s">
        <v>166</v>
      </c>
      <c r="AB797" s="25" t="s">
        <v>166</v>
      </c>
      <c r="AC797" s="25" t="s">
        <v>166</v>
      </c>
      <c r="AD797" s="25" t="s">
        <v>166</v>
      </c>
      <c r="AE797" s="25" t="s">
        <v>166</v>
      </c>
      <c r="AF797" s="25" t="s">
        <v>166</v>
      </c>
      <c r="AG797" s="25" t="s">
        <v>166</v>
      </c>
      <c r="AH797" s="32">
        <v>1</v>
      </c>
      <c r="AI797" s="4">
        <f>HYPERLINK("https://my.pitchbook.com/?d=192478-15T","192478-15T")</f>
      </c>
      <c r="AJ797" s="30" t="s">
        <v>166</v>
      </c>
      <c r="AK797" s="30">
        <v>44673</v>
      </c>
      <c r="AL797" s="29">
        <v>3.8</v>
      </c>
      <c r="AM797" s="25" t="s">
        <v>185</v>
      </c>
      <c r="AN797" s="29" t="s">
        <v>166</v>
      </c>
      <c r="AO797" s="29" t="s">
        <v>166</v>
      </c>
      <c r="AP797" s="25" t="s">
        <v>166</v>
      </c>
      <c r="AQ797" s="32" t="s">
        <v>166</v>
      </c>
      <c r="AR797" s="32" t="s">
        <v>166</v>
      </c>
      <c r="AS797" s="28" t="s">
        <v>166</v>
      </c>
      <c r="AT797" s="29">
        <v>3.8</v>
      </c>
      <c r="AU797" s="32" t="s">
        <v>186</v>
      </c>
      <c r="AV797" s="32" t="s">
        <v>166</v>
      </c>
      <c r="AW797" s="29" t="s">
        <v>166</v>
      </c>
      <c r="AX797" s="32" t="s">
        <v>166</v>
      </c>
      <c r="AY797" s="25" t="s">
        <v>217</v>
      </c>
      <c r="AZ797" s="25" t="s">
        <v>217</v>
      </c>
      <c r="BA797" s="25" t="s">
        <v>166</v>
      </c>
      <c r="BB797" s="32" t="s">
        <v>166</v>
      </c>
      <c r="BC797" s="25" t="s">
        <v>179</v>
      </c>
      <c r="BD797" s="25" t="s">
        <v>15211</v>
      </c>
      <c r="BE797" s="25" t="s">
        <v>189</v>
      </c>
      <c r="BF797" s="29" t="s">
        <v>166</v>
      </c>
      <c r="BG797" s="25" t="s">
        <v>190</v>
      </c>
      <c r="BH797" s="25" t="s">
        <v>166</v>
      </c>
      <c r="BI797" s="25" t="s">
        <v>166</v>
      </c>
      <c r="BJ797" s="29">
        <v>3.8</v>
      </c>
      <c r="BK797" s="29" t="s">
        <v>166</v>
      </c>
      <c r="BL797" s="25" t="s">
        <v>191</v>
      </c>
      <c r="BM797" s="25" t="s">
        <v>178</v>
      </c>
      <c r="BN797" s="25" t="s">
        <v>177</v>
      </c>
      <c r="BO797" s="33" t="s">
        <v>166</v>
      </c>
      <c r="BP797" s="25" t="s">
        <v>15220</v>
      </c>
      <c r="BQ797" s="32">
        <v>6</v>
      </c>
      <c r="BR797" s="25" t="s">
        <v>166</v>
      </c>
      <c r="BS797" s="32" t="s">
        <v>166</v>
      </c>
      <c r="BT797" s="25" t="s">
        <v>166</v>
      </c>
      <c r="BU797" s="25" t="s">
        <v>166</v>
      </c>
      <c r="BV797" s="25" t="s">
        <v>166</v>
      </c>
      <c r="BW797" s="25" t="s">
        <v>166</v>
      </c>
      <c r="BX797" s="25" t="s">
        <v>166</v>
      </c>
      <c r="BY797" s="25" t="s">
        <v>166</v>
      </c>
      <c r="BZ797" s="25" t="s">
        <v>166</v>
      </c>
      <c r="CA797" s="25" t="s">
        <v>166</v>
      </c>
      <c r="CB797" s="25" t="s">
        <v>166</v>
      </c>
      <c r="CC797" s="25" t="s">
        <v>166</v>
      </c>
      <c r="CD797" s="25" t="s">
        <v>166</v>
      </c>
      <c r="CE797" s="29" t="s">
        <v>166</v>
      </c>
      <c r="CF797" s="27" t="s">
        <v>166</v>
      </c>
      <c r="CG797" s="28" t="s">
        <v>166</v>
      </c>
      <c r="CH797" s="27" t="s">
        <v>166</v>
      </c>
      <c r="CI797" s="27" t="s">
        <v>166</v>
      </c>
      <c r="CJ797" s="27" t="s">
        <v>166</v>
      </c>
      <c r="CK797" s="27" t="s">
        <v>166</v>
      </c>
      <c r="CL797" s="27" t="s">
        <v>166</v>
      </c>
      <c r="CM797" s="31" t="s">
        <v>166</v>
      </c>
      <c r="CN797" s="27" t="s">
        <v>166</v>
      </c>
      <c r="CO797" s="27" t="s">
        <v>166</v>
      </c>
      <c r="CP797" s="27" t="s">
        <v>166</v>
      </c>
      <c r="CQ797" s="27" t="s">
        <v>166</v>
      </c>
      <c r="CR797" s="27" t="s">
        <v>166</v>
      </c>
      <c r="CS797" s="27" t="s">
        <v>166</v>
      </c>
      <c r="CT797" s="27" t="s">
        <v>166</v>
      </c>
      <c r="CU797" s="27" t="s">
        <v>166</v>
      </c>
      <c r="CV797" s="27" t="s">
        <v>166</v>
      </c>
      <c r="CW797" s="27" t="s">
        <v>166</v>
      </c>
      <c r="CX797" s="27" t="s">
        <v>166</v>
      </c>
      <c r="CY797" s="27" t="s">
        <v>166</v>
      </c>
      <c r="CZ797" s="27" t="s">
        <v>166</v>
      </c>
      <c r="DA797" s="27" t="s">
        <v>166</v>
      </c>
      <c r="DB797" s="27" t="s">
        <v>166</v>
      </c>
      <c r="DC797" s="27" t="s">
        <v>166</v>
      </c>
      <c r="DD797" s="27" t="s">
        <v>166</v>
      </c>
      <c r="DE797" s="28" t="s">
        <v>166</v>
      </c>
      <c r="DF797" s="33">
        <v>23</v>
      </c>
      <c r="DG797" s="25" t="s">
        <v>4632</v>
      </c>
      <c r="DH797" s="25" t="s">
        <v>193</v>
      </c>
      <c r="DI797" s="25" t="s">
        <v>194</v>
      </c>
      <c r="DJ797" s="25" t="s">
        <v>4633</v>
      </c>
      <c r="DK797" s="25" t="s">
        <v>257</v>
      </c>
      <c r="DL797" s="32" t="s">
        <v>6847</v>
      </c>
      <c r="DM797" s="25" t="s">
        <v>198</v>
      </c>
      <c r="DN797" s="24" t="s">
        <v>15221</v>
      </c>
      <c r="DO797" s="31">
        <v>2019</v>
      </c>
      <c r="DP797" s="25" t="s">
        <v>166</v>
      </c>
      <c r="DQ797" s="25" t="s">
        <v>15222</v>
      </c>
      <c r="DR797" s="29">
        <v>3.8</v>
      </c>
      <c r="DS797" s="27" t="s">
        <v>166</v>
      </c>
      <c r="DT797" s="30" t="s">
        <v>166</v>
      </c>
      <c r="DU797" s="25" t="s">
        <v>166</v>
      </c>
      <c r="DV797" s="29" t="s">
        <v>166</v>
      </c>
      <c r="DW797" s="29" t="s">
        <v>166</v>
      </c>
      <c r="DX797" s="27" t="s">
        <v>166</v>
      </c>
      <c r="DY797" s="27" t="s">
        <v>166</v>
      </c>
      <c r="DZ797" s="28" t="s">
        <v>166</v>
      </c>
      <c r="EA797" s="27" t="s">
        <v>166</v>
      </c>
      <c r="EB797" s="27" t="s">
        <v>166</v>
      </c>
      <c r="EC797" s="27" t="s">
        <v>166</v>
      </c>
      <c r="ED797" s="28" t="s">
        <v>166</v>
      </c>
      <c r="EE797" s="28" t="s">
        <v>166</v>
      </c>
      <c r="EF797" s="28" t="s">
        <v>166</v>
      </c>
      <c r="EG797" s="28" t="s">
        <v>166</v>
      </c>
      <c r="EH797" s="27" t="s">
        <v>166</v>
      </c>
      <c r="EI797" s="27" t="s">
        <v>166</v>
      </c>
      <c r="EJ797" s="27" t="s">
        <v>166</v>
      </c>
      <c r="EK797" s="27" t="s">
        <v>166</v>
      </c>
      <c r="EL797" s="27" t="s">
        <v>166</v>
      </c>
      <c r="EM797" s="27" t="s">
        <v>166</v>
      </c>
      <c r="EN797" s="27" t="s">
        <v>166</v>
      </c>
      <c r="EO797" s="27" t="s">
        <v>166</v>
      </c>
      <c r="EP797" s="27" t="s">
        <v>166</v>
      </c>
      <c r="EQ797" s="27" t="s">
        <v>166</v>
      </c>
      <c r="ER797" s="27" t="s">
        <v>166</v>
      </c>
      <c r="ES797" s="27" t="s">
        <v>166</v>
      </c>
      <c r="ET797" s="25" t="s">
        <v>166</v>
      </c>
      <c r="EU797" s="27" t="s">
        <v>166</v>
      </c>
      <c r="EV797" s="27" t="s">
        <v>166</v>
      </c>
      <c r="EW797" s="27" t="s">
        <v>166</v>
      </c>
      <c r="EX797" s="25" t="s">
        <v>190</v>
      </c>
      <c r="EY797" s="25" t="s">
        <v>190</v>
      </c>
      <c r="EZ797" s="27" t="s">
        <v>166</v>
      </c>
      <c r="FA797" s="26">
        <v>1</v>
      </c>
      <c r="FB797" s="26">
        <v>1</v>
      </c>
      <c r="FC797" s="26" t="s">
        <v>166</v>
      </c>
      <c r="FD797" s="26">
        <v>1</v>
      </c>
      <c r="FE797" s="26" t="s">
        <v>166</v>
      </c>
      <c r="FF797" s="26" t="s">
        <v>166</v>
      </c>
      <c r="FG797" s="25" t="s">
        <v>15223</v>
      </c>
      <c r="FH797" s="4">
        <f>HYPERLINK("https://my.pitchbook.com?c=192478-15T","View Company Online")</f>
      </c>
    </row>
    <row r="798">
      <c r="A798" s="14" t="s">
        <v>15224</v>
      </c>
      <c r="B798" s="14" t="s">
        <v>15225</v>
      </c>
      <c r="C798" s="14" t="s">
        <v>15226</v>
      </c>
      <c r="D798" s="14" t="s">
        <v>166</v>
      </c>
      <c r="E798" s="23" t="s">
        <v>15227</v>
      </c>
      <c r="F798" s="21">
        <v>25</v>
      </c>
      <c r="G798" s="14" t="s">
        <v>15228</v>
      </c>
      <c r="H798" s="14" t="s">
        <v>166</v>
      </c>
      <c r="I798" s="14" t="s">
        <v>15229</v>
      </c>
      <c r="J798" s="14" t="s">
        <v>15230</v>
      </c>
      <c r="K798" s="14" t="s">
        <v>171</v>
      </c>
      <c r="L798" s="14" t="s">
        <v>172</v>
      </c>
      <c r="M798" s="14" t="s">
        <v>173</v>
      </c>
      <c r="N798" s="14" t="s">
        <v>15231</v>
      </c>
      <c r="O798" s="14" t="s">
        <v>15232</v>
      </c>
      <c r="P798" s="14" t="s">
        <v>15233</v>
      </c>
      <c r="Q798" s="14" t="s">
        <v>2555</v>
      </c>
      <c r="R798" s="14" t="s">
        <v>177</v>
      </c>
      <c r="S798" s="14" t="s">
        <v>178</v>
      </c>
      <c r="T798" s="14" t="s">
        <v>179</v>
      </c>
      <c r="U798" s="14" t="s">
        <v>15234</v>
      </c>
      <c r="V798" s="14" t="s">
        <v>15235</v>
      </c>
      <c r="W798" s="21" t="s">
        <v>166</v>
      </c>
      <c r="X798" s="14" t="s">
        <v>15236</v>
      </c>
      <c r="Y798" s="14" t="s">
        <v>15237</v>
      </c>
      <c r="Z798" s="14" t="s">
        <v>15238</v>
      </c>
      <c r="AA798" s="14" t="s">
        <v>166</v>
      </c>
      <c r="AB798" s="14" t="s">
        <v>166</v>
      </c>
      <c r="AC798" s="14" t="s">
        <v>166</v>
      </c>
      <c r="AD798" s="14" t="s">
        <v>166</v>
      </c>
      <c r="AE798" s="14" t="s">
        <v>166</v>
      </c>
      <c r="AF798" s="14" t="s">
        <v>166</v>
      </c>
      <c r="AG798" s="14" t="s">
        <v>166</v>
      </c>
      <c r="AH798" s="21">
        <v>2</v>
      </c>
      <c r="AI798" s="3">
        <f>HYPERLINK("https://my.pitchbook.com/?d=189747-19T","189747-19T")</f>
      </c>
      <c r="AJ798" s="19">
        <v>44601</v>
      </c>
      <c r="AK798" s="19">
        <v>44627</v>
      </c>
      <c r="AL798" s="18">
        <v>10</v>
      </c>
      <c r="AM798" s="14" t="s">
        <v>185</v>
      </c>
      <c r="AN798" s="18" t="s">
        <v>166</v>
      </c>
      <c r="AO798" s="18" t="s">
        <v>166</v>
      </c>
      <c r="AP798" s="14" t="s">
        <v>166</v>
      </c>
      <c r="AQ798" s="21" t="s">
        <v>166</v>
      </c>
      <c r="AR798" s="21" t="s">
        <v>166</v>
      </c>
      <c r="AS798" s="17" t="s">
        <v>166</v>
      </c>
      <c r="AT798" s="18">
        <v>30</v>
      </c>
      <c r="AU798" s="21" t="s">
        <v>186</v>
      </c>
      <c r="AV798" s="21" t="s">
        <v>166</v>
      </c>
      <c r="AW798" s="18" t="s">
        <v>166</v>
      </c>
      <c r="AX798" s="21" t="s">
        <v>166</v>
      </c>
      <c r="AY798" s="14" t="s">
        <v>217</v>
      </c>
      <c r="AZ798" s="14" t="s">
        <v>217</v>
      </c>
      <c r="BA798" s="14" t="s">
        <v>166</v>
      </c>
      <c r="BB798" s="21" t="s">
        <v>166</v>
      </c>
      <c r="BC798" s="14" t="s">
        <v>179</v>
      </c>
      <c r="BD798" s="14" t="s">
        <v>15239</v>
      </c>
      <c r="BE798" s="14" t="s">
        <v>189</v>
      </c>
      <c r="BF798" s="18">
        <v>10</v>
      </c>
      <c r="BG798" s="14" t="s">
        <v>190</v>
      </c>
      <c r="BH798" s="14" t="s">
        <v>166</v>
      </c>
      <c r="BI798" s="14" t="s">
        <v>166</v>
      </c>
      <c r="BJ798" s="18" t="s">
        <v>166</v>
      </c>
      <c r="BK798" s="18" t="s">
        <v>166</v>
      </c>
      <c r="BL798" s="14" t="s">
        <v>191</v>
      </c>
      <c r="BM798" s="14" t="s">
        <v>178</v>
      </c>
      <c r="BN798" s="14" t="s">
        <v>177</v>
      </c>
      <c r="BO798" s="22" t="s">
        <v>166</v>
      </c>
      <c r="BP798" s="14" t="s">
        <v>15240</v>
      </c>
      <c r="BQ798" s="21">
        <v>25</v>
      </c>
      <c r="BR798" s="14" t="s">
        <v>166</v>
      </c>
      <c r="BS798" s="21" t="s">
        <v>166</v>
      </c>
      <c r="BT798" s="14" t="s">
        <v>15241</v>
      </c>
      <c r="BU798" s="14" t="s">
        <v>166</v>
      </c>
      <c r="BV798" s="14" t="s">
        <v>15242</v>
      </c>
      <c r="BW798" s="14" t="s">
        <v>166</v>
      </c>
      <c r="BX798" s="14" t="s">
        <v>166</v>
      </c>
      <c r="BY798" s="14" t="s">
        <v>166</v>
      </c>
      <c r="BZ798" s="14" t="s">
        <v>4933</v>
      </c>
      <c r="CA798" s="14" t="s">
        <v>166</v>
      </c>
      <c r="CB798" s="14" t="s">
        <v>166</v>
      </c>
      <c r="CC798" s="14" t="s">
        <v>4933</v>
      </c>
      <c r="CD798" s="14" t="s">
        <v>166</v>
      </c>
      <c r="CE798" s="18" t="s">
        <v>166</v>
      </c>
      <c r="CF798" s="16" t="s">
        <v>166</v>
      </c>
      <c r="CG798" s="17" t="s">
        <v>166</v>
      </c>
      <c r="CH798" s="16" t="s">
        <v>166</v>
      </c>
      <c r="CI798" s="16" t="s">
        <v>166</v>
      </c>
      <c r="CJ798" s="16" t="s">
        <v>166</v>
      </c>
      <c r="CK798" s="16" t="s">
        <v>166</v>
      </c>
      <c r="CL798" s="16" t="s">
        <v>166</v>
      </c>
      <c r="CM798" s="20" t="s">
        <v>166</v>
      </c>
      <c r="CN798" s="16" t="s">
        <v>166</v>
      </c>
      <c r="CO798" s="16" t="s">
        <v>166</v>
      </c>
      <c r="CP798" s="16" t="s">
        <v>166</v>
      </c>
      <c r="CQ798" s="16" t="s">
        <v>166</v>
      </c>
      <c r="CR798" s="16" t="s">
        <v>166</v>
      </c>
      <c r="CS798" s="16" t="s">
        <v>166</v>
      </c>
      <c r="CT798" s="16" t="s">
        <v>166</v>
      </c>
      <c r="CU798" s="16" t="s">
        <v>166</v>
      </c>
      <c r="CV798" s="16" t="s">
        <v>166</v>
      </c>
      <c r="CW798" s="16" t="s">
        <v>166</v>
      </c>
      <c r="CX798" s="16" t="s">
        <v>166</v>
      </c>
      <c r="CY798" s="16" t="s">
        <v>166</v>
      </c>
      <c r="CZ798" s="16" t="s">
        <v>166</v>
      </c>
      <c r="DA798" s="16" t="s">
        <v>166</v>
      </c>
      <c r="DB798" s="16" t="s">
        <v>166</v>
      </c>
      <c r="DC798" s="16" t="s">
        <v>166</v>
      </c>
      <c r="DD798" s="16" t="s">
        <v>166</v>
      </c>
      <c r="DE798" s="17" t="s">
        <v>166</v>
      </c>
      <c r="DF798" s="22">
        <v>27</v>
      </c>
      <c r="DG798" s="14" t="s">
        <v>706</v>
      </c>
      <c r="DH798" s="14" t="s">
        <v>193</v>
      </c>
      <c r="DI798" s="14" t="s">
        <v>194</v>
      </c>
      <c r="DJ798" s="14" t="s">
        <v>707</v>
      </c>
      <c r="DK798" s="14" t="s">
        <v>386</v>
      </c>
      <c r="DL798" s="21" t="s">
        <v>166</v>
      </c>
      <c r="DM798" s="14" t="s">
        <v>198</v>
      </c>
      <c r="DN798" s="13" t="s">
        <v>15243</v>
      </c>
      <c r="DO798" s="20">
        <v>2021</v>
      </c>
      <c r="DP798" s="14" t="s">
        <v>166</v>
      </c>
      <c r="DQ798" s="14" t="s">
        <v>166</v>
      </c>
      <c r="DR798" s="18" t="s">
        <v>166</v>
      </c>
      <c r="DS798" s="16" t="s">
        <v>166</v>
      </c>
      <c r="DT798" s="19" t="s">
        <v>166</v>
      </c>
      <c r="DU798" s="14" t="s">
        <v>166</v>
      </c>
      <c r="DV798" s="18" t="s">
        <v>166</v>
      </c>
      <c r="DW798" s="18" t="s">
        <v>166</v>
      </c>
      <c r="DX798" s="16" t="s">
        <v>166</v>
      </c>
      <c r="DY798" s="16" t="s">
        <v>166</v>
      </c>
      <c r="DZ798" s="17" t="s">
        <v>166</v>
      </c>
      <c r="EA798" s="16" t="s">
        <v>166</v>
      </c>
      <c r="EB798" s="16" t="s">
        <v>166</v>
      </c>
      <c r="EC798" s="16" t="s">
        <v>166</v>
      </c>
      <c r="ED798" s="17" t="s">
        <v>166</v>
      </c>
      <c r="EE798" s="17" t="s">
        <v>166</v>
      </c>
      <c r="EF798" s="17" t="s">
        <v>166</v>
      </c>
      <c r="EG798" s="17" t="s">
        <v>166</v>
      </c>
      <c r="EH798" s="16" t="s">
        <v>166</v>
      </c>
      <c r="EI798" s="16" t="s">
        <v>166</v>
      </c>
      <c r="EJ798" s="16" t="s">
        <v>166</v>
      </c>
      <c r="EK798" s="16" t="s">
        <v>166</v>
      </c>
      <c r="EL798" s="16" t="s">
        <v>166</v>
      </c>
      <c r="EM798" s="16" t="s">
        <v>166</v>
      </c>
      <c r="EN798" s="16" t="s">
        <v>166</v>
      </c>
      <c r="EO798" s="16" t="s">
        <v>166</v>
      </c>
      <c r="EP798" s="16" t="s">
        <v>166</v>
      </c>
      <c r="EQ798" s="16" t="s">
        <v>166</v>
      </c>
      <c r="ER798" s="16" t="s">
        <v>166</v>
      </c>
      <c r="ES798" s="16" t="s">
        <v>166</v>
      </c>
      <c r="ET798" s="14" t="s">
        <v>166</v>
      </c>
      <c r="EU798" s="16" t="s">
        <v>166</v>
      </c>
      <c r="EV798" s="16" t="s">
        <v>166</v>
      </c>
      <c r="EW798" s="16" t="s">
        <v>166</v>
      </c>
      <c r="EX798" s="14" t="s">
        <v>190</v>
      </c>
      <c r="EY798" s="14" t="s">
        <v>166</v>
      </c>
      <c r="EZ798" s="16" t="s">
        <v>166</v>
      </c>
      <c r="FA798" s="15" t="s">
        <v>166</v>
      </c>
      <c r="FB798" s="15" t="s">
        <v>166</v>
      </c>
      <c r="FC798" s="15" t="s">
        <v>166</v>
      </c>
      <c r="FD798" s="15" t="s">
        <v>166</v>
      </c>
      <c r="FE798" s="15" t="s">
        <v>166</v>
      </c>
      <c r="FF798" s="15" t="s">
        <v>166</v>
      </c>
      <c r="FG798" s="14" t="s">
        <v>166</v>
      </c>
      <c r="FH798" s="3">
        <f>HYPERLINK("https://my.pitchbook.com?c=189747-19T","View Company Online")</f>
      </c>
    </row>
    <row r="799">
      <c r="A799" s="25" t="s">
        <v>15244</v>
      </c>
      <c r="B799" s="25" t="s">
        <v>15245</v>
      </c>
      <c r="C799" s="25" t="s">
        <v>15246</v>
      </c>
      <c r="D799" s="25" t="s">
        <v>166</v>
      </c>
      <c r="E799" s="34" t="s">
        <v>15247</v>
      </c>
      <c r="F799" s="32">
        <v>2</v>
      </c>
      <c r="G799" s="25" t="s">
        <v>15248</v>
      </c>
      <c r="H799" s="25" t="s">
        <v>166</v>
      </c>
      <c r="I799" s="25" t="s">
        <v>15249</v>
      </c>
      <c r="J799" s="25" t="s">
        <v>15250</v>
      </c>
      <c r="K799" s="25" t="s">
        <v>207</v>
      </c>
      <c r="L799" s="25" t="s">
        <v>208</v>
      </c>
      <c r="M799" s="25" t="s">
        <v>621</v>
      </c>
      <c r="N799" s="25" t="s">
        <v>15251</v>
      </c>
      <c r="O799" s="25" t="s">
        <v>2225</v>
      </c>
      <c r="P799" s="25" t="s">
        <v>15252</v>
      </c>
      <c r="Q799" s="25" t="s">
        <v>166</v>
      </c>
      <c r="R799" s="25" t="s">
        <v>177</v>
      </c>
      <c r="S799" s="25" t="s">
        <v>178</v>
      </c>
      <c r="T799" s="25" t="s">
        <v>179</v>
      </c>
      <c r="U799" s="25" t="s">
        <v>15253</v>
      </c>
      <c r="V799" s="25" t="s">
        <v>15254</v>
      </c>
      <c r="W799" s="32" t="s">
        <v>166</v>
      </c>
      <c r="X799" s="25" t="s">
        <v>15255</v>
      </c>
      <c r="Y799" s="25" t="s">
        <v>15256</v>
      </c>
      <c r="Z799" s="25" t="s">
        <v>166</v>
      </c>
      <c r="AA799" s="25" t="s">
        <v>166</v>
      </c>
      <c r="AB799" s="25" t="s">
        <v>166</v>
      </c>
      <c r="AC799" s="25" t="s">
        <v>166</v>
      </c>
      <c r="AD799" s="25" t="s">
        <v>166</v>
      </c>
      <c r="AE799" s="25" t="s">
        <v>166</v>
      </c>
      <c r="AF799" s="25" t="s">
        <v>166</v>
      </c>
      <c r="AG799" s="25" t="s">
        <v>166</v>
      </c>
      <c r="AH799" s="32">
        <v>6</v>
      </c>
      <c r="AI799" s="4">
        <f>HYPERLINK("https://my.pitchbook.com/?d=134780-23T","134780-23T")</f>
      </c>
      <c r="AJ799" s="30">
        <v>43929</v>
      </c>
      <c r="AK799" s="30">
        <v>44236</v>
      </c>
      <c r="AL799" s="29">
        <v>0.37</v>
      </c>
      <c r="AM799" s="25" t="s">
        <v>185</v>
      </c>
      <c r="AN799" s="29" t="s">
        <v>166</v>
      </c>
      <c r="AO799" s="29" t="s">
        <v>166</v>
      </c>
      <c r="AP799" s="25" t="s">
        <v>166</v>
      </c>
      <c r="AQ799" s="32" t="s">
        <v>166</v>
      </c>
      <c r="AR799" s="32" t="s">
        <v>166</v>
      </c>
      <c r="AS799" s="28" t="s">
        <v>166</v>
      </c>
      <c r="AT799" s="29">
        <v>0.37</v>
      </c>
      <c r="AU799" s="32" t="s">
        <v>186</v>
      </c>
      <c r="AV799" s="32" t="s">
        <v>166</v>
      </c>
      <c r="AW799" s="29" t="s">
        <v>166</v>
      </c>
      <c r="AX799" s="32" t="s">
        <v>166</v>
      </c>
      <c r="AY799" s="25" t="s">
        <v>217</v>
      </c>
      <c r="AZ799" s="25" t="s">
        <v>217</v>
      </c>
      <c r="BA799" s="25" t="s">
        <v>166</v>
      </c>
      <c r="BB799" s="32" t="s">
        <v>166</v>
      </c>
      <c r="BC799" s="25" t="s">
        <v>179</v>
      </c>
      <c r="BD799" s="25" t="s">
        <v>15250</v>
      </c>
      <c r="BE799" s="25" t="s">
        <v>189</v>
      </c>
      <c r="BF799" s="29">
        <v>0.22</v>
      </c>
      <c r="BG799" s="25" t="s">
        <v>190</v>
      </c>
      <c r="BH799" s="25" t="s">
        <v>166</v>
      </c>
      <c r="BI799" s="25" t="s">
        <v>166</v>
      </c>
      <c r="BJ799" s="29">
        <v>0.15</v>
      </c>
      <c r="BK799" s="29" t="s">
        <v>166</v>
      </c>
      <c r="BL799" s="25" t="s">
        <v>191</v>
      </c>
      <c r="BM799" s="25" t="s">
        <v>178</v>
      </c>
      <c r="BN799" s="25" t="s">
        <v>177</v>
      </c>
      <c r="BO799" s="33" t="s">
        <v>166</v>
      </c>
      <c r="BP799" s="25" t="s">
        <v>15257</v>
      </c>
      <c r="BQ799" s="32">
        <v>1</v>
      </c>
      <c r="BR799" s="25" t="s">
        <v>15258</v>
      </c>
      <c r="BS799" s="32">
        <v>1</v>
      </c>
      <c r="BT799" s="25" t="s">
        <v>15259</v>
      </c>
      <c r="BU799" s="25" t="s">
        <v>166</v>
      </c>
      <c r="BV799" s="25" t="s">
        <v>15260</v>
      </c>
      <c r="BW799" s="25" t="s">
        <v>166</v>
      </c>
      <c r="BX799" s="25" t="s">
        <v>166</v>
      </c>
      <c r="BY799" s="25" t="s">
        <v>166</v>
      </c>
      <c r="BZ799" s="25" t="s">
        <v>166</v>
      </c>
      <c r="CA799" s="25" t="s">
        <v>166</v>
      </c>
      <c r="CB799" s="25" t="s">
        <v>166</v>
      </c>
      <c r="CC799" s="25" t="s">
        <v>166</v>
      </c>
      <c r="CD799" s="25" t="s">
        <v>166</v>
      </c>
      <c r="CE799" s="29" t="s">
        <v>166</v>
      </c>
      <c r="CF799" s="27" t="s">
        <v>166</v>
      </c>
      <c r="CG799" s="28" t="s">
        <v>166</v>
      </c>
      <c r="CH799" s="27" t="s">
        <v>166</v>
      </c>
      <c r="CI799" s="27" t="s">
        <v>166</v>
      </c>
      <c r="CJ799" s="27" t="s">
        <v>166</v>
      </c>
      <c r="CK799" s="27" t="s">
        <v>166</v>
      </c>
      <c r="CL799" s="27" t="s">
        <v>166</v>
      </c>
      <c r="CM799" s="31" t="s">
        <v>166</v>
      </c>
      <c r="CN799" s="27" t="s">
        <v>166</v>
      </c>
      <c r="CO799" s="27" t="s">
        <v>166</v>
      </c>
      <c r="CP799" s="27" t="s">
        <v>166</v>
      </c>
      <c r="CQ799" s="27" t="s">
        <v>166</v>
      </c>
      <c r="CR799" s="27" t="s">
        <v>166</v>
      </c>
      <c r="CS799" s="27" t="s">
        <v>166</v>
      </c>
      <c r="CT799" s="27" t="s">
        <v>166</v>
      </c>
      <c r="CU799" s="27" t="s">
        <v>166</v>
      </c>
      <c r="CV799" s="27" t="s">
        <v>166</v>
      </c>
      <c r="CW799" s="27" t="s">
        <v>166</v>
      </c>
      <c r="CX799" s="27" t="s">
        <v>166</v>
      </c>
      <c r="CY799" s="27">
        <v>0.68</v>
      </c>
      <c r="CZ799" s="27" t="s">
        <v>166</v>
      </c>
      <c r="DA799" s="27" t="s">
        <v>166</v>
      </c>
      <c r="DB799" s="27" t="s">
        <v>166</v>
      </c>
      <c r="DC799" s="27" t="s">
        <v>166</v>
      </c>
      <c r="DD799" s="27" t="s">
        <v>166</v>
      </c>
      <c r="DE799" s="28" t="s">
        <v>166</v>
      </c>
      <c r="DF799" s="33" t="s">
        <v>166</v>
      </c>
      <c r="DG799" s="25" t="s">
        <v>15261</v>
      </c>
      <c r="DH799" s="25" t="s">
        <v>193</v>
      </c>
      <c r="DI799" s="25" t="s">
        <v>194</v>
      </c>
      <c r="DJ799" s="25" t="s">
        <v>15262</v>
      </c>
      <c r="DK799" s="25" t="s">
        <v>2775</v>
      </c>
      <c r="DL799" s="32" t="s">
        <v>15263</v>
      </c>
      <c r="DM799" s="25" t="s">
        <v>198</v>
      </c>
      <c r="DN799" s="24" t="s">
        <v>15264</v>
      </c>
      <c r="DO799" s="31">
        <v>2016</v>
      </c>
      <c r="DP799" s="25" t="s">
        <v>166</v>
      </c>
      <c r="DQ799" s="25" t="s">
        <v>260</v>
      </c>
      <c r="DR799" s="29">
        <v>0.15</v>
      </c>
      <c r="DS799" s="27" t="s">
        <v>166</v>
      </c>
      <c r="DT799" s="30" t="s">
        <v>166</v>
      </c>
      <c r="DU799" s="25" t="s">
        <v>166</v>
      </c>
      <c r="DV799" s="29" t="s">
        <v>166</v>
      </c>
      <c r="DW799" s="29" t="s">
        <v>166</v>
      </c>
      <c r="DX799" s="27" t="s">
        <v>166</v>
      </c>
      <c r="DY799" s="27" t="s">
        <v>166</v>
      </c>
      <c r="DZ799" s="28" t="s">
        <v>166</v>
      </c>
      <c r="EA799" s="27" t="s">
        <v>166</v>
      </c>
      <c r="EB799" s="27" t="s">
        <v>166</v>
      </c>
      <c r="EC799" s="27" t="s">
        <v>166</v>
      </c>
      <c r="ED799" s="28" t="s">
        <v>166</v>
      </c>
      <c r="EE799" s="28" t="s">
        <v>166</v>
      </c>
      <c r="EF799" s="28" t="s">
        <v>166</v>
      </c>
      <c r="EG799" s="28" t="s">
        <v>166</v>
      </c>
      <c r="EH799" s="27" t="s">
        <v>166</v>
      </c>
      <c r="EI799" s="27" t="s">
        <v>166</v>
      </c>
      <c r="EJ799" s="27" t="s">
        <v>166</v>
      </c>
      <c r="EK799" s="27" t="s">
        <v>166</v>
      </c>
      <c r="EL799" s="27" t="s">
        <v>166</v>
      </c>
      <c r="EM799" s="27" t="s">
        <v>166</v>
      </c>
      <c r="EN799" s="27" t="s">
        <v>166</v>
      </c>
      <c r="EO799" s="27" t="s">
        <v>166</v>
      </c>
      <c r="EP799" s="27" t="s">
        <v>166</v>
      </c>
      <c r="EQ799" s="27" t="s">
        <v>166</v>
      </c>
      <c r="ER799" s="27" t="s">
        <v>166</v>
      </c>
      <c r="ES799" s="27" t="s">
        <v>166</v>
      </c>
      <c r="ET799" s="25" t="s">
        <v>166</v>
      </c>
      <c r="EU799" s="27" t="s">
        <v>166</v>
      </c>
      <c r="EV799" s="27" t="s">
        <v>166</v>
      </c>
      <c r="EW799" s="27" t="s">
        <v>166</v>
      </c>
      <c r="EX799" s="25" t="s">
        <v>190</v>
      </c>
      <c r="EY799" s="25" t="s">
        <v>190</v>
      </c>
      <c r="EZ799" s="27" t="s">
        <v>166</v>
      </c>
      <c r="FA799" s="26" t="s">
        <v>166</v>
      </c>
      <c r="FB799" s="26" t="s">
        <v>166</v>
      </c>
      <c r="FC799" s="26" t="s">
        <v>166</v>
      </c>
      <c r="FD799" s="26" t="s">
        <v>166</v>
      </c>
      <c r="FE799" s="26" t="s">
        <v>166</v>
      </c>
      <c r="FF799" s="26" t="s">
        <v>166</v>
      </c>
      <c r="FG799" s="25" t="s">
        <v>166</v>
      </c>
      <c r="FH799" s="4">
        <f>HYPERLINK("https://my.pitchbook.com?c=134780-23T","View Company Online")</f>
      </c>
    </row>
    <row r="800">
      <c r="A800" s="14" t="s">
        <v>15265</v>
      </c>
      <c r="B800" s="14" t="s">
        <v>15266</v>
      </c>
      <c r="C800" s="14" t="s">
        <v>15267</v>
      </c>
      <c r="D800" s="14" t="s">
        <v>166</v>
      </c>
      <c r="E800" s="23" t="s">
        <v>15268</v>
      </c>
      <c r="F800" s="21">
        <v>3</v>
      </c>
      <c r="G800" s="14" t="s">
        <v>15269</v>
      </c>
      <c r="H800" s="14" t="s">
        <v>166</v>
      </c>
      <c r="I800" s="14" t="s">
        <v>15270</v>
      </c>
      <c r="J800" s="14" t="s">
        <v>15271</v>
      </c>
      <c r="K800" s="14" t="s">
        <v>207</v>
      </c>
      <c r="L800" s="14" t="s">
        <v>208</v>
      </c>
      <c r="M800" s="14" t="s">
        <v>209</v>
      </c>
      <c r="N800" s="14" t="s">
        <v>1627</v>
      </c>
      <c r="O800" s="14" t="s">
        <v>1691</v>
      </c>
      <c r="P800" s="14" t="s">
        <v>15272</v>
      </c>
      <c r="Q800" s="14" t="s">
        <v>166</v>
      </c>
      <c r="R800" s="14" t="s">
        <v>177</v>
      </c>
      <c r="S800" s="14" t="s">
        <v>178</v>
      </c>
      <c r="T800" s="14" t="s">
        <v>179</v>
      </c>
      <c r="U800" s="14" t="s">
        <v>15273</v>
      </c>
      <c r="V800" s="14" t="s">
        <v>15274</v>
      </c>
      <c r="W800" s="21" t="s">
        <v>166</v>
      </c>
      <c r="X800" s="14" t="s">
        <v>15275</v>
      </c>
      <c r="Y800" s="14" t="s">
        <v>15276</v>
      </c>
      <c r="Z800" s="14" t="s">
        <v>15277</v>
      </c>
      <c r="AA800" s="14" t="s">
        <v>242</v>
      </c>
      <c r="AB800" s="14" t="s">
        <v>243</v>
      </c>
      <c r="AC800" s="14" t="s">
        <v>244</v>
      </c>
      <c r="AD800" s="14" t="s">
        <v>243</v>
      </c>
      <c r="AE800" s="14" t="s">
        <v>243</v>
      </c>
      <c r="AF800" s="14" t="s">
        <v>166</v>
      </c>
      <c r="AG800" s="14" t="s">
        <v>246</v>
      </c>
      <c r="AH800" s="21">
        <v>1</v>
      </c>
      <c r="AI800" s="3">
        <f>HYPERLINK("https://my.pitchbook.com/?d=188510-50T","188510-50T")</f>
      </c>
      <c r="AJ800" s="19" t="s">
        <v>166</v>
      </c>
      <c r="AK800" s="19">
        <v>44607</v>
      </c>
      <c r="AL800" s="18">
        <v>19.96</v>
      </c>
      <c r="AM800" s="14" t="s">
        <v>185</v>
      </c>
      <c r="AN800" s="18">
        <v>100.04</v>
      </c>
      <c r="AO800" s="18">
        <v>120</v>
      </c>
      <c r="AP800" s="14" t="s">
        <v>185</v>
      </c>
      <c r="AQ800" s="21" t="s">
        <v>166</v>
      </c>
      <c r="AR800" s="21" t="s">
        <v>166</v>
      </c>
      <c r="AS800" s="17">
        <v>28.58</v>
      </c>
      <c r="AT800" s="18">
        <v>19.96</v>
      </c>
      <c r="AU800" s="21" t="s">
        <v>186</v>
      </c>
      <c r="AV800" s="21" t="s">
        <v>166</v>
      </c>
      <c r="AW800" s="18">
        <v>8.15</v>
      </c>
      <c r="AX800" s="21" t="s">
        <v>248</v>
      </c>
      <c r="AY800" s="14" t="s">
        <v>187</v>
      </c>
      <c r="AZ800" s="14" t="s">
        <v>248</v>
      </c>
      <c r="BA800" s="14" t="s">
        <v>166</v>
      </c>
      <c r="BB800" s="21" t="s">
        <v>166</v>
      </c>
      <c r="BC800" s="14" t="s">
        <v>179</v>
      </c>
      <c r="BD800" s="14" t="s">
        <v>15278</v>
      </c>
      <c r="BE800" s="14" t="s">
        <v>189</v>
      </c>
      <c r="BF800" s="18">
        <v>19.96</v>
      </c>
      <c r="BG800" s="14" t="s">
        <v>190</v>
      </c>
      <c r="BH800" s="14" t="s">
        <v>166</v>
      </c>
      <c r="BI800" s="14" t="s">
        <v>166</v>
      </c>
      <c r="BJ800" s="18" t="s">
        <v>166</v>
      </c>
      <c r="BK800" s="18" t="s">
        <v>166</v>
      </c>
      <c r="BL800" s="14" t="s">
        <v>191</v>
      </c>
      <c r="BM800" s="14" t="s">
        <v>178</v>
      </c>
      <c r="BN800" s="14" t="s">
        <v>177</v>
      </c>
      <c r="BO800" s="22" t="s">
        <v>166</v>
      </c>
      <c r="BP800" s="14" t="s">
        <v>15279</v>
      </c>
      <c r="BQ800" s="21">
        <v>3</v>
      </c>
      <c r="BR800" s="14" t="s">
        <v>166</v>
      </c>
      <c r="BS800" s="21" t="s">
        <v>166</v>
      </c>
      <c r="BT800" s="14" t="s">
        <v>15280</v>
      </c>
      <c r="BU800" s="14" t="s">
        <v>166</v>
      </c>
      <c r="BV800" s="14" t="s">
        <v>15281</v>
      </c>
      <c r="BW800" s="14" t="s">
        <v>166</v>
      </c>
      <c r="BX800" s="14" t="s">
        <v>166</v>
      </c>
      <c r="BY800" s="14" t="s">
        <v>166</v>
      </c>
      <c r="BZ800" s="14" t="s">
        <v>15282</v>
      </c>
      <c r="CA800" s="14" t="s">
        <v>15283</v>
      </c>
      <c r="CB800" s="14" t="s">
        <v>166</v>
      </c>
      <c r="CC800" s="14" t="s">
        <v>15284</v>
      </c>
      <c r="CD800" s="14" t="s">
        <v>166</v>
      </c>
      <c r="CE800" s="18" t="s">
        <v>166</v>
      </c>
      <c r="CF800" s="16" t="s">
        <v>166</v>
      </c>
      <c r="CG800" s="17" t="s">
        <v>166</v>
      </c>
      <c r="CH800" s="16" t="s">
        <v>166</v>
      </c>
      <c r="CI800" s="16" t="s">
        <v>166</v>
      </c>
      <c r="CJ800" s="16" t="s">
        <v>166</v>
      </c>
      <c r="CK800" s="16" t="s">
        <v>166</v>
      </c>
      <c r="CL800" s="16" t="s">
        <v>166</v>
      </c>
      <c r="CM800" s="20" t="s">
        <v>166</v>
      </c>
      <c r="CN800" s="16" t="s">
        <v>166</v>
      </c>
      <c r="CO800" s="16" t="s">
        <v>166</v>
      </c>
      <c r="CP800" s="16" t="s">
        <v>166</v>
      </c>
      <c r="CQ800" s="16" t="s">
        <v>166</v>
      </c>
      <c r="CR800" s="16" t="s">
        <v>166</v>
      </c>
      <c r="CS800" s="16" t="s">
        <v>166</v>
      </c>
      <c r="CT800" s="16" t="s">
        <v>166</v>
      </c>
      <c r="CU800" s="16" t="s">
        <v>166</v>
      </c>
      <c r="CV800" s="16" t="s">
        <v>166</v>
      </c>
      <c r="CW800" s="16" t="s">
        <v>166</v>
      </c>
      <c r="CX800" s="16" t="s">
        <v>166</v>
      </c>
      <c r="CY800" s="16" t="s">
        <v>166</v>
      </c>
      <c r="CZ800" s="16" t="s">
        <v>166</v>
      </c>
      <c r="DA800" s="16" t="s">
        <v>166</v>
      </c>
      <c r="DB800" s="16" t="s">
        <v>166</v>
      </c>
      <c r="DC800" s="16" t="s">
        <v>166</v>
      </c>
      <c r="DD800" s="16" t="s">
        <v>166</v>
      </c>
      <c r="DE800" s="17" t="s">
        <v>166</v>
      </c>
      <c r="DF800" s="22">
        <v>200</v>
      </c>
      <c r="DG800" s="14" t="s">
        <v>673</v>
      </c>
      <c r="DH800" s="14" t="s">
        <v>193</v>
      </c>
      <c r="DI800" s="14" t="s">
        <v>194</v>
      </c>
      <c r="DJ800" s="14" t="s">
        <v>674</v>
      </c>
      <c r="DK800" s="14" t="s">
        <v>257</v>
      </c>
      <c r="DL800" s="21" t="s">
        <v>1329</v>
      </c>
      <c r="DM800" s="14" t="s">
        <v>198</v>
      </c>
      <c r="DN800" s="13" t="s">
        <v>15285</v>
      </c>
      <c r="DO800" s="20">
        <v>2018</v>
      </c>
      <c r="DP800" s="14" t="s">
        <v>166</v>
      </c>
      <c r="DQ800" s="14" t="s">
        <v>166</v>
      </c>
      <c r="DR800" s="18" t="s">
        <v>166</v>
      </c>
      <c r="DS800" s="16" t="s">
        <v>166</v>
      </c>
      <c r="DT800" s="19" t="s">
        <v>166</v>
      </c>
      <c r="DU800" s="14" t="s">
        <v>166</v>
      </c>
      <c r="DV800" s="18" t="s">
        <v>166</v>
      </c>
      <c r="DW800" s="18" t="s">
        <v>166</v>
      </c>
      <c r="DX800" s="16" t="s">
        <v>166</v>
      </c>
      <c r="DY800" s="16" t="s">
        <v>166</v>
      </c>
      <c r="DZ800" s="17" t="s">
        <v>166</v>
      </c>
      <c r="EA800" s="16" t="s">
        <v>166</v>
      </c>
      <c r="EB800" s="16" t="s">
        <v>166</v>
      </c>
      <c r="EC800" s="16" t="s">
        <v>166</v>
      </c>
      <c r="ED800" s="17" t="s">
        <v>166</v>
      </c>
      <c r="EE800" s="17" t="s">
        <v>166</v>
      </c>
      <c r="EF800" s="17" t="s">
        <v>166</v>
      </c>
      <c r="EG800" s="17" t="s">
        <v>166</v>
      </c>
      <c r="EH800" s="16" t="s">
        <v>166</v>
      </c>
      <c r="EI800" s="16" t="s">
        <v>166</v>
      </c>
      <c r="EJ800" s="16" t="s">
        <v>166</v>
      </c>
      <c r="EK800" s="16" t="s">
        <v>166</v>
      </c>
      <c r="EL800" s="16" t="s">
        <v>166</v>
      </c>
      <c r="EM800" s="16" t="s">
        <v>166</v>
      </c>
      <c r="EN800" s="16" t="s">
        <v>166</v>
      </c>
      <c r="EO800" s="16" t="s">
        <v>166</v>
      </c>
      <c r="EP800" s="16" t="s">
        <v>166</v>
      </c>
      <c r="EQ800" s="16" t="s">
        <v>166</v>
      </c>
      <c r="ER800" s="16" t="s">
        <v>166</v>
      </c>
      <c r="ES800" s="16" t="s">
        <v>166</v>
      </c>
      <c r="ET800" s="14" t="s">
        <v>166</v>
      </c>
      <c r="EU800" s="16" t="s">
        <v>166</v>
      </c>
      <c r="EV800" s="16" t="s">
        <v>166</v>
      </c>
      <c r="EW800" s="16" t="s">
        <v>166</v>
      </c>
      <c r="EX800" s="14" t="s">
        <v>190</v>
      </c>
      <c r="EY800" s="14" t="s">
        <v>166</v>
      </c>
      <c r="EZ800" s="16" t="s">
        <v>166</v>
      </c>
      <c r="FA800" s="15" t="s">
        <v>166</v>
      </c>
      <c r="FB800" s="15" t="s">
        <v>166</v>
      </c>
      <c r="FC800" s="15" t="s">
        <v>166</v>
      </c>
      <c r="FD800" s="15" t="s">
        <v>166</v>
      </c>
      <c r="FE800" s="15" t="s">
        <v>166</v>
      </c>
      <c r="FF800" s="15" t="s">
        <v>166</v>
      </c>
      <c r="FG800" s="14" t="s">
        <v>166</v>
      </c>
      <c r="FH800" s="3">
        <f>HYPERLINK("https://my.pitchbook.com?c=188510-50T","View Company Online")</f>
      </c>
    </row>
    <row r="801">
      <c r="A801" s="25" t="s">
        <v>15286</v>
      </c>
      <c r="B801" s="25" t="s">
        <v>15287</v>
      </c>
      <c r="C801" s="25" t="s">
        <v>15288</v>
      </c>
      <c r="D801" s="25" t="s">
        <v>166</v>
      </c>
      <c r="E801" s="34" t="s">
        <v>15289</v>
      </c>
      <c r="F801" s="32">
        <v>7</v>
      </c>
      <c r="G801" s="25" t="s">
        <v>15290</v>
      </c>
      <c r="H801" s="25" t="s">
        <v>166</v>
      </c>
      <c r="I801" s="25" t="s">
        <v>15291</v>
      </c>
      <c r="J801" s="25" t="s">
        <v>15292</v>
      </c>
      <c r="K801" s="25" t="s">
        <v>207</v>
      </c>
      <c r="L801" s="25" t="s">
        <v>208</v>
      </c>
      <c r="M801" s="25" t="s">
        <v>209</v>
      </c>
      <c r="N801" s="25" t="s">
        <v>1627</v>
      </c>
      <c r="O801" s="25" t="s">
        <v>1127</v>
      </c>
      <c r="P801" s="25" t="s">
        <v>15293</v>
      </c>
      <c r="Q801" s="25" t="s">
        <v>166</v>
      </c>
      <c r="R801" s="25" t="s">
        <v>177</v>
      </c>
      <c r="S801" s="25" t="s">
        <v>178</v>
      </c>
      <c r="T801" s="25" t="s">
        <v>179</v>
      </c>
      <c r="U801" s="25" t="s">
        <v>15294</v>
      </c>
      <c r="V801" s="25" t="s">
        <v>15295</v>
      </c>
      <c r="W801" s="32" t="s">
        <v>15296</v>
      </c>
      <c r="X801" s="25" t="s">
        <v>15297</v>
      </c>
      <c r="Y801" s="25" t="s">
        <v>15298</v>
      </c>
      <c r="Z801" s="25" t="s">
        <v>15299</v>
      </c>
      <c r="AA801" s="25" t="s">
        <v>166</v>
      </c>
      <c r="AB801" s="25" t="s">
        <v>166</v>
      </c>
      <c r="AC801" s="25" t="s">
        <v>166</v>
      </c>
      <c r="AD801" s="25" t="s">
        <v>166</v>
      </c>
      <c r="AE801" s="25" t="s">
        <v>166</v>
      </c>
      <c r="AF801" s="25" t="s">
        <v>166</v>
      </c>
      <c r="AG801" s="25" t="s">
        <v>166</v>
      </c>
      <c r="AH801" s="32">
        <v>1</v>
      </c>
      <c r="AI801" s="4">
        <f>HYPERLINK("https://my.pitchbook.com/?d=188145-91T","188145-91T")</f>
      </c>
      <c r="AJ801" s="30" t="s">
        <v>166</v>
      </c>
      <c r="AK801" s="30">
        <v>44531</v>
      </c>
      <c r="AL801" s="29">
        <v>1</v>
      </c>
      <c r="AM801" s="25" t="s">
        <v>185</v>
      </c>
      <c r="AN801" s="29">
        <v>4.5</v>
      </c>
      <c r="AO801" s="29">
        <v>5.5</v>
      </c>
      <c r="AP801" s="25" t="s">
        <v>185</v>
      </c>
      <c r="AQ801" s="32" t="s">
        <v>166</v>
      </c>
      <c r="AR801" s="32" t="s">
        <v>166</v>
      </c>
      <c r="AS801" s="28" t="s">
        <v>166</v>
      </c>
      <c r="AT801" s="29">
        <v>1</v>
      </c>
      <c r="AU801" s="32" t="s">
        <v>186</v>
      </c>
      <c r="AV801" s="32" t="s">
        <v>166</v>
      </c>
      <c r="AW801" s="29" t="s">
        <v>166</v>
      </c>
      <c r="AX801" s="32" t="s">
        <v>166</v>
      </c>
      <c r="AY801" s="25" t="s">
        <v>217</v>
      </c>
      <c r="AZ801" s="25" t="s">
        <v>217</v>
      </c>
      <c r="BA801" s="25" t="s">
        <v>166</v>
      </c>
      <c r="BB801" s="32" t="s">
        <v>166</v>
      </c>
      <c r="BC801" s="25" t="s">
        <v>179</v>
      </c>
      <c r="BD801" s="25" t="s">
        <v>15300</v>
      </c>
      <c r="BE801" s="25" t="s">
        <v>189</v>
      </c>
      <c r="BF801" s="29">
        <v>1</v>
      </c>
      <c r="BG801" s="25" t="s">
        <v>190</v>
      </c>
      <c r="BH801" s="25" t="s">
        <v>166</v>
      </c>
      <c r="BI801" s="25" t="s">
        <v>166</v>
      </c>
      <c r="BJ801" s="29" t="s">
        <v>166</v>
      </c>
      <c r="BK801" s="29" t="s">
        <v>166</v>
      </c>
      <c r="BL801" s="25" t="s">
        <v>191</v>
      </c>
      <c r="BM801" s="25" t="s">
        <v>178</v>
      </c>
      <c r="BN801" s="25" t="s">
        <v>177</v>
      </c>
      <c r="BO801" s="33" t="s">
        <v>166</v>
      </c>
      <c r="BP801" s="25" t="s">
        <v>15301</v>
      </c>
      <c r="BQ801" s="32">
        <v>7</v>
      </c>
      <c r="BR801" s="25" t="s">
        <v>166</v>
      </c>
      <c r="BS801" s="32" t="s">
        <v>166</v>
      </c>
      <c r="BT801" s="25" t="s">
        <v>15302</v>
      </c>
      <c r="BU801" s="25" t="s">
        <v>166</v>
      </c>
      <c r="BV801" s="25" t="s">
        <v>15303</v>
      </c>
      <c r="BW801" s="25" t="s">
        <v>166</v>
      </c>
      <c r="BX801" s="25" t="s">
        <v>166</v>
      </c>
      <c r="BY801" s="25" t="s">
        <v>166</v>
      </c>
      <c r="BZ801" s="25" t="s">
        <v>1232</v>
      </c>
      <c r="CA801" s="25" t="s">
        <v>1232</v>
      </c>
      <c r="CB801" s="25" t="s">
        <v>166</v>
      </c>
      <c r="CC801" s="25" t="s">
        <v>166</v>
      </c>
      <c r="CD801" s="25" t="s">
        <v>166</v>
      </c>
      <c r="CE801" s="29" t="s">
        <v>166</v>
      </c>
      <c r="CF801" s="27">
        <v>0.1</v>
      </c>
      <c r="CG801" s="28" t="s">
        <v>166</v>
      </c>
      <c r="CH801" s="27" t="s">
        <v>166</v>
      </c>
      <c r="CI801" s="27" t="s">
        <v>166</v>
      </c>
      <c r="CJ801" s="27" t="s">
        <v>166</v>
      </c>
      <c r="CK801" s="27" t="s">
        <v>166</v>
      </c>
      <c r="CL801" s="27" t="s">
        <v>166</v>
      </c>
      <c r="CM801" s="31">
        <v>2021</v>
      </c>
      <c r="CN801" s="27" t="s">
        <v>166</v>
      </c>
      <c r="CO801" s="27" t="s">
        <v>166</v>
      </c>
      <c r="CP801" s="27" t="s">
        <v>166</v>
      </c>
      <c r="CQ801" s="27">
        <v>55</v>
      </c>
      <c r="CR801" s="27" t="s">
        <v>166</v>
      </c>
      <c r="CS801" s="27" t="s">
        <v>166</v>
      </c>
      <c r="CT801" s="27" t="s">
        <v>166</v>
      </c>
      <c r="CU801" s="27" t="s">
        <v>166</v>
      </c>
      <c r="CV801" s="27">
        <v>10</v>
      </c>
      <c r="CW801" s="27" t="s">
        <v>166</v>
      </c>
      <c r="CX801" s="27" t="s">
        <v>166</v>
      </c>
      <c r="CY801" s="27" t="s">
        <v>166</v>
      </c>
      <c r="CZ801" s="27" t="s">
        <v>166</v>
      </c>
      <c r="DA801" s="27" t="s">
        <v>166</v>
      </c>
      <c r="DB801" s="27" t="s">
        <v>166</v>
      </c>
      <c r="DC801" s="27" t="s">
        <v>166</v>
      </c>
      <c r="DD801" s="27" t="s">
        <v>166</v>
      </c>
      <c r="DE801" s="28" t="s">
        <v>166</v>
      </c>
      <c r="DF801" s="33">
        <v>20</v>
      </c>
      <c r="DG801" s="25" t="s">
        <v>9953</v>
      </c>
      <c r="DH801" s="25" t="s">
        <v>193</v>
      </c>
      <c r="DI801" s="25" t="s">
        <v>194</v>
      </c>
      <c r="DJ801" s="25" t="s">
        <v>9954</v>
      </c>
      <c r="DK801" s="25" t="s">
        <v>454</v>
      </c>
      <c r="DL801" s="32" t="s">
        <v>15304</v>
      </c>
      <c r="DM801" s="25" t="s">
        <v>198</v>
      </c>
      <c r="DN801" s="24" t="s">
        <v>15305</v>
      </c>
      <c r="DO801" s="31">
        <v>2021</v>
      </c>
      <c r="DP801" s="25" t="s">
        <v>166</v>
      </c>
      <c r="DQ801" s="25" t="s">
        <v>166</v>
      </c>
      <c r="DR801" s="29" t="s">
        <v>166</v>
      </c>
      <c r="DS801" s="27" t="s">
        <v>166</v>
      </c>
      <c r="DT801" s="30" t="s">
        <v>166</v>
      </c>
      <c r="DU801" s="25" t="s">
        <v>166</v>
      </c>
      <c r="DV801" s="29" t="s">
        <v>166</v>
      </c>
      <c r="DW801" s="29" t="s">
        <v>166</v>
      </c>
      <c r="DX801" s="27" t="s">
        <v>166</v>
      </c>
      <c r="DY801" s="27" t="s">
        <v>166</v>
      </c>
      <c r="DZ801" s="28" t="s">
        <v>166</v>
      </c>
      <c r="EA801" s="27" t="s">
        <v>166</v>
      </c>
      <c r="EB801" s="27" t="s">
        <v>166</v>
      </c>
      <c r="EC801" s="27" t="s">
        <v>166</v>
      </c>
      <c r="ED801" s="28" t="s">
        <v>166</v>
      </c>
      <c r="EE801" s="28" t="s">
        <v>166</v>
      </c>
      <c r="EF801" s="28" t="s">
        <v>166</v>
      </c>
      <c r="EG801" s="28" t="s">
        <v>166</v>
      </c>
      <c r="EH801" s="27" t="s">
        <v>166</v>
      </c>
      <c r="EI801" s="27" t="s">
        <v>166</v>
      </c>
      <c r="EJ801" s="27" t="s">
        <v>166</v>
      </c>
      <c r="EK801" s="27" t="s">
        <v>166</v>
      </c>
      <c r="EL801" s="27" t="s">
        <v>166</v>
      </c>
      <c r="EM801" s="27" t="s">
        <v>166</v>
      </c>
      <c r="EN801" s="27" t="s">
        <v>166</v>
      </c>
      <c r="EO801" s="27" t="s">
        <v>166</v>
      </c>
      <c r="EP801" s="27" t="s">
        <v>166</v>
      </c>
      <c r="EQ801" s="27" t="s">
        <v>166</v>
      </c>
      <c r="ER801" s="27" t="s">
        <v>166</v>
      </c>
      <c r="ES801" s="27" t="s">
        <v>166</v>
      </c>
      <c r="ET801" s="25" t="s">
        <v>166</v>
      </c>
      <c r="EU801" s="27" t="s">
        <v>166</v>
      </c>
      <c r="EV801" s="27" t="s">
        <v>166</v>
      </c>
      <c r="EW801" s="27" t="s">
        <v>166</v>
      </c>
      <c r="EX801" s="25" t="s">
        <v>190</v>
      </c>
      <c r="EY801" s="25" t="s">
        <v>166</v>
      </c>
      <c r="EZ801" s="27" t="s">
        <v>166</v>
      </c>
      <c r="FA801" s="26" t="s">
        <v>166</v>
      </c>
      <c r="FB801" s="26" t="s">
        <v>166</v>
      </c>
      <c r="FC801" s="26" t="s">
        <v>166</v>
      </c>
      <c r="FD801" s="26" t="s">
        <v>166</v>
      </c>
      <c r="FE801" s="26" t="s">
        <v>166</v>
      </c>
      <c r="FF801" s="26" t="s">
        <v>166</v>
      </c>
      <c r="FG801" s="25" t="s">
        <v>166</v>
      </c>
      <c r="FH801" s="4">
        <f>HYPERLINK("https://my.pitchbook.com?c=188145-91T","View Company Online")</f>
      </c>
    </row>
    <row r="802">
      <c r="A802" s="14" t="s">
        <v>15306</v>
      </c>
      <c r="B802" s="14" t="s">
        <v>15307</v>
      </c>
      <c r="C802" s="14" t="s">
        <v>15308</v>
      </c>
      <c r="D802" s="14" t="s">
        <v>166</v>
      </c>
      <c r="E802" s="23" t="s">
        <v>15309</v>
      </c>
      <c r="F802" s="21">
        <v>4</v>
      </c>
      <c r="G802" s="14" t="s">
        <v>15310</v>
      </c>
      <c r="H802" s="14" t="s">
        <v>166</v>
      </c>
      <c r="I802" s="14" t="s">
        <v>15311</v>
      </c>
      <c r="J802" s="14" t="s">
        <v>15312</v>
      </c>
      <c r="K802" s="14" t="s">
        <v>207</v>
      </c>
      <c r="L802" s="14" t="s">
        <v>208</v>
      </c>
      <c r="M802" s="14" t="s">
        <v>209</v>
      </c>
      <c r="N802" s="14" t="s">
        <v>15313</v>
      </c>
      <c r="O802" s="14" t="s">
        <v>15314</v>
      </c>
      <c r="P802" s="14" t="s">
        <v>15315</v>
      </c>
      <c r="Q802" s="14" t="s">
        <v>166</v>
      </c>
      <c r="R802" s="14" t="s">
        <v>177</v>
      </c>
      <c r="S802" s="14" t="s">
        <v>178</v>
      </c>
      <c r="T802" s="14" t="s">
        <v>179</v>
      </c>
      <c r="U802" s="14" t="s">
        <v>15316</v>
      </c>
      <c r="V802" s="14" t="s">
        <v>15317</v>
      </c>
      <c r="W802" s="21" t="s">
        <v>15318</v>
      </c>
      <c r="X802" s="14" t="s">
        <v>15319</v>
      </c>
      <c r="Y802" s="14" t="s">
        <v>15320</v>
      </c>
      <c r="Z802" s="14" t="s">
        <v>166</v>
      </c>
      <c r="AA802" s="14" t="s">
        <v>242</v>
      </c>
      <c r="AB802" s="14" t="s">
        <v>243</v>
      </c>
      <c r="AC802" s="14" t="s">
        <v>244</v>
      </c>
      <c r="AD802" s="14" t="s">
        <v>243</v>
      </c>
      <c r="AE802" s="14" t="s">
        <v>243</v>
      </c>
      <c r="AF802" s="14" t="s">
        <v>166</v>
      </c>
      <c r="AG802" s="14" t="s">
        <v>246</v>
      </c>
      <c r="AH802" s="21">
        <v>1</v>
      </c>
      <c r="AI802" s="3">
        <f>HYPERLINK("https://my.pitchbook.com/?d=124207-03T","124207-03T")</f>
      </c>
      <c r="AJ802" s="19">
        <v>43725</v>
      </c>
      <c r="AK802" s="19">
        <v>43964</v>
      </c>
      <c r="AL802" s="18">
        <v>3.05</v>
      </c>
      <c r="AM802" s="14" t="s">
        <v>185</v>
      </c>
      <c r="AN802" s="18">
        <v>6</v>
      </c>
      <c r="AO802" s="18">
        <v>8.54</v>
      </c>
      <c r="AP802" s="14" t="s">
        <v>185</v>
      </c>
      <c r="AQ802" s="21" t="s">
        <v>166</v>
      </c>
      <c r="AR802" s="21" t="s">
        <v>166</v>
      </c>
      <c r="AS802" s="17">
        <v>31.2</v>
      </c>
      <c r="AT802" s="18">
        <v>3.05</v>
      </c>
      <c r="AU802" s="21" t="s">
        <v>186</v>
      </c>
      <c r="AV802" s="21" t="s">
        <v>166</v>
      </c>
      <c r="AW802" s="18">
        <v>0.61</v>
      </c>
      <c r="AX802" s="21" t="s">
        <v>166</v>
      </c>
      <c r="AY802" s="14" t="s">
        <v>217</v>
      </c>
      <c r="AZ802" s="14" t="s">
        <v>217</v>
      </c>
      <c r="BA802" s="14" t="s">
        <v>166</v>
      </c>
      <c r="BB802" s="21" t="s">
        <v>166</v>
      </c>
      <c r="BC802" s="14" t="s">
        <v>179</v>
      </c>
      <c r="BD802" s="14" t="s">
        <v>15321</v>
      </c>
      <c r="BE802" s="14" t="s">
        <v>189</v>
      </c>
      <c r="BF802" s="18">
        <v>2.54</v>
      </c>
      <c r="BG802" s="14" t="s">
        <v>190</v>
      </c>
      <c r="BH802" s="14" t="s">
        <v>166</v>
      </c>
      <c r="BI802" s="14" t="s">
        <v>166</v>
      </c>
      <c r="BJ802" s="18">
        <v>0.51</v>
      </c>
      <c r="BK802" s="18" t="s">
        <v>166</v>
      </c>
      <c r="BL802" s="14" t="s">
        <v>191</v>
      </c>
      <c r="BM802" s="14" t="s">
        <v>178</v>
      </c>
      <c r="BN802" s="14" t="s">
        <v>177</v>
      </c>
      <c r="BO802" s="22" t="s">
        <v>166</v>
      </c>
      <c r="BP802" s="14" t="s">
        <v>15322</v>
      </c>
      <c r="BQ802" s="21">
        <v>4</v>
      </c>
      <c r="BR802" s="14" t="s">
        <v>166</v>
      </c>
      <c r="BS802" s="21" t="s">
        <v>166</v>
      </c>
      <c r="BT802" s="14" t="s">
        <v>15323</v>
      </c>
      <c r="BU802" s="14" t="s">
        <v>166</v>
      </c>
      <c r="BV802" s="14" t="s">
        <v>15324</v>
      </c>
      <c r="BW802" s="14" t="s">
        <v>166</v>
      </c>
      <c r="BX802" s="14" t="s">
        <v>166</v>
      </c>
      <c r="BY802" s="14" t="s">
        <v>166</v>
      </c>
      <c r="BZ802" s="14" t="s">
        <v>15325</v>
      </c>
      <c r="CA802" s="14" t="s">
        <v>166</v>
      </c>
      <c r="CB802" s="14" t="s">
        <v>166</v>
      </c>
      <c r="CC802" s="14" t="s">
        <v>15325</v>
      </c>
      <c r="CD802" s="14" t="s">
        <v>166</v>
      </c>
      <c r="CE802" s="18" t="s">
        <v>166</v>
      </c>
      <c r="CF802" s="16" t="s">
        <v>166</v>
      </c>
      <c r="CG802" s="17" t="s">
        <v>166</v>
      </c>
      <c r="CH802" s="16" t="s">
        <v>166</v>
      </c>
      <c r="CI802" s="16" t="s">
        <v>166</v>
      </c>
      <c r="CJ802" s="16" t="s">
        <v>166</v>
      </c>
      <c r="CK802" s="16" t="s">
        <v>166</v>
      </c>
      <c r="CL802" s="16" t="s">
        <v>166</v>
      </c>
      <c r="CM802" s="20" t="s">
        <v>166</v>
      </c>
      <c r="CN802" s="16" t="s">
        <v>166</v>
      </c>
      <c r="CO802" s="16" t="s">
        <v>166</v>
      </c>
      <c r="CP802" s="16" t="s">
        <v>166</v>
      </c>
      <c r="CQ802" s="16" t="s">
        <v>166</v>
      </c>
      <c r="CR802" s="16" t="s">
        <v>166</v>
      </c>
      <c r="CS802" s="16" t="s">
        <v>166</v>
      </c>
      <c r="CT802" s="16" t="s">
        <v>166</v>
      </c>
      <c r="CU802" s="16" t="s">
        <v>166</v>
      </c>
      <c r="CV802" s="16" t="s">
        <v>166</v>
      </c>
      <c r="CW802" s="16" t="s">
        <v>166</v>
      </c>
      <c r="CX802" s="16" t="s">
        <v>166</v>
      </c>
      <c r="CY802" s="16">
        <v>0.2</v>
      </c>
      <c r="CZ802" s="16" t="s">
        <v>166</v>
      </c>
      <c r="DA802" s="16" t="s">
        <v>166</v>
      </c>
      <c r="DB802" s="16" t="s">
        <v>166</v>
      </c>
      <c r="DC802" s="16" t="s">
        <v>166</v>
      </c>
      <c r="DD802" s="16" t="s">
        <v>166</v>
      </c>
      <c r="DE802" s="17" t="s">
        <v>166</v>
      </c>
      <c r="DF802" s="22">
        <v>97</v>
      </c>
      <c r="DG802" s="14" t="s">
        <v>2439</v>
      </c>
      <c r="DH802" s="14" t="s">
        <v>193</v>
      </c>
      <c r="DI802" s="14" t="s">
        <v>194</v>
      </c>
      <c r="DJ802" s="14" t="s">
        <v>2440</v>
      </c>
      <c r="DK802" s="14" t="s">
        <v>454</v>
      </c>
      <c r="DL802" s="21" t="s">
        <v>2441</v>
      </c>
      <c r="DM802" s="14" t="s">
        <v>198</v>
      </c>
      <c r="DN802" s="13" t="s">
        <v>15326</v>
      </c>
      <c r="DO802" s="20">
        <v>2018</v>
      </c>
      <c r="DP802" s="14" t="s">
        <v>166</v>
      </c>
      <c r="DQ802" s="14" t="s">
        <v>15327</v>
      </c>
      <c r="DR802" s="18">
        <v>0.51</v>
      </c>
      <c r="DS802" s="16" t="s">
        <v>166</v>
      </c>
      <c r="DT802" s="19" t="s">
        <v>166</v>
      </c>
      <c r="DU802" s="14" t="s">
        <v>166</v>
      </c>
      <c r="DV802" s="18" t="s">
        <v>166</v>
      </c>
      <c r="DW802" s="18" t="s">
        <v>166</v>
      </c>
      <c r="DX802" s="16" t="s">
        <v>166</v>
      </c>
      <c r="DY802" s="16" t="s">
        <v>166</v>
      </c>
      <c r="DZ802" s="17" t="s">
        <v>166</v>
      </c>
      <c r="EA802" s="16" t="s">
        <v>166</v>
      </c>
      <c r="EB802" s="16" t="s">
        <v>166</v>
      </c>
      <c r="EC802" s="16" t="s">
        <v>166</v>
      </c>
      <c r="ED802" s="17" t="s">
        <v>166</v>
      </c>
      <c r="EE802" s="17" t="s">
        <v>166</v>
      </c>
      <c r="EF802" s="17" t="s">
        <v>166</v>
      </c>
      <c r="EG802" s="17" t="s">
        <v>166</v>
      </c>
      <c r="EH802" s="16" t="s">
        <v>166</v>
      </c>
      <c r="EI802" s="16" t="s">
        <v>166</v>
      </c>
      <c r="EJ802" s="16" t="s">
        <v>166</v>
      </c>
      <c r="EK802" s="16" t="s">
        <v>166</v>
      </c>
      <c r="EL802" s="16" t="s">
        <v>166</v>
      </c>
      <c r="EM802" s="16" t="s">
        <v>166</v>
      </c>
      <c r="EN802" s="16" t="s">
        <v>166</v>
      </c>
      <c r="EO802" s="16" t="s">
        <v>166</v>
      </c>
      <c r="EP802" s="16" t="s">
        <v>166</v>
      </c>
      <c r="EQ802" s="16" t="s">
        <v>166</v>
      </c>
      <c r="ER802" s="16" t="s">
        <v>166</v>
      </c>
      <c r="ES802" s="16" t="s">
        <v>166</v>
      </c>
      <c r="ET802" s="14" t="s">
        <v>166</v>
      </c>
      <c r="EU802" s="16" t="s">
        <v>166</v>
      </c>
      <c r="EV802" s="16" t="s">
        <v>166</v>
      </c>
      <c r="EW802" s="16" t="s">
        <v>166</v>
      </c>
      <c r="EX802" s="14" t="s">
        <v>190</v>
      </c>
      <c r="EY802" s="14" t="s">
        <v>190</v>
      </c>
      <c r="EZ802" s="16" t="s">
        <v>166</v>
      </c>
      <c r="FA802" s="15">
        <v>1</v>
      </c>
      <c r="FB802" s="15">
        <v>1</v>
      </c>
      <c r="FC802" s="15" t="s">
        <v>166</v>
      </c>
      <c r="FD802" s="15">
        <v>1</v>
      </c>
      <c r="FE802" s="15" t="s">
        <v>166</v>
      </c>
      <c r="FF802" s="15" t="s">
        <v>166</v>
      </c>
      <c r="FG802" s="14" t="s">
        <v>457</v>
      </c>
      <c r="FH802" s="3">
        <f>HYPERLINK("https://my.pitchbook.com?c=124207-03T","View Company Online")</f>
      </c>
    </row>
    <row r="803">
      <c r="A803" s="25" t="s">
        <v>15328</v>
      </c>
      <c r="B803" s="25" t="s">
        <v>15329</v>
      </c>
      <c r="C803" s="25" t="s">
        <v>15330</v>
      </c>
      <c r="D803" s="25" t="s">
        <v>166</v>
      </c>
      <c r="E803" s="34" t="s">
        <v>15331</v>
      </c>
      <c r="F803" s="32">
        <v>3</v>
      </c>
      <c r="G803" s="25" t="s">
        <v>15332</v>
      </c>
      <c r="H803" s="25" t="s">
        <v>166</v>
      </c>
      <c r="I803" s="25" t="s">
        <v>15333</v>
      </c>
      <c r="J803" s="25" t="s">
        <v>15334</v>
      </c>
      <c r="K803" s="25" t="s">
        <v>321</v>
      </c>
      <c r="L803" s="25" t="s">
        <v>15335</v>
      </c>
      <c r="M803" s="25" t="s">
        <v>15336</v>
      </c>
      <c r="N803" s="25" t="s">
        <v>15337</v>
      </c>
      <c r="O803" s="25" t="s">
        <v>15338</v>
      </c>
      <c r="P803" s="25" t="s">
        <v>15339</v>
      </c>
      <c r="Q803" s="25" t="s">
        <v>166</v>
      </c>
      <c r="R803" s="25" t="s">
        <v>177</v>
      </c>
      <c r="S803" s="25" t="s">
        <v>178</v>
      </c>
      <c r="T803" s="25" t="s">
        <v>179</v>
      </c>
      <c r="U803" s="25" t="s">
        <v>15340</v>
      </c>
      <c r="V803" s="25" t="s">
        <v>15341</v>
      </c>
      <c r="W803" s="32" t="s">
        <v>15342</v>
      </c>
      <c r="X803" s="25" t="s">
        <v>15343</v>
      </c>
      <c r="Y803" s="25" t="s">
        <v>15344</v>
      </c>
      <c r="Z803" s="25" t="s">
        <v>15345</v>
      </c>
      <c r="AA803" s="25" t="s">
        <v>166</v>
      </c>
      <c r="AB803" s="25" t="s">
        <v>243</v>
      </c>
      <c r="AC803" s="25" t="s">
        <v>244</v>
      </c>
      <c r="AD803" s="25" t="s">
        <v>243</v>
      </c>
      <c r="AE803" s="25" t="s">
        <v>243</v>
      </c>
      <c r="AF803" s="25" t="s">
        <v>166</v>
      </c>
      <c r="AG803" s="25" t="s">
        <v>166</v>
      </c>
      <c r="AH803" s="32">
        <v>1</v>
      </c>
      <c r="AI803" s="4">
        <f>HYPERLINK("https://my.pitchbook.com/?d=179428-06T","179428-06T")</f>
      </c>
      <c r="AJ803" s="30" t="s">
        <v>166</v>
      </c>
      <c r="AK803" s="30">
        <v>44417</v>
      </c>
      <c r="AL803" s="29">
        <v>2</v>
      </c>
      <c r="AM803" s="25" t="s">
        <v>185</v>
      </c>
      <c r="AN803" s="29">
        <v>8</v>
      </c>
      <c r="AO803" s="29">
        <v>10</v>
      </c>
      <c r="AP803" s="25" t="s">
        <v>185</v>
      </c>
      <c r="AQ803" s="32" t="s">
        <v>166</v>
      </c>
      <c r="AR803" s="32" t="s">
        <v>166</v>
      </c>
      <c r="AS803" s="28">
        <v>20</v>
      </c>
      <c r="AT803" s="29">
        <v>2</v>
      </c>
      <c r="AU803" s="32" t="s">
        <v>186</v>
      </c>
      <c r="AV803" s="32" t="s">
        <v>166</v>
      </c>
      <c r="AW803" s="29">
        <v>0.79</v>
      </c>
      <c r="AX803" s="32" t="s">
        <v>166</v>
      </c>
      <c r="AY803" s="25" t="s">
        <v>187</v>
      </c>
      <c r="AZ803" s="25" t="s">
        <v>166</v>
      </c>
      <c r="BA803" s="25" t="s">
        <v>166</v>
      </c>
      <c r="BB803" s="32" t="s">
        <v>166</v>
      </c>
      <c r="BC803" s="25" t="s">
        <v>179</v>
      </c>
      <c r="BD803" s="25" t="s">
        <v>15346</v>
      </c>
      <c r="BE803" s="25" t="s">
        <v>189</v>
      </c>
      <c r="BF803" s="29">
        <v>2</v>
      </c>
      <c r="BG803" s="25" t="s">
        <v>190</v>
      </c>
      <c r="BH803" s="25" t="s">
        <v>166</v>
      </c>
      <c r="BI803" s="25" t="s">
        <v>166</v>
      </c>
      <c r="BJ803" s="29" t="s">
        <v>166</v>
      </c>
      <c r="BK803" s="29" t="s">
        <v>166</v>
      </c>
      <c r="BL803" s="25" t="s">
        <v>191</v>
      </c>
      <c r="BM803" s="25" t="s">
        <v>178</v>
      </c>
      <c r="BN803" s="25" t="s">
        <v>177</v>
      </c>
      <c r="BO803" s="33" t="s">
        <v>166</v>
      </c>
      <c r="BP803" s="25" t="s">
        <v>15347</v>
      </c>
      <c r="BQ803" s="32">
        <v>3</v>
      </c>
      <c r="BR803" s="25" t="s">
        <v>166</v>
      </c>
      <c r="BS803" s="32" t="s">
        <v>166</v>
      </c>
      <c r="BT803" s="25" t="s">
        <v>15348</v>
      </c>
      <c r="BU803" s="25" t="s">
        <v>166</v>
      </c>
      <c r="BV803" s="25" t="s">
        <v>166</v>
      </c>
      <c r="BW803" s="25" t="s">
        <v>166</v>
      </c>
      <c r="BX803" s="25" t="s">
        <v>166</v>
      </c>
      <c r="BY803" s="25" t="s">
        <v>166</v>
      </c>
      <c r="BZ803" s="25" t="s">
        <v>770</v>
      </c>
      <c r="CA803" s="25" t="s">
        <v>770</v>
      </c>
      <c r="CB803" s="25" t="s">
        <v>166</v>
      </c>
      <c r="CC803" s="25" t="s">
        <v>166</v>
      </c>
      <c r="CD803" s="25" t="s">
        <v>166</v>
      </c>
      <c r="CE803" s="29" t="s">
        <v>166</v>
      </c>
      <c r="CF803" s="27" t="s">
        <v>166</v>
      </c>
      <c r="CG803" s="28" t="s">
        <v>166</v>
      </c>
      <c r="CH803" s="27" t="s">
        <v>166</v>
      </c>
      <c r="CI803" s="27" t="s">
        <v>166</v>
      </c>
      <c r="CJ803" s="27" t="s">
        <v>166</v>
      </c>
      <c r="CK803" s="27" t="s">
        <v>166</v>
      </c>
      <c r="CL803" s="27" t="s">
        <v>166</v>
      </c>
      <c r="CM803" s="31" t="s">
        <v>166</v>
      </c>
      <c r="CN803" s="27" t="s">
        <v>166</v>
      </c>
      <c r="CO803" s="27" t="s">
        <v>166</v>
      </c>
      <c r="CP803" s="27" t="s">
        <v>166</v>
      </c>
      <c r="CQ803" s="27" t="s">
        <v>166</v>
      </c>
      <c r="CR803" s="27" t="s">
        <v>166</v>
      </c>
      <c r="CS803" s="27" t="s">
        <v>166</v>
      </c>
      <c r="CT803" s="27" t="s">
        <v>166</v>
      </c>
      <c r="CU803" s="27" t="s">
        <v>166</v>
      </c>
      <c r="CV803" s="27" t="s">
        <v>166</v>
      </c>
      <c r="CW803" s="27" t="s">
        <v>166</v>
      </c>
      <c r="CX803" s="27" t="s">
        <v>166</v>
      </c>
      <c r="CY803" s="27" t="s">
        <v>166</v>
      </c>
      <c r="CZ803" s="27" t="s">
        <v>166</v>
      </c>
      <c r="DA803" s="27" t="s">
        <v>166</v>
      </c>
      <c r="DB803" s="27" t="s">
        <v>166</v>
      </c>
      <c r="DC803" s="27" t="s">
        <v>166</v>
      </c>
      <c r="DD803" s="27" t="s">
        <v>166</v>
      </c>
      <c r="DE803" s="28" t="s">
        <v>166</v>
      </c>
      <c r="DF803" s="33">
        <v>6</v>
      </c>
      <c r="DG803" s="25" t="s">
        <v>5531</v>
      </c>
      <c r="DH803" s="25" t="s">
        <v>193</v>
      </c>
      <c r="DI803" s="25" t="s">
        <v>194</v>
      </c>
      <c r="DJ803" s="25" t="s">
        <v>5532</v>
      </c>
      <c r="DK803" s="25" t="s">
        <v>257</v>
      </c>
      <c r="DL803" s="32" t="s">
        <v>5533</v>
      </c>
      <c r="DM803" s="25" t="s">
        <v>198</v>
      </c>
      <c r="DN803" s="24" t="s">
        <v>15349</v>
      </c>
      <c r="DO803" s="31">
        <v>2021</v>
      </c>
      <c r="DP803" s="25" t="s">
        <v>166</v>
      </c>
      <c r="DQ803" s="25" t="s">
        <v>166</v>
      </c>
      <c r="DR803" s="29" t="s">
        <v>166</v>
      </c>
      <c r="DS803" s="27" t="s">
        <v>166</v>
      </c>
      <c r="DT803" s="30" t="s">
        <v>166</v>
      </c>
      <c r="DU803" s="25" t="s">
        <v>166</v>
      </c>
      <c r="DV803" s="29" t="s">
        <v>166</v>
      </c>
      <c r="DW803" s="29" t="s">
        <v>166</v>
      </c>
      <c r="DX803" s="27" t="s">
        <v>166</v>
      </c>
      <c r="DY803" s="27" t="s">
        <v>166</v>
      </c>
      <c r="DZ803" s="28" t="s">
        <v>166</v>
      </c>
      <c r="EA803" s="27" t="s">
        <v>166</v>
      </c>
      <c r="EB803" s="27" t="s">
        <v>166</v>
      </c>
      <c r="EC803" s="27" t="s">
        <v>166</v>
      </c>
      <c r="ED803" s="28" t="s">
        <v>166</v>
      </c>
      <c r="EE803" s="28" t="s">
        <v>166</v>
      </c>
      <c r="EF803" s="28" t="s">
        <v>166</v>
      </c>
      <c r="EG803" s="28" t="s">
        <v>166</v>
      </c>
      <c r="EH803" s="27" t="s">
        <v>166</v>
      </c>
      <c r="EI803" s="27" t="s">
        <v>166</v>
      </c>
      <c r="EJ803" s="27" t="s">
        <v>166</v>
      </c>
      <c r="EK803" s="27" t="s">
        <v>166</v>
      </c>
      <c r="EL803" s="27" t="s">
        <v>166</v>
      </c>
      <c r="EM803" s="27" t="s">
        <v>166</v>
      </c>
      <c r="EN803" s="27" t="s">
        <v>166</v>
      </c>
      <c r="EO803" s="27" t="s">
        <v>166</v>
      </c>
      <c r="EP803" s="27" t="s">
        <v>166</v>
      </c>
      <c r="EQ803" s="27" t="s">
        <v>166</v>
      </c>
      <c r="ER803" s="27" t="s">
        <v>166</v>
      </c>
      <c r="ES803" s="27" t="s">
        <v>166</v>
      </c>
      <c r="ET803" s="25" t="s">
        <v>166</v>
      </c>
      <c r="EU803" s="27" t="s">
        <v>166</v>
      </c>
      <c r="EV803" s="27" t="s">
        <v>166</v>
      </c>
      <c r="EW803" s="27" t="s">
        <v>166</v>
      </c>
      <c r="EX803" s="25" t="s">
        <v>190</v>
      </c>
      <c r="EY803" s="25" t="s">
        <v>166</v>
      </c>
      <c r="EZ803" s="27" t="s">
        <v>166</v>
      </c>
      <c r="FA803" s="26" t="s">
        <v>166</v>
      </c>
      <c r="FB803" s="26" t="s">
        <v>166</v>
      </c>
      <c r="FC803" s="26" t="s">
        <v>166</v>
      </c>
      <c r="FD803" s="26" t="s">
        <v>166</v>
      </c>
      <c r="FE803" s="26" t="s">
        <v>166</v>
      </c>
      <c r="FF803" s="26" t="s">
        <v>166</v>
      </c>
      <c r="FG803" s="25" t="s">
        <v>166</v>
      </c>
      <c r="FH803" s="4">
        <f>HYPERLINK("https://my.pitchbook.com?c=179428-06T","View Company Online")</f>
      </c>
    </row>
    <row r="804">
      <c r="A804" s="14" t="s">
        <v>15350</v>
      </c>
      <c r="B804" s="14" t="s">
        <v>15351</v>
      </c>
      <c r="C804" s="14" t="s">
        <v>15352</v>
      </c>
      <c r="D804" s="14" t="s">
        <v>166</v>
      </c>
      <c r="E804" s="23" t="s">
        <v>15353</v>
      </c>
      <c r="F804" s="21">
        <v>5</v>
      </c>
      <c r="G804" s="14" t="s">
        <v>15354</v>
      </c>
      <c r="H804" s="14" t="s">
        <v>166</v>
      </c>
      <c r="I804" s="14" t="s">
        <v>15355</v>
      </c>
      <c r="J804" s="14" t="s">
        <v>15356</v>
      </c>
      <c r="K804" s="14" t="s">
        <v>207</v>
      </c>
      <c r="L804" s="14" t="s">
        <v>208</v>
      </c>
      <c r="M804" s="14" t="s">
        <v>839</v>
      </c>
      <c r="N804" s="14" t="s">
        <v>15357</v>
      </c>
      <c r="O804" s="14" t="s">
        <v>15358</v>
      </c>
      <c r="P804" s="14" t="s">
        <v>15359</v>
      </c>
      <c r="Q804" s="14" t="s">
        <v>166</v>
      </c>
      <c r="R804" s="14" t="s">
        <v>177</v>
      </c>
      <c r="S804" s="14" t="s">
        <v>178</v>
      </c>
      <c r="T804" s="14" t="s">
        <v>179</v>
      </c>
      <c r="U804" s="14" t="s">
        <v>15360</v>
      </c>
      <c r="V804" s="14" t="s">
        <v>15361</v>
      </c>
      <c r="W804" s="21" t="s">
        <v>15362</v>
      </c>
      <c r="X804" s="14" t="s">
        <v>15363</v>
      </c>
      <c r="Y804" s="14" t="s">
        <v>15364</v>
      </c>
      <c r="Z804" s="14" t="s">
        <v>166</v>
      </c>
      <c r="AA804" s="14" t="s">
        <v>242</v>
      </c>
      <c r="AB804" s="14" t="s">
        <v>243</v>
      </c>
      <c r="AC804" s="14" t="s">
        <v>244</v>
      </c>
      <c r="AD804" s="14" t="s">
        <v>243</v>
      </c>
      <c r="AE804" s="14" t="s">
        <v>243</v>
      </c>
      <c r="AF804" s="14" t="s">
        <v>166</v>
      </c>
      <c r="AG804" s="14" t="s">
        <v>246</v>
      </c>
      <c r="AH804" s="21">
        <v>1</v>
      </c>
      <c r="AI804" s="3">
        <f>HYPERLINK("https://my.pitchbook.com/?d=165413-53T","165413-53T")</f>
      </c>
      <c r="AJ804" s="19" t="s">
        <v>166</v>
      </c>
      <c r="AK804" s="19">
        <v>44160</v>
      </c>
      <c r="AL804" s="18">
        <v>10.15</v>
      </c>
      <c r="AM804" s="14" t="s">
        <v>185</v>
      </c>
      <c r="AN804" s="18">
        <v>17</v>
      </c>
      <c r="AO804" s="18">
        <v>27.15</v>
      </c>
      <c r="AP804" s="14" t="s">
        <v>185</v>
      </c>
      <c r="AQ804" s="21" t="s">
        <v>166</v>
      </c>
      <c r="AR804" s="21" t="s">
        <v>166</v>
      </c>
      <c r="AS804" s="17">
        <v>37.38</v>
      </c>
      <c r="AT804" s="18">
        <v>10.15</v>
      </c>
      <c r="AU804" s="21" t="s">
        <v>186</v>
      </c>
      <c r="AV804" s="21" t="s">
        <v>166</v>
      </c>
      <c r="AW804" s="18">
        <v>0.98</v>
      </c>
      <c r="AX804" s="21" t="s">
        <v>248</v>
      </c>
      <c r="AY804" s="14" t="s">
        <v>249</v>
      </c>
      <c r="AZ804" s="14" t="s">
        <v>248</v>
      </c>
      <c r="BA804" s="14" t="s">
        <v>166</v>
      </c>
      <c r="BB804" s="21" t="s">
        <v>166</v>
      </c>
      <c r="BC804" s="14" t="s">
        <v>179</v>
      </c>
      <c r="BD804" s="14" t="s">
        <v>15365</v>
      </c>
      <c r="BE804" s="14" t="s">
        <v>189</v>
      </c>
      <c r="BF804" s="18">
        <v>10.15</v>
      </c>
      <c r="BG804" s="14" t="s">
        <v>190</v>
      </c>
      <c r="BH804" s="14" t="s">
        <v>166</v>
      </c>
      <c r="BI804" s="14" t="s">
        <v>166</v>
      </c>
      <c r="BJ804" s="18" t="s">
        <v>166</v>
      </c>
      <c r="BK804" s="18" t="s">
        <v>166</v>
      </c>
      <c r="BL804" s="14" t="s">
        <v>191</v>
      </c>
      <c r="BM804" s="14" t="s">
        <v>178</v>
      </c>
      <c r="BN804" s="14" t="s">
        <v>177</v>
      </c>
      <c r="BO804" s="22" t="s">
        <v>166</v>
      </c>
      <c r="BP804" s="14" t="s">
        <v>15366</v>
      </c>
      <c r="BQ804" s="21">
        <v>5</v>
      </c>
      <c r="BR804" s="14" t="s">
        <v>166</v>
      </c>
      <c r="BS804" s="21" t="s">
        <v>166</v>
      </c>
      <c r="BT804" s="14" t="s">
        <v>15367</v>
      </c>
      <c r="BU804" s="14" t="s">
        <v>166</v>
      </c>
      <c r="BV804" s="14" t="s">
        <v>15368</v>
      </c>
      <c r="BW804" s="14" t="s">
        <v>166</v>
      </c>
      <c r="BX804" s="14" t="s">
        <v>166</v>
      </c>
      <c r="BY804" s="14" t="s">
        <v>166</v>
      </c>
      <c r="BZ804" s="14" t="s">
        <v>15369</v>
      </c>
      <c r="CA804" s="14" t="s">
        <v>15369</v>
      </c>
      <c r="CB804" s="14" t="s">
        <v>166</v>
      </c>
      <c r="CC804" s="14" t="s">
        <v>166</v>
      </c>
      <c r="CD804" s="14" t="s">
        <v>166</v>
      </c>
      <c r="CE804" s="18" t="s">
        <v>166</v>
      </c>
      <c r="CF804" s="16" t="s">
        <v>166</v>
      </c>
      <c r="CG804" s="17" t="s">
        <v>166</v>
      </c>
      <c r="CH804" s="16" t="s">
        <v>166</v>
      </c>
      <c r="CI804" s="16" t="s">
        <v>166</v>
      </c>
      <c r="CJ804" s="16" t="s">
        <v>166</v>
      </c>
      <c r="CK804" s="16" t="s">
        <v>166</v>
      </c>
      <c r="CL804" s="16" t="s">
        <v>166</v>
      </c>
      <c r="CM804" s="20" t="s">
        <v>166</v>
      </c>
      <c r="CN804" s="16" t="s">
        <v>166</v>
      </c>
      <c r="CO804" s="16" t="s">
        <v>166</v>
      </c>
      <c r="CP804" s="16" t="s">
        <v>166</v>
      </c>
      <c r="CQ804" s="16" t="s">
        <v>166</v>
      </c>
      <c r="CR804" s="16" t="s">
        <v>166</v>
      </c>
      <c r="CS804" s="16" t="s">
        <v>166</v>
      </c>
      <c r="CT804" s="16" t="s">
        <v>166</v>
      </c>
      <c r="CU804" s="16" t="s">
        <v>166</v>
      </c>
      <c r="CV804" s="16" t="s">
        <v>166</v>
      </c>
      <c r="CW804" s="16" t="s">
        <v>166</v>
      </c>
      <c r="CX804" s="16" t="s">
        <v>166</v>
      </c>
      <c r="CY804" s="16" t="s">
        <v>166</v>
      </c>
      <c r="CZ804" s="16" t="s">
        <v>166</v>
      </c>
      <c r="DA804" s="16" t="s">
        <v>166</v>
      </c>
      <c r="DB804" s="16" t="s">
        <v>166</v>
      </c>
      <c r="DC804" s="16" t="s">
        <v>166</v>
      </c>
      <c r="DD804" s="16" t="s">
        <v>166</v>
      </c>
      <c r="DE804" s="17" t="s">
        <v>166</v>
      </c>
      <c r="DF804" s="22">
        <v>109</v>
      </c>
      <c r="DG804" s="14" t="s">
        <v>998</v>
      </c>
      <c r="DH804" s="14" t="s">
        <v>193</v>
      </c>
      <c r="DI804" s="14" t="s">
        <v>194</v>
      </c>
      <c r="DJ804" s="14" t="s">
        <v>999</v>
      </c>
      <c r="DK804" s="14" t="s">
        <v>1000</v>
      </c>
      <c r="DL804" s="21" t="s">
        <v>5342</v>
      </c>
      <c r="DM804" s="14" t="s">
        <v>198</v>
      </c>
      <c r="DN804" s="13" t="s">
        <v>15370</v>
      </c>
      <c r="DO804" s="20">
        <v>2009</v>
      </c>
      <c r="DP804" s="14" t="s">
        <v>166</v>
      </c>
      <c r="DQ804" s="14" t="s">
        <v>166</v>
      </c>
      <c r="DR804" s="18" t="s">
        <v>166</v>
      </c>
      <c r="DS804" s="16" t="s">
        <v>166</v>
      </c>
      <c r="DT804" s="19" t="s">
        <v>166</v>
      </c>
      <c r="DU804" s="14" t="s">
        <v>166</v>
      </c>
      <c r="DV804" s="18" t="s">
        <v>166</v>
      </c>
      <c r="DW804" s="18" t="s">
        <v>166</v>
      </c>
      <c r="DX804" s="16" t="s">
        <v>166</v>
      </c>
      <c r="DY804" s="16" t="s">
        <v>166</v>
      </c>
      <c r="DZ804" s="17" t="s">
        <v>166</v>
      </c>
      <c r="EA804" s="16" t="s">
        <v>166</v>
      </c>
      <c r="EB804" s="16" t="s">
        <v>166</v>
      </c>
      <c r="EC804" s="16" t="s">
        <v>166</v>
      </c>
      <c r="ED804" s="17" t="s">
        <v>166</v>
      </c>
      <c r="EE804" s="17" t="s">
        <v>166</v>
      </c>
      <c r="EF804" s="17" t="s">
        <v>166</v>
      </c>
      <c r="EG804" s="17" t="s">
        <v>166</v>
      </c>
      <c r="EH804" s="16" t="s">
        <v>166</v>
      </c>
      <c r="EI804" s="16" t="s">
        <v>166</v>
      </c>
      <c r="EJ804" s="16" t="s">
        <v>166</v>
      </c>
      <c r="EK804" s="16" t="s">
        <v>166</v>
      </c>
      <c r="EL804" s="16" t="s">
        <v>166</v>
      </c>
      <c r="EM804" s="16" t="s">
        <v>166</v>
      </c>
      <c r="EN804" s="16" t="s">
        <v>166</v>
      </c>
      <c r="EO804" s="16" t="s">
        <v>166</v>
      </c>
      <c r="EP804" s="16" t="s">
        <v>166</v>
      </c>
      <c r="EQ804" s="16" t="s">
        <v>166</v>
      </c>
      <c r="ER804" s="16" t="s">
        <v>166</v>
      </c>
      <c r="ES804" s="16" t="s">
        <v>166</v>
      </c>
      <c r="ET804" s="14" t="s">
        <v>166</v>
      </c>
      <c r="EU804" s="16" t="s">
        <v>166</v>
      </c>
      <c r="EV804" s="16" t="s">
        <v>166</v>
      </c>
      <c r="EW804" s="16" t="s">
        <v>166</v>
      </c>
      <c r="EX804" s="14" t="s">
        <v>190</v>
      </c>
      <c r="EY804" s="14" t="s">
        <v>166</v>
      </c>
      <c r="EZ804" s="16" t="s">
        <v>166</v>
      </c>
      <c r="FA804" s="15" t="s">
        <v>166</v>
      </c>
      <c r="FB804" s="15" t="s">
        <v>166</v>
      </c>
      <c r="FC804" s="15" t="s">
        <v>166</v>
      </c>
      <c r="FD804" s="15" t="s">
        <v>166</v>
      </c>
      <c r="FE804" s="15" t="s">
        <v>166</v>
      </c>
      <c r="FF804" s="15" t="s">
        <v>166</v>
      </c>
      <c r="FG804" s="14" t="s">
        <v>166</v>
      </c>
      <c r="FH804" s="3">
        <f>HYPERLINK("https://my.pitchbook.com?c=165413-53T","View Company Online")</f>
      </c>
    </row>
    <row r="805">
      <c r="A805" s="25" t="s">
        <v>15371</v>
      </c>
      <c r="B805" s="25" t="s">
        <v>15372</v>
      </c>
      <c r="C805" s="25" t="s">
        <v>15373</v>
      </c>
      <c r="D805" s="25" t="s">
        <v>166</v>
      </c>
      <c r="E805" s="34" t="s">
        <v>15374</v>
      </c>
      <c r="F805" s="32">
        <v>1</v>
      </c>
      <c r="G805" s="25" t="s">
        <v>15375</v>
      </c>
      <c r="H805" s="25" t="s">
        <v>166</v>
      </c>
      <c r="I805" s="25" t="s">
        <v>15376</v>
      </c>
      <c r="J805" s="25" t="s">
        <v>15377</v>
      </c>
      <c r="K805" s="25" t="s">
        <v>1455</v>
      </c>
      <c r="L805" s="25" t="s">
        <v>1456</v>
      </c>
      <c r="M805" s="25" t="s">
        <v>1457</v>
      </c>
      <c r="N805" s="25" t="s">
        <v>1841</v>
      </c>
      <c r="O805" s="25" t="s">
        <v>3447</v>
      </c>
      <c r="P805" s="25" t="s">
        <v>15378</v>
      </c>
      <c r="Q805" s="25" t="s">
        <v>166</v>
      </c>
      <c r="R805" s="25" t="s">
        <v>4181</v>
      </c>
      <c r="S805" s="25" t="s">
        <v>178</v>
      </c>
      <c r="T805" s="25" t="s">
        <v>179</v>
      </c>
      <c r="U805" s="25" t="s">
        <v>15379</v>
      </c>
      <c r="V805" s="25" t="s">
        <v>15380</v>
      </c>
      <c r="W805" s="32" t="s">
        <v>15381</v>
      </c>
      <c r="X805" s="25" t="s">
        <v>15382</v>
      </c>
      <c r="Y805" s="25" t="s">
        <v>15383</v>
      </c>
      <c r="Z805" s="25" t="s">
        <v>15384</v>
      </c>
      <c r="AA805" s="25" t="s">
        <v>166</v>
      </c>
      <c r="AB805" s="25" t="s">
        <v>166</v>
      </c>
      <c r="AC805" s="25" t="s">
        <v>166</v>
      </c>
      <c r="AD805" s="25" t="s">
        <v>166</v>
      </c>
      <c r="AE805" s="25" t="s">
        <v>166</v>
      </c>
      <c r="AF805" s="25" t="s">
        <v>166</v>
      </c>
      <c r="AG805" s="25" t="s">
        <v>166</v>
      </c>
      <c r="AH805" s="32">
        <v>1</v>
      </c>
      <c r="AI805" s="4">
        <f>HYPERLINK("https://my.pitchbook.com/?d=70467-58T","70467-58T")</f>
      </c>
      <c r="AJ805" s="30">
        <v>43276</v>
      </c>
      <c r="AK805" s="30">
        <v>44019</v>
      </c>
      <c r="AL805" s="29">
        <v>2.42</v>
      </c>
      <c r="AM805" s="25" t="s">
        <v>185</v>
      </c>
      <c r="AN805" s="29">
        <v>43.6</v>
      </c>
      <c r="AO805" s="29">
        <v>46.03</v>
      </c>
      <c r="AP805" s="25" t="s">
        <v>185</v>
      </c>
      <c r="AQ805" s="32" t="s">
        <v>166</v>
      </c>
      <c r="AR805" s="32" t="s">
        <v>166</v>
      </c>
      <c r="AS805" s="28">
        <v>5.26</v>
      </c>
      <c r="AT805" s="29">
        <v>2.42</v>
      </c>
      <c r="AU805" s="32" t="s">
        <v>186</v>
      </c>
      <c r="AV805" s="32" t="s">
        <v>166</v>
      </c>
      <c r="AW805" s="29" t="s">
        <v>166</v>
      </c>
      <c r="AX805" s="32" t="s">
        <v>166</v>
      </c>
      <c r="AY805" s="25" t="s">
        <v>249</v>
      </c>
      <c r="AZ805" s="25" t="s">
        <v>166</v>
      </c>
      <c r="BA805" s="25" t="s">
        <v>166</v>
      </c>
      <c r="BB805" s="32" t="s">
        <v>166</v>
      </c>
      <c r="BC805" s="25" t="s">
        <v>179</v>
      </c>
      <c r="BD805" s="25" t="s">
        <v>15385</v>
      </c>
      <c r="BE805" s="25" t="s">
        <v>189</v>
      </c>
      <c r="BF805" s="29">
        <v>2.42</v>
      </c>
      <c r="BG805" s="25" t="s">
        <v>190</v>
      </c>
      <c r="BH805" s="25" t="s">
        <v>166</v>
      </c>
      <c r="BI805" s="25" t="s">
        <v>166</v>
      </c>
      <c r="BJ805" s="29" t="s">
        <v>166</v>
      </c>
      <c r="BK805" s="29" t="s">
        <v>166</v>
      </c>
      <c r="BL805" s="25" t="s">
        <v>191</v>
      </c>
      <c r="BM805" s="25" t="s">
        <v>178</v>
      </c>
      <c r="BN805" s="25" t="s">
        <v>177</v>
      </c>
      <c r="BO805" s="33" t="s">
        <v>166</v>
      </c>
      <c r="BP805" s="25" t="s">
        <v>15374</v>
      </c>
      <c r="BQ805" s="32">
        <v>1</v>
      </c>
      <c r="BR805" s="25" t="s">
        <v>166</v>
      </c>
      <c r="BS805" s="32" t="s">
        <v>166</v>
      </c>
      <c r="BT805" s="25" t="s">
        <v>166</v>
      </c>
      <c r="BU805" s="25" t="s">
        <v>166</v>
      </c>
      <c r="BV805" s="25" t="s">
        <v>15386</v>
      </c>
      <c r="BW805" s="25" t="s">
        <v>166</v>
      </c>
      <c r="BX805" s="25" t="s">
        <v>166</v>
      </c>
      <c r="BY805" s="25" t="s">
        <v>166</v>
      </c>
      <c r="BZ805" s="25" t="s">
        <v>166</v>
      </c>
      <c r="CA805" s="25" t="s">
        <v>166</v>
      </c>
      <c r="CB805" s="25" t="s">
        <v>166</v>
      </c>
      <c r="CC805" s="25" t="s">
        <v>166</v>
      </c>
      <c r="CD805" s="25" t="s">
        <v>166</v>
      </c>
      <c r="CE805" s="29" t="s">
        <v>166</v>
      </c>
      <c r="CF805" s="27" t="s">
        <v>166</v>
      </c>
      <c r="CG805" s="28" t="s">
        <v>166</v>
      </c>
      <c r="CH805" s="27" t="s">
        <v>166</v>
      </c>
      <c r="CI805" s="27" t="s">
        <v>166</v>
      </c>
      <c r="CJ805" s="27" t="s">
        <v>166</v>
      </c>
      <c r="CK805" s="27" t="s">
        <v>166</v>
      </c>
      <c r="CL805" s="27" t="s">
        <v>166</v>
      </c>
      <c r="CM805" s="31" t="s">
        <v>166</v>
      </c>
      <c r="CN805" s="27" t="s">
        <v>166</v>
      </c>
      <c r="CO805" s="27" t="s">
        <v>166</v>
      </c>
      <c r="CP805" s="27" t="s">
        <v>166</v>
      </c>
      <c r="CQ805" s="27" t="s">
        <v>166</v>
      </c>
      <c r="CR805" s="27" t="s">
        <v>166</v>
      </c>
      <c r="CS805" s="27" t="s">
        <v>166</v>
      </c>
      <c r="CT805" s="27" t="s">
        <v>166</v>
      </c>
      <c r="CU805" s="27" t="s">
        <v>166</v>
      </c>
      <c r="CV805" s="27" t="s">
        <v>166</v>
      </c>
      <c r="CW805" s="27" t="s">
        <v>166</v>
      </c>
      <c r="CX805" s="27" t="s">
        <v>166</v>
      </c>
      <c r="CY805" s="27" t="s">
        <v>166</v>
      </c>
      <c r="CZ805" s="27" t="s">
        <v>166</v>
      </c>
      <c r="DA805" s="27" t="s">
        <v>166</v>
      </c>
      <c r="DB805" s="27" t="s">
        <v>166</v>
      </c>
      <c r="DC805" s="27" t="s">
        <v>166</v>
      </c>
      <c r="DD805" s="27" t="s">
        <v>166</v>
      </c>
      <c r="DE805" s="28" t="s">
        <v>166</v>
      </c>
      <c r="DF805" s="33">
        <v>3</v>
      </c>
      <c r="DG805" s="25" t="s">
        <v>1634</v>
      </c>
      <c r="DH805" s="25" t="s">
        <v>193</v>
      </c>
      <c r="DI805" s="25" t="s">
        <v>194</v>
      </c>
      <c r="DJ805" s="25" t="s">
        <v>1635</v>
      </c>
      <c r="DK805" s="25" t="s">
        <v>408</v>
      </c>
      <c r="DL805" s="32" t="s">
        <v>8491</v>
      </c>
      <c r="DM805" s="25" t="s">
        <v>198</v>
      </c>
      <c r="DN805" s="24" t="s">
        <v>15387</v>
      </c>
      <c r="DO805" s="31">
        <v>2013</v>
      </c>
      <c r="DP805" s="25" t="s">
        <v>166</v>
      </c>
      <c r="DQ805" s="25" t="s">
        <v>166</v>
      </c>
      <c r="DR805" s="29" t="s">
        <v>166</v>
      </c>
      <c r="DS805" s="27" t="s">
        <v>166</v>
      </c>
      <c r="DT805" s="30" t="s">
        <v>166</v>
      </c>
      <c r="DU805" s="25" t="s">
        <v>166</v>
      </c>
      <c r="DV805" s="29" t="s">
        <v>166</v>
      </c>
      <c r="DW805" s="29" t="s">
        <v>166</v>
      </c>
      <c r="DX805" s="27" t="s">
        <v>166</v>
      </c>
      <c r="DY805" s="27" t="s">
        <v>166</v>
      </c>
      <c r="DZ805" s="28" t="s">
        <v>166</v>
      </c>
      <c r="EA805" s="27" t="s">
        <v>166</v>
      </c>
      <c r="EB805" s="27" t="s">
        <v>166</v>
      </c>
      <c r="EC805" s="27" t="s">
        <v>166</v>
      </c>
      <c r="ED805" s="28" t="s">
        <v>166</v>
      </c>
      <c r="EE805" s="28" t="s">
        <v>166</v>
      </c>
      <c r="EF805" s="28" t="s">
        <v>166</v>
      </c>
      <c r="EG805" s="28" t="s">
        <v>166</v>
      </c>
      <c r="EH805" s="27" t="s">
        <v>166</v>
      </c>
      <c r="EI805" s="27" t="s">
        <v>166</v>
      </c>
      <c r="EJ805" s="27" t="s">
        <v>166</v>
      </c>
      <c r="EK805" s="27" t="s">
        <v>166</v>
      </c>
      <c r="EL805" s="27" t="s">
        <v>166</v>
      </c>
      <c r="EM805" s="27" t="s">
        <v>166</v>
      </c>
      <c r="EN805" s="27" t="s">
        <v>166</v>
      </c>
      <c r="EO805" s="27" t="s">
        <v>166</v>
      </c>
      <c r="EP805" s="27" t="s">
        <v>166</v>
      </c>
      <c r="EQ805" s="27" t="s">
        <v>166</v>
      </c>
      <c r="ER805" s="27" t="s">
        <v>166</v>
      </c>
      <c r="ES805" s="27" t="s">
        <v>166</v>
      </c>
      <c r="ET805" s="25" t="s">
        <v>166</v>
      </c>
      <c r="EU805" s="27" t="s">
        <v>166</v>
      </c>
      <c r="EV805" s="27" t="s">
        <v>166</v>
      </c>
      <c r="EW805" s="27" t="s">
        <v>166</v>
      </c>
      <c r="EX805" s="25" t="s">
        <v>190</v>
      </c>
      <c r="EY805" s="25" t="s">
        <v>166</v>
      </c>
      <c r="EZ805" s="27" t="s">
        <v>166</v>
      </c>
      <c r="FA805" s="26">
        <v>2</v>
      </c>
      <c r="FB805" s="26">
        <v>1</v>
      </c>
      <c r="FC805" s="26" t="s">
        <v>166</v>
      </c>
      <c r="FD805" s="26" t="s">
        <v>166</v>
      </c>
      <c r="FE805" s="26" t="s">
        <v>166</v>
      </c>
      <c r="FF805" s="26">
        <v>2</v>
      </c>
      <c r="FG805" s="25" t="s">
        <v>166</v>
      </c>
      <c r="FH805" s="4">
        <f>HYPERLINK("https://my.pitchbook.com?c=70467-58T","View Company Online")</f>
      </c>
    </row>
    <row r="806">
      <c r="A806" s="14" t="s">
        <v>15388</v>
      </c>
      <c r="B806" s="14" t="s">
        <v>15389</v>
      </c>
      <c r="C806" s="14" t="s">
        <v>15390</v>
      </c>
      <c r="D806" s="14" t="s">
        <v>166</v>
      </c>
      <c r="E806" s="23" t="s">
        <v>10179</v>
      </c>
      <c r="F806" s="21">
        <v>1</v>
      </c>
      <c r="G806" s="14" t="s">
        <v>3817</v>
      </c>
      <c r="H806" s="14" t="s">
        <v>166</v>
      </c>
      <c r="I806" s="14" t="s">
        <v>15391</v>
      </c>
      <c r="J806" s="14" t="s">
        <v>15392</v>
      </c>
      <c r="K806" s="14" t="s">
        <v>207</v>
      </c>
      <c r="L806" s="14" t="s">
        <v>208</v>
      </c>
      <c r="M806" s="14" t="s">
        <v>1940</v>
      </c>
      <c r="N806" s="14" t="s">
        <v>15393</v>
      </c>
      <c r="O806" s="14" t="s">
        <v>15394</v>
      </c>
      <c r="P806" s="14" t="s">
        <v>15395</v>
      </c>
      <c r="Q806" s="14" t="s">
        <v>166</v>
      </c>
      <c r="R806" s="14" t="s">
        <v>177</v>
      </c>
      <c r="S806" s="14" t="s">
        <v>178</v>
      </c>
      <c r="T806" s="14" t="s">
        <v>179</v>
      </c>
      <c r="U806" s="14" t="s">
        <v>15396</v>
      </c>
      <c r="V806" s="14" t="s">
        <v>15397</v>
      </c>
      <c r="W806" s="21" t="s">
        <v>166</v>
      </c>
      <c r="X806" s="14" t="s">
        <v>15398</v>
      </c>
      <c r="Y806" s="14" t="s">
        <v>15399</v>
      </c>
      <c r="Z806" s="14" t="s">
        <v>15400</v>
      </c>
      <c r="AA806" s="14" t="s">
        <v>166</v>
      </c>
      <c r="AB806" s="14" t="s">
        <v>166</v>
      </c>
      <c r="AC806" s="14" t="s">
        <v>166</v>
      </c>
      <c r="AD806" s="14" t="s">
        <v>166</v>
      </c>
      <c r="AE806" s="14" t="s">
        <v>166</v>
      </c>
      <c r="AF806" s="14" t="s">
        <v>166</v>
      </c>
      <c r="AG806" s="14" t="s">
        <v>166</v>
      </c>
      <c r="AH806" s="21">
        <v>1</v>
      </c>
      <c r="AI806" s="3">
        <f>HYPERLINK("https://my.pitchbook.com/?d=178362-55T","178362-55T")</f>
      </c>
      <c r="AJ806" s="19" t="s">
        <v>166</v>
      </c>
      <c r="AK806" s="19">
        <v>44397</v>
      </c>
      <c r="AL806" s="18">
        <v>1.7</v>
      </c>
      <c r="AM806" s="14" t="s">
        <v>185</v>
      </c>
      <c r="AN806" s="18" t="s">
        <v>166</v>
      </c>
      <c r="AO806" s="18" t="s">
        <v>166</v>
      </c>
      <c r="AP806" s="14" t="s">
        <v>166</v>
      </c>
      <c r="AQ806" s="21" t="s">
        <v>166</v>
      </c>
      <c r="AR806" s="21" t="s">
        <v>166</v>
      </c>
      <c r="AS806" s="17" t="s">
        <v>166</v>
      </c>
      <c r="AT806" s="18">
        <v>1.7</v>
      </c>
      <c r="AU806" s="21" t="s">
        <v>186</v>
      </c>
      <c r="AV806" s="21" t="s">
        <v>166</v>
      </c>
      <c r="AW806" s="18" t="s">
        <v>166</v>
      </c>
      <c r="AX806" s="21" t="s">
        <v>166</v>
      </c>
      <c r="AY806" s="14" t="s">
        <v>217</v>
      </c>
      <c r="AZ806" s="14" t="s">
        <v>217</v>
      </c>
      <c r="BA806" s="14" t="s">
        <v>166</v>
      </c>
      <c r="BB806" s="21" t="s">
        <v>166</v>
      </c>
      <c r="BC806" s="14" t="s">
        <v>179</v>
      </c>
      <c r="BD806" s="14" t="s">
        <v>15392</v>
      </c>
      <c r="BE806" s="14" t="s">
        <v>189</v>
      </c>
      <c r="BF806" s="18">
        <v>1.7</v>
      </c>
      <c r="BG806" s="14" t="s">
        <v>190</v>
      </c>
      <c r="BH806" s="14" t="s">
        <v>166</v>
      </c>
      <c r="BI806" s="14" t="s">
        <v>166</v>
      </c>
      <c r="BJ806" s="18" t="s">
        <v>166</v>
      </c>
      <c r="BK806" s="18" t="s">
        <v>166</v>
      </c>
      <c r="BL806" s="14" t="s">
        <v>191</v>
      </c>
      <c r="BM806" s="14" t="s">
        <v>178</v>
      </c>
      <c r="BN806" s="14" t="s">
        <v>177</v>
      </c>
      <c r="BO806" s="22" t="s">
        <v>166</v>
      </c>
      <c r="BP806" s="14" t="s">
        <v>10179</v>
      </c>
      <c r="BQ806" s="21">
        <v>1</v>
      </c>
      <c r="BR806" s="14" t="s">
        <v>166</v>
      </c>
      <c r="BS806" s="21" t="s">
        <v>166</v>
      </c>
      <c r="BT806" s="14" t="s">
        <v>166</v>
      </c>
      <c r="BU806" s="14" t="s">
        <v>166</v>
      </c>
      <c r="BV806" s="14" t="s">
        <v>15401</v>
      </c>
      <c r="BW806" s="14" t="s">
        <v>166</v>
      </c>
      <c r="BX806" s="14" t="s">
        <v>166</v>
      </c>
      <c r="BY806" s="14" t="s">
        <v>166</v>
      </c>
      <c r="BZ806" s="14" t="s">
        <v>166</v>
      </c>
      <c r="CA806" s="14" t="s">
        <v>166</v>
      </c>
      <c r="CB806" s="14" t="s">
        <v>166</v>
      </c>
      <c r="CC806" s="14" t="s">
        <v>166</v>
      </c>
      <c r="CD806" s="14" t="s">
        <v>166</v>
      </c>
      <c r="CE806" s="18" t="s">
        <v>166</v>
      </c>
      <c r="CF806" s="16" t="s">
        <v>166</v>
      </c>
      <c r="CG806" s="17" t="s">
        <v>166</v>
      </c>
      <c r="CH806" s="16" t="s">
        <v>166</v>
      </c>
      <c r="CI806" s="16" t="s">
        <v>166</v>
      </c>
      <c r="CJ806" s="16" t="s">
        <v>166</v>
      </c>
      <c r="CK806" s="16" t="s">
        <v>166</v>
      </c>
      <c r="CL806" s="16" t="s">
        <v>166</v>
      </c>
      <c r="CM806" s="20" t="s">
        <v>166</v>
      </c>
      <c r="CN806" s="16" t="s">
        <v>166</v>
      </c>
      <c r="CO806" s="16" t="s">
        <v>166</v>
      </c>
      <c r="CP806" s="16" t="s">
        <v>166</v>
      </c>
      <c r="CQ806" s="16" t="s">
        <v>166</v>
      </c>
      <c r="CR806" s="16" t="s">
        <v>166</v>
      </c>
      <c r="CS806" s="16" t="s">
        <v>166</v>
      </c>
      <c r="CT806" s="16" t="s">
        <v>166</v>
      </c>
      <c r="CU806" s="16" t="s">
        <v>166</v>
      </c>
      <c r="CV806" s="16" t="s">
        <v>166</v>
      </c>
      <c r="CW806" s="16" t="s">
        <v>166</v>
      </c>
      <c r="CX806" s="16" t="s">
        <v>166</v>
      </c>
      <c r="CY806" s="16" t="s">
        <v>166</v>
      </c>
      <c r="CZ806" s="16" t="s">
        <v>166</v>
      </c>
      <c r="DA806" s="16" t="s">
        <v>166</v>
      </c>
      <c r="DB806" s="16" t="s">
        <v>166</v>
      </c>
      <c r="DC806" s="16" t="s">
        <v>166</v>
      </c>
      <c r="DD806" s="16" t="s">
        <v>166</v>
      </c>
      <c r="DE806" s="17" t="s">
        <v>166</v>
      </c>
      <c r="DF806" s="22">
        <v>9</v>
      </c>
      <c r="DG806" s="14" t="s">
        <v>309</v>
      </c>
      <c r="DH806" s="14" t="s">
        <v>193</v>
      </c>
      <c r="DI806" s="14" t="s">
        <v>194</v>
      </c>
      <c r="DJ806" s="14" t="s">
        <v>310</v>
      </c>
      <c r="DK806" s="14" t="s">
        <v>310</v>
      </c>
      <c r="DL806" s="21" t="s">
        <v>5163</v>
      </c>
      <c r="DM806" s="14" t="s">
        <v>198</v>
      </c>
      <c r="DN806" s="13" t="s">
        <v>15402</v>
      </c>
      <c r="DO806" s="20">
        <v>2017</v>
      </c>
      <c r="DP806" s="14" t="s">
        <v>166</v>
      </c>
      <c r="DQ806" s="14" t="s">
        <v>166</v>
      </c>
      <c r="DR806" s="18" t="s">
        <v>166</v>
      </c>
      <c r="DS806" s="16" t="s">
        <v>166</v>
      </c>
      <c r="DT806" s="19" t="s">
        <v>166</v>
      </c>
      <c r="DU806" s="14" t="s">
        <v>166</v>
      </c>
      <c r="DV806" s="18" t="s">
        <v>166</v>
      </c>
      <c r="DW806" s="18" t="s">
        <v>166</v>
      </c>
      <c r="DX806" s="16" t="s">
        <v>166</v>
      </c>
      <c r="DY806" s="16" t="s">
        <v>166</v>
      </c>
      <c r="DZ806" s="17" t="s">
        <v>166</v>
      </c>
      <c r="EA806" s="16" t="s">
        <v>166</v>
      </c>
      <c r="EB806" s="16" t="s">
        <v>166</v>
      </c>
      <c r="EC806" s="16" t="s">
        <v>166</v>
      </c>
      <c r="ED806" s="17" t="s">
        <v>166</v>
      </c>
      <c r="EE806" s="17" t="s">
        <v>166</v>
      </c>
      <c r="EF806" s="17" t="s">
        <v>166</v>
      </c>
      <c r="EG806" s="17" t="s">
        <v>166</v>
      </c>
      <c r="EH806" s="16" t="s">
        <v>166</v>
      </c>
      <c r="EI806" s="16" t="s">
        <v>166</v>
      </c>
      <c r="EJ806" s="16" t="s">
        <v>166</v>
      </c>
      <c r="EK806" s="16" t="s">
        <v>166</v>
      </c>
      <c r="EL806" s="16" t="s">
        <v>166</v>
      </c>
      <c r="EM806" s="16" t="s">
        <v>166</v>
      </c>
      <c r="EN806" s="16" t="s">
        <v>166</v>
      </c>
      <c r="EO806" s="16" t="s">
        <v>166</v>
      </c>
      <c r="EP806" s="16" t="s">
        <v>166</v>
      </c>
      <c r="EQ806" s="16" t="s">
        <v>166</v>
      </c>
      <c r="ER806" s="16" t="s">
        <v>166</v>
      </c>
      <c r="ES806" s="16" t="s">
        <v>166</v>
      </c>
      <c r="ET806" s="14" t="s">
        <v>166</v>
      </c>
      <c r="EU806" s="16" t="s">
        <v>166</v>
      </c>
      <c r="EV806" s="16" t="s">
        <v>166</v>
      </c>
      <c r="EW806" s="16" t="s">
        <v>166</v>
      </c>
      <c r="EX806" s="14" t="s">
        <v>190</v>
      </c>
      <c r="EY806" s="14" t="s">
        <v>166</v>
      </c>
      <c r="EZ806" s="16" t="s">
        <v>166</v>
      </c>
      <c r="FA806" s="15" t="s">
        <v>166</v>
      </c>
      <c r="FB806" s="15" t="s">
        <v>166</v>
      </c>
      <c r="FC806" s="15" t="s">
        <v>166</v>
      </c>
      <c r="FD806" s="15" t="s">
        <v>166</v>
      </c>
      <c r="FE806" s="15" t="s">
        <v>166</v>
      </c>
      <c r="FF806" s="15" t="s">
        <v>166</v>
      </c>
      <c r="FG806" s="14" t="s">
        <v>166</v>
      </c>
      <c r="FH806" s="3">
        <f>HYPERLINK("https://my.pitchbook.com?c=178362-55T","View Company Online")</f>
      </c>
    </row>
    <row r="807">
      <c r="A807" s="25" t="s">
        <v>15403</v>
      </c>
      <c r="B807" s="25" t="s">
        <v>15404</v>
      </c>
      <c r="C807" s="25" t="s">
        <v>15405</v>
      </c>
      <c r="D807" s="25" t="s">
        <v>166</v>
      </c>
      <c r="E807" s="34" t="s">
        <v>15406</v>
      </c>
      <c r="F807" s="32">
        <v>2</v>
      </c>
      <c r="G807" s="25" t="s">
        <v>15407</v>
      </c>
      <c r="H807" s="25" t="s">
        <v>166</v>
      </c>
      <c r="I807" s="25" t="s">
        <v>15408</v>
      </c>
      <c r="J807" s="25" t="s">
        <v>15409</v>
      </c>
      <c r="K807" s="25" t="s">
        <v>207</v>
      </c>
      <c r="L807" s="25" t="s">
        <v>208</v>
      </c>
      <c r="M807" s="25" t="s">
        <v>965</v>
      </c>
      <c r="N807" s="25" t="s">
        <v>2512</v>
      </c>
      <c r="O807" s="25" t="s">
        <v>15410</v>
      </c>
      <c r="P807" s="25" t="s">
        <v>15411</v>
      </c>
      <c r="Q807" s="25" t="s">
        <v>166</v>
      </c>
      <c r="R807" s="25" t="s">
        <v>177</v>
      </c>
      <c r="S807" s="25" t="s">
        <v>178</v>
      </c>
      <c r="T807" s="25" t="s">
        <v>179</v>
      </c>
      <c r="U807" s="25" t="s">
        <v>15412</v>
      </c>
      <c r="V807" s="25" t="s">
        <v>15413</v>
      </c>
      <c r="W807" s="32" t="s">
        <v>6750</v>
      </c>
      <c r="X807" s="25" t="s">
        <v>15414</v>
      </c>
      <c r="Y807" s="25" t="s">
        <v>15415</v>
      </c>
      <c r="Z807" s="25" t="s">
        <v>15416</v>
      </c>
      <c r="AA807" s="25" t="s">
        <v>242</v>
      </c>
      <c r="AB807" s="25" t="s">
        <v>243</v>
      </c>
      <c r="AC807" s="25" t="s">
        <v>244</v>
      </c>
      <c r="AD807" s="25" t="s">
        <v>243</v>
      </c>
      <c r="AE807" s="25" t="s">
        <v>243</v>
      </c>
      <c r="AF807" s="25" t="s">
        <v>166</v>
      </c>
      <c r="AG807" s="25" t="s">
        <v>246</v>
      </c>
      <c r="AH807" s="32">
        <v>1</v>
      </c>
      <c r="AI807" s="4">
        <f>HYPERLINK("https://my.pitchbook.com/?d=193318-84T","193318-84T")</f>
      </c>
      <c r="AJ807" s="30">
        <v>44662</v>
      </c>
      <c r="AK807" s="30">
        <v>44675</v>
      </c>
      <c r="AL807" s="29">
        <v>3.14</v>
      </c>
      <c r="AM807" s="25" t="s">
        <v>185</v>
      </c>
      <c r="AN807" s="29">
        <v>7</v>
      </c>
      <c r="AO807" s="29">
        <v>10.14</v>
      </c>
      <c r="AP807" s="25" t="s">
        <v>185</v>
      </c>
      <c r="AQ807" s="32" t="s">
        <v>166</v>
      </c>
      <c r="AR807" s="32" t="s">
        <v>166</v>
      </c>
      <c r="AS807" s="28">
        <v>89.29</v>
      </c>
      <c r="AT807" s="29">
        <v>3.14</v>
      </c>
      <c r="AU807" s="32" t="s">
        <v>186</v>
      </c>
      <c r="AV807" s="32" t="s">
        <v>166</v>
      </c>
      <c r="AW807" s="29">
        <v>3.04</v>
      </c>
      <c r="AX807" s="32" t="s">
        <v>166</v>
      </c>
      <c r="AY807" s="25" t="s">
        <v>217</v>
      </c>
      <c r="AZ807" s="25" t="s">
        <v>217</v>
      </c>
      <c r="BA807" s="25" t="s">
        <v>166</v>
      </c>
      <c r="BB807" s="32" t="s">
        <v>166</v>
      </c>
      <c r="BC807" s="25" t="s">
        <v>179</v>
      </c>
      <c r="BD807" s="25" t="s">
        <v>15417</v>
      </c>
      <c r="BE807" s="25" t="s">
        <v>189</v>
      </c>
      <c r="BF807" s="29">
        <v>3.14</v>
      </c>
      <c r="BG807" s="25" t="s">
        <v>190</v>
      </c>
      <c r="BH807" s="25" t="s">
        <v>166</v>
      </c>
      <c r="BI807" s="25" t="s">
        <v>166</v>
      </c>
      <c r="BJ807" s="29" t="s">
        <v>166</v>
      </c>
      <c r="BK807" s="29" t="s">
        <v>166</v>
      </c>
      <c r="BL807" s="25" t="s">
        <v>191</v>
      </c>
      <c r="BM807" s="25" t="s">
        <v>178</v>
      </c>
      <c r="BN807" s="25" t="s">
        <v>177</v>
      </c>
      <c r="BO807" s="33" t="s">
        <v>166</v>
      </c>
      <c r="BP807" s="25" t="s">
        <v>15406</v>
      </c>
      <c r="BQ807" s="32">
        <v>2</v>
      </c>
      <c r="BR807" s="25" t="s">
        <v>166</v>
      </c>
      <c r="BS807" s="32" t="s">
        <v>166</v>
      </c>
      <c r="BT807" s="25" t="s">
        <v>166</v>
      </c>
      <c r="BU807" s="25" t="s">
        <v>166</v>
      </c>
      <c r="BV807" s="25" t="s">
        <v>166</v>
      </c>
      <c r="BW807" s="25" t="s">
        <v>166</v>
      </c>
      <c r="BX807" s="25" t="s">
        <v>166</v>
      </c>
      <c r="BY807" s="25" t="s">
        <v>166</v>
      </c>
      <c r="BZ807" s="25" t="s">
        <v>996</v>
      </c>
      <c r="CA807" s="25" t="s">
        <v>996</v>
      </c>
      <c r="CB807" s="25" t="s">
        <v>166</v>
      </c>
      <c r="CC807" s="25" t="s">
        <v>166</v>
      </c>
      <c r="CD807" s="25" t="s">
        <v>166</v>
      </c>
      <c r="CE807" s="29" t="s">
        <v>166</v>
      </c>
      <c r="CF807" s="27" t="s">
        <v>166</v>
      </c>
      <c r="CG807" s="28" t="s">
        <v>166</v>
      </c>
      <c r="CH807" s="27" t="s">
        <v>166</v>
      </c>
      <c r="CI807" s="27" t="s">
        <v>166</v>
      </c>
      <c r="CJ807" s="27" t="s">
        <v>166</v>
      </c>
      <c r="CK807" s="27" t="s">
        <v>166</v>
      </c>
      <c r="CL807" s="27" t="s">
        <v>166</v>
      </c>
      <c r="CM807" s="31" t="s">
        <v>166</v>
      </c>
      <c r="CN807" s="27" t="s">
        <v>166</v>
      </c>
      <c r="CO807" s="27" t="s">
        <v>166</v>
      </c>
      <c r="CP807" s="27" t="s">
        <v>166</v>
      </c>
      <c r="CQ807" s="27" t="s">
        <v>166</v>
      </c>
      <c r="CR807" s="27" t="s">
        <v>166</v>
      </c>
      <c r="CS807" s="27" t="s">
        <v>166</v>
      </c>
      <c r="CT807" s="27" t="s">
        <v>166</v>
      </c>
      <c r="CU807" s="27" t="s">
        <v>166</v>
      </c>
      <c r="CV807" s="27" t="s">
        <v>166</v>
      </c>
      <c r="CW807" s="27" t="s">
        <v>166</v>
      </c>
      <c r="CX807" s="27" t="s">
        <v>166</v>
      </c>
      <c r="CY807" s="27" t="s">
        <v>166</v>
      </c>
      <c r="CZ807" s="27" t="s">
        <v>166</v>
      </c>
      <c r="DA807" s="27" t="s">
        <v>166</v>
      </c>
      <c r="DB807" s="27" t="s">
        <v>166</v>
      </c>
      <c r="DC807" s="27" t="s">
        <v>166</v>
      </c>
      <c r="DD807" s="27" t="s">
        <v>166</v>
      </c>
      <c r="DE807" s="28" t="s">
        <v>166</v>
      </c>
      <c r="DF807" s="33">
        <v>12</v>
      </c>
      <c r="DG807" s="25" t="s">
        <v>3174</v>
      </c>
      <c r="DH807" s="25" t="s">
        <v>193</v>
      </c>
      <c r="DI807" s="25" t="s">
        <v>194</v>
      </c>
      <c r="DJ807" s="25" t="s">
        <v>3175</v>
      </c>
      <c r="DK807" s="25" t="s">
        <v>1063</v>
      </c>
      <c r="DL807" s="32" t="s">
        <v>15418</v>
      </c>
      <c r="DM807" s="25" t="s">
        <v>198</v>
      </c>
      <c r="DN807" s="24" t="s">
        <v>15419</v>
      </c>
      <c r="DO807" s="31">
        <v>2018</v>
      </c>
      <c r="DP807" s="25" t="s">
        <v>166</v>
      </c>
      <c r="DQ807" s="25" t="s">
        <v>166</v>
      </c>
      <c r="DR807" s="29" t="s">
        <v>166</v>
      </c>
      <c r="DS807" s="27" t="s">
        <v>166</v>
      </c>
      <c r="DT807" s="30" t="s">
        <v>166</v>
      </c>
      <c r="DU807" s="25" t="s">
        <v>166</v>
      </c>
      <c r="DV807" s="29" t="s">
        <v>166</v>
      </c>
      <c r="DW807" s="29" t="s">
        <v>166</v>
      </c>
      <c r="DX807" s="27" t="s">
        <v>166</v>
      </c>
      <c r="DY807" s="27" t="s">
        <v>166</v>
      </c>
      <c r="DZ807" s="28" t="s">
        <v>166</v>
      </c>
      <c r="EA807" s="27" t="s">
        <v>166</v>
      </c>
      <c r="EB807" s="27" t="s">
        <v>166</v>
      </c>
      <c r="EC807" s="27" t="s">
        <v>166</v>
      </c>
      <c r="ED807" s="28" t="s">
        <v>166</v>
      </c>
      <c r="EE807" s="28" t="s">
        <v>166</v>
      </c>
      <c r="EF807" s="28" t="s">
        <v>166</v>
      </c>
      <c r="EG807" s="28" t="s">
        <v>166</v>
      </c>
      <c r="EH807" s="27" t="s">
        <v>166</v>
      </c>
      <c r="EI807" s="27" t="s">
        <v>166</v>
      </c>
      <c r="EJ807" s="27" t="s">
        <v>166</v>
      </c>
      <c r="EK807" s="27" t="s">
        <v>166</v>
      </c>
      <c r="EL807" s="27" t="s">
        <v>166</v>
      </c>
      <c r="EM807" s="27" t="s">
        <v>166</v>
      </c>
      <c r="EN807" s="27" t="s">
        <v>166</v>
      </c>
      <c r="EO807" s="27" t="s">
        <v>166</v>
      </c>
      <c r="EP807" s="27" t="s">
        <v>166</v>
      </c>
      <c r="EQ807" s="27" t="s">
        <v>166</v>
      </c>
      <c r="ER807" s="27" t="s">
        <v>166</v>
      </c>
      <c r="ES807" s="27" t="s">
        <v>166</v>
      </c>
      <c r="ET807" s="25" t="s">
        <v>166</v>
      </c>
      <c r="EU807" s="27" t="s">
        <v>166</v>
      </c>
      <c r="EV807" s="27" t="s">
        <v>166</v>
      </c>
      <c r="EW807" s="27" t="s">
        <v>166</v>
      </c>
      <c r="EX807" s="25" t="s">
        <v>190</v>
      </c>
      <c r="EY807" s="25" t="s">
        <v>166</v>
      </c>
      <c r="EZ807" s="27" t="s">
        <v>166</v>
      </c>
      <c r="FA807" s="26" t="s">
        <v>166</v>
      </c>
      <c r="FB807" s="26" t="s">
        <v>166</v>
      </c>
      <c r="FC807" s="26" t="s">
        <v>166</v>
      </c>
      <c r="FD807" s="26" t="s">
        <v>166</v>
      </c>
      <c r="FE807" s="26" t="s">
        <v>166</v>
      </c>
      <c r="FF807" s="26" t="s">
        <v>166</v>
      </c>
      <c r="FG807" s="25" t="s">
        <v>166</v>
      </c>
      <c r="FH807" s="4">
        <f>HYPERLINK("https://my.pitchbook.com?c=193318-84T","View Company Online")</f>
      </c>
    </row>
    <row r="808">
      <c r="A808" s="14" t="s">
        <v>15420</v>
      </c>
      <c r="B808" s="14" t="s">
        <v>15421</v>
      </c>
      <c r="C808" s="14" t="s">
        <v>15422</v>
      </c>
      <c r="D808" s="14" t="s">
        <v>166</v>
      </c>
      <c r="E808" s="23" t="s">
        <v>15423</v>
      </c>
      <c r="F808" s="21">
        <v>4</v>
      </c>
      <c r="G808" s="14" t="s">
        <v>15424</v>
      </c>
      <c r="H808" s="14" t="s">
        <v>166</v>
      </c>
      <c r="I808" s="14" t="s">
        <v>15425</v>
      </c>
      <c r="J808" s="14" t="s">
        <v>15426</v>
      </c>
      <c r="K808" s="14" t="s">
        <v>1455</v>
      </c>
      <c r="L808" s="14" t="s">
        <v>1456</v>
      </c>
      <c r="M808" s="14" t="s">
        <v>1457</v>
      </c>
      <c r="N808" s="14" t="s">
        <v>1841</v>
      </c>
      <c r="O808" s="14" t="s">
        <v>11053</v>
      </c>
      <c r="P808" s="14" t="s">
        <v>15427</v>
      </c>
      <c r="Q808" s="14" t="s">
        <v>166</v>
      </c>
      <c r="R808" s="14" t="s">
        <v>177</v>
      </c>
      <c r="S808" s="14" t="s">
        <v>178</v>
      </c>
      <c r="T808" s="14" t="s">
        <v>1401</v>
      </c>
      <c r="U808" s="14" t="s">
        <v>15428</v>
      </c>
      <c r="V808" s="14" t="s">
        <v>15429</v>
      </c>
      <c r="W808" s="21" t="s">
        <v>166</v>
      </c>
      <c r="X808" s="14" t="s">
        <v>15430</v>
      </c>
      <c r="Y808" s="14" t="s">
        <v>15431</v>
      </c>
      <c r="Z808" s="14" t="s">
        <v>15432</v>
      </c>
      <c r="AA808" s="14" t="s">
        <v>166</v>
      </c>
      <c r="AB808" s="14" t="s">
        <v>166</v>
      </c>
      <c r="AC808" s="14" t="s">
        <v>166</v>
      </c>
      <c r="AD808" s="14" t="s">
        <v>166</v>
      </c>
      <c r="AE808" s="14" t="s">
        <v>166</v>
      </c>
      <c r="AF808" s="14" t="s">
        <v>166</v>
      </c>
      <c r="AG808" s="14" t="s">
        <v>166</v>
      </c>
      <c r="AH808" s="21">
        <v>1</v>
      </c>
      <c r="AI808" s="3">
        <f>HYPERLINK("https://my.pitchbook.com/?d=124539-31T","124539-31T")</f>
      </c>
      <c r="AJ808" s="19" t="s">
        <v>166</v>
      </c>
      <c r="AK808" s="19">
        <v>43983</v>
      </c>
      <c r="AL808" s="18">
        <v>0.5</v>
      </c>
      <c r="AM808" s="14" t="s">
        <v>185</v>
      </c>
      <c r="AN808" s="18" t="s">
        <v>166</v>
      </c>
      <c r="AO808" s="18" t="s">
        <v>166</v>
      </c>
      <c r="AP808" s="14" t="s">
        <v>166</v>
      </c>
      <c r="AQ808" s="21" t="s">
        <v>166</v>
      </c>
      <c r="AR808" s="21" t="s">
        <v>166</v>
      </c>
      <c r="AS808" s="17" t="s">
        <v>166</v>
      </c>
      <c r="AT808" s="18">
        <v>0.5</v>
      </c>
      <c r="AU808" s="21" t="s">
        <v>186</v>
      </c>
      <c r="AV808" s="21" t="s">
        <v>166</v>
      </c>
      <c r="AW808" s="18" t="s">
        <v>166</v>
      </c>
      <c r="AX808" s="21" t="s">
        <v>166</v>
      </c>
      <c r="AY808" s="14" t="s">
        <v>187</v>
      </c>
      <c r="AZ808" s="14" t="s">
        <v>166</v>
      </c>
      <c r="BA808" s="14" t="s">
        <v>166</v>
      </c>
      <c r="BB808" s="21" t="s">
        <v>166</v>
      </c>
      <c r="BC808" s="14" t="s">
        <v>179</v>
      </c>
      <c r="BD808" s="14" t="s">
        <v>15433</v>
      </c>
      <c r="BE808" s="14" t="s">
        <v>189</v>
      </c>
      <c r="BF808" s="18">
        <v>0.5</v>
      </c>
      <c r="BG808" s="14" t="s">
        <v>190</v>
      </c>
      <c r="BH808" s="14" t="s">
        <v>166</v>
      </c>
      <c r="BI808" s="14" t="s">
        <v>166</v>
      </c>
      <c r="BJ808" s="18" t="s">
        <v>166</v>
      </c>
      <c r="BK808" s="18" t="s">
        <v>166</v>
      </c>
      <c r="BL808" s="14" t="s">
        <v>191</v>
      </c>
      <c r="BM808" s="14" t="s">
        <v>178</v>
      </c>
      <c r="BN808" s="14" t="s">
        <v>177</v>
      </c>
      <c r="BO808" s="22" t="s">
        <v>166</v>
      </c>
      <c r="BP808" s="14" t="s">
        <v>15434</v>
      </c>
      <c r="BQ808" s="21">
        <v>4</v>
      </c>
      <c r="BR808" s="14" t="s">
        <v>166</v>
      </c>
      <c r="BS808" s="21" t="s">
        <v>166</v>
      </c>
      <c r="BT808" s="14" t="s">
        <v>15435</v>
      </c>
      <c r="BU808" s="14" t="s">
        <v>166</v>
      </c>
      <c r="BV808" s="14" t="s">
        <v>15436</v>
      </c>
      <c r="BW808" s="14" t="s">
        <v>166</v>
      </c>
      <c r="BX808" s="14" t="s">
        <v>166</v>
      </c>
      <c r="BY808" s="14" t="s">
        <v>166</v>
      </c>
      <c r="BZ808" s="14" t="s">
        <v>166</v>
      </c>
      <c r="CA808" s="14" t="s">
        <v>166</v>
      </c>
      <c r="CB808" s="14" t="s">
        <v>166</v>
      </c>
      <c r="CC808" s="14" t="s">
        <v>166</v>
      </c>
      <c r="CD808" s="14" t="s">
        <v>166</v>
      </c>
      <c r="CE808" s="18" t="s">
        <v>166</v>
      </c>
      <c r="CF808" s="16" t="s">
        <v>166</v>
      </c>
      <c r="CG808" s="17" t="s">
        <v>166</v>
      </c>
      <c r="CH808" s="16" t="s">
        <v>166</v>
      </c>
      <c r="CI808" s="16" t="s">
        <v>166</v>
      </c>
      <c r="CJ808" s="16" t="s">
        <v>166</v>
      </c>
      <c r="CK808" s="16" t="s">
        <v>166</v>
      </c>
      <c r="CL808" s="16" t="s">
        <v>166</v>
      </c>
      <c r="CM808" s="20" t="s">
        <v>166</v>
      </c>
      <c r="CN808" s="16" t="s">
        <v>166</v>
      </c>
      <c r="CO808" s="16" t="s">
        <v>166</v>
      </c>
      <c r="CP808" s="16" t="s">
        <v>166</v>
      </c>
      <c r="CQ808" s="16" t="s">
        <v>166</v>
      </c>
      <c r="CR808" s="16" t="s">
        <v>166</v>
      </c>
      <c r="CS808" s="16" t="s">
        <v>166</v>
      </c>
      <c r="CT808" s="16" t="s">
        <v>166</v>
      </c>
      <c r="CU808" s="16" t="s">
        <v>166</v>
      </c>
      <c r="CV808" s="16" t="s">
        <v>166</v>
      </c>
      <c r="CW808" s="16" t="s">
        <v>166</v>
      </c>
      <c r="CX808" s="16" t="s">
        <v>166</v>
      </c>
      <c r="CY808" s="16" t="s">
        <v>166</v>
      </c>
      <c r="CZ808" s="16" t="s">
        <v>166</v>
      </c>
      <c r="DA808" s="16" t="s">
        <v>166</v>
      </c>
      <c r="DB808" s="16" t="s">
        <v>166</v>
      </c>
      <c r="DC808" s="16" t="s">
        <v>166</v>
      </c>
      <c r="DD808" s="16" t="s">
        <v>166</v>
      </c>
      <c r="DE808" s="17" t="s">
        <v>166</v>
      </c>
      <c r="DF808" s="22">
        <v>8</v>
      </c>
      <c r="DG808" s="14" t="s">
        <v>15437</v>
      </c>
      <c r="DH808" s="14" t="s">
        <v>193</v>
      </c>
      <c r="DI808" s="14" t="s">
        <v>194</v>
      </c>
      <c r="DJ808" s="14" t="s">
        <v>15438</v>
      </c>
      <c r="DK808" s="14" t="s">
        <v>257</v>
      </c>
      <c r="DL808" s="21" t="s">
        <v>15439</v>
      </c>
      <c r="DM808" s="14" t="s">
        <v>198</v>
      </c>
      <c r="DN808" s="13" t="s">
        <v>15440</v>
      </c>
      <c r="DO808" s="20">
        <v>2018</v>
      </c>
      <c r="DP808" s="14" t="s">
        <v>166</v>
      </c>
      <c r="DQ808" s="14" t="s">
        <v>166</v>
      </c>
      <c r="DR808" s="18" t="s">
        <v>166</v>
      </c>
      <c r="DS808" s="16" t="s">
        <v>166</v>
      </c>
      <c r="DT808" s="19" t="s">
        <v>166</v>
      </c>
      <c r="DU808" s="14" t="s">
        <v>166</v>
      </c>
      <c r="DV808" s="18" t="s">
        <v>166</v>
      </c>
      <c r="DW808" s="18" t="s">
        <v>166</v>
      </c>
      <c r="DX808" s="16" t="s">
        <v>166</v>
      </c>
      <c r="DY808" s="16" t="s">
        <v>166</v>
      </c>
      <c r="DZ808" s="17" t="s">
        <v>166</v>
      </c>
      <c r="EA808" s="16" t="s">
        <v>166</v>
      </c>
      <c r="EB808" s="16" t="s">
        <v>166</v>
      </c>
      <c r="EC808" s="16" t="s">
        <v>166</v>
      </c>
      <c r="ED808" s="17" t="s">
        <v>166</v>
      </c>
      <c r="EE808" s="17" t="s">
        <v>166</v>
      </c>
      <c r="EF808" s="17" t="s">
        <v>166</v>
      </c>
      <c r="EG808" s="17" t="s">
        <v>166</v>
      </c>
      <c r="EH808" s="16" t="s">
        <v>166</v>
      </c>
      <c r="EI808" s="16" t="s">
        <v>166</v>
      </c>
      <c r="EJ808" s="16" t="s">
        <v>166</v>
      </c>
      <c r="EK808" s="16" t="s">
        <v>166</v>
      </c>
      <c r="EL808" s="16" t="s">
        <v>166</v>
      </c>
      <c r="EM808" s="16" t="s">
        <v>166</v>
      </c>
      <c r="EN808" s="16" t="s">
        <v>166</v>
      </c>
      <c r="EO808" s="16" t="s">
        <v>166</v>
      </c>
      <c r="EP808" s="16" t="s">
        <v>166</v>
      </c>
      <c r="EQ808" s="16" t="s">
        <v>166</v>
      </c>
      <c r="ER808" s="16" t="s">
        <v>166</v>
      </c>
      <c r="ES808" s="16" t="s">
        <v>166</v>
      </c>
      <c r="ET808" s="14" t="s">
        <v>166</v>
      </c>
      <c r="EU808" s="16" t="s">
        <v>166</v>
      </c>
      <c r="EV808" s="16" t="s">
        <v>166</v>
      </c>
      <c r="EW808" s="16" t="s">
        <v>166</v>
      </c>
      <c r="EX808" s="14" t="s">
        <v>190</v>
      </c>
      <c r="EY808" s="14" t="s">
        <v>166</v>
      </c>
      <c r="EZ808" s="16" t="s">
        <v>166</v>
      </c>
      <c r="FA808" s="15" t="s">
        <v>166</v>
      </c>
      <c r="FB808" s="15" t="s">
        <v>166</v>
      </c>
      <c r="FC808" s="15" t="s">
        <v>166</v>
      </c>
      <c r="FD808" s="15" t="s">
        <v>166</v>
      </c>
      <c r="FE808" s="15" t="s">
        <v>166</v>
      </c>
      <c r="FF808" s="15" t="s">
        <v>166</v>
      </c>
      <c r="FG808" s="14" t="s">
        <v>166</v>
      </c>
      <c r="FH808" s="3">
        <f>HYPERLINK("https://my.pitchbook.com?c=124539-31T","View Company Online")</f>
      </c>
    </row>
    <row r="809">
      <c r="A809" s="25" t="s">
        <v>15441</v>
      </c>
      <c r="B809" s="25" t="s">
        <v>15442</v>
      </c>
      <c r="C809" s="25" t="s">
        <v>15443</v>
      </c>
      <c r="D809" s="25" t="s">
        <v>166</v>
      </c>
      <c r="E809" s="34" t="s">
        <v>15444</v>
      </c>
      <c r="F809" s="32">
        <v>3</v>
      </c>
      <c r="G809" s="25" t="s">
        <v>166</v>
      </c>
      <c r="H809" s="25" t="s">
        <v>166</v>
      </c>
      <c r="I809" s="25" t="s">
        <v>15445</v>
      </c>
      <c r="J809" s="25" t="s">
        <v>15446</v>
      </c>
      <c r="K809" s="25" t="s">
        <v>1455</v>
      </c>
      <c r="L809" s="25" t="s">
        <v>1984</v>
      </c>
      <c r="M809" s="25" t="s">
        <v>1985</v>
      </c>
      <c r="N809" s="25" t="s">
        <v>2661</v>
      </c>
      <c r="O809" s="25" t="s">
        <v>2742</v>
      </c>
      <c r="P809" s="25" t="s">
        <v>15447</v>
      </c>
      <c r="Q809" s="25" t="s">
        <v>166</v>
      </c>
      <c r="R809" s="25" t="s">
        <v>177</v>
      </c>
      <c r="S809" s="25" t="s">
        <v>178</v>
      </c>
      <c r="T809" s="25" t="s">
        <v>179</v>
      </c>
      <c r="U809" s="25" t="s">
        <v>15448</v>
      </c>
      <c r="V809" s="25" t="s">
        <v>15449</v>
      </c>
      <c r="W809" s="32" t="s">
        <v>166</v>
      </c>
      <c r="X809" s="25" t="s">
        <v>15450</v>
      </c>
      <c r="Y809" s="25" t="s">
        <v>15451</v>
      </c>
      <c r="Z809" s="25" t="s">
        <v>15452</v>
      </c>
      <c r="AA809" s="25" t="s">
        <v>242</v>
      </c>
      <c r="AB809" s="25" t="s">
        <v>243</v>
      </c>
      <c r="AC809" s="25" t="s">
        <v>244</v>
      </c>
      <c r="AD809" s="25" t="s">
        <v>243</v>
      </c>
      <c r="AE809" s="25" t="s">
        <v>243</v>
      </c>
      <c r="AF809" s="25" t="s">
        <v>245</v>
      </c>
      <c r="AG809" s="25" t="s">
        <v>246</v>
      </c>
      <c r="AH809" s="32">
        <v>2</v>
      </c>
      <c r="AI809" s="4">
        <f>HYPERLINK("https://my.pitchbook.com/?d=193644-28T","193644-28T")</f>
      </c>
      <c r="AJ809" s="30" t="s">
        <v>166</v>
      </c>
      <c r="AK809" s="30">
        <v>44475</v>
      </c>
      <c r="AL809" s="29">
        <v>2.5</v>
      </c>
      <c r="AM809" s="25" t="s">
        <v>247</v>
      </c>
      <c r="AN809" s="29">
        <v>10</v>
      </c>
      <c r="AO809" s="29">
        <v>12.5</v>
      </c>
      <c r="AP809" s="25" t="s">
        <v>185</v>
      </c>
      <c r="AQ809" s="32" t="s">
        <v>166</v>
      </c>
      <c r="AR809" s="32" t="s">
        <v>166</v>
      </c>
      <c r="AS809" s="28">
        <v>33.11</v>
      </c>
      <c r="AT809" s="29">
        <v>2.5</v>
      </c>
      <c r="AU809" s="32" t="s">
        <v>186</v>
      </c>
      <c r="AV809" s="32" t="s">
        <v>166</v>
      </c>
      <c r="AW809" s="29">
        <v>1.74</v>
      </c>
      <c r="AX809" s="32" t="s">
        <v>166</v>
      </c>
      <c r="AY809" s="25" t="s">
        <v>217</v>
      </c>
      <c r="AZ809" s="25" t="s">
        <v>217</v>
      </c>
      <c r="BA809" s="25" t="s">
        <v>166</v>
      </c>
      <c r="BB809" s="32" t="s">
        <v>166</v>
      </c>
      <c r="BC809" s="25" t="s">
        <v>2991</v>
      </c>
      <c r="BD809" s="25" t="s">
        <v>15453</v>
      </c>
      <c r="BE809" s="25" t="s">
        <v>189</v>
      </c>
      <c r="BF809" s="29">
        <v>2.5</v>
      </c>
      <c r="BG809" s="25" t="s">
        <v>190</v>
      </c>
      <c r="BH809" s="25" t="s">
        <v>166</v>
      </c>
      <c r="BI809" s="25" t="s">
        <v>166</v>
      </c>
      <c r="BJ809" s="29" t="s">
        <v>166</v>
      </c>
      <c r="BK809" s="29" t="s">
        <v>166</v>
      </c>
      <c r="BL809" s="25" t="s">
        <v>191</v>
      </c>
      <c r="BM809" s="25" t="s">
        <v>358</v>
      </c>
      <c r="BN809" s="25" t="s">
        <v>2727</v>
      </c>
      <c r="BO809" s="33" t="s">
        <v>166</v>
      </c>
      <c r="BP809" s="25" t="s">
        <v>15454</v>
      </c>
      <c r="BQ809" s="32">
        <v>3</v>
      </c>
      <c r="BR809" s="25" t="s">
        <v>166</v>
      </c>
      <c r="BS809" s="32" t="s">
        <v>166</v>
      </c>
      <c r="BT809" s="25" t="s">
        <v>166</v>
      </c>
      <c r="BU809" s="25" t="s">
        <v>166</v>
      </c>
      <c r="BV809" s="25" t="s">
        <v>166</v>
      </c>
      <c r="BW809" s="25" t="s">
        <v>166</v>
      </c>
      <c r="BX809" s="25" t="s">
        <v>166</v>
      </c>
      <c r="BY809" s="25" t="s">
        <v>166</v>
      </c>
      <c r="BZ809" s="25" t="s">
        <v>166</v>
      </c>
      <c r="CA809" s="25" t="s">
        <v>166</v>
      </c>
      <c r="CB809" s="25" t="s">
        <v>166</v>
      </c>
      <c r="CC809" s="25" t="s">
        <v>166</v>
      </c>
      <c r="CD809" s="25" t="s">
        <v>166</v>
      </c>
      <c r="CE809" s="29" t="s">
        <v>166</v>
      </c>
      <c r="CF809" s="27" t="s">
        <v>166</v>
      </c>
      <c r="CG809" s="28" t="s">
        <v>166</v>
      </c>
      <c r="CH809" s="27" t="s">
        <v>166</v>
      </c>
      <c r="CI809" s="27" t="s">
        <v>166</v>
      </c>
      <c r="CJ809" s="27" t="s">
        <v>166</v>
      </c>
      <c r="CK809" s="27" t="s">
        <v>166</v>
      </c>
      <c r="CL809" s="27" t="s">
        <v>166</v>
      </c>
      <c r="CM809" s="31" t="s">
        <v>166</v>
      </c>
      <c r="CN809" s="27" t="s">
        <v>166</v>
      </c>
      <c r="CO809" s="27" t="s">
        <v>166</v>
      </c>
      <c r="CP809" s="27" t="s">
        <v>166</v>
      </c>
      <c r="CQ809" s="27" t="s">
        <v>166</v>
      </c>
      <c r="CR809" s="27" t="s">
        <v>166</v>
      </c>
      <c r="CS809" s="27" t="s">
        <v>166</v>
      </c>
      <c r="CT809" s="27" t="s">
        <v>166</v>
      </c>
      <c r="CU809" s="27" t="s">
        <v>166</v>
      </c>
      <c r="CV809" s="27" t="s">
        <v>166</v>
      </c>
      <c r="CW809" s="27" t="s">
        <v>166</v>
      </c>
      <c r="CX809" s="27" t="s">
        <v>166</v>
      </c>
      <c r="CY809" s="27" t="s">
        <v>166</v>
      </c>
      <c r="CZ809" s="27" t="s">
        <v>166</v>
      </c>
      <c r="DA809" s="27" t="s">
        <v>166</v>
      </c>
      <c r="DB809" s="27" t="s">
        <v>166</v>
      </c>
      <c r="DC809" s="27" t="s">
        <v>166</v>
      </c>
      <c r="DD809" s="27" t="s">
        <v>166</v>
      </c>
      <c r="DE809" s="28" t="s">
        <v>166</v>
      </c>
      <c r="DF809" s="33">
        <v>32</v>
      </c>
      <c r="DG809" s="25" t="s">
        <v>568</v>
      </c>
      <c r="DH809" s="25" t="s">
        <v>193</v>
      </c>
      <c r="DI809" s="25" t="s">
        <v>194</v>
      </c>
      <c r="DJ809" s="25" t="s">
        <v>569</v>
      </c>
      <c r="DK809" s="25" t="s">
        <v>408</v>
      </c>
      <c r="DL809" s="32" t="s">
        <v>570</v>
      </c>
      <c r="DM809" s="25" t="s">
        <v>198</v>
      </c>
      <c r="DN809" s="24" t="s">
        <v>15455</v>
      </c>
      <c r="DO809" s="31">
        <v>2020</v>
      </c>
      <c r="DP809" s="25" t="s">
        <v>166</v>
      </c>
      <c r="DQ809" s="25" t="s">
        <v>166</v>
      </c>
      <c r="DR809" s="29" t="s">
        <v>166</v>
      </c>
      <c r="DS809" s="27" t="s">
        <v>166</v>
      </c>
      <c r="DT809" s="30" t="s">
        <v>166</v>
      </c>
      <c r="DU809" s="25" t="s">
        <v>166</v>
      </c>
      <c r="DV809" s="29" t="s">
        <v>166</v>
      </c>
      <c r="DW809" s="29" t="s">
        <v>166</v>
      </c>
      <c r="DX809" s="27" t="s">
        <v>166</v>
      </c>
      <c r="DY809" s="27" t="s">
        <v>166</v>
      </c>
      <c r="DZ809" s="28" t="s">
        <v>166</v>
      </c>
      <c r="EA809" s="27" t="s">
        <v>166</v>
      </c>
      <c r="EB809" s="27" t="s">
        <v>166</v>
      </c>
      <c r="EC809" s="27" t="s">
        <v>166</v>
      </c>
      <c r="ED809" s="28" t="s">
        <v>166</v>
      </c>
      <c r="EE809" s="28" t="s">
        <v>166</v>
      </c>
      <c r="EF809" s="28" t="s">
        <v>166</v>
      </c>
      <c r="EG809" s="28" t="s">
        <v>166</v>
      </c>
      <c r="EH809" s="27" t="s">
        <v>166</v>
      </c>
      <c r="EI809" s="27" t="s">
        <v>166</v>
      </c>
      <c r="EJ809" s="27" t="s">
        <v>166</v>
      </c>
      <c r="EK809" s="27" t="s">
        <v>166</v>
      </c>
      <c r="EL809" s="27" t="s">
        <v>166</v>
      </c>
      <c r="EM809" s="27" t="s">
        <v>166</v>
      </c>
      <c r="EN809" s="27" t="s">
        <v>166</v>
      </c>
      <c r="EO809" s="27" t="s">
        <v>166</v>
      </c>
      <c r="EP809" s="27" t="s">
        <v>166</v>
      </c>
      <c r="EQ809" s="27" t="s">
        <v>166</v>
      </c>
      <c r="ER809" s="27" t="s">
        <v>166</v>
      </c>
      <c r="ES809" s="27" t="s">
        <v>166</v>
      </c>
      <c r="ET809" s="25" t="s">
        <v>166</v>
      </c>
      <c r="EU809" s="27" t="s">
        <v>166</v>
      </c>
      <c r="EV809" s="27" t="s">
        <v>166</v>
      </c>
      <c r="EW809" s="27" t="s">
        <v>166</v>
      </c>
      <c r="EX809" s="25" t="s">
        <v>190</v>
      </c>
      <c r="EY809" s="25" t="s">
        <v>166</v>
      </c>
      <c r="EZ809" s="27" t="s">
        <v>166</v>
      </c>
      <c r="FA809" s="26">
        <v>19</v>
      </c>
      <c r="FB809" s="26">
        <v>6</v>
      </c>
      <c r="FC809" s="26">
        <v>15</v>
      </c>
      <c r="FD809" s="26">
        <v>4</v>
      </c>
      <c r="FE809" s="26" t="s">
        <v>166</v>
      </c>
      <c r="FF809" s="26" t="s">
        <v>166</v>
      </c>
      <c r="FG809" s="25" t="s">
        <v>15456</v>
      </c>
      <c r="FH809" s="4">
        <f>HYPERLINK("https://my.pitchbook.com?c=193644-28T","View Company Online")</f>
      </c>
    </row>
    <row r="810">
      <c r="A810" s="14" t="s">
        <v>15457</v>
      </c>
      <c r="B810" s="14" t="s">
        <v>15458</v>
      </c>
      <c r="C810" s="14" t="s">
        <v>15459</v>
      </c>
      <c r="D810" s="14" t="s">
        <v>166</v>
      </c>
      <c r="E810" s="23" t="s">
        <v>15460</v>
      </c>
      <c r="F810" s="21">
        <v>3</v>
      </c>
      <c r="G810" s="14" t="s">
        <v>15461</v>
      </c>
      <c r="H810" s="14" t="s">
        <v>166</v>
      </c>
      <c r="I810" s="14" t="s">
        <v>15462</v>
      </c>
      <c r="J810" s="14" t="s">
        <v>15463</v>
      </c>
      <c r="K810" s="14" t="s">
        <v>207</v>
      </c>
      <c r="L810" s="14" t="s">
        <v>208</v>
      </c>
      <c r="M810" s="14" t="s">
        <v>209</v>
      </c>
      <c r="N810" s="14" t="s">
        <v>684</v>
      </c>
      <c r="O810" s="14" t="s">
        <v>800</v>
      </c>
      <c r="P810" s="14" t="s">
        <v>15464</v>
      </c>
      <c r="Q810" s="14" t="s">
        <v>166</v>
      </c>
      <c r="R810" s="14" t="s">
        <v>177</v>
      </c>
      <c r="S810" s="14" t="s">
        <v>178</v>
      </c>
      <c r="T810" s="14" t="s">
        <v>179</v>
      </c>
      <c r="U810" s="14" t="s">
        <v>15465</v>
      </c>
      <c r="V810" s="14" t="s">
        <v>15466</v>
      </c>
      <c r="W810" s="21" t="s">
        <v>15467</v>
      </c>
      <c r="X810" s="14" t="s">
        <v>15468</v>
      </c>
      <c r="Y810" s="14" t="s">
        <v>15469</v>
      </c>
      <c r="Z810" s="14" t="s">
        <v>166</v>
      </c>
      <c r="AA810" s="14" t="s">
        <v>166</v>
      </c>
      <c r="AB810" s="14" t="s">
        <v>166</v>
      </c>
      <c r="AC810" s="14" t="s">
        <v>166</v>
      </c>
      <c r="AD810" s="14" t="s">
        <v>166</v>
      </c>
      <c r="AE810" s="14" t="s">
        <v>166</v>
      </c>
      <c r="AF810" s="14" t="s">
        <v>166</v>
      </c>
      <c r="AG810" s="14" t="s">
        <v>166</v>
      </c>
      <c r="AH810" s="21">
        <v>2</v>
      </c>
      <c r="AI810" s="3">
        <f>HYPERLINK("https://my.pitchbook.com/?d=228109-78T","228109-78T")</f>
      </c>
      <c r="AJ810" s="19" t="s">
        <v>166</v>
      </c>
      <c r="AK810" s="19">
        <v>45196</v>
      </c>
      <c r="AL810" s="18">
        <v>1.1</v>
      </c>
      <c r="AM810" s="14" t="s">
        <v>185</v>
      </c>
      <c r="AN810" s="18" t="s">
        <v>166</v>
      </c>
      <c r="AO810" s="18" t="s">
        <v>166</v>
      </c>
      <c r="AP810" s="14" t="s">
        <v>166</v>
      </c>
      <c r="AQ810" s="21" t="s">
        <v>166</v>
      </c>
      <c r="AR810" s="21" t="s">
        <v>166</v>
      </c>
      <c r="AS810" s="17" t="s">
        <v>166</v>
      </c>
      <c r="AT810" s="18">
        <v>1.22</v>
      </c>
      <c r="AU810" s="21" t="s">
        <v>186</v>
      </c>
      <c r="AV810" s="21" t="s">
        <v>166</v>
      </c>
      <c r="AW810" s="18" t="s">
        <v>166</v>
      </c>
      <c r="AX810" s="21" t="s">
        <v>166</v>
      </c>
      <c r="AY810" s="14" t="s">
        <v>187</v>
      </c>
      <c r="AZ810" s="14" t="s">
        <v>166</v>
      </c>
      <c r="BA810" s="14" t="s">
        <v>166</v>
      </c>
      <c r="BB810" s="21" t="s">
        <v>166</v>
      </c>
      <c r="BC810" s="14" t="s">
        <v>179</v>
      </c>
      <c r="BD810" s="14" t="s">
        <v>15463</v>
      </c>
      <c r="BE810" s="14" t="s">
        <v>189</v>
      </c>
      <c r="BF810" s="18">
        <v>1.1</v>
      </c>
      <c r="BG810" s="14" t="s">
        <v>190</v>
      </c>
      <c r="BH810" s="14" t="s">
        <v>166</v>
      </c>
      <c r="BI810" s="14" t="s">
        <v>166</v>
      </c>
      <c r="BJ810" s="18" t="s">
        <v>166</v>
      </c>
      <c r="BK810" s="18" t="s">
        <v>166</v>
      </c>
      <c r="BL810" s="14" t="s">
        <v>191</v>
      </c>
      <c r="BM810" s="14" t="s">
        <v>178</v>
      </c>
      <c r="BN810" s="14" t="s">
        <v>177</v>
      </c>
      <c r="BO810" s="22" t="s">
        <v>166</v>
      </c>
      <c r="BP810" s="14" t="s">
        <v>15470</v>
      </c>
      <c r="BQ810" s="21">
        <v>2</v>
      </c>
      <c r="BR810" s="14" t="s">
        <v>252</v>
      </c>
      <c r="BS810" s="21">
        <v>1</v>
      </c>
      <c r="BT810" s="14" t="s">
        <v>166</v>
      </c>
      <c r="BU810" s="14" t="s">
        <v>166</v>
      </c>
      <c r="BV810" s="14" t="s">
        <v>15471</v>
      </c>
      <c r="BW810" s="14" t="s">
        <v>166</v>
      </c>
      <c r="BX810" s="14" t="s">
        <v>166</v>
      </c>
      <c r="BY810" s="14" t="s">
        <v>166</v>
      </c>
      <c r="BZ810" s="14" t="s">
        <v>166</v>
      </c>
      <c r="CA810" s="14" t="s">
        <v>166</v>
      </c>
      <c r="CB810" s="14" t="s">
        <v>166</v>
      </c>
      <c r="CC810" s="14" t="s">
        <v>166</v>
      </c>
      <c r="CD810" s="14" t="s">
        <v>166</v>
      </c>
      <c r="CE810" s="18" t="s">
        <v>166</v>
      </c>
      <c r="CF810" s="16" t="s">
        <v>166</v>
      </c>
      <c r="CG810" s="17" t="s">
        <v>166</v>
      </c>
      <c r="CH810" s="16" t="s">
        <v>166</v>
      </c>
      <c r="CI810" s="16" t="s">
        <v>166</v>
      </c>
      <c r="CJ810" s="16" t="s">
        <v>166</v>
      </c>
      <c r="CK810" s="16" t="s">
        <v>166</v>
      </c>
      <c r="CL810" s="16" t="s">
        <v>166</v>
      </c>
      <c r="CM810" s="20" t="s">
        <v>166</v>
      </c>
      <c r="CN810" s="16" t="s">
        <v>166</v>
      </c>
      <c r="CO810" s="16" t="s">
        <v>166</v>
      </c>
      <c r="CP810" s="16" t="s">
        <v>166</v>
      </c>
      <c r="CQ810" s="16" t="s">
        <v>166</v>
      </c>
      <c r="CR810" s="16" t="s">
        <v>166</v>
      </c>
      <c r="CS810" s="16" t="s">
        <v>166</v>
      </c>
      <c r="CT810" s="16" t="s">
        <v>166</v>
      </c>
      <c r="CU810" s="16" t="s">
        <v>166</v>
      </c>
      <c r="CV810" s="16" t="s">
        <v>166</v>
      </c>
      <c r="CW810" s="16" t="s">
        <v>166</v>
      </c>
      <c r="CX810" s="16" t="s">
        <v>166</v>
      </c>
      <c r="CY810" s="16" t="s">
        <v>166</v>
      </c>
      <c r="CZ810" s="16" t="s">
        <v>166</v>
      </c>
      <c r="DA810" s="16" t="s">
        <v>166</v>
      </c>
      <c r="DB810" s="16" t="s">
        <v>166</v>
      </c>
      <c r="DC810" s="16" t="s">
        <v>166</v>
      </c>
      <c r="DD810" s="16" t="s">
        <v>166</v>
      </c>
      <c r="DE810" s="17" t="s">
        <v>166</v>
      </c>
      <c r="DF810" s="22">
        <v>10</v>
      </c>
      <c r="DG810" s="14" t="s">
        <v>309</v>
      </c>
      <c r="DH810" s="14" t="s">
        <v>193</v>
      </c>
      <c r="DI810" s="14" t="s">
        <v>194</v>
      </c>
      <c r="DJ810" s="14" t="s">
        <v>310</v>
      </c>
      <c r="DK810" s="14" t="s">
        <v>310</v>
      </c>
      <c r="DL810" s="21" t="s">
        <v>166</v>
      </c>
      <c r="DM810" s="14" t="s">
        <v>198</v>
      </c>
      <c r="DN810" s="13" t="s">
        <v>15472</v>
      </c>
      <c r="DO810" s="20">
        <v>2022</v>
      </c>
      <c r="DP810" s="14" t="s">
        <v>166</v>
      </c>
      <c r="DQ810" s="14" t="s">
        <v>4249</v>
      </c>
      <c r="DR810" s="18" t="s">
        <v>166</v>
      </c>
      <c r="DS810" s="16" t="s">
        <v>166</v>
      </c>
      <c r="DT810" s="19" t="s">
        <v>166</v>
      </c>
      <c r="DU810" s="14" t="s">
        <v>166</v>
      </c>
      <c r="DV810" s="18" t="s">
        <v>166</v>
      </c>
      <c r="DW810" s="18" t="s">
        <v>166</v>
      </c>
      <c r="DX810" s="16" t="s">
        <v>166</v>
      </c>
      <c r="DY810" s="16" t="s">
        <v>166</v>
      </c>
      <c r="DZ810" s="17" t="s">
        <v>166</v>
      </c>
      <c r="EA810" s="16" t="s">
        <v>166</v>
      </c>
      <c r="EB810" s="16" t="s">
        <v>166</v>
      </c>
      <c r="EC810" s="16" t="s">
        <v>166</v>
      </c>
      <c r="ED810" s="17" t="s">
        <v>166</v>
      </c>
      <c r="EE810" s="17" t="s">
        <v>166</v>
      </c>
      <c r="EF810" s="17" t="s">
        <v>166</v>
      </c>
      <c r="EG810" s="17" t="s">
        <v>166</v>
      </c>
      <c r="EH810" s="16" t="s">
        <v>166</v>
      </c>
      <c r="EI810" s="16" t="s">
        <v>166</v>
      </c>
      <c r="EJ810" s="16" t="s">
        <v>166</v>
      </c>
      <c r="EK810" s="16" t="s">
        <v>166</v>
      </c>
      <c r="EL810" s="16" t="s">
        <v>166</v>
      </c>
      <c r="EM810" s="16" t="s">
        <v>166</v>
      </c>
      <c r="EN810" s="16" t="s">
        <v>166</v>
      </c>
      <c r="EO810" s="16" t="s">
        <v>166</v>
      </c>
      <c r="EP810" s="16" t="s">
        <v>166</v>
      </c>
      <c r="EQ810" s="16" t="s">
        <v>166</v>
      </c>
      <c r="ER810" s="16" t="s">
        <v>166</v>
      </c>
      <c r="ES810" s="16" t="s">
        <v>166</v>
      </c>
      <c r="ET810" s="14" t="s">
        <v>166</v>
      </c>
      <c r="EU810" s="16" t="s">
        <v>166</v>
      </c>
      <c r="EV810" s="16" t="s">
        <v>166</v>
      </c>
      <c r="EW810" s="16" t="s">
        <v>166</v>
      </c>
      <c r="EX810" s="14" t="s">
        <v>190</v>
      </c>
      <c r="EY810" s="14" t="s">
        <v>190</v>
      </c>
      <c r="EZ810" s="16" t="s">
        <v>166</v>
      </c>
      <c r="FA810" s="15" t="s">
        <v>166</v>
      </c>
      <c r="FB810" s="15" t="s">
        <v>166</v>
      </c>
      <c r="FC810" s="15" t="s">
        <v>166</v>
      </c>
      <c r="FD810" s="15" t="s">
        <v>166</v>
      </c>
      <c r="FE810" s="15" t="s">
        <v>166</v>
      </c>
      <c r="FF810" s="15" t="s">
        <v>166</v>
      </c>
      <c r="FG810" s="14" t="s">
        <v>166</v>
      </c>
      <c r="FH810" s="3">
        <f>HYPERLINK("https://my.pitchbook.com?c=228109-78T","View Company Online")</f>
      </c>
    </row>
    <row r="811">
      <c r="A811" s="25" t="s">
        <v>15473</v>
      </c>
      <c r="B811" s="25" t="s">
        <v>15474</v>
      </c>
      <c r="C811" s="25" t="s">
        <v>15475</v>
      </c>
      <c r="D811" s="25" t="s">
        <v>166</v>
      </c>
      <c r="E811" s="34" t="s">
        <v>6368</v>
      </c>
      <c r="F811" s="32">
        <v>1</v>
      </c>
      <c r="G811" s="25" t="s">
        <v>15476</v>
      </c>
      <c r="H811" s="25" t="s">
        <v>166</v>
      </c>
      <c r="I811" s="25" t="s">
        <v>15477</v>
      </c>
      <c r="J811" s="25" t="s">
        <v>15478</v>
      </c>
      <c r="K811" s="25" t="s">
        <v>207</v>
      </c>
      <c r="L811" s="25" t="s">
        <v>208</v>
      </c>
      <c r="M811" s="25" t="s">
        <v>1220</v>
      </c>
      <c r="N811" s="25" t="s">
        <v>1379</v>
      </c>
      <c r="O811" s="25" t="s">
        <v>3837</v>
      </c>
      <c r="P811" s="25" t="s">
        <v>15479</v>
      </c>
      <c r="Q811" s="25" t="s">
        <v>166</v>
      </c>
      <c r="R811" s="25" t="s">
        <v>177</v>
      </c>
      <c r="S811" s="25" t="s">
        <v>178</v>
      </c>
      <c r="T811" s="25" t="s">
        <v>179</v>
      </c>
      <c r="U811" s="25" t="s">
        <v>15480</v>
      </c>
      <c r="V811" s="25" t="s">
        <v>15481</v>
      </c>
      <c r="W811" s="32" t="s">
        <v>166</v>
      </c>
      <c r="X811" s="25" t="s">
        <v>15482</v>
      </c>
      <c r="Y811" s="25" t="s">
        <v>15483</v>
      </c>
      <c r="Z811" s="25" t="s">
        <v>15484</v>
      </c>
      <c r="AA811" s="25" t="s">
        <v>242</v>
      </c>
      <c r="AB811" s="25" t="s">
        <v>243</v>
      </c>
      <c r="AC811" s="25" t="s">
        <v>244</v>
      </c>
      <c r="AD811" s="25" t="s">
        <v>243</v>
      </c>
      <c r="AE811" s="25" t="s">
        <v>243</v>
      </c>
      <c r="AF811" s="25" t="s">
        <v>245</v>
      </c>
      <c r="AG811" s="25" t="s">
        <v>246</v>
      </c>
      <c r="AH811" s="32">
        <v>1</v>
      </c>
      <c r="AI811" s="4">
        <f>HYPERLINK("https://my.pitchbook.com/?d=214338-70T","214338-70T")</f>
      </c>
      <c r="AJ811" s="30" t="s">
        <v>166</v>
      </c>
      <c r="AK811" s="30">
        <v>44684</v>
      </c>
      <c r="AL811" s="29">
        <v>2.5</v>
      </c>
      <c r="AM811" s="25" t="s">
        <v>185</v>
      </c>
      <c r="AN811" s="29">
        <v>9.5</v>
      </c>
      <c r="AO811" s="29">
        <v>12</v>
      </c>
      <c r="AP811" s="25" t="s">
        <v>185</v>
      </c>
      <c r="AQ811" s="32" t="s">
        <v>166</v>
      </c>
      <c r="AR811" s="32" t="s">
        <v>166</v>
      </c>
      <c r="AS811" s="28">
        <v>20.83</v>
      </c>
      <c r="AT811" s="29">
        <v>2.5</v>
      </c>
      <c r="AU811" s="32" t="s">
        <v>186</v>
      </c>
      <c r="AV811" s="32" t="s">
        <v>166</v>
      </c>
      <c r="AW811" s="29">
        <v>3.2</v>
      </c>
      <c r="AX811" s="32" t="s">
        <v>166</v>
      </c>
      <c r="AY811" s="25" t="s">
        <v>217</v>
      </c>
      <c r="AZ811" s="25" t="s">
        <v>217</v>
      </c>
      <c r="BA811" s="25" t="s">
        <v>166</v>
      </c>
      <c r="BB811" s="32" t="s">
        <v>166</v>
      </c>
      <c r="BC811" s="25" t="s">
        <v>179</v>
      </c>
      <c r="BD811" s="25" t="s">
        <v>15485</v>
      </c>
      <c r="BE811" s="25" t="s">
        <v>189</v>
      </c>
      <c r="BF811" s="29">
        <v>2.5</v>
      </c>
      <c r="BG811" s="25" t="s">
        <v>190</v>
      </c>
      <c r="BH811" s="25" t="s">
        <v>166</v>
      </c>
      <c r="BI811" s="25" t="s">
        <v>166</v>
      </c>
      <c r="BJ811" s="29" t="s">
        <v>166</v>
      </c>
      <c r="BK811" s="29" t="s">
        <v>166</v>
      </c>
      <c r="BL811" s="25" t="s">
        <v>191</v>
      </c>
      <c r="BM811" s="25" t="s">
        <v>358</v>
      </c>
      <c r="BN811" s="25" t="s">
        <v>177</v>
      </c>
      <c r="BO811" s="33" t="s">
        <v>166</v>
      </c>
      <c r="BP811" s="25" t="s">
        <v>6368</v>
      </c>
      <c r="BQ811" s="32">
        <v>1</v>
      </c>
      <c r="BR811" s="25" t="s">
        <v>166</v>
      </c>
      <c r="BS811" s="32" t="s">
        <v>166</v>
      </c>
      <c r="BT811" s="25" t="s">
        <v>166</v>
      </c>
      <c r="BU811" s="25" t="s">
        <v>166</v>
      </c>
      <c r="BV811" s="25" t="s">
        <v>166</v>
      </c>
      <c r="BW811" s="25" t="s">
        <v>166</v>
      </c>
      <c r="BX811" s="25" t="s">
        <v>166</v>
      </c>
      <c r="BY811" s="25" t="s">
        <v>166</v>
      </c>
      <c r="BZ811" s="25" t="s">
        <v>166</v>
      </c>
      <c r="CA811" s="25" t="s">
        <v>166</v>
      </c>
      <c r="CB811" s="25" t="s">
        <v>166</v>
      </c>
      <c r="CC811" s="25" t="s">
        <v>166</v>
      </c>
      <c r="CD811" s="25" t="s">
        <v>166</v>
      </c>
      <c r="CE811" s="29" t="s">
        <v>166</v>
      </c>
      <c r="CF811" s="27" t="s">
        <v>166</v>
      </c>
      <c r="CG811" s="28" t="s">
        <v>166</v>
      </c>
      <c r="CH811" s="27" t="s">
        <v>166</v>
      </c>
      <c r="CI811" s="27" t="s">
        <v>166</v>
      </c>
      <c r="CJ811" s="27" t="s">
        <v>166</v>
      </c>
      <c r="CK811" s="27" t="s">
        <v>166</v>
      </c>
      <c r="CL811" s="27" t="s">
        <v>166</v>
      </c>
      <c r="CM811" s="31" t="s">
        <v>166</v>
      </c>
      <c r="CN811" s="27" t="s">
        <v>166</v>
      </c>
      <c r="CO811" s="27" t="s">
        <v>166</v>
      </c>
      <c r="CP811" s="27" t="s">
        <v>166</v>
      </c>
      <c r="CQ811" s="27" t="s">
        <v>166</v>
      </c>
      <c r="CR811" s="27" t="s">
        <v>166</v>
      </c>
      <c r="CS811" s="27" t="s">
        <v>166</v>
      </c>
      <c r="CT811" s="27" t="s">
        <v>166</v>
      </c>
      <c r="CU811" s="27" t="s">
        <v>166</v>
      </c>
      <c r="CV811" s="27" t="s">
        <v>166</v>
      </c>
      <c r="CW811" s="27" t="s">
        <v>166</v>
      </c>
      <c r="CX811" s="27" t="s">
        <v>166</v>
      </c>
      <c r="CY811" s="27" t="s">
        <v>166</v>
      </c>
      <c r="CZ811" s="27" t="s">
        <v>166</v>
      </c>
      <c r="DA811" s="27" t="s">
        <v>166</v>
      </c>
      <c r="DB811" s="27" t="s">
        <v>166</v>
      </c>
      <c r="DC811" s="27" t="s">
        <v>166</v>
      </c>
      <c r="DD811" s="27" t="s">
        <v>166</v>
      </c>
      <c r="DE811" s="28" t="s">
        <v>166</v>
      </c>
      <c r="DF811" s="33">
        <v>51</v>
      </c>
      <c r="DG811" s="25" t="s">
        <v>4632</v>
      </c>
      <c r="DH811" s="25" t="s">
        <v>193</v>
      </c>
      <c r="DI811" s="25" t="s">
        <v>194</v>
      </c>
      <c r="DJ811" s="25" t="s">
        <v>4633</v>
      </c>
      <c r="DK811" s="25" t="s">
        <v>257</v>
      </c>
      <c r="DL811" s="32" t="s">
        <v>166</v>
      </c>
      <c r="DM811" s="25" t="s">
        <v>198</v>
      </c>
      <c r="DN811" s="24" t="s">
        <v>15486</v>
      </c>
      <c r="DO811" s="31">
        <v>2017</v>
      </c>
      <c r="DP811" s="25" t="s">
        <v>166</v>
      </c>
      <c r="DQ811" s="25" t="s">
        <v>166</v>
      </c>
      <c r="DR811" s="29" t="s">
        <v>166</v>
      </c>
      <c r="DS811" s="27" t="s">
        <v>166</v>
      </c>
      <c r="DT811" s="30" t="s">
        <v>166</v>
      </c>
      <c r="DU811" s="25" t="s">
        <v>166</v>
      </c>
      <c r="DV811" s="29" t="s">
        <v>166</v>
      </c>
      <c r="DW811" s="29" t="s">
        <v>166</v>
      </c>
      <c r="DX811" s="27" t="s">
        <v>166</v>
      </c>
      <c r="DY811" s="27" t="s">
        <v>166</v>
      </c>
      <c r="DZ811" s="28" t="s">
        <v>166</v>
      </c>
      <c r="EA811" s="27" t="s">
        <v>166</v>
      </c>
      <c r="EB811" s="27" t="s">
        <v>166</v>
      </c>
      <c r="EC811" s="27" t="s">
        <v>166</v>
      </c>
      <c r="ED811" s="28" t="s">
        <v>166</v>
      </c>
      <c r="EE811" s="28" t="s">
        <v>166</v>
      </c>
      <c r="EF811" s="28" t="s">
        <v>166</v>
      </c>
      <c r="EG811" s="28" t="s">
        <v>166</v>
      </c>
      <c r="EH811" s="27" t="s">
        <v>166</v>
      </c>
      <c r="EI811" s="27" t="s">
        <v>166</v>
      </c>
      <c r="EJ811" s="27" t="s">
        <v>166</v>
      </c>
      <c r="EK811" s="27" t="s">
        <v>166</v>
      </c>
      <c r="EL811" s="27" t="s">
        <v>166</v>
      </c>
      <c r="EM811" s="27" t="s">
        <v>166</v>
      </c>
      <c r="EN811" s="27" t="s">
        <v>166</v>
      </c>
      <c r="EO811" s="27" t="s">
        <v>166</v>
      </c>
      <c r="EP811" s="27" t="s">
        <v>166</v>
      </c>
      <c r="EQ811" s="27" t="s">
        <v>166</v>
      </c>
      <c r="ER811" s="27" t="s">
        <v>166</v>
      </c>
      <c r="ES811" s="27" t="s">
        <v>166</v>
      </c>
      <c r="ET811" s="25" t="s">
        <v>166</v>
      </c>
      <c r="EU811" s="27" t="s">
        <v>166</v>
      </c>
      <c r="EV811" s="27" t="s">
        <v>166</v>
      </c>
      <c r="EW811" s="27" t="s">
        <v>166</v>
      </c>
      <c r="EX811" s="25" t="s">
        <v>190</v>
      </c>
      <c r="EY811" s="25" t="s">
        <v>166</v>
      </c>
      <c r="EZ811" s="27" t="s">
        <v>166</v>
      </c>
      <c r="FA811" s="26">
        <v>6</v>
      </c>
      <c r="FB811" s="26">
        <v>6</v>
      </c>
      <c r="FC811" s="26" t="s">
        <v>166</v>
      </c>
      <c r="FD811" s="26" t="s">
        <v>166</v>
      </c>
      <c r="FE811" s="26" t="s">
        <v>166</v>
      </c>
      <c r="FF811" s="26">
        <v>6</v>
      </c>
      <c r="FG811" s="25" t="s">
        <v>166</v>
      </c>
      <c r="FH811" s="4">
        <f>HYPERLINK("https://my.pitchbook.com?c=214338-70T","View Company Online")</f>
      </c>
    </row>
    <row r="812">
      <c r="A812" s="14" t="s">
        <v>15487</v>
      </c>
      <c r="B812" s="14" t="s">
        <v>15488</v>
      </c>
      <c r="C812" s="14" t="s">
        <v>15489</v>
      </c>
      <c r="D812" s="14" t="s">
        <v>166</v>
      </c>
      <c r="E812" s="23" t="s">
        <v>15490</v>
      </c>
      <c r="F812" s="21">
        <v>9</v>
      </c>
      <c r="G812" s="14" t="s">
        <v>15491</v>
      </c>
      <c r="H812" s="14" t="s">
        <v>166</v>
      </c>
      <c r="I812" s="14" t="s">
        <v>15492</v>
      </c>
      <c r="J812" s="14" t="s">
        <v>15493</v>
      </c>
      <c r="K812" s="14" t="s">
        <v>321</v>
      </c>
      <c r="L812" s="14" t="s">
        <v>322</v>
      </c>
      <c r="M812" s="14" t="s">
        <v>322</v>
      </c>
      <c r="N812" s="14" t="s">
        <v>2410</v>
      </c>
      <c r="O812" s="14" t="s">
        <v>6856</v>
      </c>
      <c r="P812" s="14" t="s">
        <v>15494</v>
      </c>
      <c r="Q812" s="14" t="s">
        <v>166</v>
      </c>
      <c r="R812" s="14" t="s">
        <v>177</v>
      </c>
      <c r="S812" s="14" t="s">
        <v>178</v>
      </c>
      <c r="T812" s="14" t="s">
        <v>179</v>
      </c>
      <c r="U812" s="14" t="s">
        <v>15495</v>
      </c>
      <c r="V812" s="14" t="s">
        <v>15496</v>
      </c>
      <c r="W812" s="21" t="s">
        <v>166</v>
      </c>
      <c r="X812" s="14" t="s">
        <v>166</v>
      </c>
      <c r="Y812" s="14" t="s">
        <v>15497</v>
      </c>
      <c r="Z812" s="14" t="s">
        <v>15498</v>
      </c>
      <c r="AA812" s="14" t="s">
        <v>166</v>
      </c>
      <c r="AB812" s="14" t="s">
        <v>166</v>
      </c>
      <c r="AC812" s="14" t="s">
        <v>166</v>
      </c>
      <c r="AD812" s="14" t="s">
        <v>166</v>
      </c>
      <c r="AE812" s="14" t="s">
        <v>166</v>
      </c>
      <c r="AF812" s="14" t="s">
        <v>166</v>
      </c>
      <c r="AG812" s="14" t="s">
        <v>166</v>
      </c>
      <c r="AH812" s="21">
        <v>2</v>
      </c>
      <c r="AI812" s="3">
        <f>HYPERLINK("https://my.pitchbook.com/?d=188736-76T","188736-76T")</f>
      </c>
      <c r="AJ812" s="19" t="s">
        <v>166</v>
      </c>
      <c r="AK812" s="19">
        <v>44657</v>
      </c>
      <c r="AL812" s="18">
        <v>1.58</v>
      </c>
      <c r="AM812" s="14" t="s">
        <v>185</v>
      </c>
      <c r="AN812" s="18" t="s">
        <v>166</v>
      </c>
      <c r="AO812" s="18" t="s">
        <v>166</v>
      </c>
      <c r="AP812" s="14" t="s">
        <v>166</v>
      </c>
      <c r="AQ812" s="21" t="s">
        <v>166</v>
      </c>
      <c r="AR812" s="21" t="s">
        <v>166</v>
      </c>
      <c r="AS812" s="17" t="s">
        <v>166</v>
      </c>
      <c r="AT812" s="18">
        <v>1.6</v>
      </c>
      <c r="AU812" s="21" t="s">
        <v>186</v>
      </c>
      <c r="AV812" s="21" t="s">
        <v>166</v>
      </c>
      <c r="AW812" s="18" t="s">
        <v>166</v>
      </c>
      <c r="AX812" s="21" t="s">
        <v>166</v>
      </c>
      <c r="AY812" s="14" t="s">
        <v>217</v>
      </c>
      <c r="AZ812" s="14" t="s">
        <v>217</v>
      </c>
      <c r="BA812" s="14" t="s">
        <v>166</v>
      </c>
      <c r="BB812" s="21" t="s">
        <v>166</v>
      </c>
      <c r="BC812" s="14" t="s">
        <v>179</v>
      </c>
      <c r="BD812" s="14" t="s">
        <v>15499</v>
      </c>
      <c r="BE812" s="14" t="s">
        <v>189</v>
      </c>
      <c r="BF812" s="18">
        <v>1.58</v>
      </c>
      <c r="BG812" s="14" t="s">
        <v>190</v>
      </c>
      <c r="BH812" s="14" t="s">
        <v>166</v>
      </c>
      <c r="BI812" s="14" t="s">
        <v>166</v>
      </c>
      <c r="BJ812" s="18" t="s">
        <v>166</v>
      </c>
      <c r="BK812" s="18" t="s">
        <v>166</v>
      </c>
      <c r="BL812" s="14" t="s">
        <v>191</v>
      </c>
      <c r="BM812" s="14" t="s">
        <v>178</v>
      </c>
      <c r="BN812" s="14" t="s">
        <v>177</v>
      </c>
      <c r="BO812" s="22" t="s">
        <v>166</v>
      </c>
      <c r="BP812" s="14" t="s">
        <v>15500</v>
      </c>
      <c r="BQ812" s="21">
        <v>9</v>
      </c>
      <c r="BR812" s="14" t="s">
        <v>166</v>
      </c>
      <c r="BS812" s="21" t="s">
        <v>166</v>
      </c>
      <c r="BT812" s="14" t="s">
        <v>166</v>
      </c>
      <c r="BU812" s="14" t="s">
        <v>166</v>
      </c>
      <c r="BV812" s="14" t="s">
        <v>166</v>
      </c>
      <c r="BW812" s="14" t="s">
        <v>166</v>
      </c>
      <c r="BX812" s="14" t="s">
        <v>166</v>
      </c>
      <c r="BY812" s="14" t="s">
        <v>166</v>
      </c>
      <c r="BZ812" s="14" t="s">
        <v>166</v>
      </c>
      <c r="CA812" s="14" t="s">
        <v>166</v>
      </c>
      <c r="CB812" s="14" t="s">
        <v>166</v>
      </c>
      <c r="CC812" s="14" t="s">
        <v>166</v>
      </c>
      <c r="CD812" s="14" t="s">
        <v>166</v>
      </c>
      <c r="CE812" s="18" t="s">
        <v>166</v>
      </c>
      <c r="CF812" s="16" t="s">
        <v>166</v>
      </c>
      <c r="CG812" s="17" t="s">
        <v>166</v>
      </c>
      <c r="CH812" s="16" t="s">
        <v>166</v>
      </c>
      <c r="CI812" s="16" t="s">
        <v>166</v>
      </c>
      <c r="CJ812" s="16" t="s">
        <v>166</v>
      </c>
      <c r="CK812" s="16" t="s">
        <v>166</v>
      </c>
      <c r="CL812" s="16" t="s">
        <v>166</v>
      </c>
      <c r="CM812" s="20" t="s">
        <v>166</v>
      </c>
      <c r="CN812" s="16" t="s">
        <v>166</v>
      </c>
      <c r="CO812" s="16" t="s">
        <v>166</v>
      </c>
      <c r="CP812" s="16" t="s">
        <v>166</v>
      </c>
      <c r="CQ812" s="16" t="s">
        <v>166</v>
      </c>
      <c r="CR812" s="16" t="s">
        <v>166</v>
      </c>
      <c r="CS812" s="16" t="s">
        <v>166</v>
      </c>
      <c r="CT812" s="16" t="s">
        <v>166</v>
      </c>
      <c r="CU812" s="16" t="s">
        <v>166</v>
      </c>
      <c r="CV812" s="16" t="s">
        <v>166</v>
      </c>
      <c r="CW812" s="16" t="s">
        <v>166</v>
      </c>
      <c r="CX812" s="16" t="s">
        <v>166</v>
      </c>
      <c r="CY812" s="16" t="s">
        <v>166</v>
      </c>
      <c r="CZ812" s="16" t="s">
        <v>166</v>
      </c>
      <c r="DA812" s="16" t="s">
        <v>166</v>
      </c>
      <c r="DB812" s="16" t="s">
        <v>166</v>
      </c>
      <c r="DC812" s="16" t="s">
        <v>166</v>
      </c>
      <c r="DD812" s="16" t="s">
        <v>166</v>
      </c>
      <c r="DE812" s="17" t="s">
        <v>166</v>
      </c>
      <c r="DF812" s="22">
        <v>9</v>
      </c>
      <c r="DG812" s="14" t="s">
        <v>15501</v>
      </c>
      <c r="DH812" s="14" t="s">
        <v>193</v>
      </c>
      <c r="DI812" s="14" t="s">
        <v>194</v>
      </c>
      <c r="DJ812" s="14" t="s">
        <v>15502</v>
      </c>
      <c r="DK812" s="14" t="s">
        <v>257</v>
      </c>
      <c r="DL812" s="21" t="s">
        <v>15503</v>
      </c>
      <c r="DM812" s="14" t="s">
        <v>198</v>
      </c>
      <c r="DN812" s="13" t="s">
        <v>15504</v>
      </c>
      <c r="DO812" s="20">
        <v>2021</v>
      </c>
      <c r="DP812" s="14" t="s">
        <v>166</v>
      </c>
      <c r="DQ812" s="14" t="s">
        <v>166</v>
      </c>
      <c r="DR812" s="18" t="s">
        <v>166</v>
      </c>
      <c r="DS812" s="16" t="s">
        <v>166</v>
      </c>
      <c r="DT812" s="19" t="s">
        <v>166</v>
      </c>
      <c r="DU812" s="14" t="s">
        <v>166</v>
      </c>
      <c r="DV812" s="18" t="s">
        <v>166</v>
      </c>
      <c r="DW812" s="18" t="s">
        <v>166</v>
      </c>
      <c r="DX812" s="16" t="s">
        <v>166</v>
      </c>
      <c r="DY812" s="16" t="s">
        <v>166</v>
      </c>
      <c r="DZ812" s="17" t="s">
        <v>166</v>
      </c>
      <c r="EA812" s="16" t="s">
        <v>166</v>
      </c>
      <c r="EB812" s="16" t="s">
        <v>166</v>
      </c>
      <c r="EC812" s="16" t="s">
        <v>166</v>
      </c>
      <c r="ED812" s="17" t="s">
        <v>166</v>
      </c>
      <c r="EE812" s="17" t="s">
        <v>166</v>
      </c>
      <c r="EF812" s="17" t="s">
        <v>166</v>
      </c>
      <c r="EG812" s="17" t="s">
        <v>166</v>
      </c>
      <c r="EH812" s="16" t="s">
        <v>166</v>
      </c>
      <c r="EI812" s="16" t="s">
        <v>166</v>
      </c>
      <c r="EJ812" s="16" t="s">
        <v>166</v>
      </c>
      <c r="EK812" s="16" t="s">
        <v>166</v>
      </c>
      <c r="EL812" s="16" t="s">
        <v>166</v>
      </c>
      <c r="EM812" s="16" t="s">
        <v>166</v>
      </c>
      <c r="EN812" s="16" t="s">
        <v>166</v>
      </c>
      <c r="EO812" s="16" t="s">
        <v>166</v>
      </c>
      <c r="EP812" s="16" t="s">
        <v>166</v>
      </c>
      <c r="EQ812" s="16" t="s">
        <v>166</v>
      </c>
      <c r="ER812" s="16" t="s">
        <v>166</v>
      </c>
      <c r="ES812" s="16" t="s">
        <v>166</v>
      </c>
      <c r="ET812" s="14" t="s">
        <v>166</v>
      </c>
      <c r="EU812" s="16" t="s">
        <v>166</v>
      </c>
      <c r="EV812" s="16" t="s">
        <v>166</v>
      </c>
      <c r="EW812" s="16" t="s">
        <v>166</v>
      </c>
      <c r="EX812" s="14" t="s">
        <v>190</v>
      </c>
      <c r="EY812" s="14" t="s">
        <v>166</v>
      </c>
      <c r="EZ812" s="16" t="s">
        <v>166</v>
      </c>
      <c r="FA812" s="15" t="s">
        <v>166</v>
      </c>
      <c r="FB812" s="15" t="s">
        <v>166</v>
      </c>
      <c r="FC812" s="15" t="s">
        <v>166</v>
      </c>
      <c r="FD812" s="15" t="s">
        <v>166</v>
      </c>
      <c r="FE812" s="15" t="s">
        <v>166</v>
      </c>
      <c r="FF812" s="15" t="s">
        <v>166</v>
      </c>
      <c r="FG812" s="14" t="s">
        <v>166</v>
      </c>
      <c r="FH812" s="3">
        <f>HYPERLINK("https://my.pitchbook.com?c=188736-76T","View Company Online")</f>
      </c>
    </row>
    <row r="813">
      <c r="A813" s="25" t="s">
        <v>15505</v>
      </c>
      <c r="B813" s="25" t="s">
        <v>15506</v>
      </c>
      <c r="C813" s="25" t="s">
        <v>15507</v>
      </c>
      <c r="D813" s="25" t="s">
        <v>166</v>
      </c>
      <c r="E813" s="34" t="s">
        <v>15508</v>
      </c>
      <c r="F813" s="32">
        <v>1</v>
      </c>
      <c r="G813" s="25" t="s">
        <v>15509</v>
      </c>
      <c r="H813" s="25" t="s">
        <v>166</v>
      </c>
      <c r="I813" s="25" t="s">
        <v>15510</v>
      </c>
      <c r="J813" s="25" t="s">
        <v>15511</v>
      </c>
      <c r="K813" s="25" t="s">
        <v>207</v>
      </c>
      <c r="L813" s="25" t="s">
        <v>208</v>
      </c>
      <c r="M813" s="25" t="s">
        <v>639</v>
      </c>
      <c r="N813" s="25" t="s">
        <v>15512</v>
      </c>
      <c r="O813" s="25" t="s">
        <v>15513</v>
      </c>
      <c r="P813" s="25" t="s">
        <v>15514</v>
      </c>
      <c r="Q813" s="25" t="s">
        <v>166</v>
      </c>
      <c r="R813" s="25" t="s">
        <v>177</v>
      </c>
      <c r="S813" s="25" t="s">
        <v>178</v>
      </c>
      <c r="T813" s="25" t="s">
        <v>179</v>
      </c>
      <c r="U813" s="25" t="s">
        <v>15515</v>
      </c>
      <c r="V813" s="25" t="s">
        <v>15516</v>
      </c>
      <c r="W813" s="32" t="s">
        <v>6677</v>
      </c>
      <c r="X813" s="25" t="s">
        <v>15517</v>
      </c>
      <c r="Y813" s="25" t="s">
        <v>15518</v>
      </c>
      <c r="Z813" s="25" t="s">
        <v>15519</v>
      </c>
      <c r="AA813" s="25" t="s">
        <v>166</v>
      </c>
      <c r="AB813" s="25" t="s">
        <v>166</v>
      </c>
      <c r="AC813" s="25" t="s">
        <v>166</v>
      </c>
      <c r="AD813" s="25" t="s">
        <v>166</v>
      </c>
      <c r="AE813" s="25" t="s">
        <v>166</v>
      </c>
      <c r="AF813" s="25" t="s">
        <v>166</v>
      </c>
      <c r="AG813" s="25" t="s">
        <v>166</v>
      </c>
      <c r="AH813" s="32">
        <v>1</v>
      </c>
      <c r="AI813" s="4">
        <f>HYPERLINK("https://my.pitchbook.com/?d=219358-36T","219358-36T")</f>
      </c>
      <c r="AJ813" s="30" t="s">
        <v>166</v>
      </c>
      <c r="AK813" s="30">
        <v>44081</v>
      </c>
      <c r="AL813" s="29">
        <v>0.03</v>
      </c>
      <c r="AM813" s="25" t="s">
        <v>185</v>
      </c>
      <c r="AN813" s="29">
        <v>1.47</v>
      </c>
      <c r="AO813" s="29">
        <v>1.5</v>
      </c>
      <c r="AP813" s="25" t="s">
        <v>185</v>
      </c>
      <c r="AQ813" s="32" t="s">
        <v>166</v>
      </c>
      <c r="AR813" s="32" t="s">
        <v>166</v>
      </c>
      <c r="AS813" s="28">
        <v>5</v>
      </c>
      <c r="AT813" s="29">
        <v>0.03</v>
      </c>
      <c r="AU813" s="32" t="s">
        <v>186</v>
      </c>
      <c r="AV813" s="32" t="s">
        <v>166</v>
      </c>
      <c r="AW813" s="29">
        <v>0.25</v>
      </c>
      <c r="AX813" s="32" t="s">
        <v>166</v>
      </c>
      <c r="AY813" s="25" t="s">
        <v>217</v>
      </c>
      <c r="AZ813" s="25" t="s">
        <v>217</v>
      </c>
      <c r="BA813" s="25" t="s">
        <v>166</v>
      </c>
      <c r="BB813" s="32" t="s">
        <v>166</v>
      </c>
      <c r="BC813" s="25" t="s">
        <v>179</v>
      </c>
      <c r="BD813" s="25" t="s">
        <v>15520</v>
      </c>
      <c r="BE813" s="25" t="s">
        <v>189</v>
      </c>
      <c r="BF813" s="29">
        <v>0.03</v>
      </c>
      <c r="BG813" s="25" t="s">
        <v>190</v>
      </c>
      <c r="BH813" s="25" t="s">
        <v>166</v>
      </c>
      <c r="BI813" s="25" t="s">
        <v>166</v>
      </c>
      <c r="BJ813" s="29" t="s">
        <v>166</v>
      </c>
      <c r="BK813" s="29" t="s">
        <v>166</v>
      </c>
      <c r="BL813" s="25" t="s">
        <v>191</v>
      </c>
      <c r="BM813" s="25" t="s">
        <v>178</v>
      </c>
      <c r="BN813" s="25" t="s">
        <v>177</v>
      </c>
      <c r="BO813" s="33" t="s">
        <v>166</v>
      </c>
      <c r="BP813" s="25" t="s">
        <v>15508</v>
      </c>
      <c r="BQ813" s="32">
        <v>1</v>
      </c>
      <c r="BR813" s="25" t="s">
        <v>166</v>
      </c>
      <c r="BS813" s="32" t="s">
        <v>166</v>
      </c>
      <c r="BT813" s="25" t="s">
        <v>166</v>
      </c>
      <c r="BU813" s="25" t="s">
        <v>166</v>
      </c>
      <c r="BV813" s="25" t="s">
        <v>166</v>
      </c>
      <c r="BW813" s="25" t="s">
        <v>166</v>
      </c>
      <c r="BX813" s="25" t="s">
        <v>166</v>
      </c>
      <c r="BY813" s="25" t="s">
        <v>166</v>
      </c>
      <c r="BZ813" s="25" t="s">
        <v>166</v>
      </c>
      <c r="CA813" s="25" t="s">
        <v>166</v>
      </c>
      <c r="CB813" s="25" t="s">
        <v>166</v>
      </c>
      <c r="CC813" s="25" t="s">
        <v>166</v>
      </c>
      <c r="CD813" s="25" t="s">
        <v>166</v>
      </c>
      <c r="CE813" s="29" t="s">
        <v>166</v>
      </c>
      <c r="CF813" s="27" t="s">
        <v>166</v>
      </c>
      <c r="CG813" s="28" t="s">
        <v>166</v>
      </c>
      <c r="CH813" s="27" t="s">
        <v>166</v>
      </c>
      <c r="CI813" s="27" t="s">
        <v>166</v>
      </c>
      <c r="CJ813" s="27" t="s">
        <v>166</v>
      </c>
      <c r="CK813" s="27" t="s">
        <v>166</v>
      </c>
      <c r="CL813" s="27" t="s">
        <v>166</v>
      </c>
      <c r="CM813" s="31" t="s">
        <v>166</v>
      </c>
      <c r="CN813" s="27" t="s">
        <v>166</v>
      </c>
      <c r="CO813" s="27" t="s">
        <v>166</v>
      </c>
      <c r="CP813" s="27" t="s">
        <v>166</v>
      </c>
      <c r="CQ813" s="27" t="s">
        <v>166</v>
      </c>
      <c r="CR813" s="27" t="s">
        <v>166</v>
      </c>
      <c r="CS813" s="27" t="s">
        <v>166</v>
      </c>
      <c r="CT813" s="27" t="s">
        <v>166</v>
      </c>
      <c r="CU813" s="27" t="s">
        <v>166</v>
      </c>
      <c r="CV813" s="27" t="s">
        <v>166</v>
      </c>
      <c r="CW813" s="27" t="s">
        <v>166</v>
      </c>
      <c r="CX813" s="27" t="s">
        <v>166</v>
      </c>
      <c r="CY813" s="27" t="s">
        <v>166</v>
      </c>
      <c r="CZ813" s="27" t="s">
        <v>166</v>
      </c>
      <c r="DA813" s="27" t="s">
        <v>166</v>
      </c>
      <c r="DB813" s="27" t="s">
        <v>166</v>
      </c>
      <c r="DC813" s="27" t="s">
        <v>166</v>
      </c>
      <c r="DD813" s="27" t="s">
        <v>166</v>
      </c>
      <c r="DE813" s="28" t="s">
        <v>166</v>
      </c>
      <c r="DF813" s="33">
        <v>10</v>
      </c>
      <c r="DG813" s="25" t="s">
        <v>6825</v>
      </c>
      <c r="DH813" s="25" t="s">
        <v>193</v>
      </c>
      <c r="DI813" s="25" t="s">
        <v>194</v>
      </c>
      <c r="DJ813" s="25" t="s">
        <v>6826</v>
      </c>
      <c r="DK813" s="25" t="s">
        <v>1888</v>
      </c>
      <c r="DL813" s="32" t="s">
        <v>6827</v>
      </c>
      <c r="DM813" s="25" t="s">
        <v>198</v>
      </c>
      <c r="DN813" s="24" t="s">
        <v>15521</v>
      </c>
      <c r="DO813" s="31">
        <v>2019</v>
      </c>
      <c r="DP813" s="25" t="s">
        <v>166</v>
      </c>
      <c r="DQ813" s="25" t="s">
        <v>166</v>
      </c>
      <c r="DR813" s="29" t="s">
        <v>166</v>
      </c>
      <c r="DS813" s="27" t="s">
        <v>166</v>
      </c>
      <c r="DT813" s="30" t="s">
        <v>166</v>
      </c>
      <c r="DU813" s="25" t="s">
        <v>166</v>
      </c>
      <c r="DV813" s="29" t="s">
        <v>166</v>
      </c>
      <c r="DW813" s="29" t="s">
        <v>166</v>
      </c>
      <c r="DX813" s="27" t="s">
        <v>166</v>
      </c>
      <c r="DY813" s="27" t="s">
        <v>166</v>
      </c>
      <c r="DZ813" s="28" t="s">
        <v>166</v>
      </c>
      <c r="EA813" s="27" t="s">
        <v>166</v>
      </c>
      <c r="EB813" s="27" t="s">
        <v>166</v>
      </c>
      <c r="EC813" s="27" t="s">
        <v>166</v>
      </c>
      <c r="ED813" s="28" t="s">
        <v>166</v>
      </c>
      <c r="EE813" s="28" t="s">
        <v>166</v>
      </c>
      <c r="EF813" s="28" t="s">
        <v>166</v>
      </c>
      <c r="EG813" s="28" t="s">
        <v>166</v>
      </c>
      <c r="EH813" s="27" t="s">
        <v>166</v>
      </c>
      <c r="EI813" s="27" t="s">
        <v>166</v>
      </c>
      <c r="EJ813" s="27" t="s">
        <v>166</v>
      </c>
      <c r="EK813" s="27" t="s">
        <v>166</v>
      </c>
      <c r="EL813" s="27" t="s">
        <v>166</v>
      </c>
      <c r="EM813" s="27" t="s">
        <v>166</v>
      </c>
      <c r="EN813" s="27" t="s">
        <v>166</v>
      </c>
      <c r="EO813" s="27" t="s">
        <v>166</v>
      </c>
      <c r="EP813" s="27" t="s">
        <v>166</v>
      </c>
      <c r="EQ813" s="27" t="s">
        <v>166</v>
      </c>
      <c r="ER813" s="27" t="s">
        <v>166</v>
      </c>
      <c r="ES813" s="27" t="s">
        <v>166</v>
      </c>
      <c r="ET813" s="25" t="s">
        <v>166</v>
      </c>
      <c r="EU813" s="27" t="s">
        <v>166</v>
      </c>
      <c r="EV813" s="27" t="s">
        <v>166</v>
      </c>
      <c r="EW813" s="27" t="s">
        <v>166</v>
      </c>
      <c r="EX813" s="25" t="s">
        <v>190</v>
      </c>
      <c r="EY813" s="25" t="s">
        <v>166</v>
      </c>
      <c r="EZ813" s="27" t="s">
        <v>166</v>
      </c>
      <c r="FA813" s="26" t="s">
        <v>166</v>
      </c>
      <c r="FB813" s="26" t="s">
        <v>166</v>
      </c>
      <c r="FC813" s="26" t="s">
        <v>166</v>
      </c>
      <c r="FD813" s="26" t="s">
        <v>166</v>
      </c>
      <c r="FE813" s="26" t="s">
        <v>166</v>
      </c>
      <c r="FF813" s="26" t="s">
        <v>166</v>
      </c>
      <c r="FG813" s="25" t="s">
        <v>166</v>
      </c>
      <c r="FH813" s="4">
        <f>HYPERLINK("https://my.pitchbook.com?c=219358-36T","View Company Online")</f>
      </c>
    </row>
    <row r="814">
      <c r="A814" s="14" t="s">
        <v>15522</v>
      </c>
      <c r="B814" s="14" t="s">
        <v>15523</v>
      </c>
      <c r="C814" s="14" t="s">
        <v>15524</v>
      </c>
      <c r="D814" s="14" t="s">
        <v>166</v>
      </c>
      <c r="E814" s="23" t="s">
        <v>15525</v>
      </c>
      <c r="F814" s="21">
        <v>14</v>
      </c>
      <c r="G814" s="14" t="s">
        <v>15526</v>
      </c>
      <c r="H814" s="14" t="s">
        <v>166</v>
      </c>
      <c r="I814" s="14" t="s">
        <v>15527</v>
      </c>
      <c r="J814" s="14" t="s">
        <v>15528</v>
      </c>
      <c r="K814" s="14" t="s">
        <v>207</v>
      </c>
      <c r="L814" s="14" t="s">
        <v>208</v>
      </c>
      <c r="M814" s="14" t="s">
        <v>965</v>
      </c>
      <c r="N814" s="14" t="s">
        <v>3168</v>
      </c>
      <c r="O814" s="14" t="s">
        <v>3693</v>
      </c>
      <c r="P814" s="14" t="s">
        <v>15529</v>
      </c>
      <c r="Q814" s="14" t="s">
        <v>166</v>
      </c>
      <c r="R814" s="14" t="s">
        <v>177</v>
      </c>
      <c r="S814" s="14" t="s">
        <v>178</v>
      </c>
      <c r="T814" s="14" t="s">
        <v>179</v>
      </c>
      <c r="U814" s="14" t="s">
        <v>15530</v>
      </c>
      <c r="V814" s="14" t="s">
        <v>15531</v>
      </c>
      <c r="W814" s="21" t="s">
        <v>166</v>
      </c>
      <c r="X814" s="14" t="s">
        <v>15532</v>
      </c>
      <c r="Y814" s="14" t="s">
        <v>15533</v>
      </c>
      <c r="Z814" s="14" t="s">
        <v>15534</v>
      </c>
      <c r="AA814" s="14" t="s">
        <v>166</v>
      </c>
      <c r="AB814" s="14" t="s">
        <v>166</v>
      </c>
      <c r="AC814" s="14" t="s">
        <v>166</v>
      </c>
      <c r="AD814" s="14" t="s">
        <v>166</v>
      </c>
      <c r="AE814" s="14" t="s">
        <v>166</v>
      </c>
      <c r="AF814" s="14" t="s">
        <v>166</v>
      </c>
      <c r="AG814" s="14" t="s">
        <v>166</v>
      </c>
      <c r="AH814" s="21">
        <v>2</v>
      </c>
      <c r="AI814" s="3">
        <f>HYPERLINK("https://my.pitchbook.com/?d=168539-14T","168539-14T")</f>
      </c>
      <c r="AJ814" s="19" t="s">
        <v>166</v>
      </c>
      <c r="AK814" s="19">
        <v>44259</v>
      </c>
      <c r="AL814" s="18">
        <v>1.3</v>
      </c>
      <c r="AM814" s="14" t="s">
        <v>185</v>
      </c>
      <c r="AN814" s="18" t="s">
        <v>166</v>
      </c>
      <c r="AO814" s="18" t="s">
        <v>166</v>
      </c>
      <c r="AP814" s="14" t="s">
        <v>166</v>
      </c>
      <c r="AQ814" s="21" t="s">
        <v>166</v>
      </c>
      <c r="AR814" s="21" t="s">
        <v>166</v>
      </c>
      <c r="AS814" s="17" t="s">
        <v>166</v>
      </c>
      <c r="AT814" s="18">
        <v>1.5</v>
      </c>
      <c r="AU814" s="21" t="s">
        <v>186</v>
      </c>
      <c r="AV814" s="21" t="s">
        <v>166</v>
      </c>
      <c r="AW814" s="18" t="s">
        <v>166</v>
      </c>
      <c r="AX814" s="21" t="s">
        <v>166</v>
      </c>
      <c r="AY814" s="14" t="s">
        <v>217</v>
      </c>
      <c r="AZ814" s="14" t="s">
        <v>217</v>
      </c>
      <c r="BA814" s="14" t="s">
        <v>166</v>
      </c>
      <c r="BB814" s="21" t="s">
        <v>166</v>
      </c>
      <c r="BC814" s="14" t="s">
        <v>179</v>
      </c>
      <c r="BD814" s="14" t="s">
        <v>15535</v>
      </c>
      <c r="BE814" s="14" t="s">
        <v>189</v>
      </c>
      <c r="BF814" s="18">
        <v>1.3</v>
      </c>
      <c r="BG814" s="14" t="s">
        <v>190</v>
      </c>
      <c r="BH814" s="14" t="s">
        <v>166</v>
      </c>
      <c r="BI814" s="14" t="s">
        <v>166</v>
      </c>
      <c r="BJ814" s="18" t="s">
        <v>166</v>
      </c>
      <c r="BK814" s="18" t="s">
        <v>166</v>
      </c>
      <c r="BL814" s="14" t="s">
        <v>191</v>
      </c>
      <c r="BM814" s="14" t="s">
        <v>178</v>
      </c>
      <c r="BN814" s="14" t="s">
        <v>177</v>
      </c>
      <c r="BO814" s="22">
        <v>4</v>
      </c>
      <c r="BP814" s="14" t="s">
        <v>15536</v>
      </c>
      <c r="BQ814" s="21">
        <v>14</v>
      </c>
      <c r="BR814" s="14" t="s">
        <v>166</v>
      </c>
      <c r="BS814" s="21" t="s">
        <v>166</v>
      </c>
      <c r="BT814" s="14" t="s">
        <v>15537</v>
      </c>
      <c r="BU814" s="14" t="s">
        <v>166</v>
      </c>
      <c r="BV814" s="14" t="s">
        <v>15538</v>
      </c>
      <c r="BW814" s="14" t="s">
        <v>166</v>
      </c>
      <c r="BX814" s="14" t="s">
        <v>166</v>
      </c>
      <c r="BY814" s="14" t="s">
        <v>166</v>
      </c>
      <c r="BZ814" s="14" t="s">
        <v>166</v>
      </c>
      <c r="CA814" s="14" t="s">
        <v>166</v>
      </c>
      <c r="CB814" s="14" t="s">
        <v>166</v>
      </c>
      <c r="CC814" s="14" t="s">
        <v>166</v>
      </c>
      <c r="CD814" s="14" t="s">
        <v>166</v>
      </c>
      <c r="CE814" s="18" t="s">
        <v>166</v>
      </c>
      <c r="CF814" s="16" t="s">
        <v>166</v>
      </c>
      <c r="CG814" s="17" t="s">
        <v>166</v>
      </c>
      <c r="CH814" s="16" t="s">
        <v>166</v>
      </c>
      <c r="CI814" s="16" t="s">
        <v>166</v>
      </c>
      <c r="CJ814" s="16" t="s">
        <v>166</v>
      </c>
      <c r="CK814" s="16" t="s">
        <v>166</v>
      </c>
      <c r="CL814" s="16" t="s">
        <v>166</v>
      </c>
      <c r="CM814" s="20" t="s">
        <v>166</v>
      </c>
      <c r="CN814" s="16" t="s">
        <v>166</v>
      </c>
      <c r="CO814" s="16" t="s">
        <v>166</v>
      </c>
      <c r="CP814" s="16" t="s">
        <v>166</v>
      </c>
      <c r="CQ814" s="16" t="s">
        <v>166</v>
      </c>
      <c r="CR814" s="16" t="s">
        <v>166</v>
      </c>
      <c r="CS814" s="16" t="s">
        <v>166</v>
      </c>
      <c r="CT814" s="16" t="s">
        <v>166</v>
      </c>
      <c r="CU814" s="16" t="s">
        <v>166</v>
      </c>
      <c r="CV814" s="16" t="s">
        <v>166</v>
      </c>
      <c r="CW814" s="16" t="s">
        <v>166</v>
      </c>
      <c r="CX814" s="16" t="s">
        <v>166</v>
      </c>
      <c r="CY814" s="16" t="s">
        <v>166</v>
      </c>
      <c r="CZ814" s="16" t="s">
        <v>166</v>
      </c>
      <c r="DA814" s="16" t="s">
        <v>166</v>
      </c>
      <c r="DB814" s="16" t="s">
        <v>166</v>
      </c>
      <c r="DC814" s="16" t="s">
        <v>166</v>
      </c>
      <c r="DD814" s="16" t="s">
        <v>166</v>
      </c>
      <c r="DE814" s="17" t="s">
        <v>166</v>
      </c>
      <c r="DF814" s="22">
        <v>9</v>
      </c>
      <c r="DG814" s="14" t="s">
        <v>384</v>
      </c>
      <c r="DH814" s="14" t="s">
        <v>193</v>
      </c>
      <c r="DI814" s="14" t="s">
        <v>194</v>
      </c>
      <c r="DJ814" s="14" t="s">
        <v>385</v>
      </c>
      <c r="DK814" s="14" t="s">
        <v>386</v>
      </c>
      <c r="DL814" s="21" t="s">
        <v>15539</v>
      </c>
      <c r="DM814" s="14" t="s">
        <v>198</v>
      </c>
      <c r="DN814" s="13" t="s">
        <v>15540</v>
      </c>
      <c r="DO814" s="20">
        <v>2019</v>
      </c>
      <c r="DP814" s="14" t="s">
        <v>166</v>
      </c>
      <c r="DQ814" s="14" t="s">
        <v>166</v>
      </c>
      <c r="DR814" s="18" t="s">
        <v>166</v>
      </c>
      <c r="DS814" s="16" t="s">
        <v>166</v>
      </c>
      <c r="DT814" s="19" t="s">
        <v>166</v>
      </c>
      <c r="DU814" s="14" t="s">
        <v>166</v>
      </c>
      <c r="DV814" s="18" t="s">
        <v>166</v>
      </c>
      <c r="DW814" s="18" t="s">
        <v>166</v>
      </c>
      <c r="DX814" s="16" t="s">
        <v>166</v>
      </c>
      <c r="DY814" s="16" t="s">
        <v>166</v>
      </c>
      <c r="DZ814" s="17" t="s">
        <v>166</v>
      </c>
      <c r="EA814" s="16" t="s">
        <v>166</v>
      </c>
      <c r="EB814" s="16" t="s">
        <v>166</v>
      </c>
      <c r="EC814" s="16" t="s">
        <v>166</v>
      </c>
      <c r="ED814" s="17" t="s">
        <v>166</v>
      </c>
      <c r="EE814" s="17" t="s">
        <v>166</v>
      </c>
      <c r="EF814" s="17" t="s">
        <v>166</v>
      </c>
      <c r="EG814" s="17" t="s">
        <v>166</v>
      </c>
      <c r="EH814" s="16" t="s">
        <v>166</v>
      </c>
      <c r="EI814" s="16" t="s">
        <v>166</v>
      </c>
      <c r="EJ814" s="16" t="s">
        <v>166</v>
      </c>
      <c r="EK814" s="16" t="s">
        <v>166</v>
      </c>
      <c r="EL814" s="16" t="s">
        <v>166</v>
      </c>
      <c r="EM814" s="16" t="s">
        <v>166</v>
      </c>
      <c r="EN814" s="16" t="s">
        <v>166</v>
      </c>
      <c r="EO814" s="16" t="s">
        <v>166</v>
      </c>
      <c r="EP814" s="16" t="s">
        <v>166</v>
      </c>
      <c r="EQ814" s="16" t="s">
        <v>166</v>
      </c>
      <c r="ER814" s="16" t="s">
        <v>166</v>
      </c>
      <c r="ES814" s="16" t="s">
        <v>166</v>
      </c>
      <c r="ET814" s="14" t="s">
        <v>166</v>
      </c>
      <c r="EU814" s="16" t="s">
        <v>166</v>
      </c>
      <c r="EV814" s="16" t="s">
        <v>166</v>
      </c>
      <c r="EW814" s="16" t="s">
        <v>166</v>
      </c>
      <c r="EX814" s="14" t="s">
        <v>190</v>
      </c>
      <c r="EY814" s="14" t="s">
        <v>166</v>
      </c>
      <c r="EZ814" s="16" t="s">
        <v>166</v>
      </c>
      <c r="FA814" s="15" t="s">
        <v>166</v>
      </c>
      <c r="FB814" s="15" t="s">
        <v>166</v>
      </c>
      <c r="FC814" s="15" t="s">
        <v>166</v>
      </c>
      <c r="FD814" s="15" t="s">
        <v>166</v>
      </c>
      <c r="FE814" s="15" t="s">
        <v>166</v>
      </c>
      <c r="FF814" s="15" t="s">
        <v>166</v>
      </c>
      <c r="FG814" s="14" t="s">
        <v>166</v>
      </c>
      <c r="FH814" s="3">
        <f>HYPERLINK("https://my.pitchbook.com?c=168539-14T","View Company Online")</f>
      </c>
    </row>
    <row r="815">
      <c r="A815" s="25" t="s">
        <v>15541</v>
      </c>
      <c r="B815" s="25" t="s">
        <v>15542</v>
      </c>
      <c r="C815" s="25" t="s">
        <v>15543</v>
      </c>
      <c r="D815" s="25" t="s">
        <v>166</v>
      </c>
      <c r="E815" s="34" t="s">
        <v>15544</v>
      </c>
      <c r="F815" s="32">
        <v>4</v>
      </c>
      <c r="G815" s="25" t="s">
        <v>15545</v>
      </c>
      <c r="H815" s="25" t="s">
        <v>166</v>
      </c>
      <c r="I815" s="25" t="s">
        <v>15546</v>
      </c>
      <c r="J815" s="25" t="s">
        <v>15547</v>
      </c>
      <c r="K815" s="25" t="s">
        <v>1455</v>
      </c>
      <c r="L815" s="25" t="s">
        <v>1456</v>
      </c>
      <c r="M815" s="25" t="s">
        <v>2760</v>
      </c>
      <c r="N815" s="25" t="s">
        <v>15548</v>
      </c>
      <c r="O815" s="25" t="s">
        <v>166</v>
      </c>
      <c r="P815" s="25" t="s">
        <v>15549</v>
      </c>
      <c r="Q815" s="25" t="s">
        <v>166</v>
      </c>
      <c r="R815" s="25" t="s">
        <v>177</v>
      </c>
      <c r="S815" s="25" t="s">
        <v>178</v>
      </c>
      <c r="T815" s="25" t="s">
        <v>179</v>
      </c>
      <c r="U815" s="25" t="s">
        <v>15550</v>
      </c>
      <c r="V815" s="25" t="s">
        <v>15551</v>
      </c>
      <c r="W815" s="32" t="s">
        <v>166</v>
      </c>
      <c r="X815" s="25" t="s">
        <v>166</v>
      </c>
      <c r="Y815" s="25" t="s">
        <v>15552</v>
      </c>
      <c r="Z815" s="25" t="s">
        <v>166</v>
      </c>
      <c r="AA815" s="25" t="s">
        <v>166</v>
      </c>
      <c r="AB815" s="25" t="s">
        <v>166</v>
      </c>
      <c r="AC815" s="25" t="s">
        <v>166</v>
      </c>
      <c r="AD815" s="25" t="s">
        <v>166</v>
      </c>
      <c r="AE815" s="25" t="s">
        <v>166</v>
      </c>
      <c r="AF815" s="25" t="s">
        <v>166</v>
      </c>
      <c r="AG815" s="25" t="s">
        <v>166</v>
      </c>
      <c r="AH815" s="32">
        <v>1</v>
      </c>
      <c r="AI815" s="4">
        <f>HYPERLINK("https://my.pitchbook.com/?d=262830-88T","262830-88T")</f>
      </c>
      <c r="AJ815" s="30" t="s">
        <v>166</v>
      </c>
      <c r="AK815" s="30">
        <v>45455</v>
      </c>
      <c r="AL815" s="29">
        <v>8</v>
      </c>
      <c r="AM815" s="25" t="s">
        <v>185</v>
      </c>
      <c r="AN815" s="29" t="s">
        <v>166</v>
      </c>
      <c r="AO815" s="29" t="s">
        <v>166</v>
      </c>
      <c r="AP815" s="25" t="s">
        <v>166</v>
      </c>
      <c r="AQ815" s="32" t="s">
        <v>166</v>
      </c>
      <c r="AR815" s="32" t="s">
        <v>166</v>
      </c>
      <c r="AS815" s="28" t="s">
        <v>166</v>
      </c>
      <c r="AT815" s="29">
        <v>8</v>
      </c>
      <c r="AU815" s="32" t="s">
        <v>186</v>
      </c>
      <c r="AV815" s="32" t="s">
        <v>166</v>
      </c>
      <c r="AW815" s="29" t="s">
        <v>166</v>
      </c>
      <c r="AX815" s="32" t="s">
        <v>166</v>
      </c>
      <c r="AY815" s="25" t="s">
        <v>187</v>
      </c>
      <c r="AZ815" s="25" t="s">
        <v>166</v>
      </c>
      <c r="BA815" s="25" t="s">
        <v>166</v>
      </c>
      <c r="BB815" s="32" t="s">
        <v>166</v>
      </c>
      <c r="BC815" s="25" t="s">
        <v>179</v>
      </c>
      <c r="BD815" s="25" t="s">
        <v>15553</v>
      </c>
      <c r="BE815" s="25" t="s">
        <v>189</v>
      </c>
      <c r="BF815" s="29">
        <v>8</v>
      </c>
      <c r="BG815" s="25" t="s">
        <v>190</v>
      </c>
      <c r="BH815" s="25" t="s">
        <v>166</v>
      </c>
      <c r="BI815" s="25" t="s">
        <v>166</v>
      </c>
      <c r="BJ815" s="29" t="s">
        <v>166</v>
      </c>
      <c r="BK815" s="29" t="s">
        <v>166</v>
      </c>
      <c r="BL815" s="25" t="s">
        <v>191</v>
      </c>
      <c r="BM815" s="25" t="s">
        <v>178</v>
      </c>
      <c r="BN815" s="25" t="s">
        <v>177</v>
      </c>
      <c r="BO815" s="33" t="s">
        <v>166</v>
      </c>
      <c r="BP815" s="25" t="s">
        <v>15554</v>
      </c>
      <c r="BQ815" s="32">
        <v>4</v>
      </c>
      <c r="BR815" s="25" t="s">
        <v>166</v>
      </c>
      <c r="BS815" s="32" t="s">
        <v>166</v>
      </c>
      <c r="BT815" s="25" t="s">
        <v>15555</v>
      </c>
      <c r="BU815" s="25" t="s">
        <v>166</v>
      </c>
      <c r="BV815" s="25" t="s">
        <v>166</v>
      </c>
      <c r="BW815" s="25" t="s">
        <v>166</v>
      </c>
      <c r="BX815" s="25" t="s">
        <v>166</v>
      </c>
      <c r="BY815" s="25" t="s">
        <v>166</v>
      </c>
      <c r="BZ815" s="25" t="s">
        <v>166</v>
      </c>
      <c r="CA815" s="25" t="s">
        <v>166</v>
      </c>
      <c r="CB815" s="25" t="s">
        <v>166</v>
      </c>
      <c r="CC815" s="25" t="s">
        <v>166</v>
      </c>
      <c r="CD815" s="25" t="s">
        <v>166</v>
      </c>
      <c r="CE815" s="29" t="s">
        <v>166</v>
      </c>
      <c r="CF815" s="27" t="s">
        <v>166</v>
      </c>
      <c r="CG815" s="28" t="s">
        <v>166</v>
      </c>
      <c r="CH815" s="27" t="s">
        <v>166</v>
      </c>
      <c r="CI815" s="27" t="s">
        <v>166</v>
      </c>
      <c r="CJ815" s="27" t="s">
        <v>166</v>
      </c>
      <c r="CK815" s="27" t="s">
        <v>166</v>
      </c>
      <c r="CL815" s="27" t="s">
        <v>166</v>
      </c>
      <c r="CM815" s="31" t="s">
        <v>166</v>
      </c>
      <c r="CN815" s="27" t="s">
        <v>166</v>
      </c>
      <c r="CO815" s="27" t="s">
        <v>166</v>
      </c>
      <c r="CP815" s="27" t="s">
        <v>166</v>
      </c>
      <c r="CQ815" s="27" t="s">
        <v>166</v>
      </c>
      <c r="CR815" s="27" t="s">
        <v>166</v>
      </c>
      <c r="CS815" s="27" t="s">
        <v>166</v>
      </c>
      <c r="CT815" s="27" t="s">
        <v>166</v>
      </c>
      <c r="CU815" s="27" t="s">
        <v>166</v>
      </c>
      <c r="CV815" s="27" t="s">
        <v>166</v>
      </c>
      <c r="CW815" s="27" t="s">
        <v>166</v>
      </c>
      <c r="CX815" s="27" t="s">
        <v>166</v>
      </c>
      <c r="CY815" s="27" t="s">
        <v>166</v>
      </c>
      <c r="CZ815" s="27" t="s">
        <v>166</v>
      </c>
      <c r="DA815" s="27" t="s">
        <v>166</v>
      </c>
      <c r="DB815" s="27" t="s">
        <v>166</v>
      </c>
      <c r="DC815" s="27" t="s">
        <v>166</v>
      </c>
      <c r="DD815" s="27" t="s">
        <v>166</v>
      </c>
      <c r="DE815" s="28" t="s">
        <v>166</v>
      </c>
      <c r="DF815" s="33">
        <v>20</v>
      </c>
      <c r="DG815" s="25" t="s">
        <v>6252</v>
      </c>
      <c r="DH815" s="25" t="s">
        <v>193</v>
      </c>
      <c r="DI815" s="25" t="s">
        <v>194</v>
      </c>
      <c r="DJ815" s="25" t="s">
        <v>6253</v>
      </c>
      <c r="DK815" s="25" t="s">
        <v>257</v>
      </c>
      <c r="DL815" s="32" t="s">
        <v>6254</v>
      </c>
      <c r="DM815" s="25" t="s">
        <v>198</v>
      </c>
      <c r="DN815" s="24" t="s">
        <v>15556</v>
      </c>
      <c r="DO815" s="31">
        <v>2022</v>
      </c>
      <c r="DP815" s="25" t="s">
        <v>166</v>
      </c>
      <c r="DQ815" s="25" t="s">
        <v>166</v>
      </c>
      <c r="DR815" s="29" t="s">
        <v>166</v>
      </c>
      <c r="DS815" s="27" t="s">
        <v>166</v>
      </c>
      <c r="DT815" s="30" t="s">
        <v>166</v>
      </c>
      <c r="DU815" s="25" t="s">
        <v>166</v>
      </c>
      <c r="DV815" s="29" t="s">
        <v>166</v>
      </c>
      <c r="DW815" s="29" t="s">
        <v>166</v>
      </c>
      <c r="DX815" s="27" t="s">
        <v>166</v>
      </c>
      <c r="DY815" s="27" t="s">
        <v>166</v>
      </c>
      <c r="DZ815" s="28" t="s">
        <v>166</v>
      </c>
      <c r="EA815" s="27" t="s">
        <v>166</v>
      </c>
      <c r="EB815" s="27" t="s">
        <v>166</v>
      </c>
      <c r="EC815" s="27" t="s">
        <v>166</v>
      </c>
      <c r="ED815" s="28" t="s">
        <v>166</v>
      </c>
      <c r="EE815" s="28" t="s">
        <v>166</v>
      </c>
      <c r="EF815" s="28" t="s">
        <v>166</v>
      </c>
      <c r="EG815" s="28" t="s">
        <v>166</v>
      </c>
      <c r="EH815" s="27" t="s">
        <v>166</v>
      </c>
      <c r="EI815" s="27" t="s">
        <v>166</v>
      </c>
      <c r="EJ815" s="27" t="s">
        <v>166</v>
      </c>
      <c r="EK815" s="27" t="s">
        <v>166</v>
      </c>
      <c r="EL815" s="27" t="s">
        <v>166</v>
      </c>
      <c r="EM815" s="27" t="s">
        <v>166</v>
      </c>
      <c r="EN815" s="27" t="s">
        <v>166</v>
      </c>
      <c r="EO815" s="27" t="s">
        <v>166</v>
      </c>
      <c r="EP815" s="27" t="s">
        <v>166</v>
      </c>
      <c r="EQ815" s="27" t="s">
        <v>166</v>
      </c>
      <c r="ER815" s="27" t="s">
        <v>166</v>
      </c>
      <c r="ES815" s="27" t="s">
        <v>166</v>
      </c>
      <c r="ET815" s="25" t="s">
        <v>166</v>
      </c>
      <c r="EU815" s="27" t="s">
        <v>166</v>
      </c>
      <c r="EV815" s="27" t="s">
        <v>166</v>
      </c>
      <c r="EW815" s="27" t="s">
        <v>166</v>
      </c>
      <c r="EX815" s="25" t="s">
        <v>190</v>
      </c>
      <c r="EY815" s="25" t="s">
        <v>166</v>
      </c>
      <c r="EZ815" s="27" t="s">
        <v>166</v>
      </c>
      <c r="FA815" s="26" t="s">
        <v>166</v>
      </c>
      <c r="FB815" s="26" t="s">
        <v>166</v>
      </c>
      <c r="FC815" s="26" t="s">
        <v>166</v>
      </c>
      <c r="FD815" s="26" t="s">
        <v>166</v>
      </c>
      <c r="FE815" s="26" t="s">
        <v>166</v>
      </c>
      <c r="FF815" s="26" t="s">
        <v>166</v>
      </c>
      <c r="FG815" s="25" t="s">
        <v>166</v>
      </c>
      <c r="FH815" s="4">
        <f>HYPERLINK("https://my.pitchbook.com?c=262830-88T","View Company Online")</f>
      </c>
    </row>
    <row r="816">
      <c r="A816" s="14" t="s">
        <v>15557</v>
      </c>
      <c r="B816" s="14" t="s">
        <v>15558</v>
      </c>
      <c r="C816" s="14" t="s">
        <v>15559</v>
      </c>
      <c r="D816" s="14" t="s">
        <v>166</v>
      </c>
      <c r="E816" s="23" t="s">
        <v>15560</v>
      </c>
      <c r="F816" s="21">
        <v>3</v>
      </c>
      <c r="G816" s="14" t="s">
        <v>15561</v>
      </c>
      <c r="H816" s="14" t="s">
        <v>166</v>
      </c>
      <c r="I816" s="14" t="s">
        <v>15562</v>
      </c>
      <c r="J816" s="14" t="s">
        <v>15563</v>
      </c>
      <c r="K816" s="14" t="s">
        <v>207</v>
      </c>
      <c r="L816" s="14" t="s">
        <v>208</v>
      </c>
      <c r="M816" s="14" t="s">
        <v>209</v>
      </c>
      <c r="N816" s="14" t="s">
        <v>269</v>
      </c>
      <c r="O816" s="14" t="s">
        <v>442</v>
      </c>
      <c r="P816" s="14" t="s">
        <v>15564</v>
      </c>
      <c r="Q816" s="14" t="s">
        <v>166</v>
      </c>
      <c r="R816" s="14" t="s">
        <v>177</v>
      </c>
      <c r="S816" s="14" t="s">
        <v>178</v>
      </c>
      <c r="T816" s="14" t="s">
        <v>179</v>
      </c>
      <c r="U816" s="14" t="s">
        <v>15565</v>
      </c>
      <c r="V816" s="14" t="s">
        <v>15566</v>
      </c>
      <c r="W816" s="21" t="s">
        <v>15567</v>
      </c>
      <c r="X816" s="14" t="s">
        <v>15568</v>
      </c>
      <c r="Y816" s="14" t="s">
        <v>15569</v>
      </c>
      <c r="Z816" s="14" t="s">
        <v>166</v>
      </c>
      <c r="AA816" s="14" t="s">
        <v>166</v>
      </c>
      <c r="AB816" s="14" t="s">
        <v>166</v>
      </c>
      <c r="AC816" s="14" t="s">
        <v>166</v>
      </c>
      <c r="AD816" s="14" t="s">
        <v>166</v>
      </c>
      <c r="AE816" s="14" t="s">
        <v>166</v>
      </c>
      <c r="AF816" s="14" t="s">
        <v>166</v>
      </c>
      <c r="AG816" s="14" t="s">
        <v>166</v>
      </c>
      <c r="AH816" s="21">
        <v>1</v>
      </c>
      <c r="AI816" s="3">
        <f>HYPERLINK("https://my.pitchbook.com/?d=260393-77T","260393-77T")</f>
      </c>
      <c r="AJ816" s="19" t="s">
        <v>166</v>
      </c>
      <c r="AK816" s="19">
        <v>44131</v>
      </c>
      <c r="AL816" s="18">
        <v>1.5</v>
      </c>
      <c r="AM816" s="14" t="s">
        <v>185</v>
      </c>
      <c r="AN816" s="18" t="s">
        <v>166</v>
      </c>
      <c r="AO816" s="18" t="s">
        <v>166</v>
      </c>
      <c r="AP816" s="14" t="s">
        <v>166</v>
      </c>
      <c r="AQ816" s="21" t="s">
        <v>166</v>
      </c>
      <c r="AR816" s="21" t="s">
        <v>166</v>
      </c>
      <c r="AS816" s="17" t="s">
        <v>166</v>
      </c>
      <c r="AT816" s="18">
        <v>1.5</v>
      </c>
      <c r="AU816" s="21" t="s">
        <v>186</v>
      </c>
      <c r="AV816" s="21" t="s">
        <v>166</v>
      </c>
      <c r="AW816" s="18" t="s">
        <v>166</v>
      </c>
      <c r="AX816" s="21" t="s">
        <v>166</v>
      </c>
      <c r="AY816" s="14" t="s">
        <v>217</v>
      </c>
      <c r="AZ816" s="14" t="s">
        <v>217</v>
      </c>
      <c r="BA816" s="14" t="s">
        <v>166</v>
      </c>
      <c r="BB816" s="21" t="s">
        <v>166</v>
      </c>
      <c r="BC816" s="14" t="s">
        <v>179</v>
      </c>
      <c r="BD816" s="14" t="s">
        <v>15570</v>
      </c>
      <c r="BE816" s="14" t="s">
        <v>189</v>
      </c>
      <c r="BF816" s="18">
        <v>1.5</v>
      </c>
      <c r="BG816" s="14" t="s">
        <v>190</v>
      </c>
      <c r="BH816" s="14" t="s">
        <v>166</v>
      </c>
      <c r="BI816" s="14" t="s">
        <v>166</v>
      </c>
      <c r="BJ816" s="18" t="s">
        <v>166</v>
      </c>
      <c r="BK816" s="18" t="s">
        <v>166</v>
      </c>
      <c r="BL816" s="14" t="s">
        <v>191</v>
      </c>
      <c r="BM816" s="14" t="s">
        <v>358</v>
      </c>
      <c r="BN816" s="14" t="s">
        <v>177</v>
      </c>
      <c r="BO816" s="22" t="s">
        <v>166</v>
      </c>
      <c r="BP816" s="14" t="s">
        <v>15560</v>
      </c>
      <c r="BQ816" s="21">
        <v>3</v>
      </c>
      <c r="BR816" s="14" t="s">
        <v>166</v>
      </c>
      <c r="BS816" s="21" t="s">
        <v>166</v>
      </c>
      <c r="BT816" s="14" t="s">
        <v>166</v>
      </c>
      <c r="BU816" s="14" t="s">
        <v>166</v>
      </c>
      <c r="BV816" s="14" t="s">
        <v>166</v>
      </c>
      <c r="BW816" s="14" t="s">
        <v>166</v>
      </c>
      <c r="BX816" s="14" t="s">
        <v>166</v>
      </c>
      <c r="BY816" s="14" t="s">
        <v>166</v>
      </c>
      <c r="BZ816" s="14" t="s">
        <v>166</v>
      </c>
      <c r="CA816" s="14" t="s">
        <v>166</v>
      </c>
      <c r="CB816" s="14" t="s">
        <v>166</v>
      </c>
      <c r="CC816" s="14" t="s">
        <v>166</v>
      </c>
      <c r="CD816" s="14" t="s">
        <v>166</v>
      </c>
      <c r="CE816" s="18" t="s">
        <v>166</v>
      </c>
      <c r="CF816" s="16" t="s">
        <v>166</v>
      </c>
      <c r="CG816" s="17" t="s">
        <v>166</v>
      </c>
      <c r="CH816" s="16" t="s">
        <v>166</v>
      </c>
      <c r="CI816" s="16" t="s">
        <v>166</v>
      </c>
      <c r="CJ816" s="16" t="s">
        <v>166</v>
      </c>
      <c r="CK816" s="16" t="s">
        <v>166</v>
      </c>
      <c r="CL816" s="16" t="s">
        <v>166</v>
      </c>
      <c r="CM816" s="20" t="s">
        <v>166</v>
      </c>
      <c r="CN816" s="16" t="s">
        <v>166</v>
      </c>
      <c r="CO816" s="16" t="s">
        <v>166</v>
      </c>
      <c r="CP816" s="16" t="s">
        <v>166</v>
      </c>
      <c r="CQ816" s="16" t="s">
        <v>166</v>
      </c>
      <c r="CR816" s="16" t="s">
        <v>166</v>
      </c>
      <c r="CS816" s="16" t="s">
        <v>166</v>
      </c>
      <c r="CT816" s="16" t="s">
        <v>166</v>
      </c>
      <c r="CU816" s="16" t="s">
        <v>166</v>
      </c>
      <c r="CV816" s="16" t="s">
        <v>166</v>
      </c>
      <c r="CW816" s="16" t="s">
        <v>166</v>
      </c>
      <c r="CX816" s="16" t="s">
        <v>166</v>
      </c>
      <c r="CY816" s="16" t="s">
        <v>166</v>
      </c>
      <c r="CZ816" s="16" t="s">
        <v>166</v>
      </c>
      <c r="DA816" s="16" t="s">
        <v>166</v>
      </c>
      <c r="DB816" s="16" t="s">
        <v>166</v>
      </c>
      <c r="DC816" s="16" t="s">
        <v>166</v>
      </c>
      <c r="DD816" s="16" t="s">
        <v>166</v>
      </c>
      <c r="DE816" s="17" t="s">
        <v>166</v>
      </c>
      <c r="DF816" s="22">
        <v>34</v>
      </c>
      <c r="DG816" s="14" t="s">
        <v>2212</v>
      </c>
      <c r="DH816" s="14" t="s">
        <v>193</v>
      </c>
      <c r="DI816" s="14" t="s">
        <v>194</v>
      </c>
      <c r="DJ816" s="14" t="s">
        <v>2213</v>
      </c>
      <c r="DK816" s="14" t="s">
        <v>1000</v>
      </c>
      <c r="DL816" s="21" t="s">
        <v>2214</v>
      </c>
      <c r="DM816" s="14" t="s">
        <v>198</v>
      </c>
      <c r="DN816" s="13" t="s">
        <v>15571</v>
      </c>
      <c r="DO816" s="20">
        <v>2017</v>
      </c>
      <c r="DP816" s="14" t="s">
        <v>166</v>
      </c>
      <c r="DQ816" s="14" t="s">
        <v>166</v>
      </c>
      <c r="DR816" s="18" t="s">
        <v>166</v>
      </c>
      <c r="DS816" s="16" t="s">
        <v>166</v>
      </c>
      <c r="DT816" s="19" t="s">
        <v>166</v>
      </c>
      <c r="DU816" s="14" t="s">
        <v>166</v>
      </c>
      <c r="DV816" s="18" t="s">
        <v>166</v>
      </c>
      <c r="DW816" s="18" t="s">
        <v>166</v>
      </c>
      <c r="DX816" s="16" t="s">
        <v>166</v>
      </c>
      <c r="DY816" s="16" t="s">
        <v>166</v>
      </c>
      <c r="DZ816" s="17" t="s">
        <v>166</v>
      </c>
      <c r="EA816" s="16" t="s">
        <v>166</v>
      </c>
      <c r="EB816" s="16" t="s">
        <v>166</v>
      </c>
      <c r="EC816" s="16" t="s">
        <v>166</v>
      </c>
      <c r="ED816" s="17" t="s">
        <v>166</v>
      </c>
      <c r="EE816" s="17" t="s">
        <v>166</v>
      </c>
      <c r="EF816" s="17" t="s">
        <v>166</v>
      </c>
      <c r="EG816" s="17" t="s">
        <v>166</v>
      </c>
      <c r="EH816" s="16" t="s">
        <v>166</v>
      </c>
      <c r="EI816" s="16" t="s">
        <v>166</v>
      </c>
      <c r="EJ816" s="16" t="s">
        <v>166</v>
      </c>
      <c r="EK816" s="16" t="s">
        <v>166</v>
      </c>
      <c r="EL816" s="16" t="s">
        <v>166</v>
      </c>
      <c r="EM816" s="16" t="s">
        <v>166</v>
      </c>
      <c r="EN816" s="16" t="s">
        <v>166</v>
      </c>
      <c r="EO816" s="16" t="s">
        <v>166</v>
      </c>
      <c r="EP816" s="16" t="s">
        <v>166</v>
      </c>
      <c r="EQ816" s="16" t="s">
        <v>166</v>
      </c>
      <c r="ER816" s="16" t="s">
        <v>166</v>
      </c>
      <c r="ES816" s="16" t="s">
        <v>166</v>
      </c>
      <c r="ET816" s="14" t="s">
        <v>166</v>
      </c>
      <c r="EU816" s="16" t="s">
        <v>166</v>
      </c>
      <c r="EV816" s="16" t="s">
        <v>166</v>
      </c>
      <c r="EW816" s="16" t="s">
        <v>166</v>
      </c>
      <c r="EX816" s="14" t="s">
        <v>190</v>
      </c>
      <c r="EY816" s="14" t="s">
        <v>166</v>
      </c>
      <c r="EZ816" s="16" t="s">
        <v>166</v>
      </c>
      <c r="FA816" s="15" t="s">
        <v>166</v>
      </c>
      <c r="FB816" s="15" t="s">
        <v>166</v>
      </c>
      <c r="FC816" s="15" t="s">
        <v>166</v>
      </c>
      <c r="FD816" s="15" t="s">
        <v>166</v>
      </c>
      <c r="FE816" s="15" t="s">
        <v>166</v>
      </c>
      <c r="FF816" s="15" t="s">
        <v>166</v>
      </c>
      <c r="FG816" s="14" t="s">
        <v>166</v>
      </c>
      <c r="FH816" s="3">
        <f>HYPERLINK("https://my.pitchbook.com?c=260393-77T","View Company Online")</f>
      </c>
    </row>
    <row r="817">
      <c r="A817" s="25" t="s">
        <v>15572</v>
      </c>
      <c r="B817" s="25" t="s">
        <v>15573</v>
      </c>
      <c r="C817" s="25" t="s">
        <v>15574</v>
      </c>
      <c r="D817" s="25" t="s">
        <v>166</v>
      </c>
      <c r="E817" s="34" t="s">
        <v>15575</v>
      </c>
      <c r="F817" s="32">
        <v>3</v>
      </c>
      <c r="G817" s="25" t="s">
        <v>15576</v>
      </c>
      <c r="H817" s="25" t="s">
        <v>166</v>
      </c>
      <c r="I817" s="25" t="s">
        <v>15577</v>
      </c>
      <c r="J817" s="25" t="s">
        <v>15578</v>
      </c>
      <c r="K817" s="25" t="s">
        <v>1500</v>
      </c>
      <c r="L817" s="25" t="s">
        <v>2200</v>
      </c>
      <c r="M817" s="25" t="s">
        <v>2201</v>
      </c>
      <c r="N817" s="25" t="s">
        <v>10851</v>
      </c>
      <c r="O817" s="25" t="s">
        <v>4926</v>
      </c>
      <c r="P817" s="25" t="s">
        <v>15579</v>
      </c>
      <c r="Q817" s="25" t="s">
        <v>166</v>
      </c>
      <c r="R817" s="25" t="s">
        <v>177</v>
      </c>
      <c r="S817" s="25" t="s">
        <v>178</v>
      </c>
      <c r="T817" s="25" t="s">
        <v>179</v>
      </c>
      <c r="U817" s="25" t="s">
        <v>15580</v>
      </c>
      <c r="V817" s="25" t="s">
        <v>15581</v>
      </c>
      <c r="W817" s="32" t="s">
        <v>166</v>
      </c>
      <c r="X817" s="25" t="s">
        <v>15582</v>
      </c>
      <c r="Y817" s="25" t="s">
        <v>15583</v>
      </c>
      <c r="Z817" s="25" t="s">
        <v>15584</v>
      </c>
      <c r="AA817" s="25" t="s">
        <v>379</v>
      </c>
      <c r="AB817" s="25" t="s">
        <v>243</v>
      </c>
      <c r="AC817" s="25" t="s">
        <v>244</v>
      </c>
      <c r="AD817" s="25" t="s">
        <v>166</v>
      </c>
      <c r="AE817" s="25" t="s">
        <v>243</v>
      </c>
      <c r="AF817" s="25" t="s">
        <v>306</v>
      </c>
      <c r="AG817" s="25" t="s">
        <v>807</v>
      </c>
      <c r="AH817" s="32">
        <v>2</v>
      </c>
      <c r="AI817" s="4">
        <f>HYPERLINK("https://my.pitchbook.com/?d=194519-17T","194519-17T")</f>
      </c>
      <c r="AJ817" s="30" t="s">
        <v>166</v>
      </c>
      <c r="AK817" s="30">
        <v>44682</v>
      </c>
      <c r="AL817" s="29">
        <v>0.85</v>
      </c>
      <c r="AM817" s="25" t="s">
        <v>247</v>
      </c>
      <c r="AN817" s="29">
        <v>2.65</v>
      </c>
      <c r="AO817" s="29">
        <v>3.5</v>
      </c>
      <c r="AP817" s="25" t="s">
        <v>185</v>
      </c>
      <c r="AQ817" s="32" t="s">
        <v>166</v>
      </c>
      <c r="AR817" s="32" t="s">
        <v>166</v>
      </c>
      <c r="AS817" s="28">
        <v>26.66</v>
      </c>
      <c r="AT817" s="29">
        <v>0.87</v>
      </c>
      <c r="AU817" s="32" t="s">
        <v>186</v>
      </c>
      <c r="AV817" s="32" t="s">
        <v>166</v>
      </c>
      <c r="AW817" s="29">
        <v>1.12</v>
      </c>
      <c r="AX817" s="32" t="s">
        <v>166</v>
      </c>
      <c r="AY817" s="25" t="s">
        <v>217</v>
      </c>
      <c r="AZ817" s="25" t="s">
        <v>217</v>
      </c>
      <c r="BA817" s="25" t="s">
        <v>166</v>
      </c>
      <c r="BB817" s="32" t="s">
        <v>166</v>
      </c>
      <c r="BC817" s="25" t="s">
        <v>179</v>
      </c>
      <c r="BD817" s="25" t="s">
        <v>15585</v>
      </c>
      <c r="BE817" s="25" t="s">
        <v>189</v>
      </c>
      <c r="BF817" s="29">
        <v>0.85</v>
      </c>
      <c r="BG817" s="25" t="s">
        <v>190</v>
      </c>
      <c r="BH817" s="25" t="s">
        <v>166</v>
      </c>
      <c r="BI817" s="25" t="s">
        <v>166</v>
      </c>
      <c r="BJ817" s="29" t="s">
        <v>166</v>
      </c>
      <c r="BK817" s="29" t="s">
        <v>166</v>
      </c>
      <c r="BL817" s="25" t="s">
        <v>191</v>
      </c>
      <c r="BM817" s="25" t="s">
        <v>178</v>
      </c>
      <c r="BN817" s="25" t="s">
        <v>177</v>
      </c>
      <c r="BO817" s="33" t="s">
        <v>166</v>
      </c>
      <c r="BP817" s="25" t="s">
        <v>15575</v>
      </c>
      <c r="BQ817" s="32">
        <v>3</v>
      </c>
      <c r="BR817" s="25" t="s">
        <v>166</v>
      </c>
      <c r="BS817" s="32" t="s">
        <v>166</v>
      </c>
      <c r="BT817" s="25" t="s">
        <v>15586</v>
      </c>
      <c r="BU817" s="25" t="s">
        <v>166</v>
      </c>
      <c r="BV817" s="25" t="s">
        <v>383</v>
      </c>
      <c r="BW817" s="25" t="s">
        <v>166</v>
      </c>
      <c r="BX817" s="25" t="s">
        <v>166</v>
      </c>
      <c r="BY817" s="25" t="s">
        <v>166</v>
      </c>
      <c r="BZ817" s="25" t="s">
        <v>15587</v>
      </c>
      <c r="CA817" s="25" t="s">
        <v>15587</v>
      </c>
      <c r="CB817" s="25" t="s">
        <v>166</v>
      </c>
      <c r="CC817" s="25" t="s">
        <v>166</v>
      </c>
      <c r="CD817" s="25" t="s">
        <v>166</v>
      </c>
      <c r="CE817" s="29" t="s">
        <v>166</v>
      </c>
      <c r="CF817" s="27" t="s">
        <v>166</v>
      </c>
      <c r="CG817" s="28" t="s">
        <v>166</v>
      </c>
      <c r="CH817" s="27" t="s">
        <v>166</v>
      </c>
      <c r="CI817" s="27" t="s">
        <v>166</v>
      </c>
      <c r="CJ817" s="27" t="s">
        <v>166</v>
      </c>
      <c r="CK817" s="27" t="s">
        <v>166</v>
      </c>
      <c r="CL817" s="27" t="s">
        <v>166</v>
      </c>
      <c r="CM817" s="31" t="s">
        <v>166</v>
      </c>
      <c r="CN817" s="27" t="s">
        <v>166</v>
      </c>
      <c r="CO817" s="27" t="s">
        <v>166</v>
      </c>
      <c r="CP817" s="27" t="s">
        <v>166</v>
      </c>
      <c r="CQ817" s="27" t="s">
        <v>166</v>
      </c>
      <c r="CR817" s="27" t="s">
        <v>166</v>
      </c>
      <c r="CS817" s="27" t="s">
        <v>166</v>
      </c>
      <c r="CT817" s="27" t="s">
        <v>166</v>
      </c>
      <c r="CU817" s="27" t="s">
        <v>166</v>
      </c>
      <c r="CV817" s="27" t="s">
        <v>166</v>
      </c>
      <c r="CW817" s="27" t="s">
        <v>166</v>
      </c>
      <c r="CX817" s="27" t="s">
        <v>166</v>
      </c>
      <c r="CY817" s="27" t="s">
        <v>166</v>
      </c>
      <c r="CZ817" s="27" t="s">
        <v>166</v>
      </c>
      <c r="DA817" s="27" t="s">
        <v>166</v>
      </c>
      <c r="DB817" s="27" t="s">
        <v>166</v>
      </c>
      <c r="DC817" s="27" t="s">
        <v>166</v>
      </c>
      <c r="DD817" s="27" t="s">
        <v>166</v>
      </c>
      <c r="DE817" s="28" t="s">
        <v>166</v>
      </c>
      <c r="DF817" s="33">
        <v>7</v>
      </c>
      <c r="DG817" s="25" t="s">
        <v>15588</v>
      </c>
      <c r="DH817" s="25" t="s">
        <v>193</v>
      </c>
      <c r="DI817" s="25" t="s">
        <v>194</v>
      </c>
      <c r="DJ817" s="25" t="s">
        <v>15589</v>
      </c>
      <c r="DK817" s="25" t="s">
        <v>1023</v>
      </c>
      <c r="DL817" s="32" t="s">
        <v>15590</v>
      </c>
      <c r="DM817" s="25" t="s">
        <v>198</v>
      </c>
      <c r="DN817" s="24" t="s">
        <v>15591</v>
      </c>
      <c r="DO817" s="31">
        <v>2019</v>
      </c>
      <c r="DP817" s="25" t="s">
        <v>166</v>
      </c>
      <c r="DQ817" s="25" t="s">
        <v>166</v>
      </c>
      <c r="DR817" s="29" t="s">
        <v>166</v>
      </c>
      <c r="DS817" s="27" t="s">
        <v>166</v>
      </c>
      <c r="DT817" s="30" t="s">
        <v>166</v>
      </c>
      <c r="DU817" s="25" t="s">
        <v>166</v>
      </c>
      <c r="DV817" s="29" t="s">
        <v>166</v>
      </c>
      <c r="DW817" s="29" t="s">
        <v>166</v>
      </c>
      <c r="DX817" s="27" t="s">
        <v>166</v>
      </c>
      <c r="DY817" s="27" t="s">
        <v>166</v>
      </c>
      <c r="DZ817" s="28" t="s">
        <v>166</v>
      </c>
      <c r="EA817" s="27" t="s">
        <v>166</v>
      </c>
      <c r="EB817" s="27" t="s">
        <v>166</v>
      </c>
      <c r="EC817" s="27" t="s">
        <v>166</v>
      </c>
      <c r="ED817" s="28" t="s">
        <v>166</v>
      </c>
      <c r="EE817" s="28" t="s">
        <v>166</v>
      </c>
      <c r="EF817" s="28" t="s">
        <v>166</v>
      </c>
      <c r="EG817" s="28" t="s">
        <v>166</v>
      </c>
      <c r="EH817" s="27" t="s">
        <v>166</v>
      </c>
      <c r="EI817" s="27" t="s">
        <v>166</v>
      </c>
      <c r="EJ817" s="27" t="s">
        <v>166</v>
      </c>
      <c r="EK817" s="27" t="s">
        <v>166</v>
      </c>
      <c r="EL817" s="27" t="s">
        <v>166</v>
      </c>
      <c r="EM817" s="27" t="s">
        <v>166</v>
      </c>
      <c r="EN817" s="27" t="s">
        <v>166</v>
      </c>
      <c r="EO817" s="27" t="s">
        <v>166</v>
      </c>
      <c r="EP817" s="27" t="s">
        <v>166</v>
      </c>
      <c r="EQ817" s="27" t="s">
        <v>166</v>
      </c>
      <c r="ER817" s="27" t="s">
        <v>166</v>
      </c>
      <c r="ES817" s="27" t="s">
        <v>166</v>
      </c>
      <c r="ET817" s="25" t="s">
        <v>166</v>
      </c>
      <c r="EU817" s="27" t="s">
        <v>166</v>
      </c>
      <c r="EV817" s="27" t="s">
        <v>166</v>
      </c>
      <c r="EW817" s="27" t="s">
        <v>166</v>
      </c>
      <c r="EX817" s="25" t="s">
        <v>190</v>
      </c>
      <c r="EY817" s="25" t="s">
        <v>166</v>
      </c>
      <c r="EZ817" s="27" t="s">
        <v>166</v>
      </c>
      <c r="FA817" s="26" t="s">
        <v>166</v>
      </c>
      <c r="FB817" s="26" t="s">
        <v>166</v>
      </c>
      <c r="FC817" s="26" t="s">
        <v>166</v>
      </c>
      <c r="FD817" s="26" t="s">
        <v>166</v>
      </c>
      <c r="FE817" s="26" t="s">
        <v>166</v>
      </c>
      <c r="FF817" s="26" t="s">
        <v>166</v>
      </c>
      <c r="FG817" s="25" t="s">
        <v>166</v>
      </c>
      <c r="FH817" s="4">
        <f>HYPERLINK("https://my.pitchbook.com?c=194519-17T","View Company Online")</f>
      </c>
    </row>
    <row r="818">
      <c r="A818" s="14" t="s">
        <v>15592</v>
      </c>
      <c r="B818" s="14" t="s">
        <v>15593</v>
      </c>
      <c r="C818" s="14" t="s">
        <v>15594</v>
      </c>
      <c r="D818" s="14" t="s">
        <v>166</v>
      </c>
      <c r="E818" s="23" t="s">
        <v>15595</v>
      </c>
      <c r="F818" s="21">
        <v>11</v>
      </c>
      <c r="G818" s="14" t="s">
        <v>15596</v>
      </c>
      <c r="H818" s="14" t="s">
        <v>166</v>
      </c>
      <c r="I818" s="14" t="s">
        <v>15597</v>
      </c>
      <c r="J818" s="14" t="s">
        <v>15598</v>
      </c>
      <c r="K818" s="14" t="s">
        <v>207</v>
      </c>
      <c r="L818" s="14" t="s">
        <v>208</v>
      </c>
      <c r="M818" s="14" t="s">
        <v>209</v>
      </c>
      <c r="N818" s="14" t="s">
        <v>269</v>
      </c>
      <c r="O818" s="14" t="s">
        <v>4098</v>
      </c>
      <c r="P818" s="14" t="s">
        <v>15599</v>
      </c>
      <c r="Q818" s="14" t="s">
        <v>166</v>
      </c>
      <c r="R818" s="14" t="s">
        <v>177</v>
      </c>
      <c r="S818" s="14" t="s">
        <v>178</v>
      </c>
      <c r="T818" s="14" t="s">
        <v>179</v>
      </c>
      <c r="U818" s="14" t="s">
        <v>15600</v>
      </c>
      <c r="V818" s="14" t="s">
        <v>15601</v>
      </c>
      <c r="W818" s="21" t="s">
        <v>166</v>
      </c>
      <c r="X818" s="14" t="s">
        <v>15602</v>
      </c>
      <c r="Y818" s="14" t="s">
        <v>15603</v>
      </c>
      <c r="Z818" s="14" t="s">
        <v>15604</v>
      </c>
      <c r="AA818" s="14" t="s">
        <v>242</v>
      </c>
      <c r="AB818" s="14" t="s">
        <v>243</v>
      </c>
      <c r="AC818" s="14" t="s">
        <v>244</v>
      </c>
      <c r="AD818" s="14" t="s">
        <v>243</v>
      </c>
      <c r="AE818" s="14" t="s">
        <v>243</v>
      </c>
      <c r="AF818" s="14" t="s">
        <v>166</v>
      </c>
      <c r="AG818" s="14" t="s">
        <v>166</v>
      </c>
      <c r="AH818" s="21">
        <v>2</v>
      </c>
      <c r="AI818" s="3">
        <f>HYPERLINK("https://my.pitchbook.com/?d=192714-85T","192714-85T")</f>
      </c>
      <c r="AJ818" s="19">
        <v>44651</v>
      </c>
      <c r="AK818" s="19">
        <v>45139</v>
      </c>
      <c r="AL818" s="18">
        <v>15.09</v>
      </c>
      <c r="AM818" s="14" t="s">
        <v>185</v>
      </c>
      <c r="AN818" s="18">
        <v>45</v>
      </c>
      <c r="AO818" s="18">
        <v>60.09</v>
      </c>
      <c r="AP818" s="14" t="s">
        <v>185</v>
      </c>
      <c r="AQ818" s="21" t="s">
        <v>166</v>
      </c>
      <c r="AR818" s="21" t="s">
        <v>166</v>
      </c>
      <c r="AS818" s="17">
        <v>42.5</v>
      </c>
      <c r="AT818" s="18">
        <v>15.09</v>
      </c>
      <c r="AU818" s="21" t="s">
        <v>186</v>
      </c>
      <c r="AV818" s="21" t="s">
        <v>166</v>
      </c>
      <c r="AW818" s="18">
        <v>2.59</v>
      </c>
      <c r="AX818" s="21" t="s">
        <v>248</v>
      </c>
      <c r="AY818" s="14" t="s">
        <v>187</v>
      </c>
      <c r="AZ818" s="14" t="s">
        <v>248</v>
      </c>
      <c r="BA818" s="14" t="s">
        <v>166</v>
      </c>
      <c r="BB818" s="21" t="s">
        <v>166</v>
      </c>
      <c r="BC818" s="14" t="s">
        <v>179</v>
      </c>
      <c r="BD818" s="14" t="s">
        <v>15605</v>
      </c>
      <c r="BE818" s="14" t="s">
        <v>189</v>
      </c>
      <c r="BF818" s="18">
        <v>15.09</v>
      </c>
      <c r="BG818" s="14" t="s">
        <v>190</v>
      </c>
      <c r="BH818" s="14" t="s">
        <v>166</v>
      </c>
      <c r="BI818" s="14" t="s">
        <v>166</v>
      </c>
      <c r="BJ818" s="18" t="s">
        <v>166</v>
      </c>
      <c r="BK818" s="18" t="s">
        <v>166</v>
      </c>
      <c r="BL818" s="14" t="s">
        <v>191</v>
      </c>
      <c r="BM818" s="14" t="s">
        <v>178</v>
      </c>
      <c r="BN818" s="14" t="s">
        <v>177</v>
      </c>
      <c r="BO818" s="22" t="s">
        <v>166</v>
      </c>
      <c r="BP818" s="14" t="s">
        <v>15606</v>
      </c>
      <c r="BQ818" s="21">
        <v>10</v>
      </c>
      <c r="BR818" s="14" t="s">
        <v>15607</v>
      </c>
      <c r="BS818" s="21">
        <v>1</v>
      </c>
      <c r="BT818" s="14" t="s">
        <v>15608</v>
      </c>
      <c r="BU818" s="14" t="s">
        <v>166</v>
      </c>
      <c r="BV818" s="14" t="s">
        <v>15609</v>
      </c>
      <c r="BW818" s="14" t="s">
        <v>166</v>
      </c>
      <c r="BX818" s="14" t="s">
        <v>166</v>
      </c>
      <c r="BY818" s="14" t="s">
        <v>166</v>
      </c>
      <c r="BZ818" s="14" t="s">
        <v>1232</v>
      </c>
      <c r="CA818" s="14" t="s">
        <v>1232</v>
      </c>
      <c r="CB818" s="14" t="s">
        <v>166</v>
      </c>
      <c r="CC818" s="14" t="s">
        <v>166</v>
      </c>
      <c r="CD818" s="14" t="s">
        <v>166</v>
      </c>
      <c r="CE818" s="18" t="s">
        <v>166</v>
      </c>
      <c r="CF818" s="16" t="s">
        <v>166</v>
      </c>
      <c r="CG818" s="17" t="s">
        <v>166</v>
      </c>
      <c r="CH818" s="16" t="s">
        <v>166</v>
      </c>
      <c r="CI818" s="16" t="s">
        <v>166</v>
      </c>
      <c r="CJ818" s="16" t="s">
        <v>166</v>
      </c>
      <c r="CK818" s="16" t="s">
        <v>166</v>
      </c>
      <c r="CL818" s="16" t="s">
        <v>166</v>
      </c>
      <c r="CM818" s="20" t="s">
        <v>166</v>
      </c>
      <c r="CN818" s="16" t="s">
        <v>166</v>
      </c>
      <c r="CO818" s="16" t="s">
        <v>166</v>
      </c>
      <c r="CP818" s="16" t="s">
        <v>166</v>
      </c>
      <c r="CQ818" s="16" t="s">
        <v>166</v>
      </c>
      <c r="CR818" s="16" t="s">
        <v>166</v>
      </c>
      <c r="CS818" s="16" t="s">
        <v>166</v>
      </c>
      <c r="CT818" s="16" t="s">
        <v>166</v>
      </c>
      <c r="CU818" s="16" t="s">
        <v>166</v>
      </c>
      <c r="CV818" s="16" t="s">
        <v>166</v>
      </c>
      <c r="CW818" s="16" t="s">
        <v>166</v>
      </c>
      <c r="CX818" s="16" t="s">
        <v>166</v>
      </c>
      <c r="CY818" s="16" t="s">
        <v>166</v>
      </c>
      <c r="CZ818" s="16" t="s">
        <v>166</v>
      </c>
      <c r="DA818" s="16" t="s">
        <v>166</v>
      </c>
      <c r="DB818" s="16" t="s">
        <v>166</v>
      </c>
      <c r="DC818" s="16" t="s">
        <v>166</v>
      </c>
      <c r="DD818" s="16" t="s">
        <v>166</v>
      </c>
      <c r="DE818" s="17" t="s">
        <v>166</v>
      </c>
      <c r="DF818" s="22">
        <v>69</v>
      </c>
      <c r="DG818" s="14" t="s">
        <v>15610</v>
      </c>
      <c r="DH818" s="14" t="s">
        <v>193</v>
      </c>
      <c r="DI818" s="14" t="s">
        <v>194</v>
      </c>
      <c r="DJ818" s="14" t="s">
        <v>15611</v>
      </c>
      <c r="DK818" s="14" t="s">
        <v>5508</v>
      </c>
      <c r="DL818" s="21" t="s">
        <v>15612</v>
      </c>
      <c r="DM818" s="14" t="s">
        <v>198</v>
      </c>
      <c r="DN818" s="13" t="s">
        <v>15613</v>
      </c>
      <c r="DO818" s="20">
        <v>2021</v>
      </c>
      <c r="DP818" s="14" t="s">
        <v>166</v>
      </c>
      <c r="DQ818" s="14" t="s">
        <v>166</v>
      </c>
      <c r="DR818" s="18" t="s">
        <v>166</v>
      </c>
      <c r="DS818" s="16" t="s">
        <v>166</v>
      </c>
      <c r="DT818" s="19" t="s">
        <v>166</v>
      </c>
      <c r="DU818" s="14" t="s">
        <v>166</v>
      </c>
      <c r="DV818" s="18" t="s">
        <v>166</v>
      </c>
      <c r="DW818" s="18" t="s">
        <v>166</v>
      </c>
      <c r="DX818" s="16" t="s">
        <v>166</v>
      </c>
      <c r="DY818" s="16" t="s">
        <v>166</v>
      </c>
      <c r="DZ818" s="17" t="s">
        <v>166</v>
      </c>
      <c r="EA818" s="16" t="s">
        <v>166</v>
      </c>
      <c r="EB818" s="16" t="s">
        <v>166</v>
      </c>
      <c r="EC818" s="16" t="s">
        <v>166</v>
      </c>
      <c r="ED818" s="17" t="s">
        <v>166</v>
      </c>
      <c r="EE818" s="17" t="s">
        <v>166</v>
      </c>
      <c r="EF818" s="17" t="s">
        <v>166</v>
      </c>
      <c r="EG818" s="17" t="s">
        <v>166</v>
      </c>
      <c r="EH818" s="16" t="s">
        <v>166</v>
      </c>
      <c r="EI818" s="16" t="s">
        <v>166</v>
      </c>
      <c r="EJ818" s="16" t="s">
        <v>166</v>
      </c>
      <c r="EK818" s="16" t="s">
        <v>166</v>
      </c>
      <c r="EL818" s="16" t="s">
        <v>166</v>
      </c>
      <c r="EM818" s="16" t="s">
        <v>166</v>
      </c>
      <c r="EN818" s="16" t="s">
        <v>166</v>
      </c>
      <c r="EO818" s="16" t="s">
        <v>166</v>
      </c>
      <c r="EP818" s="16" t="s">
        <v>166</v>
      </c>
      <c r="EQ818" s="16" t="s">
        <v>166</v>
      </c>
      <c r="ER818" s="16" t="s">
        <v>166</v>
      </c>
      <c r="ES818" s="16" t="s">
        <v>166</v>
      </c>
      <c r="ET818" s="14" t="s">
        <v>166</v>
      </c>
      <c r="EU818" s="16" t="s">
        <v>166</v>
      </c>
      <c r="EV818" s="16" t="s">
        <v>166</v>
      </c>
      <c r="EW818" s="16" t="s">
        <v>166</v>
      </c>
      <c r="EX818" s="14" t="s">
        <v>190</v>
      </c>
      <c r="EY818" s="14" t="s">
        <v>166</v>
      </c>
      <c r="EZ818" s="16" t="s">
        <v>166</v>
      </c>
      <c r="FA818" s="15" t="s">
        <v>166</v>
      </c>
      <c r="FB818" s="15" t="s">
        <v>166</v>
      </c>
      <c r="FC818" s="15" t="s">
        <v>166</v>
      </c>
      <c r="FD818" s="15" t="s">
        <v>166</v>
      </c>
      <c r="FE818" s="15" t="s">
        <v>166</v>
      </c>
      <c r="FF818" s="15" t="s">
        <v>166</v>
      </c>
      <c r="FG818" s="14" t="s">
        <v>166</v>
      </c>
      <c r="FH818" s="3">
        <f>HYPERLINK("https://my.pitchbook.com?c=192714-85T","View Company Online")</f>
      </c>
    </row>
    <row r="819">
      <c r="A819" s="25" t="s">
        <v>15614</v>
      </c>
      <c r="B819" s="25" t="s">
        <v>15615</v>
      </c>
      <c r="C819" s="25" t="s">
        <v>15616</v>
      </c>
      <c r="D819" s="25" t="s">
        <v>166</v>
      </c>
      <c r="E819" s="34" t="s">
        <v>15617</v>
      </c>
      <c r="F819" s="32">
        <v>8</v>
      </c>
      <c r="G819" s="25" t="s">
        <v>15618</v>
      </c>
      <c r="H819" s="25" t="s">
        <v>166</v>
      </c>
      <c r="I819" s="25" t="s">
        <v>15619</v>
      </c>
      <c r="J819" s="25" t="s">
        <v>15620</v>
      </c>
      <c r="K819" s="25" t="s">
        <v>207</v>
      </c>
      <c r="L819" s="25" t="s">
        <v>208</v>
      </c>
      <c r="M819" s="25" t="s">
        <v>209</v>
      </c>
      <c r="N819" s="25" t="s">
        <v>15621</v>
      </c>
      <c r="O819" s="25" t="s">
        <v>211</v>
      </c>
      <c r="P819" s="25" t="s">
        <v>15622</v>
      </c>
      <c r="Q819" s="25" t="s">
        <v>166</v>
      </c>
      <c r="R819" s="25" t="s">
        <v>177</v>
      </c>
      <c r="S819" s="25" t="s">
        <v>178</v>
      </c>
      <c r="T819" s="25" t="s">
        <v>179</v>
      </c>
      <c r="U819" s="25" t="s">
        <v>15623</v>
      </c>
      <c r="V819" s="25" t="s">
        <v>15624</v>
      </c>
      <c r="W819" s="32" t="s">
        <v>15625</v>
      </c>
      <c r="X819" s="25" t="s">
        <v>15626</v>
      </c>
      <c r="Y819" s="25" t="s">
        <v>15627</v>
      </c>
      <c r="Z819" s="25" t="s">
        <v>15628</v>
      </c>
      <c r="AA819" s="25" t="s">
        <v>242</v>
      </c>
      <c r="AB819" s="25" t="s">
        <v>243</v>
      </c>
      <c r="AC819" s="25" t="s">
        <v>244</v>
      </c>
      <c r="AD819" s="25" t="s">
        <v>243</v>
      </c>
      <c r="AE819" s="25" t="s">
        <v>243</v>
      </c>
      <c r="AF819" s="25" t="s">
        <v>166</v>
      </c>
      <c r="AG819" s="25" t="s">
        <v>246</v>
      </c>
      <c r="AH819" s="32">
        <v>1</v>
      </c>
      <c r="AI819" s="4">
        <f>HYPERLINK("https://my.pitchbook.com/?d=213126-31T","213126-31T")</f>
      </c>
      <c r="AJ819" s="30" t="s">
        <v>166</v>
      </c>
      <c r="AK819" s="30">
        <v>44943</v>
      </c>
      <c r="AL819" s="29">
        <v>2.78</v>
      </c>
      <c r="AM819" s="25" t="s">
        <v>185</v>
      </c>
      <c r="AN819" s="29">
        <v>8</v>
      </c>
      <c r="AO819" s="29">
        <v>10.78</v>
      </c>
      <c r="AP819" s="25" t="s">
        <v>185</v>
      </c>
      <c r="AQ819" s="32" t="s">
        <v>166</v>
      </c>
      <c r="AR819" s="32" t="s">
        <v>166</v>
      </c>
      <c r="AS819" s="28">
        <v>25.81</v>
      </c>
      <c r="AT819" s="29">
        <v>2.78</v>
      </c>
      <c r="AU819" s="32" t="s">
        <v>186</v>
      </c>
      <c r="AV819" s="32" t="s">
        <v>166</v>
      </c>
      <c r="AW819" s="29">
        <v>1.19</v>
      </c>
      <c r="AX819" s="32" t="s">
        <v>166</v>
      </c>
      <c r="AY819" s="25" t="s">
        <v>217</v>
      </c>
      <c r="AZ819" s="25" t="s">
        <v>217</v>
      </c>
      <c r="BA819" s="25" t="s">
        <v>166</v>
      </c>
      <c r="BB819" s="32" t="s">
        <v>166</v>
      </c>
      <c r="BC819" s="25" t="s">
        <v>179</v>
      </c>
      <c r="BD819" s="25" t="s">
        <v>15629</v>
      </c>
      <c r="BE819" s="25" t="s">
        <v>189</v>
      </c>
      <c r="BF819" s="29">
        <v>2.78</v>
      </c>
      <c r="BG819" s="25" t="s">
        <v>190</v>
      </c>
      <c r="BH819" s="25" t="s">
        <v>166</v>
      </c>
      <c r="BI819" s="25" t="s">
        <v>166</v>
      </c>
      <c r="BJ819" s="29" t="s">
        <v>166</v>
      </c>
      <c r="BK819" s="29" t="s">
        <v>166</v>
      </c>
      <c r="BL819" s="25" t="s">
        <v>191</v>
      </c>
      <c r="BM819" s="25" t="s">
        <v>178</v>
      </c>
      <c r="BN819" s="25" t="s">
        <v>177</v>
      </c>
      <c r="BO819" s="33" t="s">
        <v>166</v>
      </c>
      <c r="BP819" s="25" t="s">
        <v>15617</v>
      </c>
      <c r="BQ819" s="32">
        <v>8</v>
      </c>
      <c r="BR819" s="25" t="s">
        <v>166</v>
      </c>
      <c r="BS819" s="32" t="s">
        <v>166</v>
      </c>
      <c r="BT819" s="25" t="s">
        <v>15630</v>
      </c>
      <c r="BU819" s="25" t="s">
        <v>166</v>
      </c>
      <c r="BV819" s="25" t="s">
        <v>15631</v>
      </c>
      <c r="BW819" s="25" t="s">
        <v>166</v>
      </c>
      <c r="BX819" s="25" t="s">
        <v>166</v>
      </c>
      <c r="BY819" s="25" t="s">
        <v>166</v>
      </c>
      <c r="BZ819" s="25" t="s">
        <v>15632</v>
      </c>
      <c r="CA819" s="25" t="s">
        <v>15632</v>
      </c>
      <c r="CB819" s="25" t="s">
        <v>166</v>
      </c>
      <c r="CC819" s="25" t="s">
        <v>166</v>
      </c>
      <c r="CD819" s="25" t="s">
        <v>166</v>
      </c>
      <c r="CE819" s="29" t="s">
        <v>166</v>
      </c>
      <c r="CF819" s="27" t="s">
        <v>166</v>
      </c>
      <c r="CG819" s="28" t="s">
        <v>166</v>
      </c>
      <c r="CH819" s="27" t="s">
        <v>166</v>
      </c>
      <c r="CI819" s="27" t="s">
        <v>166</v>
      </c>
      <c r="CJ819" s="27" t="s">
        <v>166</v>
      </c>
      <c r="CK819" s="27" t="s">
        <v>166</v>
      </c>
      <c r="CL819" s="27" t="s">
        <v>166</v>
      </c>
      <c r="CM819" s="31" t="s">
        <v>166</v>
      </c>
      <c r="CN819" s="27" t="s">
        <v>166</v>
      </c>
      <c r="CO819" s="27" t="s">
        <v>166</v>
      </c>
      <c r="CP819" s="27" t="s">
        <v>166</v>
      </c>
      <c r="CQ819" s="27" t="s">
        <v>166</v>
      </c>
      <c r="CR819" s="27" t="s">
        <v>166</v>
      </c>
      <c r="CS819" s="27" t="s">
        <v>166</v>
      </c>
      <c r="CT819" s="27" t="s">
        <v>166</v>
      </c>
      <c r="CU819" s="27" t="s">
        <v>166</v>
      </c>
      <c r="CV819" s="27" t="s">
        <v>166</v>
      </c>
      <c r="CW819" s="27" t="s">
        <v>166</v>
      </c>
      <c r="CX819" s="27" t="s">
        <v>166</v>
      </c>
      <c r="CY819" s="27" t="s">
        <v>166</v>
      </c>
      <c r="CZ819" s="27" t="s">
        <v>166</v>
      </c>
      <c r="DA819" s="27" t="s">
        <v>166</v>
      </c>
      <c r="DB819" s="27" t="s">
        <v>166</v>
      </c>
      <c r="DC819" s="27" t="s">
        <v>166</v>
      </c>
      <c r="DD819" s="27" t="s">
        <v>166</v>
      </c>
      <c r="DE819" s="28" t="s">
        <v>166</v>
      </c>
      <c r="DF819" s="33">
        <v>6</v>
      </c>
      <c r="DG819" s="25" t="s">
        <v>15633</v>
      </c>
      <c r="DH819" s="25" t="s">
        <v>193</v>
      </c>
      <c r="DI819" s="25" t="s">
        <v>194</v>
      </c>
      <c r="DJ819" s="25" t="s">
        <v>15634</v>
      </c>
      <c r="DK819" s="25" t="s">
        <v>257</v>
      </c>
      <c r="DL819" s="32" t="s">
        <v>2652</v>
      </c>
      <c r="DM819" s="25" t="s">
        <v>198</v>
      </c>
      <c r="DN819" s="24" t="s">
        <v>15635</v>
      </c>
      <c r="DO819" s="31">
        <v>2022</v>
      </c>
      <c r="DP819" s="25" t="s">
        <v>166</v>
      </c>
      <c r="DQ819" s="25" t="s">
        <v>166</v>
      </c>
      <c r="DR819" s="29" t="s">
        <v>166</v>
      </c>
      <c r="DS819" s="27" t="s">
        <v>166</v>
      </c>
      <c r="DT819" s="30" t="s">
        <v>166</v>
      </c>
      <c r="DU819" s="25" t="s">
        <v>166</v>
      </c>
      <c r="DV819" s="29" t="s">
        <v>166</v>
      </c>
      <c r="DW819" s="29" t="s">
        <v>166</v>
      </c>
      <c r="DX819" s="27" t="s">
        <v>166</v>
      </c>
      <c r="DY819" s="27" t="s">
        <v>166</v>
      </c>
      <c r="DZ819" s="28" t="s">
        <v>166</v>
      </c>
      <c r="EA819" s="27" t="s">
        <v>166</v>
      </c>
      <c r="EB819" s="27" t="s">
        <v>166</v>
      </c>
      <c r="EC819" s="27" t="s">
        <v>166</v>
      </c>
      <c r="ED819" s="28" t="s">
        <v>166</v>
      </c>
      <c r="EE819" s="28" t="s">
        <v>166</v>
      </c>
      <c r="EF819" s="28" t="s">
        <v>166</v>
      </c>
      <c r="EG819" s="28" t="s">
        <v>166</v>
      </c>
      <c r="EH819" s="27" t="s">
        <v>166</v>
      </c>
      <c r="EI819" s="27" t="s">
        <v>166</v>
      </c>
      <c r="EJ819" s="27" t="s">
        <v>166</v>
      </c>
      <c r="EK819" s="27" t="s">
        <v>166</v>
      </c>
      <c r="EL819" s="27" t="s">
        <v>166</v>
      </c>
      <c r="EM819" s="27" t="s">
        <v>166</v>
      </c>
      <c r="EN819" s="27" t="s">
        <v>166</v>
      </c>
      <c r="EO819" s="27" t="s">
        <v>166</v>
      </c>
      <c r="EP819" s="27" t="s">
        <v>166</v>
      </c>
      <c r="EQ819" s="27" t="s">
        <v>166</v>
      </c>
      <c r="ER819" s="27" t="s">
        <v>166</v>
      </c>
      <c r="ES819" s="27" t="s">
        <v>166</v>
      </c>
      <c r="ET819" s="25" t="s">
        <v>166</v>
      </c>
      <c r="EU819" s="27" t="s">
        <v>166</v>
      </c>
      <c r="EV819" s="27" t="s">
        <v>166</v>
      </c>
      <c r="EW819" s="27" t="s">
        <v>166</v>
      </c>
      <c r="EX819" s="25" t="s">
        <v>190</v>
      </c>
      <c r="EY819" s="25" t="s">
        <v>166</v>
      </c>
      <c r="EZ819" s="27" t="s">
        <v>166</v>
      </c>
      <c r="FA819" s="26">
        <v>2</v>
      </c>
      <c r="FB819" s="26">
        <v>1</v>
      </c>
      <c r="FC819" s="26" t="s">
        <v>166</v>
      </c>
      <c r="FD819" s="26" t="s">
        <v>166</v>
      </c>
      <c r="FE819" s="26" t="s">
        <v>166</v>
      </c>
      <c r="FF819" s="26">
        <v>2</v>
      </c>
      <c r="FG819" s="25" t="s">
        <v>166</v>
      </c>
      <c r="FH819" s="4">
        <f>HYPERLINK("https://my.pitchbook.com?c=213126-31T","View Company Online")</f>
      </c>
    </row>
    <row r="820">
      <c r="A820" s="14" t="s">
        <v>15636</v>
      </c>
      <c r="B820" s="14" t="s">
        <v>15637</v>
      </c>
      <c r="C820" s="14" t="s">
        <v>15638</v>
      </c>
      <c r="D820" s="14" t="s">
        <v>166</v>
      </c>
      <c r="E820" s="23" t="s">
        <v>15639</v>
      </c>
      <c r="F820" s="21">
        <v>3</v>
      </c>
      <c r="G820" s="14" t="s">
        <v>15640</v>
      </c>
      <c r="H820" s="14" t="s">
        <v>166</v>
      </c>
      <c r="I820" s="14" t="s">
        <v>15641</v>
      </c>
      <c r="J820" s="14" t="s">
        <v>15642</v>
      </c>
      <c r="K820" s="14" t="s">
        <v>207</v>
      </c>
      <c r="L820" s="14" t="s">
        <v>208</v>
      </c>
      <c r="M820" s="14" t="s">
        <v>1766</v>
      </c>
      <c r="N820" s="14" t="s">
        <v>15643</v>
      </c>
      <c r="O820" s="14" t="s">
        <v>1768</v>
      </c>
      <c r="P820" s="14" t="s">
        <v>15644</v>
      </c>
      <c r="Q820" s="14" t="s">
        <v>166</v>
      </c>
      <c r="R820" s="14" t="s">
        <v>177</v>
      </c>
      <c r="S820" s="14" t="s">
        <v>178</v>
      </c>
      <c r="T820" s="14" t="s">
        <v>179</v>
      </c>
      <c r="U820" s="14" t="s">
        <v>15645</v>
      </c>
      <c r="V820" s="14" t="s">
        <v>15646</v>
      </c>
      <c r="W820" s="21" t="s">
        <v>15647</v>
      </c>
      <c r="X820" s="14" t="s">
        <v>15648</v>
      </c>
      <c r="Y820" s="14" t="s">
        <v>15649</v>
      </c>
      <c r="Z820" s="14" t="s">
        <v>166</v>
      </c>
      <c r="AA820" s="14" t="s">
        <v>166</v>
      </c>
      <c r="AB820" s="14" t="s">
        <v>166</v>
      </c>
      <c r="AC820" s="14" t="s">
        <v>166</v>
      </c>
      <c r="AD820" s="14" t="s">
        <v>166</v>
      </c>
      <c r="AE820" s="14" t="s">
        <v>166</v>
      </c>
      <c r="AF820" s="14" t="s">
        <v>166</v>
      </c>
      <c r="AG820" s="14" t="s">
        <v>166</v>
      </c>
      <c r="AH820" s="21">
        <v>1</v>
      </c>
      <c r="AI820" s="3">
        <f>HYPERLINK("https://my.pitchbook.com/?d=194189-59T","194189-59T")</f>
      </c>
      <c r="AJ820" s="19" t="s">
        <v>166</v>
      </c>
      <c r="AK820" s="19">
        <v>44682</v>
      </c>
      <c r="AL820" s="18">
        <v>3.25</v>
      </c>
      <c r="AM820" s="14" t="s">
        <v>185</v>
      </c>
      <c r="AN820" s="18" t="s">
        <v>166</v>
      </c>
      <c r="AO820" s="18" t="s">
        <v>166</v>
      </c>
      <c r="AP820" s="14" t="s">
        <v>166</v>
      </c>
      <c r="AQ820" s="21" t="s">
        <v>166</v>
      </c>
      <c r="AR820" s="21" t="s">
        <v>166</v>
      </c>
      <c r="AS820" s="17" t="s">
        <v>166</v>
      </c>
      <c r="AT820" s="18">
        <v>3.25</v>
      </c>
      <c r="AU820" s="21" t="s">
        <v>186</v>
      </c>
      <c r="AV820" s="21" t="s">
        <v>166</v>
      </c>
      <c r="AW820" s="18" t="s">
        <v>166</v>
      </c>
      <c r="AX820" s="21" t="s">
        <v>746</v>
      </c>
      <c r="AY820" s="14" t="s">
        <v>217</v>
      </c>
      <c r="AZ820" s="14" t="s">
        <v>746</v>
      </c>
      <c r="BA820" s="14" t="s">
        <v>166</v>
      </c>
      <c r="BB820" s="21" t="s">
        <v>166</v>
      </c>
      <c r="BC820" s="14" t="s">
        <v>179</v>
      </c>
      <c r="BD820" s="14" t="s">
        <v>15650</v>
      </c>
      <c r="BE820" s="14" t="s">
        <v>189</v>
      </c>
      <c r="BF820" s="18">
        <v>3.25</v>
      </c>
      <c r="BG820" s="14" t="s">
        <v>190</v>
      </c>
      <c r="BH820" s="14" t="s">
        <v>166</v>
      </c>
      <c r="BI820" s="14" t="s">
        <v>166</v>
      </c>
      <c r="BJ820" s="18" t="s">
        <v>166</v>
      </c>
      <c r="BK820" s="18" t="s">
        <v>166</v>
      </c>
      <c r="BL820" s="14" t="s">
        <v>191</v>
      </c>
      <c r="BM820" s="14" t="s">
        <v>178</v>
      </c>
      <c r="BN820" s="14" t="s">
        <v>177</v>
      </c>
      <c r="BO820" s="22" t="s">
        <v>166</v>
      </c>
      <c r="BP820" s="14" t="s">
        <v>15651</v>
      </c>
      <c r="BQ820" s="21">
        <v>3</v>
      </c>
      <c r="BR820" s="14" t="s">
        <v>166</v>
      </c>
      <c r="BS820" s="21" t="s">
        <v>166</v>
      </c>
      <c r="BT820" s="14" t="s">
        <v>15652</v>
      </c>
      <c r="BU820" s="14" t="s">
        <v>166</v>
      </c>
      <c r="BV820" s="14" t="s">
        <v>15653</v>
      </c>
      <c r="BW820" s="14" t="s">
        <v>166</v>
      </c>
      <c r="BX820" s="14" t="s">
        <v>166</v>
      </c>
      <c r="BY820" s="14" t="s">
        <v>166</v>
      </c>
      <c r="BZ820" s="14" t="s">
        <v>5861</v>
      </c>
      <c r="CA820" s="14" t="s">
        <v>166</v>
      </c>
      <c r="CB820" s="14" t="s">
        <v>166</v>
      </c>
      <c r="CC820" s="14" t="s">
        <v>5861</v>
      </c>
      <c r="CD820" s="14" t="s">
        <v>166</v>
      </c>
      <c r="CE820" s="18" t="s">
        <v>166</v>
      </c>
      <c r="CF820" s="16" t="s">
        <v>166</v>
      </c>
      <c r="CG820" s="17" t="s">
        <v>166</v>
      </c>
      <c r="CH820" s="16" t="s">
        <v>166</v>
      </c>
      <c r="CI820" s="16" t="s">
        <v>166</v>
      </c>
      <c r="CJ820" s="16" t="s">
        <v>166</v>
      </c>
      <c r="CK820" s="16" t="s">
        <v>166</v>
      </c>
      <c r="CL820" s="16" t="s">
        <v>166</v>
      </c>
      <c r="CM820" s="20" t="s">
        <v>166</v>
      </c>
      <c r="CN820" s="16" t="s">
        <v>166</v>
      </c>
      <c r="CO820" s="16" t="s">
        <v>166</v>
      </c>
      <c r="CP820" s="16" t="s">
        <v>166</v>
      </c>
      <c r="CQ820" s="16" t="s">
        <v>166</v>
      </c>
      <c r="CR820" s="16" t="s">
        <v>166</v>
      </c>
      <c r="CS820" s="16" t="s">
        <v>166</v>
      </c>
      <c r="CT820" s="16" t="s">
        <v>166</v>
      </c>
      <c r="CU820" s="16" t="s">
        <v>166</v>
      </c>
      <c r="CV820" s="16" t="s">
        <v>166</v>
      </c>
      <c r="CW820" s="16" t="s">
        <v>166</v>
      </c>
      <c r="CX820" s="16" t="s">
        <v>166</v>
      </c>
      <c r="CY820" s="16" t="s">
        <v>166</v>
      </c>
      <c r="CZ820" s="16" t="s">
        <v>166</v>
      </c>
      <c r="DA820" s="16" t="s">
        <v>166</v>
      </c>
      <c r="DB820" s="16" t="s">
        <v>166</v>
      </c>
      <c r="DC820" s="16" t="s">
        <v>166</v>
      </c>
      <c r="DD820" s="16" t="s">
        <v>166</v>
      </c>
      <c r="DE820" s="17" t="s">
        <v>166</v>
      </c>
      <c r="DF820" s="22">
        <v>30</v>
      </c>
      <c r="DG820" s="14" t="s">
        <v>14272</v>
      </c>
      <c r="DH820" s="14" t="s">
        <v>193</v>
      </c>
      <c r="DI820" s="14" t="s">
        <v>194</v>
      </c>
      <c r="DJ820" s="14" t="s">
        <v>14273</v>
      </c>
      <c r="DK820" s="14" t="s">
        <v>386</v>
      </c>
      <c r="DL820" s="21" t="s">
        <v>14274</v>
      </c>
      <c r="DM820" s="14" t="s">
        <v>198</v>
      </c>
      <c r="DN820" s="13" t="s">
        <v>15654</v>
      </c>
      <c r="DO820" s="20">
        <v>2016</v>
      </c>
      <c r="DP820" s="14" t="s">
        <v>166</v>
      </c>
      <c r="DQ820" s="14" t="s">
        <v>166</v>
      </c>
      <c r="DR820" s="18" t="s">
        <v>166</v>
      </c>
      <c r="DS820" s="16" t="s">
        <v>166</v>
      </c>
      <c r="DT820" s="19" t="s">
        <v>166</v>
      </c>
      <c r="DU820" s="14" t="s">
        <v>166</v>
      </c>
      <c r="DV820" s="18" t="s">
        <v>166</v>
      </c>
      <c r="DW820" s="18" t="s">
        <v>166</v>
      </c>
      <c r="DX820" s="16" t="s">
        <v>166</v>
      </c>
      <c r="DY820" s="16" t="s">
        <v>166</v>
      </c>
      <c r="DZ820" s="17" t="s">
        <v>166</v>
      </c>
      <c r="EA820" s="16" t="s">
        <v>166</v>
      </c>
      <c r="EB820" s="16" t="s">
        <v>166</v>
      </c>
      <c r="EC820" s="16" t="s">
        <v>166</v>
      </c>
      <c r="ED820" s="17" t="s">
        <v>166</v>
      </c>
      <c r="EE820" s="17" t="s">
        <v>166</v>
      </c>
      <c r="EF820" s="17" t="s">
        <v>166</v>
      </c>
      <c r="EG820" s="17" t="s">
        <v>166</v>
      </c>
      <c r="EH820" s="16" t="s">
        <v>166</v>
      </c>
      <c r="EI820" s="16" t="s">
        <v>166</v>
      </c>
      <c r="EJ820" s="16" t="s">
        <v>166</v>
      </c>
      <c r="EK820" s="16" t="s">
        <v>166</v>
      </c>
      <c r="EL820" s="16" t="s">
        <v>166</v>
      </c>
      <c r="EM820" s="16" t="s">
        <v>166</v>
      </c>
      <c r="EN820" s="16" t="s">
        <v>166</v>
      </c>
      <c r="EO820" s="16" t="s">
        <v>166</v>
      </c>
      <c r="EP820" s="16" t="s">
        <v>166</v>
      </c>
      <c r="EQ820" s="16" t="s">
        <v>166</v>
      </c>
      <c r="ER820" s="16" t="s">
        <v>166</v>
      </c>
      <c r="ES820" s="16" t="s">
        <v>166</v>
      </c>
      <c r="ET820" s="14" t="s">
        <v>166</v>
      </c>
      <c r="EU820" s="16" t="s">
        <v>166</v>
      </c>
      <c r="EV820" s="16" t="s">
        <v>166</v>
      </c>
      <c r="EW820" s="16" t="s">
        <v>166</v>
      </c>
      <c r="EX820" s="14" t="s">
        <v>190</v>
      </c>
      <c r="EY820" s="14" t="s">
        <v>166</v>
      </c>
      <c r="EZ820" s="16" t="s">
        <v>166</v>
      </c>
      <c r="FA820" s="15" t="s">
        <v>166</v>
      </c>
      <c r="FB820" s="15" t="s">
        <v>166</v>
      </c>
      <c r="FC820" s="15" t="s">
        <v>166</v>
      </c>
      <c r="FD820" s="15" t="s">
        <v>166</v>
      </c>
      <c r="FE820" s="15" t="s">
        <v>166</v>
      </c>
      <c r="FF820" s="15" t="s">
        <v>166</v>
      </c>
      <c r="FG820" s="14" t="s">
        <v>166</v>
      </c>
      <c r="FH820" s="3">
        <f>HYPERLINK("https://my.pitchbook.com?c=194189-59T","View Company Online")</f>
      </c>
    </row>
    <row r="821">
      <c r="A821" s="25" t="s">
        <v>15655</v>
      </c>
      <c r="B821" s="25" t="s">
        <v>15656</v>
      </c>
      <c r="C821" s="25" t="s">
        <v>15657</v>
      </c>
      <c r="D821" s="25" t="s">
        <v>166</v>
      </c>
      <c r="E821" s="34" t="s">
        <v>15658</v>
      </c>
      <c r="F821" s="32">
        <v>18</v>
      </c>
      <c r="G821" s="25" t="s">
        <v>15659</v>
      </c>
      <c r="H821" s="25" t="s">
        <v>166</v>
      </c>
      <c r="I821" s="25" t="s">
        <v>15660</v>
      </c>
      <c r="J821" s="25" t="s">
        <v>15661</v>
      </c>
      <c r="K821" s="25" t="s">
        <v>207</v>
      </c>
      <c r="L821" s="25" t="s">
        <v>208</v>
      </c>
      <c r="M821" s="25" t="s">
        <v>209</v>
      </c>
      <c r="N821" s="25" t="s">
        <v>269</v>
      </c>
      <c r="O821" s="25" t="s">
        <v>4904</v>
      </c>
      <c r="P821" s="25" t="s">
        <v>15662</v>
      </c>
      <c r="Q821" s="25" t="s">
        <v>166</v>
      </c>
      <c r="R821" s="25" t="s">
        <v>177</v>
      </c>
      <c r="S821" s="25" t="s">
        <v>178</v>
      </c>
      <c r="T821" s="25" t="s">
        <v>179</v>
      </c>
      <c r="U821" s="25" t="s">
        <v>15663</v>
      </c>
      <c r="V821" s="25" t="s">
        <v>15664</v>
      </c>
      <c r="W821" s="32" t="s">
        <v>15665</v>
      </c>
      <c r="X821" s="25" t="s">
        <v>15666</v>
      </c>
      <c r="Y821" s="25" t="s">
        <v>15667</v>
      </c>
      <c r="Z821" s="25" t="s">
        <v>15668</v>
      </c>
      <c r="AA821" s="25" t="s">
        <v>379</v>
      </c>
      <c r="AB821" s="25" t="s">
        <v>243</v>
      </c>
      <c r="AC821" s="25" t="s">
        <v>244</v>
      </c>
      <c r="AD821" s="25" t="s">
        <v>243</v>
      </c>
      <c r="AE821" s="25" t="s">
        <v>243</v>
      </c>
      <c r="AF821" s="25" t="s">
        <v>166</v>
      </c>
      <c r="AG821" s="25" t="s">
        <v>166</v>
      </c>
      <c r="AH821" s="32">
        <v>5</v>
      </c>
      <c r="AI821" s="4">
        <f>HYPERLINK("https://my.pitchbook.com/?d=200070-01T","200070-01T")</f>
      </c>
      <c r="AJ821" s="30">
        <v>44256</v>
      </c>
      <c r="AK821" s="30">
        <v>44753</v>
      </c>
      <c r="AL821" s="29">
        <v>2.5</v>
      </c>
      <c r="AM821" s="25" t="s">
        <v>185</v>
      </c>
      <c r="AN821" s="29">
        <v>6</v>
      </c>
      <c r="AO821" s="29">
        <v>8.89</v>
      </c>
      <c r="AP821" s="25" t="s">
        <v>185</v>
      </c>
      <c r="AQ821" s="32" t="s">
        <v>166</v>
      </c>
      <c r="AR821" s="32" t="s">
        <v>166</v>
      </c>
      <c r="AS821" s="28">
        <v>28.13</v>
      </c>
      <c r="AT821" s="29">
        <v>2.85</v>
      </c>
      <c r="AU821" s="32" t="s">
        <v>186</v>
      </c>
      <c r="AV821" s="32" t="s">
        <v>166</v>
      </c>
      <c r="AW821" s="29">
        <v>0.83</v>
      </c>
      <c r="AX821" s="32" t="s">
        <v>166</v>
      </c>
      <c r="AY821" s="25" t="s">
        <v>217</v>
      </c>
      <c r="AZ821" s="25" t="s">
        <v>217</v>
      </c>
      <c r="BA821" s="25" t="s">
        <v>166</v>
      </c>
      <c r="BB821" s="32" t="s">
        <v>166</v>
      </c>
      <c r="BC821" s="25" t="s">
        <v>179</v>
      </c>
      <c r="BD821" s="25" t="s">
        <v>15669</v>
      </c>
      <c r="BE821" s="25" t="s">
        <v>189</v>
      </c>
      <c r="BF821" s="29">
        <v>2.5</v>
      </c>
      <c r="BG821" s="25" t="s">
        <v>190</v>
      </c>
      <c r="BH821" s="25" t="s">
        <v>166</v>
      </c>
      <c r="BI821" s="25" t="s">
        <v>166</v>
      </c>
      <c r="BJ821" s="29" t="s">
        <v>166</v>
      </c>
      <c r="BK821" s="29" t="s">
        <v>166</v>
      </c>
      <c r="BL821" s="25" t="s">
        <v>191</v>
      </c>
      <c r="BM821" s="25" t="s">
        <v>178</v>
      </c>
      <c r="BN821" s="25" t="s">
        <v>177</v>
      </c>
      <c r="BO821" s="33" t="s">
        <v>166</v>
      </c>
      <c r="BP821" s="25" t="s">
        <v>15670</v>
      </c>
      <c r="BQ821" s="32">
        <v>17</v>
      </c>
      <c r="BR821" s="25" t="s">
        <v>3624</v>
      </c>
      <c r="BS821" s="32">
        <v>1</v>
      </c>
      <c r="BT821" s="25" t="s">
        <v>15671</v>
      </c>
      <c r="BU821" s="25" t="s">
        <v>166</v>
      </c>
      <c r="BV821" s="25" t="s">
        <v>15672</v>
      </c>
      <c r="BW821" s="25" t="s">
        <v>166</v>
      </c>
      <c r="BX821" s="25" t="s">
        <v>166</v>
      </c>
      <c r="BY821" s="25" t="s">
        <v>166</v>
      </c>
      <c r="BZ821" s="25" t="s">
        <v>15673</v>
      </c>
      <c r="CA821" s="25" t="s">
        <v>15674</v>
      </c>
      <c r="CB821" s="25" t="s">
        <v>166</v>
      </c>
      <c r="CC821" s="25" t="s">
        <v>15675</v>
      </c>
      <c r="CD821" s="25" t="s">
        <v>166</v>
      </c>
      <c r="CE821" s="29" t="s">
        <v>166</v>
      </c>
      <c r="CF821" s="27" t="s">
        <v>166</v>
      </c>
      <c r="CG821" s="28" t="s">
        <v>166</v>
      </c>
      <c r="CH821" s="27" t="s">
        <v>166</v>
      </c>
      <c r="CI821" s="27" t="s">
        <v>166</v>
      </c>
      <c r="CJ821" s="27" t="s">
        <v>166</v>
      </c>
      <c r="CK821" s="27" t="s">
        <v>166</v>
      </c>
      <c r="CL821" s="27" t="s">
        <v>166</v>
      </c>
      <c r="CM821" s="31" t="s">
        <v>166</v>
      </c>
      <c r="CN821" s="27" t="s">
        <v>166</v>
      </c>
      <c r="CO821" s="27" t="s">
        <v>166</v>
      </c>
      <c r="CP821" s="27" t="s">
        <v>166</v>
      </c>
      <c r="CQ821" s="27" t="s">
        <v>166</v>
      </c>
      <c r="CR821" s="27" t="s">
        <v>166</v>
      </c>
      <c r="CS821" s="27" t="s">
        <v>166</v>
      </c>
      <c r="CT821" s="27" t="s">
        <v>166</v>
      </c>
      <c r="CU821" s="27" t="s">
        <v>166</v>
      </c>
      <c r="CV821" s="27" t="s">
        <v>166</v>
      </c>
      <c r="CW821" s="27" t="s">
        <v>166</v>
      </c>
      <c r="CX821" s="27" t="s">
        <v>166</v>
      </c>
      <c r="CY821" s="27" t="s">
        <v>166</v>
      </c>
      <c r="CZ821" s="27" t="s">
        <v>166</v>
      </c>
      <c r="DA821" s="27" t="s">
        <v>166</v>
      </c>
      <c r="DB821" s="27" t="s">
        <v>166</v>
      </c>
      <c r="DC821" s="27" t="s">
        <v>166</v>
      </c>
      <c r="DD821" s="27" t="s">
        <v>166</v>
      </c>
      <c r="DE821" s="28" t="s">
        <v>166</v>
      </c>
      <c r="DF821" s="33">
        <v>13</v>
      </c>
      <c r="DG821" s="25" t="s">
        <v>1929</v>
      </c>
      <c r="DH821" s="25" t="s">
        <v>193</v>
      </c>
      <c r="DI821" s="25" t="s">
        <v>194</v>
      </c>
      <c r="DJ821" s="25" t="s">
        <v>1930</v>
      </c>
      <c r="DK821" s="25" t="s">
        <v>545</v>
      </c>
      <c r="DL821" s="32" t="s">
        <v>15676</v>
      </c>
      <c r="DM821" s="25" t="s">
        <v>198</v>
      </c>
      <c r="DN821" s="24" t="s">
        <v>15677</v>
      </c>
      <c r="DO821" s="31">
        <v>2018</v>
      </c>
      <c r="DP821" s="25" t="s">
        <v>166</v>
      </c>
      <c r="DQ821" s="25" t="s">
        <v>166</v>
      </c>
      <c r="DR821" s="29" t="s">
        <v>166</v>
      </c>
      <c r="DS821" s="27" t="s">
        <v>166</v>
      </c>
      <c r="DT821" s="30" t="s">
        <v>166</v>
      </c>
      <c r="DU821" s="25" t="s">
        <v>166</v>
      </c>
      <c r="DV821" s="29" t="s">
        <v>166</v>
      </c>
      <c r="DW821" s="29" t="s">
        <v>166</v>
      </c>
      <c r="DX821" s="27" t="s">
        <v>166</v>
      </c>
      <c r="DY821" s="27" t="s">
        <v>166</v>
      </c>
      <c r="DZ821" s="28" t="s">
        <v>166</v>
      </c>
      <c r="EA821" s="27" t="s">
        <v>166</v>
      </c>
      <c r="EB821" s="27" t="s">
        <v>166</v>
      </c>
      <c r="EC821" s="27" t="s">
        <v>166</v>
      </c>
      <c r="ED821" s="28" t="s">
        <v>166</v>
      </c>
      <c r="EE821" s="28" t="s">
        <v>166</v>
      </c>
      <c r="EF821" s="28" t="s">
        <v>166</v>
      </c>
      <c r="EG821" s="28" t="s">
        <v>166</v>
      </c>
      <c r="EH821" s="27" t="s">
        <v>166</v>
      </c>
      <c r="EI821" s="27" t="s">
        <v>166</v>
      </c>
      <c r="EJ821" s="27" t="s">
        <v>166</v>
      </c>
      <c r="EK821" s="27" t="s">
        <v>166</v>
      </c>
      <c r="EL821" s="27" t="s">
        <v>166</v>
      </c>
      <c r="EM821" s="27" t="s">
        <v>166</v>
      </c>
      <c r="EN821" s="27" t="s">
        <v>166</v>
      </c>
      <c r="EO821" s="27" t="s">
        <v>166</v>
      </c>
      <c r="EP821" s="27" t="s">
        <v>166</v>
      </c>
      <c r="EQ821" s="27" t="s">
        <v>166</v>
      </c>
      <c r="ER821" s="27" t="s">
        <v>166</v>
      </c>
      <c r="ES821" s="27" t="s">
        <v>166</v>
      </c>
      <c r="ET821" s="25" t="s">
        <v>166</v>
      </c>
      <c r="EU821" s="27" t="s">
        <v>166</v>
      </c>
      <c r="EV821" s="27" t="s">
        <v>166</v>
      </c>
      <c r="EW821" s="27" t="s">
        <v>166</v>
      </c>
      <c r="EX821" s="25" t="s">
        <v>190</v>
      </c>
      <c r="EY821" s="25" t="s">
        <v>166</v>
      </c>
      <c r="EZ821" s="27" t="s">
        <v>166</v>
      </c>
      <c r="FA821" s="26" t="s">
        <v>166</v>
      </c>
      <c r="FB821" s="26" t="s">
        <v>166</v>
      </c>
      <c r="FC821" s="26" t="s">
        <v>166</v>
      </c>
      <c r="FD821" s="26" t="s">
        <v>166</v>
      </c>
      <c r="FE821" s="26" t="s">
        <v>166</v>
      </c>
      <c r="FF821" s="26" t="s">
        <v>166</v>
      </c>
      <c r="FG821" s="25" t="s">
        <v>166</v>
      </c>
      <c r="FH821" s="4">
        <f>HYPERLINK("https://my.pitchbook.com?c=200070-01T","View Company Online")</f>
      </c>
    </row>
    <row r="822">
      <c r="A822" s="14" t="s">
        <v>15678</v>
      </c>
      <c r="B822" s="14" t="s">
        <v>15679</v>
      </c>
      <c r="C822" s="14" t="s">
        <v>15680</v>
      </c>
      <c r="D822" s="14" t="s">
        <v>166</v>
      </c>
      <c r="E822" s="23" t="s">
        <v>15681</v>
      </c>
      <c r="F822" s="21">
        <v>3</v>
      </c>
      <c r="G822" s="14" t="s">
        <v>15682</v>
      </c>
      <c r="H822" s="14" t="s">
        <v>166</v>
      </c>
      <c r="I822" s="14" t="s">
        <v>15683</v>
      </c>
      <c r="J822" s="14" t="s">
        <v>15684</v>
      </c>
      <c r="K822" s="14" t="s">
        <v>207</v>
      </c>
      <c r="L822" s="14" t="s">
        <v>208</v>
      </c>
      <c r="M822" s="14" t="s">
        <v>209</v>
      </c>
      <c r="N822" s="14" t="s">
        <v>15685</v>
      </c>
      <c r="O822" s="14" t="s">
        <v>884</v>
      </c>
      <c r="P822" s="14" t="s">
        <v>15686</v>
      </c>
      <c r="Q822" s="14" t="s">
        <v>166</v>
      </c>
      <c r="R822" s="14" t="s">
        <v>177</v>
      </c>
      <c r="S822" s="14" t="s">
        <v>178</v>
      </c>
      <c r="T822" s="14" t="s">
        <v>179</v>
      </c>
      <c r="U822" s="14" t="s">
        <v>15687</v>
      </c>
      <c r="V822" s="14" t="s">
        <v>15688</v>
      </c>
      <c r="W822" s="21" t="s">
        <v>166</v>
      </c>
      <c r="X822" s="14" t="s">
        <v>15689</v>
      </c>
      <c r="Y822" s="14" t="s">
        <v>15690</v>
      </c>
      <c r="Z822" s="14" t="s">
        <v>166</v>
      </c>
      <c r="AA822" s="14" t="s">
        <v>242</v>
      </c>
      <c r="AB822" s="14" t="s">
        <v>243</v>
      </c>
      <c r="AC822" s="14" t="s">
        <v>244</v>
      </c>
      <c r="AD822" s="14" t="s">
        <v>166</v>
      </c>
      <c r="AE822" s="14" t="s">
        <v>243</v>
      </c>
      <c r="AF822" s="14" t="s">
        <v>166</v>
      </c>
      <c r="AG822" s="14" t="s">
        <v>166</v>
      </c>
      <c r="AH822" s="21">
        <v>1</v>
      </c>
      <c r="AI822" s="3">
        <f>HYPERLINK("https://my.pitchbook.com/?d=190652-95T","190652-95T")</f>
      </c>
      <c r="AJ822" s="19">
        <v>44567</v>
      </c>
      <c r="AK822" s="19">
        <v>44621</v>
      </c>
      <c r="AL822" s="18">
        <v>0.71</v>
      </c>
      <c r="AM822" s="14" t="s">
        <v>247</v>
      </c>
      <c r="AN822" s="18">
        <v>2.15</v>
      </c>
      <c r="AO822" s="18">
        <v>2.86</v>
      </c>
      <c r="AP822" s="14" t="s">
        <v>185</v>
      </c>
      <c r="AQ822" s="21" t="s">
        <v>166</v>
      </c>
      <c r="AR822" s="21" t="s">
        <v>166</v>
      </c>
      <c r="AS822" s="17">
        <v>25</v>
      </c>
      <c r="AT822" s="18">
        <v>0.71</v>
      </c>
      <c r="AU822" s="21" t="s">
        <v>186</v>
      </c>
      <c r="AV822" s="21" t="s">
        <v>166</v>
      </c>
      <c r="AW822" s="18">
        <v>0.27</v>
      </c>
      <c r="AX822" s="21" t="s">
        <v>6753</v>
      </c>
      <c r="AY822" s="14" t="s">
        <v>217</v>
      </c>
      <c r="AZ822" s="14" t="s">
        <v>6753</v>
      </c>
      <c r="BA822" s="14" t="s">
        <v>166</v>
      </c>
      <c r="BB822" s="21" t="s">
        <v>166</v>
      </c>
      <c r="BC822" s="14" t="s">
        <v>179</v>
      </c>
      <c r="BD822" s="14" t="s">
        <v>15691</v>
      </c>
      <c r="BE822" s="14" t="s">
        <v>189</v>
      </c>
      <c r="BF822" s="18">
        <v>0.71</v>
      </c>
      <c r="BG822" s="14" t="s">
        <v>190</v>
      </c>
      <c r="BH822" s="14" t="s">
        <v>166</v>
      </c>
      <c r="BI822" s="14" t="s">
        <v>166</v>
      </c>
      <c r="BJ822" s="18" t="s">
        <v>166</v>
      </c>
      <c r="BK822" s="18" t="s">
        <v>166</v>
      </c>
      <c r="BL822" s="14" t="s">
        <v>191</v>
      </c>
      <c r="BM822" s="14" t="s">
        <v>178</v>
      </c>
      <c r="BN822" s="14" t="s">
        <v>177</v>
      </c>
      <c r="BO822" s="22" t="s">
        <v>166</v>
      </c>
      <c r="BP822" s="14" t="s">
        <v>15692</v>
      </c>
      <c r="BQ822" s="21">
        <v>3</v>
      </c>
      <c r="BR822" s="14" t="s">
        <v>166</v>
      </c>
      <c r="BS822" s="21" t="s">
        <v>166</v>
      </c>
      <c r="BT822" s="14" t="s">
        <v>166</v>
      </c>
      <c r="BU822" s="14" t="s">
        <v>166</v>
      </c>
      <c r="BV822" s="14" t="s">
        <v>15693</v>
      </c>
      <c r="BW822" s="14" t="s">
        <v>166</v>
      </c>
      <c r="BX822" s="14" t="s">
        <v>166</v>
      </c>
      <c r="BY822" s="14" t="s">
        <v>166</v>
      </c>
      <c r="BZ822" s="14" t="s">
        <v>166</v>
      </c>
      <c r="CA822" s="14" t="s">
        <v>166</v>
      </c>
      <c r="CB822" s="14" t="s">
        <v>166</v>
      </c>
      <c r="CC822" s="14" t="s">
        <v>166</v>
      </c>
      <c r="CD822" s="14" t="s">
        <v>166</v>
      </c>
      <c r="CE822" s="18" t="s">
        <v>166</v>
      </c>
      <c r="CF822" s="16" t="s">
        <v>166</v>
      </c>
      <c r="CG822" s="17" t="s">
        <v>166</v>
      </c>
      <c r="CH822" s="16" t="s">
        <v>166</v>
      </c>
      <c r="CI822" s="16" t="s">
        <v>166</v>
      </c>
      <c r="CJ822" s="16" t="s">
        <v>166</v>
      </c>
      <c r="CK822" s="16" t="s">
        <v>166</v>
      </c>
      <c r="CL822" s="16" t="s">
        <v>166</v>
      </c>
      <c r="CM822" s="20" t="s">
        <v>166</v>
      </c>
      <c r="CN822" s="16" t="s">
        <v>166</v>
      </c>
      <c r="CO822" s="16" t="s">
        <v>166</v>
      </c>
      <c r="CP822" s="16" t="s">
        <v>166</v>
      </c>
      <c r="CQ822" s="16" t="s">
        <v>166</v>
      </c>
      <c r="CR822" s="16" t="s">
        <v>166</v>
      </c>
      <c r="CS822" s="16" t="s">
        <v>166</v>
      </c>
      <c r="CT822" s="16" t="s">
        <v>166</v>
      </c>
      <c r="CU822" s="16" t="s">
        <v>166</v>
      </c>
      <c r="CV822" s="16" t="s">
        <v>166</v>
      </c>
      <c r="CW822" s="16" t="s">
        <v>166</v>
      </c>
      <c r="CX822" s="16" t="s">
        <v>166</v>
      </c>
      <c r="CY822" s="16" t="s">
        <v>166</v>
      </c>
      <c r="CZ822" s="16" t="s">
        <v>166</v>
      </c>
      <c r="DA822" s="16" t="s">
        <v>166</v>
      </c>
      <c r="DB822" s="16" t="s">
        <v>166</v>
      </c>
      <c r="DC822" s="16" t="s">
        <v>166</v>
      </c>
      <c r="DD822" s="16" t="s">
        <v>166</v>
      </c>
      <c r="DE822" s="17" t="s">
        <v>166</v>
      </c>
      <c r="DF822" s="22">
        <v>10</v>
      </c>
      <c r="DG822" s="14" t="s">
        <v>309</v>
      </c>
      <c r="DH822" s="14" t="s">
        <v>193</v>
      </c>
      <c r="DI822" s="14" t="s">
        <v>194</v>
      </c>
      <c r="DJ822" s="14" t="s">
        <v>310</v>
      </c>
      <c r="DK822" s="14" t="s">
        <v>310</v>
      </c>
      <c r="DL822" s="21" t="s">
        <v>166</v>
      </c>
      <c r="DM822" s="14" t="s">
        <v>198</v>
      </c>
      <c r="DN822" s="13" t="s">
        <v>15694</v>
      </c>
      <c r="DO822" s="20">
        <v>2017</v>
      </c>
      <c r="DP822" s="14" t="s">
        <v>166</v>
      </c>
      <c r="DQ822" s="14" t="s">
        <v>166</v>
      </c>
      <c r="DR822" s="18" t="s">
        <v>166</v>
      </c>
      <c r="DS822" s="16" t="s">
        <v>166</v>
      </c>
      <c r="DT822" s="19" t="s">
        <v>166</v>
      </c>
      <c r="DU822" s="14" t="s">
        <v>166</v>
      </c>
      <c r="DV822" s="18" t="s">
        <v>166</v>
      </c>
      <c r="DW822" s="18" t="s">
        <v>166</v>
      </c>
      <c r="DX822" s="16" t="s">
        <v>166</v>
      </c>
      <c r="DY822" s="16" t="s">
        <v>166</v>
      </c>
      <c r="DZ822" s="17" t="s">
        <v>166</v>
      </c>
      <c r="EA822" s="16" t="s">
        <v>166</v>
      </c>
      <c r="EB822" s="16" t="s">
        <v>166</v>
      </c>
      <c r="EC822" s="16" t="s">
        <v>166</v>
      </c>
      <c r="ED822" s="17" t="s">
        <v>166</v>
      </c>
      <c r="EE822" s="17" t="s">
        <v>166</v>
      </c>
      <c r="EF822" s="17" t="s">
        <v>166</v>
      </c>
      <c r="EG822" s="17" t="s">
        <v>166</v>
      </c>
      <c r="EH822" s="16" t="s">
        <v>166</v>
      </c>
      <c r="EI822" s="16" t="s">
        <v>166</v>
      </c>
      <c r="EJ822" s="16" t="s">
        <v>166</v>
      </c>
      <c r="EK822" s="16" t="s">
        <v>166</v>
      </c>
      <c r="EL822" s="16" t="s">
        <v>166</v>
      </c>
      <c r="EM822" s="16" t="s">
        <v>166</v>
      </c>
      <c r="EN822" s="16" t="s">
        <v>166</v>
      </c>
      <c r="EO822" s="16" t="s">
        <v>166</v>
      </c>
      <c r="EP822" s="16" t="s">
        <v>166</v>
      </c>
      <c r="EQ822" s="16" t="s">
        <v>166</v>
      </c>
      <c r="ER822" s="16" t="s">
        <v>166</v>
      </c>
      <c r="ES822" s="16" t="s">
        <v>166</v>
      </c>
      <c r="ET822" s="14" t="s">
        <v>166</v>
      </c>
      <c r="EU822" s="16" t="s">
        <v>166</v>
      </c>
      <c r="EV822" s="16" t="s">
        <v>166</v>
      </c>
      <c r="EW822" s="16" t="s">
        <v>166</v>
      </c>
      <c r="EX822" s="14" t="s">
        <v>190</v>
      </c>
      <c r="EY822" s="14" t="s">
        <v>166</v>
      </c>
      <c r="EZ822" s="16" t="s">
        <v>166</v>
      </c>
      <c r="FA822" s="15" t="s">
        <v>166</v>
      </c>
      <c r="FB822" s="15" t="s">
        <v>166</v>
      </c>
      <c r="FC822" s="15" t="s">
        <v>166</v>
      </c>
      <c r="FD822" s="15" t="s">
        <v>166</v>
      </c>
      <c r="FE822" s="15" t="s">
        <v>166</v>
      </c>
      <c r="FF822" s="15" t="s">
        <v>166</v>
      </c>
      <c r="FG822" s="14" t="s">
        <v>166</v>
      </c>
      <c r="FH822" s="3">
        <f>HYPERLINK("https://my.pitchbook.com?c=190652-95T","View Company Online")</f>
      </c>
    </row>
    <row r="823">
      <c r="A823" s="25" t="s">
        <v>15695</v>
      </c>
      <c r="B823" s="25" t="s">
        <v>15696</v>
      </c>
      <c r="C823" s="25" t="s">
        <v>15697</v>
      </c>
      <c r="D823" s="25" t="s">
        <v>166</v>
      </c>
      <c r="E823" s="34" t="s">
        <v>15698</v>
      </c>
      <c r="F823" s="32">
        <v>9</v>
      </c>
      <c r="G823" s="25" t="s">
        <v>15699</v>
      </c>
      <c r="H823" s="25" t="s">
        <v>166</v>
      </c>
      <c r="I823" s="25" t="s">
        <v>15700</v>
      </c>
      <c r="J823" s="25" t="s">
        <v>15701</v>
      </c>
      <c r="K823" s="25" t="s">
        <v>207</v>
      </c>
      <c r="L823" s="25" t="s">
        <v>208</v>
      </c>
      <c r="M823" s="25" t="s">
        <v>209</v>
      </c>
      <c r="N823" s="25" t="s">
        <v>2471</v>
      </c>
      <c r="O823" s="25" t="s">
        <v>665</v>
      </c>
      <c r="P823" s="25" t="s">
        <v>15702</v>
      </c>
      <c r="Q823" s="25" t="s">
        <v>166</v>
      </c>
      <c r="R823" s="25" t="s">
        <v>177</v>
      </c>
      <c r="S823" s="25" t="s">
        <v>178</v>
      </c>
      <c r="T823" s="25" t="s">
        <v>179</v>
      </c>
      <c r="U823" s="25" t="s">
        <v>15703</v>
      </c>
      <c r="V823" s="25" t="s">
        <v>15704</v>
      </c>
      <c r="W823" s="32" t="s">
        <v>15705</v>
      </c>
      <c r="X823" s="25" t="s">
        <v>15706</v>
      </c>
      <c r="Y823" s="25" t="s">
        <v>15707</v>
      </c>
      <c r="Z823" s="25" t="s">
        <v>15708</v>
      </c>
      <c r="AA823" s="25" t="s">
        <v>166</v>
      </c>
      <c r="AB823" s="25" t="s">
        <v>166</v>
      </c>
      <c r="AC823" s="25" t="s">
        <v>166</v>
      </c>
      <c r="AD823" s="25" t="s">
        <v>166</v>
      </c>
      <c r="AE823" s="25" t="s">
        <v>166</v>
      </c>
      <c r="AF823" s="25" t="s">
        <v>166</v>
      </c>
      <c r="AG823" s="25" t="s">
        <v>166</v>
      </c>
      <c r="AH823" s="32">
        <v>3</v>
      </c>
      <c r="AI823" s="4">
        <f>HYPERLINK("https://my.pitchbook.com/?d=170082-37T","170082-37T")</f>
      </c>
      <c r="AJ823" s="30">
        <v>44313</v>
      </c>
      <c r="AK823" s="30">
        <v>44550</v>
      </c>
      <c r="AL823" s="29">
        <v>2.18</v>
      </c>
      <c r="AM823" s="25" t="s">
        <v>185</v>
      </c>
      <c r="AN823" s="29">
        <v>10.32</v>
      </c>
      <c r="AO823" s="29">
        <v>12.5</v>
      </c>
      <c r="AP823" s="25" t="s">
        <v>185</v>
      </c>
      <c r="AQ823" s="32" t="s">
        <v>166</v>
      </c>
      <c r="AR823" s="32" t="s">
        <v>166</v>
      </c>
      <c r="AS823" s="28" t="s">
        <v>166</v>
      </c>
      <c r="AT823" s="29">
        <v>2.33</v>
      </c>
      <c r="AU823" s="32" t="s">
        <v>186</v>
      </c>
      <c r="AV823" s="32" t="s">
        <v>166</v>
      </c>
      <c r="AW823" s="29" t="s">
        <v>166</v>
      </c>
      <c r="AX823" s="32" t="s">
        <v>166</v>
      </c>
      <c r="AY823" s="25" t="s">
        <v>217</v>
      </c>
      <c r="AZ823" s="25" t="s">
        <v>217</v>
      </c>
      <c r="BA823" s="25" t="s">
        <v>166</v>
      </c>
      <c r="BB823" s="32" t="s">
        <v>166</v>
      </c>
      <c r="BC823" s="25" t="s">
        <v>179</v>
      </c>
      <c r="BD823" s="25" t="s">
        <v>15709</v>
      </c>
      <c r="BE823" s="25" t="s">
        <v>189</v>
      </c>
      <c r="BF823" s="29" t="s">
        <v>166</v>
      </c>
      <c r="BG823" s="25" t="s">
        <v>190</v>
      </c>
      <c r="BH823" s="25" t="s">
        <v>166</v>
      </c>
      <c r="BI823" s="25" t="s">
        <v>166</v>
      </c>
      <c r="BJ823" s="29" t="s">
        <v>166</v>
      </c>
      <c r="BK823" s="29" t="s">
        <v>166</v>
      </c>
      <c r="BL823" s="25" t="s">
        <v>191</v>
      </c>
      <c r="BM823" s="25" t="s">
        <v>178</v>
      </c>
      <c r="BN823" s="25" t="s">
        <v>177</v>
      </c>
      <c r="BO823" s="33">
        <v>7</v>
      </c>
      <c r="BP823" s="25" t="s">
        <v>15710</v>
      </c>
      <c r="BQ823" s="32">
        <v>9</v>
      </c>
      <c r="BR823" s="25" t="s">
        <v>166</v>
      </c>
      <c r="BS823" s="32" t="s">
        <v>166</v>
      </c>
      <c r="BT823" s="25" t="s">
        <v>15711</v>
      </c>
      <c r="BU823" s="25" t="s">
        <v>166</v>
      </c>
      <c r="BV823" s="25" t="s">
        <v>15712</v>
      </c>
      <c r="BW823" s="25" t="s">
        <v>166</v>
      </c>
      <c r="BX823" s="25" t="s">
        <v>166</v>
      </c>
      <c r="BY823" s="25" t="s">
        <v>166</v>
      </c>
      <c r="BZ823" s="25" t="s">
        <v>15713</v>
      </c>
      <c r="CA823" s="25" t="s">
        <v>15713</v>
      </c>
      <c r="CB823" s="25" t="s">
        <v>166</v>
      </c>
      <c r="CC823" s="25" t="s">
        <v>166</v>
      </c>
      <c r="CD823" s="25" t="s">
        <v>166</v>
      </c>
      <c r="CE823" s="29" t="s">
        <v>166</v>
      </c>
      <c r="CF823" s="27">
        <v>0.75</v>
      </c>
      <c r="CG823" s="28">
        <v>200</v>
      </c>
      <c r="CH823" s="27" t="s">
        <v>166</v>
      </c>
      <c r="CI823" s="27" t="s">
        <v>166</v>
      </c>
      <c r="CJ823" s="27" t="s">
        <v>166</v>
      </c>
      <c r="CK823" s="27" t="s">
        <v>166</v>
      </c>
      <c r="CL823" s="27" t="s">
        <v>166</v>
      </c>
      <c r="CM823" s="31">
        <v>2021</v>
      </c>
      <c r="CN823" s="27" t="s">
        <v>166</v>
      </c>
      <c r="CO823" s="27" t="s">
        <v>166</v>
      </c>
      <c r="CP823" s="27" t="s">
        <v>166</v>
      </c>
      <c r="CQ823" s="27">
        <v>16.67</v>
      </c>
      <c r="CR823" s="27" t="s">
        <v>166</v>
      </c>
      <c r="CS823" s="27" t="s">
        <v>166</v>
      </c>
      <c r="CT823" s="27" t="s">
        <v>166</v>
      </c>
      <c r="CU823" s="27" t="s">
        <v>166</v>
      </c>
      <c r="CV823" s="27">
        <v>2.91</v>
      </c>
      <c r="CW823" s="27" t="s">
        <v>166</v>
      </c>
      <c r="CX823" s="27" t="s">
        <v>166</v>
      </c>
      <c r="CY823" s="27" t="s">
        <v>166</v>
      </c>
      <c r="CZ823" s="27" t="s">
        <v>166</v>
      </c>
      <c r="DA823" s="27" t="s">
        <v>166</v>
      </c>
      <c r="DB823" s="27" t="s">
        <v>166</v>
      </c>
      <c r="DC823" s="27" t="s">
        <v>166</v>
      </c>
      <c r="DD823" s="27" t="s">
        <v>166</v>
      </c>
      <c r="DE823" s="28" t="s">
        <v>166</v>
      </c>
      <c r="DF823" s="33">
        <v>17</v>
      </c>
      <c r="DG823" s="25" t="s">
        <v>13355</v>
      </c>
      <c r="DH823" s="25" t="s">
        <v>193</v>
      </c>
      <c r="DI823" s="25" t="s">
        <v>194</v>
      </c>
      <c r="DJ823" s="25" t="s">
        <v>13356</v>
      </c>
      <c r="DK823" s="25" t="s">
        <v>13357</v>
      </c>
      <c r="DL823" s="32" t="s">
        <v>15714</v>
      </c>
      <c r="DM823" s="25" t="s">
        <v>198</v>
      </c>
      <c r="DN823" s="24" t="s">
        <v>15715</v>
      </c>
      <c r="DO823" s="31">
        <v>2019</v>
      </c>
      <c r="DP823" s="25" t="s">
        <v>166</v>
      </c>
      <c r="DQ823" s="25" t="s">
        <v>166</v>
      </c>
      <c r="DR823" s="29" t="s">
        <v>166</v>
      </c>
      <c r="DS823" s="27" t="s">
        <v>166</v>
      </c>
      <c r="DT823" s="30" t="s">
        <v>166</v>
      </c>
      <c r="DU823" s="25" t="s">
        <v>166</v>
      </c>
      <c r="DV823" s="29" t="s">
        <v>166</v>
      </c>
      <c r="DW823" s="29" t="s">
        <v>166</v>
      </c>
      <c r="DX823" s="27" t="s">
        <v>166</v>
      </c>
      <c r="DY823" s="27" t="s">
        <v>166</v>
      </c>
      <c r="DZ823" s="28" t="s">
        <v>166</v>
      </c>
      <c r="EA823" s="27" t="s">
        <v>166</v>
      </c>
      <c r="EB823" s="27" t="s">
        <v>166</v>
      </c>
      <c r="EC823" s="27" t="s">
        <v>166</v>
      </c>
      <c r="ED823" s="28" t="s">
        <v>166</v>
      </c>
      <c r="EE823" s="28" t="s">
        <v>166</v>
      </c>
      <c r="EF823" s="28" t="s">
        <v>166</v>
      </c>
      <c r="EG823" s="28" t="s">
        <v>166</v>
      </c>
      <c r="EH823" s="27" t="s">
        <v>166</v>
      </c>
      <c r="EI823" s="27" t="s">
        <v>166</v>
      </c>
      <c r="EJ823" s="27" t="s">
        <v>166</v>
      </c>
      <c r="EK823" s="27" t="s">
        <v>166</v>
      </c>
      <c r="EL823" s="27" t="s">
        <v>166</v>
      </c>
      <c r="EM823" s="27" t="s">
        <v>166</v>
      </c>
      <c r="EN823" s="27" t="s">
        <v>166</v>
      </c>
      <c r="EO823" s="27" t="s">
        <v>166</v>
      </c>
      <c r="EP823" s="27" t="s">
        <v>166</v>
      </c>
      <c r="EQ823" s="27" t="s">
        <v>166</v>
      </c>
      <c r="ER823" s="27" t="s">
        <v>166</v>
      </c>
      <c r="ES823" s="27" t="s">
        <v>166</v>
      </c>
      <c r="ET823" s="25" t="s">
        <v>166</v>
      </c>
      <c r="EU823" s="27" t="s">
        <v>166</v>
      </c>
      <c r="EV823" s="27" t="s">
        <v>166</v>
      </c>
      <c r="EW823" s="27" t="s">
        <v>166</v>
      </c>
      <c r="EX823" s="25" t="s">
        <v>190</v>
      </c>
      <c r="EY823" s="25" t="s">
        <v>166</v>
      </c>
      <c r="EZ823" s="27" t="s">
        <v>166</v>
      </c>
      <c r="FA823" s="26" t="s">
        <v>166</v>
      </c>
      <c r="FB823" s="26" t="s">
        <v>166</v>
      </c>
      <c r="FC823" s="26" t="s">
        <v>166</v>
      </c>
      <c r="FD823" s="26" t="s">
        <v>166</v>
      </c>
      <c r="FE823" s="26" t="s">
        <v>166</v>
      </c>
      <c r="FF823" s="26" t="s">
        <v>166</v>
      </c>
      <c r="FG823" s="25" t="s">
        <v>166</v>
      </c>
      <c r="FH823" s="4">
        <f>HYPERLINK("https://my.pitchbook.com?c=170082-37T","View Company Online")</f>
      </c>
    </row>
    <row r="824">
      <c r="A824" s="14" t="s">
        <v>15716</v>
      </c>
      <c r="B824" s="14" t="s">
        <v>15717</v>
      </c>
      <c r="C824" s="14" t="s">
        <v>15718</v>
      </c>
      <c r="D824" s="14" t="s">
        <v>166</v>
      </c>
      <c r="E824" s="23" t="s">
        <v>15719</v>
      </c>
      <c r="F824" s="21">
        <v>2</v>
      </c>
      <c r="G824" s="14" t="s">
        <v>15720</v>
      </c>
      <c r="H824" s="14" t="s">
        <v>166</v>
      </c>
      <c r="I824" s="14" t="s">
        <v>15721</v>
      </c>
      <c r="J824" s="14" t="s">
        <v>15722</v>
      </c>
      <c r="K824" s="14" t="s">
        <v>207</v>
      </c>
      <c r="L824" s="14" t="s">
        <v>208</v>
      </c>
      <c r="M824" s="14" t="s">
        <v>621</v>
      </c>
      <c r="N824" s="14" t="s">
        <v>10460</v>
      </c>
      <c r="O824" s="14" t="s">
        <v>7573</v>
      </c>
      <c r="P824" s="14" t="s">
        <v>15723</v>
      </c>
      <c r="Q824" s="14" t="s">
        <v>166</v>
      </c>
      <c r="R824" s="14" t="s">
        <v>177</v>
      </c>
      <c r="S824" s="14" t="s">
        <v>178</v>
      </c>
      <c r="T824" s="14" t="s">
        <v>179</v>
      </c>
      <c r="U824" s="14" t="s">
        <v>15724</v>
      </c>
      <c r="V824" s="14" t="s">
        <v>15725</v>
      </c>
      <c r="W824" s="21" t="s">
        <v>166</v>
      </c>
      <c r="X824" s="14" t="s">
        <v>15726</v>
      </c>
      <c r="Y824" s="14" t="s">
        <v>15727</v>
      </c>
      <c r="Z824" s="14" t="s">
        <v>15728</v>
      </c>
      <c r="AA824" s="14" t="s">
        <v>166</v>
      </c>
      <c r="AB824" s="14" t="s">
        <v>166</v>
      </c>
      <c r="AC824" s="14" t="s">
        <v>166</v>
      </c>
      <c r="AD824" s="14" t="s">
        <v>166</v>
      </c>
      <c r="AE824" s="14" t="s">
        <v>166</v>
      </c>
      <c r="AF824" s="14" t="s">
        <v>166</v>
      </c>
      <c r="AG824" s="14" t="s">
        <v>166</v>
      </c>
      <c r="AH824" s="21">
        <v>2</v>
      </c>
      <c r="AI824" s="3">
        <f>HYPERLINK("https://my.pitchbook.com/?d=173594-35T","173594-35T")</f>
      </c>
      <c r="AJ824" s="19" t="s">
        <v>166</v>
      </c>
      <c r="AK824" s="19">
        <v>44306</v>
      </c>
      <c r="AL824" s="18">
        <v>0.4</v>
      </c>
      <c r="AM824" s="14" t="s">
        <v>185</v>
      </c>
      <c r="AN824" s="18" t="s">
        <v>166</v>
      </c>
      <c r="AO824" s="18" t="s">
        <v>166</v>
      </c>
      <c r="AP824" s="14" t="s">
        <v>166</v>
      </c>
      <c r="AQ824" s="21" t="s">
        <v>166</v>
      </c>
      <c r="AR824" s="21" t="s">
        <v>166</v>
      </c>
      <c r="AS824" s="17" t="s">
        <v>166</v>
      </c>
      <c r="AT824" s="18">
        <v>0.42</v>
      </c>
      <c r="AU824" s="21" t="s">
        <v>186</v>
      </c>
      <c r="AV824" s="21" t="s">
        <v>166</v>
      </c>
      <c r="AW824" s="18" t="s">
        <v>166</v>
      </c>
      <c r="AX824" s="21" t="s">
        <v>746</v>
      </c>
      <c r="AY824" s="14" t="s">
        <v>217</v>
      </c>
      <c r="AZ824" s="14" t="s">
        <v>746</v>
      </c>
      <c r="BA824" s="14" t="s">
        <v>166</v>
      </c>
      <c r="BB824" s="21" t="s">
        <v>166</v>
      </c>
      <c r="BC824" s="14" t="s">
        <v>179</v>
      </c>
      <c r="BD824" s="14" t="s">
        <v>15729</v>
      </c>
      <c r="BE824" s="14" t="s">
        <v>189</v>
      </c>
      <c r="BF824" s="18">
        <v>0.4</v>
      </c>
      <c r="BG824" s="14" t="s">
        <v>190</v>
      </c>
      <c r="BH824" s="14" t="s">
        <v>166</v>
      </c>
      <c r="BI824" s="14" t="s">
        <v>166</v>
      </c>
      <c r="BJ824" s="18" t="s">
        <v>166</v>
      </c>
      <c r="BK824" s="18" t="s">
        <v>166</v>
      </c>
      <c r="BL824" s="14" t="s">
        <v>191</v>
      </c>
      <c r="BM824" s="14" t="s">
        <v>178</v>
      </c>
      <c r="BN824" s="14" t="s">
        <v>177</v>
      </c>
      <c r="BO824" s="22" t="s">
        <v>166</v>
      </c>
      <c r="BP824" s="14" t="s">
        <v>15719</v>
      </c>
      <c r="BQ824" s="21">
        <v>2</v>
      </c>
      <c r="BR824" s="14" t="s">
        <v>166</v>
      </c>
      <c r="BS824" s="21" t="s">
        <v>166</v>
      </c>
      <c r="BT824" s="14" t="s">
        <v>166</v>
      </c>
      <c r="BU824" s="14" t="s">
        <v>166</v>
      </c>
      <c r="BV824" s="14" t="s">
        <v>15730</v>
      </c>
      <c r="BW824" s="14" t="s">
        <v>166</v>
      </c>
      <c r="BX824" s="14" t="s">
        <v>166</v>
      </c>
      <c r="BY824" s="14" t="s">
        <v>166</v>
      </c>
      <c r="BZ824" s="14" t="s">
        <v>166</v>
      </c>
      <c r="CA824" s="14" t="s">
        <v>166</v>
      </c>
      <c r="CB824" s="14" t="s">
        <v>166</v>
      </c>
      <c r="CC824" s="14" t="s">
        <v>166</v>
      </c>
      <c r="CD824" s="14" t="s">
        <v>166</v>
      </c>
      <c r="CE824" s="18" t="s">
        <v>166</v>
      </c>
      <c r="CF824" s="16" t="s">
        <v>166</v>
      </c>
      <c r="CG824" s="17" t="s">
        <v>166</v>
      </c>
      <c r="CH824" s="16" t="s">
        <v>166</v>
      </c>
      <c r="CI824" s="16" t="s">
        <v>166</v>
      </c>
      <c r="CJ824" s="16" t="s">
        <v>166</v>
      </c>
      <c r="CK824" s="16" t="s">
        <v>166</v>
      </c>
      <c r="CL824" s="16" t="s">
        <v>166</v>
      </c>
      <c r="CM824" s="20" t="s">
        <v>166</v>
      </c>
      <c r="CN824" s="16" t="s">
        <v>166</v>
      </c>
      <c r="CO824" s="16" t="s">
        <v>166</v>
      </c>
      <c r="CP824" s="16" t="s">
        <v>166</v>
      </c>
      <c r="CQ824" s="16" t="s">
        <v>166</v>
      </c>
      <c r="CR824" s="16" t="s">
        <v>166</v>
      </c>
      <c r="CS824" s="16" t="s">
        <v>166</v>
      </c>
      <c r="CT824" s="16" t="s">
        <v>166</v>
      </c>
      <c r="CU824" s="16" t="s">
        <v>166</v>
      </c>
      <c r="CV824" s="16" t="s">
        <v>166</v>
      </c>
      <c r="CW824" s="16" t="s">
        <v>166</v>
      </c>
      <c r="CX824" s="16" t="s">
        <v>166</v>
      </c>
      <c r="CY824" s="16" t="s">
        <v>166</v>
      </c>
      <c r="CZ824" s="16" t="s">
        <v>166</v>
      </c>
      <c r="DA824" s="16" t="s">
        <v>166</v>
      </c>
      <c r="DB824" s="16" t="s">
        <v>166</v>
      </c>
      <c r="DC824" s="16" t="s">
        <v>166</v>
      </c>
      <c r="DD824" s="16" t="s">
        <v>166</v>
      </c>
      <c r="DE824" s="17" t="s">
        <v>166</v>
      </c>
      <c r="DF824" s="22">
        <v>4</v>
      </c>
      <c r="DG824" s="14" t="s">
        <v>673</v>
      </c>
      <c r="DH824" s="14" t="s">
        <v>193</v>
      </c>
      <c r="DI824" s="14" t="s">
        <v>194</v>
      </c>
      <c r="DJ824" s="14" t="s">
        <v>674</v>
      </c>
      <c r="DK824" s="14" t="s">
        <v>257</v>
      </c>
      <c r="DL824" s="21" t="s">
        <v>166</v>
      </c>
      <c r="DM824" s="14" t="s">
        <v>198</v>
      </c>
      <c r="DN824" s="13" t="s">
        <v>15731</v>
      </c>
      <c r="DO824" s="20">
        <v>2020</v>
      </c>
      <c r="DP824" s="14" t="s">
        <v>166</v>
      </c>
      <c r="DQ824" s="14" t="s">
        <v>166</v>
      </c>
      <c r="DR824" s="18" t="s">
        <v>166</v>
      </c>
      <c r="DS824" s="16" t="s">
        <v>166</v>
      </c>
      <c r="DT824" s="19" t="s">
        <v>166</v>
      </c>
      <c r="DU824" s="14" t="s">
        <v>166</v>
      </c>
      <c r="DV824" s="18" t="s">
        <v>166</v>
      </c>
      <c r="DW824" s="18" t="s">
        <v>166</v>
      </c>
      <c r="DX824" s="16" t="s">
        <v>166</v>
      </c>
      <c r="DY824" s="16" t="s">
        <v>166</v>
      </c>
      <c r="DZ824" s="17" t="s">
        <v>166</v>
      </c>
      <c r="EA824" s="16" t="s">
        <v>166</v>
      </c>
      <c r="EB824" s="16" t="s">
        <v>166</v>
      </c>
      <c r="EC824" s="16" t="s">
        <v>166</v>
      </c>
      <c r="ED824" s="17" t="s">
        <v>166</v>
      </c>
      <c r="EE824" s="17" t="s">
        <v>166</v>
      </c>
      <c r="EF824" s="17" t="s">
        <v>166</v>
      </c>
      <c r="EG824" s="17" t="s">
        <v>166</v>
      </c>
      <c r="EH824" s="16" t="s">
        <v>166</v>
      </c>
      <c r="EI824" s="16" t="s">
        <v>166</v>
      </c>
      <c r="EJ824" s="16" t="s">
        <v>166</v>
      </c>
      <c r="EK824" s="16" t="s">
        <v>166</v>
      </c>
      <c r="EL824" s="16" t="s">
        <v>166</v>
      </c>
      <c r="EM824" s="16" t="s">
        <v>166</v>
      </c>
      <c r="EN824" s="16" t="s">
        <v>166</v>
      </c>
      <c r="EO824" s="16" t="s">
        <v>166</v>
      </c>
      <c r="EP824" s="16" t="s">
        <v>166</v>
      </c>
      <c r="EQ824" s="16" t="s">
        <v>166</v>
      </c>
      <c r="ER824" s="16" t="s">
        <v>166</v>
      </c>
      <c r="ES824" s="16" t="s">
        <v>166</v>
      </c>
      <c r="ET824" s="14" t="s">
        <v>166</v>
      </c>
      <c r="EU824" s="16" t="s">
        <v>166</v>
      </c>
      <c r="EV824" s="16" t="s">
        <v>166</v>
      </c>
      <c r="EW824" s="16" t="s">
        <v>166</v>
      </c>
      <c r="EX824" s="14" t="s">
        <v>190</v>
      </c>
      <c r="EY824" s="14" t="s">
        <v>166</v>
      </c>
      <c r="EZ824" s="16" t="s">
        <v>166</v>
      </c>
      <c r="FA824" s="15" t="s">
        <v>166</v>
      </c>
      <c r="FB824" s="15" t="s">
        <v>166</v>
      </c>
      <c r="FC824" s="15" t="s">
        <v>166</v>
      </c>
      <c r="FD824" s="15" t="s">
        <v>166</v>
      </c>
      <c r="FE824" s="15" t="s">
        <v>166</v>
      </c>
      <c r="FF824" s="15" t="s">
        <v>166</v>
      </c>
      <c r="FG824" s="14" t="s">
        <v>166</v>
      </c>
      <c r="FH824" s="3">
        <f>HYPERLINK("https://my.pitchbook.com?c=173594-35T","View Company Online")</f>
      </c>
    </row>
    <row r="825">
      <c r="A825" s="25" t="s">
        <v>15732</v>
      </c>
      <c r="B825" s="25" t="s">
        <v>15733</v>
      </c>
      <c r="C825" s="25" t="s">
        <v>15734</v>
      </c>
      <c r="D825" s="25" t="s">
        <v>166</v>
      </c>
      <c r="E825" s="34" t="s">
        <v>15735</v>
      </c>
      <c r="F825" s="32">
        <v>4</v>
      </c>
      <c r="G825" s="25" t="s">
        <v>15736</v>
      </c>
      <c r="H825" s="25" t="s">
        <v>166</v>
      </c>
      <c r="I825" s="25" t="s">
        <v>15737</v>
      </c>
      <c r="J825" s="25" t="s">
        <v>15738</v>
      </c>
      <c r="K825" s="25" t="s">
        <v>171</v>
      </c>
      <c r="L825" s="25" t="s">
        <v>172</v>
      </c>
      <c r="M825" s="25" t="s">
        <v>173</v>
      </c>
      <c r="N825" s="25" t="s">
        <v>2890</v>
      </c>
      <c r="O825" s="25" t="s">
        <v>7573</v>
      </c>
      <c r="P825" s="25" t="s">
        <v>15739</v>
      </c>
      <c r="Q825" s="25" t="s">
        <v>166</v>
      </c>
      <c r="R825" s="25" t="s">
        <v>177</v>
      </c>
      <c r="S825" s="25" t="s">
        <v>178</v>
      </c>
      <c r="T825" s="25" t="s">
        <v>179</v>
      </c>
      <c r="U825" s="25" t="s">
        <v>15740</v>
      </c>
      <c r="V825" s="25" t="s">
        <v>15741</v>
      </c>
      <c r="W825" s="32" t="s">
        <v>15742</v>
      </c>
      <c r="X825" s="25" t="s">
        <v>15743</v>
      </c>
      <c r="Y825" s="25" t="s">
        <v>15744</v>
      </c>
      <c r="Z825" s="25" t="s">
        <v>166</v>
      </c>
      <c r="AA825" s="25" t="s">
        <v>242</v>
      </c>
      <c r="AB825" s="25" t="s">
        <v>243</v>
      </c>
      <c r="AC825" s="25" t="s">
        <v>244</v>
      </c>
      <c r="AD825" s="25" t="s">
        <v>243</v>
      </c>
      <c r="AE825" s="25" t="s">
        <v>243</v>
      </c>
      <c r="AF825" s="25" t="s">
        <v>166</v>
      </c>
      <c r="AG825" s="25" t="s">
        <v>807</v>
      </c>
      <c r="AH825" s="32">
        <v>1</v>
      </c>
      <c r="AI825" s="4">
        <f>HYPERLINK("https://my.pitchbook.com/?d=247352-23T","247352-23T")</f>
      </c>
      <c r="AJ825" s="30" t="s">
        <v>166</v>
      </c>
      <c r="AK825" s="30">
        <v>45257</v>
      </c>
      <c r="AL825" s="29">
        <v>8.89</v>
      </c>
      <c r="AM825" s="25" t="s">
        <v>247</v>
      </c>
      <c r="AN825" s="29">
        <v>12</v>
      </c>
      <c r="AO825" s="29">
        <v>20.89</v>
      </c>
      <c r="AP825" s="25" t="s">
        <v>247</v>
      </c>
      <c r="AQ825" s="32" t="s">
        <v>166</v>
      </c>
      <c r="AR825" s="32" t="s">
        <v>166</v>
      </c>
      <c r="AS825" s="28">
        <v>54.58</v>
      </c>
      <c r="AT825" s="29">
        <v>8.89</v>
      </c>
      <c r="AU825" s="32" t="s">
        <v>186</v>
      </c>
      <c r="AV825" s="32" t="s">
        <v>166</v>
      </c>
      <c r="AW825" s="29">
        <v>1.05</v>
      </c>
      <c r="AX825" s="32" t="s">
        <v>166</v>
      </c>
      <c r="AY825" s="25" t="s">
        <v>217</v>
      </c>
      <c r="AZ825" s="25" t="s">
        <v>217</v>
      </c>
      <c r="BA825" s="25" t="s">
        <v>166</v>
      </c>
      <c r="BB825" s="32" t="s">
        <v>166</v>
      </c>
      <c r="BC825" s="25" t="s">
        <v>179</v>
      </c>
      <c r="BD825" s="25" t="s">
        <v>15745</v>
      </c>
      <c r="BE825" s="25" t="s">
        <v>189</v>
      </c>
      <c r="BF825" s="29">
        <v>8.89</v>
      </c>
      <c r="BG825" s="25" t="s">
        <v>190</v>
      </c>
      <c r="BH825" s="25" t="s">
        <v>166</v>
      </c>
      <c r="BI825" s="25" t="s">
        <v>166</v>
      </c>
      <c r="BJ825" s="29" t="s">
        <v>166</v>
      </c>
      <c r="BK825" s="29" t="s">
        <v>166</v>
      </c>
      <c r="BL825" s="25" t="s">
        <v>191</v>
      </c>
      <c r="BM825" s="25" t="s">
        <v>178</v>
      </c>
      <c r="BN825" s="25" t="s">
        <v>177</v>
      </c>
      <c r="BO825" s="33" t="s">
        <v>166</v>
      </c>
      <c r="BP825" s="25" t="s">
        <v>15746</v>
      </c>
      <c r="BQ825" s="32">
        <v>4</v>
      </c>
      <c r="BR825" s="25" t="s">
        <v>166</v>
      </c>
      <c r="BS825" s="32" t="s">
        <v>166</v>
      </c>
      <c r="BT825" s="25" t="s">
        <v>166</v>
      </c>
      <c r="BU825" s="25" t="s">
        <v>166</v>
      </c>
      <c r="BV825" s="25" t="s">
        <v>166</v>
      </c>
      <c r="BW825" s="25" t="s">
        <v>166</v>
      </c>
      <c r="BX825" s="25" t="s">
        <v>166</v>
      </c>
      <c r="BY825" s="25" t="s">
        <v>166</v>
      </c>
      <c r="BZ825" s="25" t="s">
        <v>166</v>
      </c>
      <c r="CA825" s="25" t="s">
        <v>166</v>
      </c>
      <c r="CB825" s="25" t="s">
        <v>166</v>
      </c>
      <c r="CC825" s="25" t="s">
        <v>166</v>
      </c>
      <c r="CD825" s="25" t="s">
        <v>166</v>
      </c>
      <c r="CE825" s="29" t="s">
        <v>166</v>
      </c>
      <c r="CF825" s="27">
        <v>7</v>
      </c>
      <c r="CG825" s="28" t="s">
        <v>166</v>
      </c>
      <c r="CH825" s="27" t="s">
        <v>166</v>
      </c>
      <c r="CI825" s="27" t="s">
        <v>166</v>
      </c>
      <c r="CJ825" s="27" t="s">
        <v>166</v>
      </c>
      <c r="CK825" s="27" t="s">
        <v>166</v>
      </c>
      <c r="CL825" s="27" t="s">
        <v>166</v>
      </c>
      <c r="CM825" s="31">
        <v>2023</v>
      </c>
      <c r="CN825" s="27" t="s">
        <v>166</v>
      </c>
      <c r="CO825" s="27" t="s">
        <v>166</v>
      </c>
      <c r="CP825" s="27" t="s">
        <v>166</v>
      </c>
      <c r="CQ825" s="27">
        <v>2.98</v>
      </c>
      <c r="CR825" s="27" t="s">
        <v>166</v>
      </c>
      <c r="CS825" s="27" t="s">
        <v>166</v>
      </c>
      <c r="CT825" s="27" t="s">
        <v>166</v>
      </c>
      <c r="CU825" s="27" t="s">
        <v>166</v>
      </c>
      <c r="CV825" s="27">
        <v>1.27</v>
      </c>
      <c r="CW825" s="27" t="s">
        <v>166</v>
      </c>
      <c r="CX825" s="27" t="s">
        <v>166</v>
      </c>
      <c r="CY825" s="27" t="s">
        <v>166</v>
      </c>
      <c r="CZ825" s="27" t="s">
        <v>166</v>
      </c>
      <c r="DA825" s="27" t="s">
        <v>166</v>
      </c>
      <c r="DB825" s="27" t="s">
        <v>166</v>
      </c>
      <c r="DC825" s="27" t="s">
        <v>166</v>
      </c>
      <c r="DD825" s="27" t="s">
        <v>166</v>
      </c>
      <c r="DE825" s="28" t="s">
        <v>166</v>
      </c>
      <c r="DF825" s="33">
        <v>20</v>
      </c>
      <c r="DG825" s="25" t="s">
        <v>309</v>
      </c>
      <c r="DH825" s="25" t="s">
        <v>193</v>
      </c>
      <c r="DI825" s="25" t="s">
        <v>194</v>
      </c>
      <c r="DJ825" s="25" t="s">
        <v>310</v>
      </c>
      <c r="DK825" s="25" t="s">
        <v>310</v>
      </c>
      <c r="DL825" s="32" t="s">
        <v>13429</v>
      </c>
      <c r="DM825" s="25" t="s">
        <v>198</v>
      </c>
      <c r="DN825" s="24" t="s">
        <v>15747</v>
      </c>
      <c r="DO825" s="31">
        <v>2021</v>
      </c>
      <c r="DP825" s="25" t="s">
        <v>166</v>
      </c>
      <c r="DQ825" s="25" t="s">
        <v>166</v>
      </c>
      <c r="DR825" s="29" t="s">
        <v>166</v>
      </c>
      <c r="DS825" s="27" t="s">
        <v>166</v>
      </c>
      <c r="DT825" s="30" t="s">
        <v>166</v>
      </c>
      <c r="DU825" s="25" t="s">
        <v>166</v>
      </c>
      <c r="DV825" s="29" t="s">
        <v>166</v>
      </c>
      <c r="DW825" s="29" t="s">
        <v>166</v>
      </c>
      <c r="DX825" s="27" t="s">
        <v>166</v>
      </c>
      <c r="DY825" s="27" t="s">
        <v>166</v>
      </c>
      <c r="DZ825" s="28" t="s">
        <v>166</v>
      </c>
      <c r="EA825" s="27" t="s">
        <v>166</v>
      </c>
      <c r="EB825" s="27" t="s">
        <v>166</v>
      </c>
      <c r="EC825" s="27" t="s">
        <v>166</v>
      </c>
      <c r="ED825" s="28" t="s">
        <v>166</v>
      </c>
      <c r="EE825" s="28" t="s">
        <v>166</v>
      </c>
      <c r="EF825" s="28" t="s">
        <v>166</v>
      </c>
      <c r="EG825" s="28" t="s">
        <v>166</v>
      </c>
      <c r="EH825" s="27" t="s">
        <v>166</v>
      </c>
      <c r="EI825" s="27" t="s">
        <v>166</v>
      </c>
      <c r="EJ825" s="27" t="s">
        <v>166</v>
      </c>
      <c r="EK825" s="27" t="s">
        <v>166</v>
      </c>
      <c r="EL825" s="27" t="s">
        <v>166</v>
      </c>
      <c r="EM825" s="27" t="s">
        <v>166</v>
      </c>
      <c r="EN825" s="27" t="s">
        <v>166</v>
      </c>
      <c r="EO825" s="27" t="s">
        <v>166</v>
      </c>
      <c r="EP825" s="27" t="s">
        <v>166</v>
      </c>
      <c r="EQ825" s="27" t="s">
        <v>166</v>
      </c>
      <c r="ER825" s="27" t="s">
        <v>166</v>
      </c>
      <c r="ES825" s="27" t="s">
        <v>166</v>
      </c>
      <c r="ET825" s="25" t="s">
        <v>166</v>
      </c>
      <c r="EU825" s="27" t="s">
        <v>166</v>
      </c>
      <c r="EV825" s="27" t="s">
        <v>166</v>
      </c>
      <c r="EW825" s="27" t="s">
        <v>166</v>
      </c>
      <c r="EX825" s="25" t="s">
        <v>190</v>
      </c>
      <c r="EY825" s="25" t="s">
        <v>166</v>
      </c>
      <c r="EZ825" s="27" t="s">
        <v>166</v>
      </c>
      <c r="FA825" s="26" t="s">
        <v>166</v>
      </c>
      <c r="FB825" s="26" t="s">
        <v>166</v>
      </c>
      <c r="FC825" s="26" t="s">
        <v>166</v>
      </c>
      <c r="FD825" s="26" t="s">
        <v>166</v>
      </c>
      <c r="FE825" s="26" t="s">
        <v>166</v>
      </c>
      <c r="FF825" s="26" t="s">
        <v>166</v>
      </c>
      <c r="FG825" s="25" t="s">
        <v>166</v>
      </c>
      <c r="FH825" s="4">
        <f>HYPERLINK("https://my.pitchbook.com?c=247352-23T","View Company Online")</f>
      </c>
    </row>
    <row r="826">
      <c r="A826" s="14" t="s">
        <v>15748</v>
      </c>
      <c r="B826" s="14" t="s">
        <v>15749</v>
      </c>
      <c r="C826" s="14" t="s">
        <v>15750</v>
      </c>
      <c r="D826" s="14" t="s">
        <v>166</v>
      </c>
      <c r="E826" s="23" t="s">
        <v>15751</v>
      </c>
      <c r="F826" s="21">
        <v>4</v>
      </c>
      <c r="G826" s="14" t="s">
        <v>15752</v>
      </c>
      <c r="H826" s="14" t="s">
        <v>166</v>
      </c>
      <c r="I826" s="14" t="s">
        <v>15753</v>
      </c>
      <c r="J826" s="14" t="s">
        <v>15754</v>
      </c>
      <c r="K826" s="14" t="s">
        <v>321</v>
      </c>
      <c r="L826" s="14" t="s">
        <v>322</v>
      </c>
      <c r="M826" s="14" t="s">
        <v>322</v>
      </c>
      <c r="N826" s="14" t="s">
        <v>2410</v>
      </c>
      <c r="O826" s="14" t="s">
        <v>509</v>
      </c>
      <c r="P826" s="14" t="s">
        <v>15755</v>
      </c>
      <c r="Q826" s="14" t="s">
        <v>166</v>
      </c>
      <c r="R826" s="14" t="s">
        <v>177</v>
      </c>
      <c r="S826" s="14" t="s">
        <v>178</v>
      </c>
      <c r="T826" s="14" t="s">
        <v>179</v>
      </c>
      <c r="U826" s="14" t="s">
        <v>15756</v>
      </c>
      <c r="V826" s="14" t="s">
        <v>15757</v>
      </c>
      <c r="W826" s="21" t="s">
        <v>15758</v>
      </c>
      <c r="X826" s="14" t="s">
        <v>15759</v>
      </c>
      <c r="Y826" s="14" t="s">
        <v>15760</v>
      </c>
      <c r="Z826" s="14" t="s">
        <v>15761</v>
      </c>
      <c r="AA826" s="14" t="s">
        <v>242</v>
      </c>
      <c r="AB826" s="14" t="s">
        <v>243</v>
      </c>
      <c r="AC826" s="14" t="s">
        <v>244</v>
      </c>
      <c r="AD826" s="14" t="s">
        <v>243</v>
      </c>
      <c r="AE826" s="14" t="s">
        <v>243</v>
      </c>
      <c r="AF826" s="14" t="s">
        <v>166</v>
      </c>
      <c r="AG826" s="14" t="s">
        <v>246</v>
      </c>
      <c r="AH826" s="21">
        <v>1</v>
      </c>
      <c r="AI826" s="3">
        <f>HYPERLINK("https://my.pitchbook.com/?d=268923-97T","268923-97T")</f>
      </c>
      <c r="AJ826" s="19">
        <v>45496</v>
      </c>
      <c r="AK826" s="19">
        <v>45526</v>
      </c>
      <c r="AL826" s="18">
        <v>4.71</v>
      </c>
      <c r="AM826" s="14" t="s">
        <v>185</v>
      </c>
      <c r="AN826" s="18">
        <v>14.5</v>
      </c>
      <c r="AO826" s="18">
        <v>19.21</v>
      </c>
      <c r="AP826" s="14" t="s">
        <v>185</v>
      </c>
      <c r="AQ826" s="21" t="s">
        <v>166</v>
      </c>
      <c r="AR826" s="21" t="s">
        <v>166</v>
      </c>
      <c r="AS826" s="17">
        <v>26.13</v>
      </c>
      <c r="AT826" s="18">
        <v>4.71</v>
      </c>
      <c r="AU826" s="21" t="s">
        <v>186</v>
      </c>
      <c r="AV826" s="21" t="s">
        <v>166</v>
      </c>
      <c r="AW826" s="18">
        <v>0.69</v>
      </c>
      <c r="AX826" s="21" t="s">
        <v>166</v>
      </c>
      <c r="AY826" s="14" t="s">
        <v>217</v>
      </c>
      <c r="AZ826" s="14" t="s">
        <v>217</v>
      </c>
      <c r="BA826" s="14" t="s">
        <v>166</v>
      </c>
      <c r="BB826" s="21" t="s">
        <v>166</v>
      </c>
      <c r="BC826" s="14" t="s">
        <v>179</v>
      </c>
      <c r="BD826" s="14" t="s">
        <v>15754</v>
      </c>
      <c r="BE826" s="14" t="s">
        <v>189</v>
      </c>
      <c r="BF826" s="18">
        <v>4.71</v>
      </c>
      <c r="BG826" s="14" t="s">
        <v>190</v>
      </c>
      <c r="BH826" s="14" t="s">
        <v>166</v>
      </c>
      <c r="BI826" s="14" t="s">
        <v>166</v>
      </c>
      <c r="BJ826" s="18" t="s">
        <v>166</v>
      </c>
      <c r="BK826" s="18" t="s">
        <v>166</v>
      </c>
      <c r="BL826" s="14" t="s">
        <v>191</v>
      </c>
      <c r="BM826" s="14" t="s">
        <v>178</v>
      </c>
      <c r="BN826" s="14" t="s">
        <v>177</v>
      </c>
      <c r="BO826" s="22" t="s">
        <v>166</v>
      </c>
      <c r="BP826" s="14" t="s">
        <v>15762</v>
      </c>
      <c r="BQ826" s="21">
        <v>4</v>
      </c>
      <c r="BR826" s="14" t="s">
        <v>166</v>
      </c>
      <c r="BS826" s="21" t="s">
        <v>166</v>
      </c>
      <c r="BT826" s="14" t="s">
        <v>15763</v>
      </c>
      <c r="BU826" s="14" t="s">
        <v>166</v>
      </c>
      <c r="BV826" s="14" t="s">
        <v>166</v>
      </c>
      <c r="BW826" s="14" t="s">
        <v>166</v>
      </c>
      <c r="BX826" s="14" t="s">
        <v>166</v>
      </c>
      <c r="BY826" s="14" t="s">
        <v>166</v>
      </c>
      <c r="BZ826" s="14" t="s">
        <v>166</v>
      </c>
      <c r="CA826" s="14" t="s">
        <v>166</v>
      </c>
      <c r="CB826" s="14" t="s">
        <v>166</v>
      </c>
      <c r="CC826" s="14" t="s">
        <v>166</v>
      </c>
      <c r="CD826" s="14" t="s">
        <v>166</v>
      </c>
      <c r="CE826" s="18" t="s">
        <v>166</v>
      </c>
      <c r="CF826" s="16" t="s">
        <v>166</v>
      </c>
      <c r="CG826" s="17" t="s">
        <v>166</v>
      </c>
      <c r="CH826" s="16" t="s">
        <v>166</v>
      </c>
      <c r="CI826" s="16" t="s">
        <v>166</v>
      </c>
      <c r="CJ826" s="16" t="s">
        <v>166</v>
      </c>
      <c r="CK826" s="16" t="s">
        <v>166</v>
      </c>
      <c r="CL826" s="16" t="s">
        <v>166</v>
      </c>
      <c r="CM826" s="20" t="s">
        <v>166</v>
      </c>
      <c r="CN826" s="16" t="s">
        <v>166</v>
      </c>
      <c r="CO826" s="16" t="s">
        <v>166</v>
      </c>
      <c r="CP826" s="16" t="s">
        <v>166</v>
      </c>
      <c r="CQ826" s="16" t="s">
        <v>166</v>
      </c>
      <c r="CR826" s="16" t="s">
        <v>166</v>
      </c>
      <c r="CS826" s="16" t="s">
        <v>166</v>
      </c>
      <c r="CT826" s="16" t="s">
        <v>166</v>
      </c>
      <c r="CU826" s="16" t="s">
        <v>166</v>
      </c>
      <c r="CV826" s="16" t="s">
        <v>166</v>
      </c>
      <c r="CW826" s="16" t="s">
        <v>166</v>
      </c>
      <c r="CX826" s="16" t="s">
        <v>166</v>
      </c>
      <c r="CY826" s="16" t="s">
        <v>166</v>
      </c>
      <c r="CZ826" s="16" t="s">
        <v>166</v>
      </c>
      <c r="DA826" s="16" t="s">
        <v>166</v>
      </c>
      <c r="DB826" s="16" t="s">
        <v>166</v>
      </c>
      <c r="DC826" s="16" t="s">
        <v>166</v>
      </c>
      <c r="DD826" s="16" t="s">
        <v>166</v>
      </c>
      <c r="DE826" s="17" t="s">
        <v>166</v>
      </c>
      <c r="DF826" s="22">
        <v>8</v>
      </c>
      <c r="DG826" s="14" t="s">
        <v>309</v>
      </c>
      <c r="DH826" s="14" t="s">
        <v>193</v>
      </c>
      <c r="DI826" s="14" t="s">
        <v>194</v>
      </c>
      <c r="DJ826" s="14" t="s">
        <v>310</v>
      </c>
      <c r="DK826" s="14" t="s">
        <v>310</v>
      </c>
      <c r="DL826" s="21" t="s">
        <v>1680</v>
      </c>
      <c r="DM826" s="14" t="s">
        <v>198</v>
      </c>
      <c r="DN826" s="13" t="s">
        <v>15764</v>
      </c>
      <c r="DO826" s="20">
        <v>2022</v>
      </c>
      <c r="DP826" s="14" t="s">
        <v>166</v>
      </c>
      <c r="DQ826" s="14" t="s">
        <v>166</v>
      </c>
      <c r="DR826" s="18" t="s">
        <v>166</v>
      </c>
      <c r="DS826" s="16" t="s">
        <v>166</v>
      </c>
      <c r="DT826" s="19" t="s">
        <v>166</v>
      </c>
      <c r="DU826" s="14" t="s">
        <v>166</v>
      </c>
      <c r="DV826" s="18" t="s">
        <v>166</v>
      </c>
      <c r="DW826" s="18" t="s">
        <v>166</v>
      </c>
      <c r="DX826" s="16" t="s">
        <v>166</v>
      </c>
      <c r="DY826" s="16" t="s">
        <v>166</v>
      </c>
      <c r="DZ826" s="17" t="s">
        <v>166</v>
      </c>
      <c r="EA826" s="16" t="s">
        <v>166</v>
      </c>
      <c r="EB826" s="16" t="s">
        <v>166</v>
      </c>
      <c r="EC826" s="16" t="s">
        <v>166</v>
      </c>
      <c r="ED826" s="17" t="s">
        <v>166</v>
      </c>
      <c r="EE826" s="17" t="s">
        <v>166</v>
      </c>
      <c r="EF826" s="17" t="s">
        <v>166</v>
      </c>
      <c r="EG826" s="17" t="s">
        <v>166</v>
      </c>
      <c r="EH826" s="16" t="s">
        <v>166</v>
      </c>
      <c r="EI826" s="16" t="s">
        <v>166</v>
      </c>
      <c r="EJ826" s="16" t="s">
        <v>166</v>
      </c>
      <c r="EK826" s="16" t="s">
        <v>166</v>
      </c>
      <c r="EL826" s="16" t="s">
        <v>166</v>
      </c>
      <c r="EM826" s="16" t="s">
        <v>166</v>
      </c>
      <c r="EN826" s="16" t="s">
        <v>166</v>
      </c>
      <c r="EO826" s="16" t="s">
        <v>166</v>
      </c>
      <c r="EP826" s="16" t="s">
        <v>166</v>
      </c>
      <c r="EQ826" s="16" t="s">
        <v>166</v>
      </c>
      <c r="ER826" s="16" t="s">
        <v>166</v>
      </c>
      <c r="ES826" s="16" t="s">
        <v>166</v>
      </c>
      <c r="ET826" s="14" t="s">
        <v>166</v>
      </c>
      <c r="EU826" s="16" t="s">
        <v>166</v>
      </c>
      <c r="EV826" s="16" t="s">
        <v>166</v>
      </c>
      <c r="EW826" s="16" t="s">
        <v>166</v>
      </c>
      <c r="EX826" s="14" t="s">
        <v>190</v>
      </c>
      <c r="EY826" s="14" t="s">
        <v>166</v>
      </c>
      <c r="EZ826" s="16" t="s">
        <v>166</v>
      </c>
      <c r="FA826" s="15" t="s">
        <v>166</v>
      </c>
      <c r="FB826" s="15" t="s">
        <v>166</v>
      </c>
      <c r="FC826" s="15" t="s">
        <v>166</v>
      </c>
      <c r="FD826" s="15" t="s">
        <v>166</v>
      </c>
      <c r="FE826" s="15" t="s">
        <v>166</v>
      </c>
      <c r="FF826" s="15" t="s">
        <v>166</v>
      </c>
      <c r="FG826" s="14" t="s">
        <v>166</v>
      </c>
      <c r="FH826" s="3">
        <f>HYPERLINK("https://my.pitchbook.com?c=268923-97T","View Company Online")</f>
      </c>
    </row>
    <row r="827">
      <c r="A827" s="25" t="s">
        <v>15765</v>
      </c>
      <c r="B827" s="25" t="s">
        <v>15766</v>
      </c>
      <c r="C827" s="25" t="s">
        <v>15767</v>
      </c>
      <c r="D827" s="25" t="s">
        <v>166</v>
      </c>
      <c r="E827" s="34" t="s">
        <v>15768</v>
      </c>
      <c r="F827" s="32">
        <v>7</v>
      </c>
      <c r="G827" s="25" t="s">
        <v>15769</v>
      </c>
      <c r="H827" s="25" t="s">
        <v>166</v>
      </c>
      <c r="I827" s="25" t="s">
        <v>15770</v>
      </c>
      <c r="J827" s="25" t="s">
        <v>15771</v>
      </c>
      <c r="K827" s="25" t="s">
        <v>171</v>
      </c>
      <c r="L827" s="25" t="s">
        <v>172</v>
      </c>
      <c r="M827" s="25" t="s">
        <v>173</v>
      </c>
      <c r="N827" s="25" t="s">
        <v>15772</v>
      </c>
      <c r="O827" s="25" t="s">
        <v>5563</v>
      </c>
      <c r="P827" s="25" t="s">
        <v>15773</v>
      </c>
      <c r="Q827" s="25" t="s">
        <v>166</v>
      </c>
      <c r="R827" s="25" t="s">
        <v>177</v>
      </c>
      <c r="S827" s="25" t="s">
        <v>178</v>
      </c>
      <c r="T827" s="25" t="s">
        <v>179</v>
      </c>
      <c r="U827" s="25" t="s">
        <v>15774</v>
      </c>
      <c r="V827" s="25" t="s">
        <v>15775</v>
      </c>
      <c r="W827" s="32" t="s">
        <v>15776</v>
      </c>
      <c r="X827" s="25" t="s">
        <v>15777</v>
      </c>
      <c r="Y827" s="25" t="s">
        <v>15778</v>
      </c>
      <c r="Z827" s="25" t="s">
        <v>166</v>
      </c>
      <c r="AA827" s="25" t="s">
        <v>242</v>
      </c>
      <c r="AB827" s="25" t="s">
        <v>243</v>
      </c>
      <c r="AC827" s="25" t="s">
        <v>244</v>
      </c>
      <c r="AD827" s="25" t="s">
        <v>243</v>
      </c>
      <c r="AE827" s="25" t="s">
        <v>243</v>
      </c>
      <c r="AF827" s="25" t="s">
        <v>166</v>
      </c>
      <c r="AG827" s="25" t="s">
        <v>807</v>
      </c>
      <c r="AH827" s="32">
        <v>1</v>
      </c>
      <c r="AI827" s="4">
        <f>HYPERLINK("https://my.pitchbook.com/?d=211360-42T","211360-42T")</f>
      </c>
      <c r="AJ827" s="30" t="s">
        <v>166</v>
      </c>
      <c r="AK827" s="30">
        <v>43895</v>
      </c>
      <c r="AL827" s="29">
        <v>2.5</v>
      </c>
      <c r="AM827" s="25" t="s">
        <v>185</v>
      </c>
      <c r="AN827" s="29">
        <v>4.5</v>
      </c>
      <c r="AO827" s="29">
        <v>7</v>
      </c>
      <c r="AP827" s="25" t="s">
        <v>185</v>
      </c>
      <c r="AQ827" s="32" t="s">
        <v>166</v>
      </c>
      <c r="AR827" s="32" t="s">
        <v>166</v>
      </c>
      <c r="AS827" s="28">
        <v>37.02</v>
      </c>
      <c r="AT827" s="29">
        <v>2.5</v>
      </c>
      <c r="AU827" s="32" t="s">
        <v>186</v>
      </c>
      <c r="AV827" s="32" t="s">
        <v>166</v>
      </c>
      <c r="AW827" s="29">
        <v>0.34</v>
      </c>
      <c r="AX827" s="32" t="s">
        <v>166</v>
      </c>
      <c r="AY827" s="25" t="s">
        <v>217</v>
      </c>
      <c r="AZ827" s="25" t="s">
        <v>217</v>
      </c>
      <c r="BA827" s="25" t="s">
        <v>166</v>
      </c>
      <c r="BB827" s="32" t="s">
        <v>166</v>
      </c>
      <c r="BC827" s="25" t="s">
        <v>179</v>
      </c>
      <c r="BD827" s="25" t="s">
        <v>15779</v>
      </c>
      <c r="BE827" s="25" t="s">
        <v>189</v>
      </c>
      <c r="BF827" s="29">
        <v>2.5</v>
      </c>
      <c r="BG827" s="25" t="s">
        <v>190</v>
      </c>
      <c r="BH827" s="25" t="s">
        <v>166</v>
      </c>
      <c r="BI827" s="25" t="s">
        <v>166</v>
      </c>
      <c r="BJ827" s="29" t="s">
        <v>166</v>
      </c>
      <c r="BK827" s="29" t="s">
        <v>166</v>
      </c>
      <c r="BL827" s="25" t="s">
        <v>191</v>
      </c>
      <c r="BM827" s="25" t="s">
        <v>178</v>
      </c>
      <c r="BN827" s="25" t="s">
        <v>177</v>
      </c>
      <c r="BO827" s="33" t="s">
        <v>166</v>
      </c>
      <c r="BP827" s="25" t="s">
        <v>15780</v>
      </c>
      <c r="BQ827" s="32">
        <v>7</v>
      </c>
      <c r="BR827" s="25" t="s">
        <v>166</v>
      </c>
      <c r="BS827" s="32" t="s">
        <v>166</v>
      </c>
      <c r="BT827" s="25" t="s">
        <v>15781</v>
      </c>
      <c r="BU827" s="25" t="s">
        <v>166</v>
      </c>
      <c r="BV827" s="25" t="s">
        <v>166</v>
      </c>
      <c r="BW827" s="25" t="s">
        <v>166</v>
      </c>
      <c r="BX827" s="25" t="s">
        <v>166</v>
      </c>
      <c r="BY827" s="25" t="s">
        <v>166</v>
      </c>
      <c r="BZ827" s="25" t="s">
        <v>166</v>
      </c>
      <c r="CA827" s="25" t="s">
        <v>166</v>
      </c>
      <c r="CB827" s="25" t="s">
        <v>166</v>
      </c>
      <c r="CC827" s="25" t="s">
        <v>166</v>
      </c>
      <c r="CD827" s="25" t="s">
        <v>166</v>
      </c>
      <c r="CE827" s="29" t="s">
        <v>166</v>
      </c>
      <c r="CF827" s="27" t="s">
        <v>166</v>
      </c>
      <c r="CG827" s="28" t="s">
        <v>166</v>
      </c>
      <c r="CH827" s="27" t="s">
        <v>166</v>
      </c>
      <c r="CI827" s="27" t="s">
        <v>166</v>
      </c>
      <c r="CJ827" s="27" t="s">
        <v>166</v>
      </c>
      <c r="CK827" s="27" t="s">
        <v>166</v>
      </c>
      <c r="CL827" s="27" t="s">
        <v>166</v>
      </c>
      <c r="CM827" s="31" t="s">
        <v>166</v>
      </c>
      <c r="CN827" s="27" t="s">
        <v>166</v>
      </c>
      <c r="CO827" s="27" t="s">
        <v>166</v>
      </c>
      <c r="CP827" s="27" t="s">
        <v>166</v>
      </c>
      <c r="CQ827" s="27" t="s">
        <v>166</v>
      </c>
      <c r="CR827" s="27" t="s">
        <v>166</v>
      </c>
      <c r="CS827" s="27" t="s">
        <v>166</v>
      </c>
      <c r="CT827" s="27" t="s">
        <v>166</v>
      </c>
      <c r="CU827" s="27" t="s">
        <v>166</v>
      </c>
      <c r="CV827" s="27" t="s">
        <v>166</v>
      </c>
      <c r="CW827" s="27" t="s">
        <v>166</v>
      </c>
      <c r="CX827" s="27" t="s">
        <v>166</v>
      </c>
      <c r="CY827" s="27" t="s">
        <v>166</v>
      </c>
      <c r="CZ827" s="27" t="s">
        <v>166</v>
      </c>
      <c r="DA827" s="27" t="s">
        <v>166</v>
      </c>
      <c r="DB827" s="27" t="s">
        <v>166</v>
      </c>
      <c r="DC827" s="27" t="s">
        <v>166</v>
      </c>
      <c r="DD827" s="27" t="s">
        <v>166</v>
      </c>
      <c r="DE827" s="28" t="s">
        <v>166</v>
      </c>
      <c r="DF827" s="33" t="s">
        <v>166</v>
      </c>
      <c r="DG827" s="25" t="s">
        <v>1540</v>
      </c>
      <c r="DH827" s="25" t="s">
        <v>193</v>
      </c>
      <c r="DI827" s="25" t="s">
        <v>194</v>
      </c>
      <c r="DJ827" s="25" t="s">
        <v>1541</v>
      </c>
      <c r="DK827" s="25" t="s">
        <v>257</v>
      </c>
      <c r="DL827" s="32" t="s">
        <v>10163</v>
      </c>
      <c r="DM827" s="25" t="s">
        <v>198</v>
      </c>
      <c r="DN827" s="24" t="s">
        <v>15782</v>
      </c>
      <c r="DO827" s="31">
        <v>2016</v>
      </c>
      <c r="DP827" s="25" t="s">
        <v>166</v>
      </c>
      <c r="DQ827" s="25" t="s">
        <v>166</v>
      </c>
      <c r="DR827" s="29" t="s">
        <v>166</v>
      </c>
      <c r="DS827" s="27" t="s">
        <v>166</v>
      </c>
      <c r="DT827" s="30" t="s">
        <v>166</v>
      </c>
      <c r="DU827" s="25" t="s">
        <v>166</v>
      </c>
      <c r="DV827" s="29" t="s">
        <v>166</v>
      </c>
      <c r="DW827" s="29" t="s">
        <v>166</v>
      </c>
      <c r="DX827" s="27" t="s">
        <v>166</v>
      </c>
      <c r="DY827" s="27" t="s">
        <v>166</v>
      </c>
      <c r="DZ827" s="28" t="s">
        <v>166</v>
      </c>
      <c r="EA827" s="27" t="s">
        <v>166</v>
      </c>
      <c r="EB827" s="27" t="s">
        <v>166</v>
      </c>
      <c r="EC827" s="27" t="s">
        <v>166</v>
      </c>
      <c r="ED827" s="28" t="s">
        <v>166</v>
      </c>
      <c r="EE827" s="28" t="s">
        <v>166</v>
      </c>
      <c r="EF827" s="28" t="s">
        <v>166</v>
      </c>
      <c r="EG827" s="28" t="s">
        <v>166</v>
      </c>
      <c r="EH827" s="27" t="s">
        <v>166</v>
      </c>
      <c r="EI827" s="27" t="s">
        <v>166</v>
      </c>
      <c r="EJ827" s="27" t="s">
        <v>166</v>
      </c>
      <c r="EK827" s="27" t="s">
        <v>166</v>
      </c>
      <c r="EL827" s="27" t="s">
        <v>166</v>
      </c>
      <c r="EM827" s="27" t="s">
        <v>166</v>
      </c>
      <c r="EN827" s="27" t="s">
        <v>166</v>
      </c>
      <c r="EO827" s="27" t="s">
        <v>166</v>
      </c>
      <c r="EP827" s="27" t="s">
        <v>166</v>
      </c>
      <c r="EQ827" s="27" t="s">
        <v>166</v>
      </c>
      <c r="ER827" s="27" t="s">
        <v>166</v>
      </c>
      <c r="ES827" s="27" t="s">
        <v>166</v>
      </c>
      <c r="ET827" s="25" t="s">
        <v>166</v>
      </c>
      <c r="EU827" s="27" t="s">
        <v>166</v>
      </c>
      <c r="EV827" s="27" t="s">
        <v>166</v>
      </c>
      <c r="EW827" s="27" t="s">
        <v>166</v>
      </c>
      <c r="EX827" s="25" t="s">
        <v>190</v>
      </c>
      <c r="EY827" s="25" t="s">
        <v>166</v>
      </c>
      <c r="EZ827" s="27" t="s">
        <v>166</v>
      </c>
      <c r="FA827" s="26">
        <v>1</v>
      </c>
      <c r="FB827" s="26">
        <v>1</v>
      </c>
      <c r="FC827" s="26" t="s">
        <v>166</v>
      </c>
      <c r="FD827" s="26" t="s">
        <v>166</v>
      </c>
      <c r="FE827" s="26" t="s">
        <v>166</v>
      </c>
      <c r="FF827" s="26">
        <v>1</v>
      </c>
      <c r="FG827" s="25" t="s">
        <v>166</v>
      </c>
      <c r="FH827" s="4">
        <f>HYPERLINK("https://my.pitchbook.com?c=211360-42T","View Company Online")</f>
      </c>
    </row>
    <row r="828">
      <c r="A828" s="14" t="s">
        <v>15783</v>
      </c>
      <c r="B828" s="14" t="s">
        <v>15784</v>
      </c>
      <c r="C828" s="14" t="s">
        <v>15785</v>
      </c>
      <c r="D828" s="14" t="s">
        <v>166</v>
      </c>
      <c r="E828" s="23" t="s">
        <v>15786</v>
      </c>
      <c r="F828" s="21">
        <v>3</v>
      </c>
      <c r="G828" s="14" t="s">
        <v>15787</v>
      </c>
      <c r="H828" s="14" t="s">
        <v>166</v>
      </c>
      <c r="I828" s="14" t="s">
        <v>15788</v>
      </c>
      <c r="J828" s="14" t="s">
        <v>15789</v>
      </c>
      <c r="K828" s="14" t="s">
        <v>207</v>
      </c>
      <c r="L828" s="14" t="s">
        <v>208</v>
      </c>
      <c r="M828" s="14" t="s">
        <v>209</v>
      </c>
      <c r="N828" s="14" t="s">
        <v>3407</v>
      </c>
      <c r="O828" s="14" t="s">
        <v>15790</v>
      </c>
      <c r="P828" s="14" t="s">
        <v>15791</v>
      </c>
      <c r="Q828" s="14" t="s">
        <v>166</v>
      </c>
      <c r="R828" s="14" t="s">
        <v>177</v>
      </c>
      <c r="S828" s="14" t="s">
        <v>178</v>
      </c>
      <c r="T828" s="14" t="s">
        <v>179</v>
      </c>
      <c r="U828" s="14" t="s">
        <v>15792</v>
      </c>
      <c r="V828" s="14" t="s">
        <v>15793</v>
      </c>
      <c r="W828" s="21" t="s">
        <v>15794</v>
      </c>
      <c r="X828" s="14" t="s">
        <v>15795</v>
      </c>
      <c r="Y828" s="14" t="s">
        <v>15796</v>
      </c>
      <c r="Z828" s="14" t="s">
        <v>166</v>
      </c>
      <c r="AA828" s="14" t="s">
        <v>242</v>
      </c>
      <c r="AB828" s="14" t="s">
        <v>243</v>
      </c>
      <c r="AC828" s="14" t="s">
        <v>244</v>
      </c>
      <c r="AD828" s="14" t="s">
        <v>243</v>
      </c>
      <c r="AE828" s="14" t="s">
        <v>243</v>
      </c>
      <c r="AF828" s="14" t="s">
        <v>166</v>
      </c>
      <c r="AG828" s="14" t="s">
        <v>807</v>
      </c>
      <c r="AH828" s="21">
        <v>2</v>
      </c>
      <c r="AI828" s="3">
        <f>HYPERLINK("https://my.pitchbook.com/?d=172081-00T","172081-00T")</f>
      </c>
      <c r="AJ828" s="19">
        <v>44060</v>
      </c>
      <c r="AK828" s="19">
        <v>44462</v>
      </c>
      <c r="AL828" s="18">
        <v>1.18</v>
      </c>
      <c r="AM828" s="14" t="s">
        <v>185</v>
      </c>
      <c r="AN828" s="18">
        <v>5</v>
      </c>
      <c r="AO828" s="18">
        <v>6.18</v>
      </c>
      <c r="AP828" s="14" t="s">
        <v>185</v>
      </c>
      <c r="AQ828" s="21" t="s">
        <v>166</v>
      </c>
      <c r="AR828" s="21" t="s">
        <v>166</v>
      </c>
      <c r="AS828" s="17">
        <v>19.06</v>
      </c>
      <c r="AT828" s="18">
        <v>1.18</v>
      </c>
      <c r="AU828" s="21" t="s">
        <v>186</v>
      </c>
      <c r="AV828" s="21" t="s">
        <v>166</v>
      </c>
      <c r="AW828" s="18">
        <v>1.47</v>
      </c>
      <c r="AX828" s="21" t="s">
        <v>248</v>
      </c>
      <c r="AY828" s="14" t="s">
        <v>187</v>
      </c>
      <c r="AZ828" s="14" t="s">
        <v>248</v>
      </c>
      <c r="BA828" s="14" t="s">
        <v>166</v>
      </c>
      <c r="BB828" s="21" t="s">
        <v>166</v>
      </c>
      <c r="BC828" s="14" t="s">
        <v>179</v>
      </c>
      <c r="BD828" s="14" t="s">
        <v>15797</v>
      </c>
      <c r="BE828" s="14" t="s">
        <v>189</v>
      </c>
      <c r="BF828" s="18">
        <v>1.18</v>
      </c>
      <c r="BG828" s="14" t="s">
        <v>190</v>
      </c>
      <c r="BH828" s="14" t="s">
        <v>166</v>
      </c>
      <c r="BI828" s="14" t="s">
        <v>166</v>
      </c>
      <c r="BJ828" s="18" t="s">
        <v>166</v>
      </c>
      <c r="BK828" s="18" t="s">
        <v>166</v>
      </c>
      <c r="BL828" s="14" t="s">
        <v>191</v>
      </c>
      <c r="BM828" s="14" t="s">
        <v>178</v>
      </c>
      <c r="BN828" s="14" t="s">
        <v>177</v>
      </c>
      <c r="BO828" s="22" t="s">
        <v>166</v>
      </c>
      <c r="BP828" s="14" t="s">
        <v>15786</v>
      </c>
      <c r="BQ828" s="21">
        <v>3</v>
      </c>
      <c r="BR828" s="14" t="s">
        <v>166</v>
      </c>
      <c r="BS828" s="21" t="s">
        <v>166</v>
      </c>
      <c r="BT828" s="14" t="s">
        <v>166</v>
      </c>
      <c r="BU828" s="14" t="s">
        <v>166</v>
      </c>
      <c r="BV828" s="14" t="s">
        <v>10501</v>
      </c>
      <c r="BW828" s="14" t="s">
        <v>166</v>
      </c>
      <c r="BX828" s="14" t="s">
        <v>166</v>
      </c>
      <c r="BY828" s="14" t="s">
        <v>166</v>
      </c>
      <c r="BZ828" s="14" t="s">
        <v>166</v>
      </c>
      <c r="CA828" s="14" t="s">
        <v>166</v>
      </c>
      <c r="CB828" s="14" t="s">
        <v>166</v>
      </c>
      <c r="CC828" s="14" t="s">
        <v>166</v>
      </c>
      <c r="CD828" s="14" t="s">
        <v>166</v>
      </c>
      <c r="CE828" s="18" t="s">
        <v>166</v>
      </c>
      <c r="CF828" s="16" t="s">
        <v>166</v>
      </c>
      <c r="CG828" s="17" t="s">
        <v>166</v>
      </c>
      <c r="CH828" s="16" t="s">
        <v>166</v>
      </c>
      <c r="CI828" s="16" t="s">
        <v>166</v>
      </c>
      <c r="CJ828" s="16" t="s">
        <v>166</v>
      </c>
      <c r="CK828" s="16" t="s">
        <v>166</v>
      </c>
      <c r="CL828" s="16" t="s">
        <v>166</v>
      </c>
      <c r="CM828" s="20" t="s">
        <v>166</v>
      </c>
      <c r="CN828" s="16" t="s">
        <v>166</v>
      </c>
      <c r="CO828" s="16" t="s">
        <v>166</v>
      </c>
      <c r="CP828" s="16" t="s">
        <v>166</v>
      </c>
      <c r="CQ828" s="16" t="s">
        <v>166</v>
      </c>
      <c r="CR828" s="16" t="s">
        <v>166</v>
      </c>
      <c r="CS828" s="16" t="s">
        <v>166</v>
      </c>
      <c r="CT828" s="16" t="s">
        <v>166</v>
      </c>
      <c r="CU828" s="16" t="s">
        <v>166</v>
      </c>
      <c r="CV828" s="16" t="s">
        <v>166</v>
      </c>
      <c r="CW828" s="16" t="s">
        <v>166</v>
      </c>
      <c r="CX828" s="16" t="s">
        <v>166</v>
      </c>
      <c r="CY828" s="16" t="s">
        <v>166</v>
      </c>
      <c r="CZ828" s="16" t="s">
        <v>166</v>
      </c>
      <c r="DA828" s="16" t="s">
        <v>166</v>
      </c>
      <c r="DB828" s="16" t="s">
        <v>166</v>
      </c>
      <c r="DC828" s="16" t="s">
        <v>166</v>
      </c>
      <c r="DD828" s="16" t="s">
        <v>166</v>
      </c>
      <c r="DE828" s="17" t="s">
        <v>166</v>
      </c>
      <c r="DF828" s="22">
        <v>12</v>
      </c>
      <c r="DG828" s="14" t="s">
        <v>15798</v>
      </c>
      <c r="DH828" s="14" t="s">
        <v>193</v>
      </c>
      <c r="DI828" s="14" t="s">
        <v>194</v>
      </c>
      <c r="DJ828" s="14" t="s">
        <v>15799</v>
      </c>
      <c r="DK828" s="14" t="s">
        <v>10504</v>
      </c>
      <c r="DL828" s="21" t="s">
        <v>15800</v>
      </c>
      <c r="DM828" s="14" t="s">
        <v>198</v>
      </c>
      <c r="DN828" s="13" t="s">
        <v>15801</v>
      </c>
      <c r="DO828" s="20">
        <v>2017</v>
      </c>
      <c r="DP828" s="14" t="s">
        <v>166</v>
      </c>
      <c r="DQ828" s="14" t="s">
        <v>166</v>
      </c>
      <c r="DR828" s="18" t="s">
        <v>166</v>
      </c>
      <c r="DS828" s="16" t="s">
        <v>166</v>
      </c>
      <c r="DT828" s="19" t="s">
        <v>166</v>
      </c>
      <c r="DU828" s="14" t="s">
        <v>166</v>
      </c>
      <c r="DV828" s="18" t="s">
        <v>166</v>
      </c>
      <c r="DW828" s="18" t="s">
        <v>166</v>
      </c>
      <c r="DX828" s="16" t="s">
        <v>166</v>
      </c>
      <c r="DY828" s="16" t="s">
        <v>166</v>
      </c>
      <c r="DZ828" s="17" t="s">
        <v>166</v>
      </c>
      <c r="EA828" s="16" t="s">
        <v>166</v>
      </c>
      <c r="EB828" s="16" t="s">
        <v>166</v>
      </c>
      <c r="EC828" s="16" t="s">
        <v>166</v>
      </c>
      <c r="ED828" s="17" t="s">
        <v>166</v>
      </c>
      <c r="EE828" s="17" t="s">
        <v>166</v>
      </c>
      <c r="EF828" s="17" t="s">
        <v>166</v>
      </c>
      <c r="EG828" s="17" t="s">
        <v>166</v>
      </c>
      <c r="EH828" s="16" t="s">
        <v>166</v>
      </c>
      <c r="EI828" s="16" t="s">
        <v>166</v>
      </c>
      <c r="EJ828" s="16" t="s">
        <v>166</v>
      </c>
      <c r="EK828" s="16" t="s">
        <v>166</v>
      </c>
      <c r="EL828" s="16" t="s">
        <v>166</v>
      </c>
      <c r="EM828" s="16" t="s">
        <v>166</v>
      </c>
      <c r="EN828" s="16" t="s">
        <v>166</v>
      </c>
      <c r="EO828" s="16" t="s">
        <v>166</v>
      </c>
      <c r="EP828" s="16" t="s">
        <v>166</v>
      </c>
      <c r="EQ828" s="16" t="s">
        <v>166</v>
      </c>
      <c r="ER828" s="16" t="s">
        <v>166</v>
      </c>
      <c r="ES828" s="16" t="s">
        <v>166</v>
      </c>
      <c r="ET828" s="14" t="s">
        <v>166</v>
      </c>
      <c r="EU828" s="16" t="s">
        <v>166</v>
      </c>
      <c r="EV828" s="16" t="s">
        <v>166</v>
      </c>
      <c r="EW828" s="16" t="s">
        <v>166</v>
      </c>
      <c r="EX828" s="14" t="s">
        <v>190</v>
      </c>
      <c r="EY828" s="14" t="s">
        <v>166</v>
      </c>
      <c r="EZ828" s="16" t="s">
        <v>166</v>
      </c>
      <c r="FA828" s="15" t="s">
        <v>166</v>
      </c>
      <c r="FB828" s="15" t="s">
        <v>166</v>
      </c>
      <c r="FC828" s="15" t="s">
        <v>166</v>
      </c>
      <c r="FD828" s="15" t="s">
        <v>166</v>
      </c>
      <c r="FE828" s="15" t="s">
        <v>166</v>
      </c>
      <c r="FF828" s="15" t="s">
        <v>166</v>
      </c>
      <c r="FG828" s="14" t="s">
        <v>166</v>
      </c>
      <c r="FH828" s="3">
        <f>HYPERLINK("https://my.pitchbook.com?c=172081-00T","View Company Online")</f>
      </c>
    </row>
    <row r="829">
      <c r="A829" s="25" t="s">
        <v>15802</v>
      </c>
      <c r="B829" s="25" t="s">
        <v>15803</v>
      </c>
      <c r="C829" s="25" t="s">
        <v>15804</v>
      </c>
      <c r="D829" s="25" t="s">
        <v>166</v>
      </c>
      <c r="E829" s="34" t="s">
        <v>15805</v>
      </c>
      <c r="F829" s="32">
        <v>7</v>
      </c>
      <c r="G829" s="25" t="s">
        <v>15806</v>
      </c>
      <c r="H829" s="25" t="s">
        <v>166</v>
      </c>
      <c r="I829" s="25" t="s">
        <v>15807</v>
      </c>
      <c r="J829" s="25" t="s">
        <v>15808</v>
      </c>
      <c r="K829" s="25" t="s">
        <v>207</v>
      </c>
      <c r="L829" s="25" t="s">
        <v>208</v>
      </c>
      <c r="M829" s="25" t="s">
        <v>209</v>
      </c>
      <c r="N829" s="25" t="s">
        <v>556</v>
      </c>
      <c r="O829" s="25" t="s">
        <v>557</v>
      </c>
      <c r="P829" s="25" t="s">
        <v>15809</v>
      </c>
      <c r="Q829" s="25" t="s">
        <v>166</v>
      </c>
      <c r="R829" s="25" t="s">
        <v>177</v>
      </c>
      <c r="S829" s="25" t="s">
        <v>178</v>
      </c>
      <c r="T829" s="25" t="s">
        <v>179</v>
      </c>
      <c r="U829" s="25" t="s">
        <v>15810</v>
      </c>
      <c r="V829" s="25" t="s">
        <v>15811</v>
      </c>
      <c r="W829" s="32" t="s">
        <v>166</v>
      </c>
      <c r="X829" s="25" t="s">
        <v>15812</v>
      </c>
      <c r="Y829" s="25" t="s">
        <v>15813</v>
      </c>
      <c r="Z829" s="25" t="s">
        <v>15814</v>
      </c>
      <c r="AA829" s="25" t="s">
        <v>166</v>
      </c>
      <c r="AB829" s="25" t="s">
        <v>166</v>
      </c>
      <c r="AC829" s="25" t="s">
        <v>166</v>
      </c>
      <c r="AD829" s="25" t="s">
        <v>166</v>
      </c>
      <c r="AE829" s="25" t="s">
        <v>166</v>
      </c>
      <c r="AF829" s="25" t="s">
        <v>166</v>
      </c>
      <c r="AG829" s="25" t="s">
        <v>166</v>
      </c>
      <c r="AH829" s="32">
        <v>1</v>
      </c>
      <c r="AI829" s="4">
        <f>HYPERLINK("https://my.pitchbook.com/?d=207513-01T","207513-01T")</f>
      </c>
      <c r="AJ829" s="30">
        <v>44727</v>
      </c>
      <c r="AK829" s="30">
        <v>44867</v>
      </c>
      <c r="AL829" s="29">
        <v>3</v>
      </c>
      <c r="AM829" s="25" t="s">
        <v>185</v>
      </c>
      <c r="AN829" s="29" t="s">
        <v>166</v>
      </c>
      <c r="AO829" s="29" t="s">
        <v>166</v>
      </c>
      <c r="AP829" s="25" t="s">
        <v>166</v>
      </c>
      <c r="AQ829" s="32" t="s">
        <v>166</v>
      </c>
      <c r="AR829" s="32" t="s">
        <v>166</v>
      </c>
      <c r="AS829" s="28" t="s">
        <v>166</v>
      </c>
      <c r="AT829" s="29">
        <v>3</v>
      </c>
      <c r="AU829" s="32" t="s">
        <v>186</v>
      </c>
      <c r="AV829" s="32" t="s">
        <v>166</v>
      </c>
      <c r="AW829" s="29" t="s">
        <v>166</v>
      </c>
      <c r="AX829" s="32" t="s">
        <v>166</v>
      </c>
      <c r="AY829" s="25" t="s">
        <v>217</v>
      </c>
      <c r="AZ829" s="25" t="s">
        <v>217</v>
      </c>
      <c r="BA829" s="25" t="s">
        <v>166</v>
      </c>
      <c r="BB829" s="32" t="s">
        <v>166</v>
      </c>
      <c r="BC829" s="25" t="s">
        <v>179</v>
      </c>
      <c r="BD829" s="25" t="s">
        <v>15815</v>
      </c>
      <c r="BE829" s="25" t="s">
        <v>189</v>
      </c>
      <c r="BF829" s="29">
        <v>3</v>
      </c>
      <c r="BG829" s="25" t="s">
        <v>190</v>
      </c>
      <c r="BH829" s="25" t="s">
        <v>166</v>
      </c>
      <c r="BI829" s="25" t="s">
        <v>166</v>
      </c>
      <c r="BJ829" s="29" t="s">
        <v>166</v>
      </c>
      <c r="BK829" s="29" t="s">
        <v>166</v>
      </c>
      <c r="BL829" s="25" t="s">
        <v>191</v>
      </c>
      <c r="BM829" s="25" t="s">
        <v>178</v>
      </c>
      <c r="BN829" s="25" t="s">
        <v>177</v>
      </c>
      <c r="BO829" s="33" t="s">
        <v>166</v>
      </c>
      <c r="BP829" s="25" t="s">
        <v>15816</v>
      </c>
      <c r="BQ829" s="32">
        <v>7</v>
      </c>
      <c r="BR829" s="25" t="s">
        <v>166</v>
      </c>
      <c r="BS829" s="32" t="s">
        <v>166</v>
      </c>
      <c r="BT829" s="25" t="s">
        <v>15817</v>
      </c>
      <c r="BU829" s="25" t="s">
        <v>166</v>
      </c>
      <c r="BV829" s="25" t="s">
        <v>15818</v>
      </c>
      <c r="BW829" s="25" t="s">
        <v>166</v>
      </c>
      <c r="BX829" s="25" t="s">
        <v>166</v>
      </c>
      <c r="BY829" s="25" t="s">
        <v>166</v>
      </c>
      <c r="BZ829" s="25" t="s">
        <v>15819</v>
      </c>
      <c r="CA829" s="25" t="s">
        <v>7828</v>
      </c>
      <c r="CB829" s="25" t="s">
        <v>166</v>
      </c>
      <c r="CC829" s="25" t="s">
        <v>15820</v>
      </c>
      <c r="CD829" s="25" t="s">
        <v>166</v>
      </c>
      <c r="CE829" s="29" t="s">
        <v>166</v>
      </c>
      <c r="CF829" s="27" t="s">
        <v>166</v>
      </c>
      <c r="CG829" s="28" t="s">
        <v>166</v>
      </c>
      <c r="CH829" s="27" t="s">
        <v>166</v>
      </c>
      <c r="CI829" s="27" t="s">
        <v>166</v>
      </c>
      <c r="CJ829" s="27" t="s">
        <v>166</v>
      </c>
      <c r="CK829" s="27" t="s">
        <v>166</v>
      </c>
      <c r="CL829" s="27" t="s">
        <v>166</v>
      </c>
      <c r="CM829" s="31" t="s">
        <v>166</v>
      </c>
      <c r="CN829" s="27" t="s">
        <v>166</v>
      </c>
      <c r="CO829" s="27" t="s">
        <v>166</v>
      </c>
      <c r="CP829" s="27" t="s">
        <v>166</v>
      </c>
      <c r="CQ829" s="27" t="s">
        <v>166</v>
      </c>
      <c r="CR829" s="27" t="s">
        <v>166</v>
      </c>
      <c r="CS829" s="27" t="s">
        <v>166</v>
      </c>
      <c r="CT829" s="27" t="s">
        <v>166</v>
      </c>
      <c r="CU829" s="27" t="s">
        <v>166</v>
      </c>
      <c r="CV829" s="27" t="s">
        <v>166</v>
      </c>
      <c r="CW829" s="27" t="s">
        <v>166</v>
      </c>
      <c r="CX829" s="27" t="s">
        <v>166</v>
      </c>
      <c r="CY829" s="27" t="s">
        <v>166</v>
      </c>
      <c r="CZ829" s="27" t="s">
        <v>166</v>
      </c>
      <c r="DA829" s="27" t="s">
        <v>166</v>
      </c>
      <c r="DB829" s="27" t="s">
        <v>166</v>
      </c>
      <c r="DC829" s="27" t="s">
        <v>166</v>
      </c>
      <c r="DD829" s="27" t="s">
        <v>166</v>
      </c>
      <c r="DE829" s="28" t="s">
        <v>166</v>
      </c>
      <c r="DF829" s="33">
        <v>20</v>
      </c>
      <c r="DG829" s="25" t="s">
        <v>2190</v>
      </c>
      <c r="DH829" s="25" t="s">
        <v>193</v>
      </c>
      <c r="DI829" s="25" t="s">
        <v>194</v>
      </c>
      <c r="DJ829" s="25" t="s">
        <v>2191</v>
      </c>
      <c r="DK829" s="25" t="s">
        <v>257</v>
      </c>
      <c r="DL829" s="32" t="s">
        <v>5147</v>
      </c>
      <c r="DM829" s="25" t="s">
        <v>198</v>
      </c>
      <c r="DN829" s="24" t="s">
        <v>15821</v>
      </c>
      <c r="DO829" s="31">
        <v>2019</v>
      </c>
      <c r="DP829" s="25" t="s">
        <v>166</v>
      </c>
      <c r="DQ829" s="25" t="s">
        <v>166</v>
      </c>
      <c r="DR829" s="29" t="s">
        <v>166</v>
      </c>
      <c r="DS829" s="27" t="s">
        <v>166</v>
      </c>
      <c r="DT829" s="30" t="s">
        <v>166</v>
      </c>
      <c r="DU829" s="25" t="s">
        <v>166</v>
      </c>
      <c r="DV829" s="29" t="s">
        <v>166</v>
      </c>
      <c r="DW829" s="29" t="s">
        <v>166</v>
      </c>
      <c r="DX829" s="27" t="s">
        <v>166</v>
      </c>
      <c r="DY829" s="27" t="s">
        <v>166</v>
      </c>
      <c r="DZ829" s="28" t="s">
        <v>166</v>
      </c>
      <c r="EA829" s="27" t="s">
        <v>166</v>
      </c>
      <c r="EB829" s="27" t="s">
        <v>166</v>
      </c>
      <c r="EC829" s="27" t="s">
        <v>166</v>
      </c>
      <c r="ED829" s="28" t="s">
        <v>166</v>
      </c>
      <c r="EE829" s="28" t="s">
        <v>166</v>
      </c>
      <c r="EF829" s="28" t="s">
        <v>166</v>
      </c>
      <c r="EG829" s="28" t="s">
        <v>166</v>
      </c>
      <c r="EH829" s="27" t="s">
        <v>166</v>
      </c>
      <c r="EI829" s="27" t="s">
        <v>166</v>
      </c>
      <c r="EJ829" s="27" t="s">
        <v>166</v>
      </c>
      <c r="EK829" s="27" t="s">
        <v>166</v>
      </c>
      <c r="EL829" s="27" t="s">
        <v>166</v>
      </c>
      <c r="EM829" s="27" t="s">
        <v>166</v>
      </c>
      <c r="EN829" s="27" t="s">
        <v>166</v>
      </c>
      <c r="EO829" s="27" t="s">
        <v>166</v>
      </c>
      <c r="EP829" s="27" t="s">
        <v>166</v>
      </c>
      <c r="EQ829" s="27" t="s">
        <v>166</v>
      </c>
      <c r="ER829" s="27" t="s">
        <v>166</v>
      </c>
      <c r="ES829" s="27" t="s">
        <v>166</v>
      </c>
      <c r="ET829" s="25" t="s">
        <v>166</v>
      </c>
      <c r="EU829" s="27" t="s">
        <v>166</v>
      </c>
      <c r="EV829" s="27" t="s">
        <v>166</v>
      </c>
      <c r="EW829" s="27" t="s">
        <v>166</v>
      </c>
      <c r="EX829" s="25" t="s">
        <v>190</v>
      </c>
      <c r="EY829" s="25" t="s">
        <v>166</v>
      </c>
      <c r="EZ829" s="27" t="s">
        <v>166</v>
      </c>
      <c r="FA829" s="26" t="s">
        <v>166</v>
      </c>
      <c r="FB829" s="26" t="s">
        <v>166</v>
      </c>
      <c r="FC829" s="26" t="s">
        <v>166</v>
      </c>
      <c r="FD829" s="26" t="s">
        <v>166</v>
      </c>
      <c r="FE829" s="26" t="s">
        <v>166</v>
      </c>
      <c r="FF829" s="26" t="s">
        <v>166</v>
      </c>
      <c r="FG829" s="25" t="s">
        <v>166</v>
      </c>
      <c r="FH829" s="4">
        <f>HYPERLINK("https://my.pitchbook.com?c=207513-01T","View Company Online")</f>
      </c>
    </row>
    <row r="830">
      <c r="A830" s="14" t="s">
        <v>15822</v>
      </c>
      <c r="B830" s="14" t="s">
        <v>15823</v>
      </c>
      <c r="C830" s="14" t="s">
        <v>15824</v>
      </c>
      <c r="D830" s="14" t="s">
        <v>166</v>
      </c>
      <c r="E830" s="23" t="s">
        <v>15825</v>
      </c>
      <c r="F830" s="21">
        <v>6</v>
      </c>
      <c r="G830" s="14" t="s">
        <v>15826</v>
      </c>
      <c r="H830" s="14" t="s">
        <v>166</v>
      </c>
      <c r="I830" s="14" t="s">
        <v>15827</v>
      </c>
      <c r="J830" s="14" t="s">
        <v>15828</v>
      </c>
      <c r="K830" s="14" t="s">
        <v>207</v>
      </c>
      <c r="L830" s="14" t="s">
        <v>208</v>
      </c>
      <c r="M830" s="14" t="s">
        <v>209</v>
      </c>
      <c r="N830" s="14" t="s">
        <v>15829</v>
      </c>
      <c r="O830" s="14" t="s">
        <v>15830</v>
      </c>
      <c r="P830" s="14" t="s">
        <v>15831</v>
      </c>
      <c r="Q830" s="14" t="s">
        <v>166</v>
      </c>
      <c r="R830" s="14" t="s">
        <v>177</v>
      </c>
      <c r="S830" s="14" t="s">
        <v>178</v>
      </c>
      <c r="T830" s="14" t="s">
        <v>1401</v>
      </c>
      <c r="U830" s="14" t="s">
        <v>15832</v>
      </c>
      <c r="V830" s="14" t="s">
        <v>15833</v>
      </c>
      <c r="W830" s="21" t="s">
        <v>15834</v>
      </c>
      <c r="X830" s="14" t="s">
        <v>15835</v>
      </c>
      <c r="Y830" s="14" t="s">
        <v>15836</v>
      </c>
      <c r="Z830" s="14" t="s">
        <v>15837</v>
      </c>
      <c r="AA830" s="14" t="s">
        <v>242</v>
      </c>
      <c r="AB830" s="14" t="s">
        <v>243</v>
      </c>
      <c r="AC830" s="14" t="s">
        <v>244</v>
      </c>
      <c r="AD830" s="14" t="s">
        <v>243</v>
      </c>
      <c r="AE830" s="14" t="s">
        <v>243</v>
      </c>
      <c r="AF830" s="14" t="s">
        <v>166</v>
      </c>
      <c r="AG830" s="14" t="s">
        <v>246</v>
      </c>
      <c r="AH830" s="21">
        <v>10</v>
      </c>
      <c r="AI830" s="3">
        <f>HYPERLINK("https://my.pitchbook.com/?d=135265-96T","135265-96T")</f>
      </c>
      <c r="AJ830" s="19" t="s">
        <v>166</v>
      </c>
      <c r="AK830" s="19">
        <v>43938</v>
      </c>
      <c r="AL830" s="18">
        <v>3.32</v>
      </c>
      <c r="AM830" s="14" t="s">
        <v>185</v>
      </c>
      <c r="AN830" s="18">
        <v>7</v>
      </c>
      <c r="AO830" s="18">
        <v>10.32</v>
      </c>
      <c r="AP830" s="14" t="s">
        <v>185</v>
      </c>
      <c r="AQ830" s="21" t="s">
        <v>166</v>
      </c>
      <c r="AR830" s="21" t="s">
        <v>166</v>
      </c>
      <c r="AS830" s="17">
        <v>32.15</v>
      </c>
      <c r="AT830" s="18">
        <v>3.62</v>
      </c>
      <c r="AU830" s="21" t="s">
        <v>186</v>
      </c>
      <c r="AV830" s="21" t="s">
        <v>166</v>
      </c>
      <c r="AW830" s="18">
        <v>8.01</v>
      </c>
      <c r="AX830" s="21" t="s">
        <v>166</v>
      </c>
      <c r="AY830" s="14" t="s">
        <v>217</v>
      </c>
      <c r="AZ830" s="14" t="s">
        <v>217</v>
      </c>
      <c r="BA830" s="14" t="s">
        <v>166</v>
      </c>
      <c r="BB830" s="21" t="s">
        <v>166</v>
      </c>
      <c r="BC830" s="14" t="s">
        <v>179</v>
      </c>
      <c r="BD830" s="14" t="s">
        <v>15838</v>
      </c>
      <c r="BE830" s="14" t="s">
        <v>189</v>
      </c>
      <c r="BF830" s="18">
        <v>3.32</v>
      </c>
      <c r="BG830" s="14" t="s">
        <v>190</v>
      </c>
      <c r="BH830" s="14" t="s">
        <v>166</v>
      </c>
      <c r="BI830" s="14" t="s">
        <v>166</v>
      </c>
      <c r="BJ830" s="18" t="s">
        <v>166</v>
      </c>
      <c r="BK830" s="18" t="s">
        <v>166</v>
      </c>
      <c r="BL830" s="14" t="s">
        <v>191</v>
      </c>
      <c r="BM830" s="14" t="s">
        <v>178</v>
      </c>
      <c r="BN830" s="14" t="s">
        <v>177</v>
      </c>
      <c r="BO830" s="22" t="s">
        <v>166</v>
      </c>
      <c r="BP830" s="14" t="s">
        <v>15839</v>
      </c>
      <c r="BQ830" s="21">
        <v>6</v>
      </c>
      <c r="BR830" s="14" t="s">
        <v>166</v>
      </c>
      <c r="BS830" s="21" t="s">
        <v>166</v>
      </c>
      <c r="BT830" s="14" t="s">
        <v>15840</v>
      </c>
      <c r="BU830" s="14" t="s">
        <v>166</v>
      </c>
      <c r="BV830" s="14" t="s">
        <v>15841</v>
      </c>
      <c r="BW830" s="14" t="s">
        <v>166</v>
      </c>
      <c r="BX830" s="14" t="s">
        <v>166</v>
      </c>
      <c r="BY830" s="14" t="s">
        <v>166</v>
      </c>
      <c r="BZ830" s="14" t="s">
        <v>15842</v>
      </c>
      <c r="CA830" s="14" t="s">
        <v>166</v>
      </c>
      <c r="CB830" s="14" t="s">
        <v>166</v>
      </c>
      <c r="CC830" s="14" t="s">
        <v>15842</v>
      </c>
      <c r="CD830" s="14" t="s">
        <v>166</v>
      </c>
      <c r="CE830" s="18" t="s">
        <v>166</v>
      </c>
      <c r="CF830" s="16" t="s">
        <v>166</v>
      </c>
      <c r="CG830" s="17" t="s">
        <v>166</v>
      </c>
      <c r="CH830" s="16" t="s">
        <v>166</v>
      </c>
      <c r="CI830" s="16" t="s">
        <v>166</v>
      </c>
      <c r="CJ830" s="16" t="s">
        <v>166</v>
      </c>
      <c r="CK830" s="16" t="s">
        <v>166</v>
      </c>
      <c r="CL830" s="16" t="s">
        <v>166</v>
      </c>
      <c r="CM830" s="20" t="s">
        <v>166</v>
      </c>
      <c r="CN830" s="16" t="s">
        <v>166</v>
      </c>
      <c r="CO830" s="16" t="s">
        <v>166</v>
      </c>
      <c r="CP830" s="16" t="s">
        <v>166</v>
      </c>
      <c r="CQ830" s="16" t="s">
        <v>166</v>
      </c>
      <c r="CR830" s="16" t="s">
        <v>166</v>
      </c>
      <c r="CS830" s="16" t="s">
        <v>166</v>
      </c>
      <c r="CT830" s="16" t="s">
        <v>166</v>
      </c>
      <c r="CU830" s="16" t="s">
        <v>166</v>
      </c>
      <c r="CV830" s="16" t="s">
        <v>166</v>
      </c>
      <c r="CW830" s="16" t="s">
        <v>166</v>
      </c>
      <c r="CX830" s="16" t="s">
        <v>166</v>
      </c>
      <c r="CY830" s="16" t="s">
        <v>166</v>
      </c>
      <c r="CZ830" s="16" t="s">
        <v>166</v>
      </c>
      <c r="DA830" s="16" t="s">
        <v>166</v>
      </c>
      <c r="DB830" s="16" t="s">
        <v>166</v>
      </c>
      <c r="DC830" s="16" t="s">
        <v>166</v>
      </c>
      <c r="DD830" s="16" t="s">
        <v>166</v>
      </c>
      <c r="DE830" s="17" t="s">
        <v>166</v>
      </c>
      <c r="DF830" s="22">
        <v>31</v>
      </c>
      <c r="DG830" s="14" t="s">
        <v>1634</v>
      </c>
      <c r="DH830" s="14" t="s">
        <v>193</v>
      </c>
      <c r="DI830" s="14" t="s">
        <v>194</v>
      </c>
      <c r="DJ830" s="14" t="s">
        <v>1635</v>
      </c>
      <c r="DK830" s="14" t="s">
        <v>408</v>
      </c>
      <c r="DL830" s="21" t="s">
        <v>9807</v>
      </c>
      <c r="DM830" s="14" t="s">
        <v>198</v>
      </c>
      <c r="DN830" s="13" t="s">
        <v>15843</v>
      </c>
      <c r="DO830" s="20">
        <v>2017</v>
      </c>
      <c r="DP830" s="14" t="s">
        <v>166</v>
      </c>
      <c r="DQ830" s="14" t="s">
        <v>166</v>
      </c>
      <c r="DR830" s="18" t="s">
        <v>166</v>
      </c>
      <c r="DS830" s="16" t="s">
        <v>166</v>
      </c>
      <c r="DT830" s="19" t="s">
        <v>166</v>
      </c>
      <c r="DU830" s="14" t="s">
        <v>166</v>
      </c>
      <c r="DV830" s="18" t="s">
        <v>166</v>
      </c>
      <c r="DW830" s="18" t="s">
        <v>166</v>
      </c>
      <c r="DX830" s="16" t="s">
        <v>166</v>
      </c>
      <c r="DY830" s="16" t="s">
        <v>166</v>
      </c>
      <c r="DZ830" s="17" t="s">
        <v>166</v>
      </c>
      <c r="EA830" s="16" t="s">
        <v>166</v>
      </c>
      <c r="EB830" s="16" t="s">
        <v>166</v>
      </c>
      <c r="EC830" s="16" t="s">
        <v>166</v>
      </c>
      <c r="ED830" s="17" t="s">
        <v>166</v>
      </c>
      <c r="EE830" s="17" t="s">
        <v>166</v>
      </c>
      <c r="EF830" s="17" t="s">
        <v>166</v>
      </c>
      <c r="EG830" s="17" t="s">
        <v>166</v>
      </c>
      <c r="EH830" s="16" t="s">
        <v>166</v>
      </c>
      <c r="EI830" s="16" t="s">
        <v>166</v>
      </c>
      <c r="EJ830" s="16" t="s">
        <v>166</v>
      </c>
      <c r="EK830" s="16" t="s">
        <v>166</v>
      </c>
      <c r="EL830" s="16" t="s">
        <v>166</v>
      </c>
      <c r="EM830" s="16" t="s">
        <v>166</v>
      </c>
      <c r="EN830" s="16" t="s">
        <v>166</v>
      </c>
      <c r="EO830" s="16" t="s">
        <v>166</v>
      </c>
      <c r="EP830" s="16" t="s">
        <v>166</v>
      </c>
      <c r="EQ830" s="16" t="s">
        <v>166</v>
      </c>
      <c r="ER830" s="16" t="s">
        <v>166</v>
      </c>
      <c r="ES830" s="16" t="s">
        <v>166</v>
      </c>
      <c r="ET830" s="14" t="s">
        <v>166</v>
      </c>
      <c r="EU830" s="16" t="s">
        <v>166</v>
      </c>
      <c r="EV830" s="16" t="s">
        <v>166</v>
      </c>
      <c r="EW830" s="16" t="s">
        <v>166</v>
      </c>
      <c r="EX830" s="14" t="s">
        <v>190</v>
      </c>
      <c r="EY830" s="14" t="s">
        <v>166</v>
      </c>
      <c r="EZ830" s="16" t="s">
        <v>166</v>
      </c>
      <c r="FA830" s="15">
        <v>13</v>
      </c>
      <c r="FB830" s="15">
        <v>1</v>
      </c>
      <c r="FC830" s="15">
        <v>11</v>
      </c>
      <c r="FD830" s="15">
        <v>2</v>
      </c>
      <c r="FE830" s="15" t="s">
        <v>166</v>
      </c>
      <c r="FF830" s="15" t="s">
        <v>166</v>
      </c>
      <c r="FG830" s="14" t="s">
        <v>15844</v>
      </c>
      <c r="FH830" s="3">
        <f>HYPERLINK("https://my.pitchbook.com?c=135265-96T","View Company Online")</f>
      </c>
    </row>
    <row r="831">
      <c r="A831" s="25" t="s">
        <v>15845</v>
      </c>
      <c r="B831" s="25" t="s">
        <v>15846</v>
      </c>
      <c r="C831" s="25" t="s">
        <v>15847</v>
      </c>
      <c r="D831" s="25" t="s">
        <v>166</v>
      </c>
      <c r="E831" s="34" t="s">
        <v>15848</v>
      </c>
      <c r="F831" s="32">
        <v>2</v>
      </c>
      <c r="G831" s="25" t="s">
        <v>15849</v>
      </c>
      <c r="H831" s="25" t="s">
        <v>166</v>
      </c>
      <c r="I831" s="25" t="s">
        <v>15850</v>
      </c>
      <c r="J831" s="25" t="s">
        <v>15851</v>
      </c>
      <c r="K831" s="25" t="s">
        <v>207</v>
      </c>
      <c r="L831" s="25" t="s">
        <v>208</v>
      </c>
      <c r="M831" s="25" t="s">
        <v>209</v>
      </c>
      <c r="N831" s="25" t="s">
        <v>269</v>
      </c>
      <c r="O831" s="25" t="s">
        <v>4904</v>
      </c>
      <c r="P831" s="25" t="s">
        <v>15852</v>
      </c>
      <c r="Q831" s="25" t="s">
        <v>166</v>
      </c>
      <c r="R831" s="25" t="s">
        <v>177</v>
      </c>
      <c r="S831" s="25" t="s">
        <v>178</v>
      </c>
      <c r="T831" s="25" t="s">
        <v>179</v>
      </c>
      <c r="U831" s="25" t="s">
        <v>15853</v>
      </c>
      <c r="V831" s="25" t="s">
        <v>15854</v>
      </c>
      <c r="W831" s="32" t="s">
        <v>166</v>
      </c>
      <c r="X831" s="25" t="s">
        <v>166</v>
      </c>
      <c r="Y831" s="25" t="s">
        <v>15855</v>
      </c>
      <c r="Z831" s="25" t="s">
        <v>166</v>
      </c>
      <c r="AA831" s="25" t="s">
        <v>242</v>
      </c>
      <c r="AB831" s="25" t="s">
        <v>243</v>
      </c>
      <c r="AC831" s="25" t="s">
        <v>244</v>
      </c>
      <c r="AD831" s="25" t="s">
        <v>243</v>
      </c>
      <c r="AE831" s="25" t="s">
        <v>243</v>
      </c>
      <c r="AF831" s="25" t="s">
        <v>166</v>
      </c>
      <c r="AG831" s="25" t="s">
        <v>246</v>
      </c>
      <c r="AH831" s="32">
        <v>1</v>
      </c>
      <c r="AI831" s="4">
        <f>HYPERLINK("https://my.pitchbook.com/?d=274741-30T","274741-30T")</f>
      </c>
      <c r="AJ831" s="30" t="s">
        <v>166</v>
      </c>
      <c r="AK831" s="30">
        <v>45580</v>
      </c>
      <c r="AL831" s="29">
        <v>3.98</v>
      </c>
      <c r="AM831" s="25" t="s">
        <v>185</v>
      </c>
      <c r="AN831" s="29">
        <v>12</v>
      </c>
      <c r="AO831" s="29">
        <v>15.98</v>
      </c>
      <c r="AP831" s="25" t="s">
        <v>185</v>
      </c>
      <c r="AQ831" s="32" t="s">
        <v>166</v>
      </c>
      <c r="AR831" s="32" t="s">
        <v>166</v>
      </c>
      <c r="AS831" s="28">
        <v>25.27</v>
      </c>
      <c r="AT831" s="29">
        <v>3.98</v>
      </c>
      <c r="AU831" s="32" t="s">
        <v>186</v>
      </c>
      <c r="AV831" s="32" t="s">
        <v>166</v>
      </c>
      <c r="AW831" s="29">
        <v>1.16</v>
      </c>
      <c r="AX831" s="32" t="s">
        <v>166</v>
      </c>
      <c r="AY831" s="25" t="s">
        <v>217</v>
      </c>
      <c r="AZ831" s="25" t="s">
        <v>217</v>
      </c>
      <c r="BA831" s="25" t="s">
        <v>166</v>
      </c>
      <c r="BB831" s="32" t="s">
        <v>166</v>
      </c>
      <c r="BC831" s="25" t="s">
        <v>179</v>
      </c>
      <c r="BD831" s="25" t="s">
        <v>15851</v>
      </c>
      <c r="BE831" s="25" t="s">
        <v>189</v>
      </c>
      <c r="BF831" s="29">
        <v>3.98</v>
      </c>
      <c r="BG831" s="25" t="s">
        <v>190</v>
      </c>
      <c r="BH831" s="25" t="s">
        <v>166</v>
      </c>
      <c r="BI831" s="25" t="s">
        <v>166</v>
      </c>
      <c r="BJ831" s="29" t="s">
        <v>166</v>
      </c>
      <c r="BK831" s="29" t="s">
        <v>166</v>
      </c>
      <c r="BL831" s="25" t="s">
        <v>191</v>
      </c>
      <c r="BM831" s="25" t="s">
        <v>178</v>
      </c>
      <c r="BN831" s="25" t="s">
        <v>177</v>
      </c>
      <c r="BO831" s="33" t="s">
        <v>166</v>
      </c>
      <c r="BP831" s="25" t="s">
        <v>15856</v>
      </c>
      <c r="BQ831" s="32">
        <v>2</v>
      </c>
      <c r="BR831" s="25" t="s">
        <v>166</v>
      </c>
      <c r="BS831" s="32" t="s">
        <v>166</v>
      </c>
      <c r="BT831" s="25" t="s">
        <v>15857</v>
      </c>
      <c r="BU831" s="25" t="s">
        <v>166</v>
      </c>
      <c r="BV831" s="25" t="s">
        <v>166</v>
      </c>
      <c r="BW831" s="25" t="s">
        <v>166</v>
      </c>
      <c r="BX831" s="25" t="s">
        <v>166</v>
      </c>
      <c r="BY831" s="25" t="s">
        <v>166</v>
      </c>
      <c r="BZ831" s="25" t="s">
        <v>166</v>
      </c>
      <c r="CA831" s="25" t="s">
        <v>166</v>
      </c>
      <c r="CB831" s="25" t="s">
        <v>166</v>
      </c>
      <c r="CC831" s="25" t="s">
        <v>166</v>
      </c>
      <c r="CD831" s="25" t="s">
        <v>166</v>
      </c>
      <c r="CE831" s="29" t="s">
        <v>166</v>
      </c>
      <c r="CF831" s="27" t="s">
        <v>166</v>
      </c>
      <c r="CG831" s="28" t="s">
        <v>166</v>
      </c>
      <c r="CH831" s="27" t="s">
        <v>166</v>
      </c>
      <c r="CI831" s="27" t="s">
        <v>166</v>
      </c>
      <c r="CJ831" s="27" t="s">
        <v>166</v>
      </c>
      <c r="CK831" s="27" t="s">
        <v>166</v>
      </c>
      <c r="CL831" s="27" t="s">
        <v>166</v>
      </c>
      <c r="CM831" s="31" t="s">
        <v>166</v>
      </c>
      <c r="CN831" s="27" t="s">
        <v>166</v>
      </c>
      <c r="CO831" s="27" t="s">
        <v>166</v>
      </c>
      <c r="CP831" s="27" t="s">
        <v>166</v>
      </c>
      <c r="CQ831" s="27" t="s">
        <v>166</v>
      </c>
      <c r="CR831" s="27" t="s">
        <v>166</v>
      </c>
      <c r="CS831" s="27" t="s">
        <v>166</v>
      </c>
      <c r="CT831" s="27" t="s">
        <v>166</v>
      </c>
      <c r="CU831" s="27" t="s">
        <v>166</v>
      </c>
      <c r="CV831" s="27" t="s">
        <v>166</v>
      </c>
      <c r="CW831" s="27" t="s">
        <v>166</v>
      </c>
      <c r="CX831" s="27" t="s">
        <v>166</v>
      </c>
      <c r="CY831" s="27" t="s">
        <v>166</v>
      </c>
      <c r="CZ831" s="27" t="s">
        <v>166</v>
      </c>
      <c r="DA831" s="27" t="s">
        <v>166</v>
      </c>
      <c r="DB831" s="27" t="s">
        <v>166</v>
      </c>
      <c r="DC831" s="27" t="s">
        <v>166</v>
      </c>
      <c r="DD831" s="27" t="s">
        <v>166</v>
      </c>
      <c r="DE831" s="28" t="s">
        <v>166</v>
      </c>
      <c r="DF831" s="33">
        <v>2</v>
      </c>
      <c r="DG831" s="25" t="s">
        <v>309</v>
      </c>
      <c r="DH831" s="25" t="s">
        <v>193</v>
      </c>
      <c r="DI831" s="25" t="s">
        <v>194</v>
      </c>
      <c r="DJ831" s="25" t="s">
        <v>310</v>
      </c>
      <c r="DK831" s="25" t="s">
        <v>310</v>
      </c>
      <c r="DL831" s="32" t="s">
        <v>9717</v>
      </c>
      <c r="DM831" s="25" t="s">
        <v>198</v>
      </c>
      <c r="DN831" s="24" t="s">
        <v>15858</v>
      </c>
      <c r="DO831" s="31">
        <v>2023</v>
      </c>
      <c r="DP831" s="25" t="s">
        <v>166</v>
      </c>
      <c r="DQ831" s="25" t="s">
        <v>166</v>
      </c>
      <c r="DR831" s="29" t="s">
        <v>166</v>
      </c>
      <c r="DS831" s="27" t="s">
        <v>166</v>
      </c>
      <c r="DT831" s="30" t="s">
        <v>166</v>
      </c>
      <c r="DU831" s="25" t="s">
        <v>166</v>
      </c>
      <c r="DV831" s="29" t="s">
        <v>166</v>
      </c>
      <c r="DW831" s="29" t="s">
        <v>166</v>
      </c>
      <c r="DX831" s="27" t="s">
        <v>166</v>
      </c>
      <c r="DY831" s="27" t="s">
        <v>166</v>
      </c>
      <c r="DZ831" s="28" t="s">
        <v>166</v>
      </c>
      <c r="EA831" s="27" t="s">
        <v>166</v>
      </c>
      <c r="EB831" s="27" t="s">
        <v>166</v>
      </c>
      <c r="EC831" s="27" t="s">
        <v>166</v>
      </c>
      <c r="ED831" s="28" t="s">
        <v>166</v>
      </c>
      <c r="EE831" s="28" t="s">
        <v>166</v>
      </c>
      <c r="EF831" s="28" t="s">
        <v>166</v>
      </c>
      <c r="EG831" s="28" t="s">
        <v>166</v>
      </c>
      <c r="EH831" s="27" t="s">
        <v>166</v>
      </c>
      <c r="EI831" s="27" t="s">
        <v>166</v>
      </c>
      <c r="EJ831" s="27" t="s">
        <v>166</v>
      </c>
      <c r="EK831" s="27" t="s">
        <v>166</v>
      </c>
      <c r="EL831" s="27" t="s">
        <v>166</v>
      </c>
      <c r="EM831" s="27" t="s">
        <v>166</v>
      </c>
      <c r="EN831" s="27" t="s">
        <v>166</v>
      </c>
      <c r="EO831" s="27" t="s">
        <v>166</v>
      </c>
      <c r="EP831" s="27" t="s">
        <v>166</v>
      </c>
      <c r="EQ831" s="27" t="s">
        <v>166</v>
      </c>
      <c r="ER831" s="27" t="s">
        <v>166</v>
      </c>
      <c r="ES831" s="27" t="s">
        <v>166</v>
      </c>
      <c r="ET831" s="25" t="s">
        <v>166</v>
      </c>
      <c r="EU831" s="27" t="s">
        <v>166</v>
      </c>
      <c r="EV831" s="27" t="s">
        <v>166</v>
      </c>
      <c r="EW831" s="27" t="s">
        <v>166</v>
      </c>
      <c r="EX831" s="25" t="s">
        <v>190</v>
      </c>
      <c r="EY831" s="25" t="s">
        <v>166</v>
      </c>
      <c r="EZ831" s="27" t="s">
        <v>166</v>
      </c>
      <c r="FA831" s="26" t="s">
        <v>166</v>
      </c>
      <c r="FB831" s="26" t="s">
        <v>166</v>
      </c>
      <c r="FC831" s="26" t="s">
        <v>166</v>
      </c>
      <c r="FD831" s="26" t="s">
        <v>166</v>
      </c>
      <c r="FE831" s="26" t="s">
        <v>166</v>
      </c>
      <c r="FF831" s="26" t="s">
        <v>166</v>
      </c>
      <c r="FG831" s="25" t="s">
        <v>166</v>
      </c>
      <c r="FH831" s="4">
        <f>HYPERLINK("https://my.pitchbook.com?c=274741-30T","View Company Online")</f>
      </c>
    </row>
    <row r="832">
      <c r="A832" s="14" t="s">
        <v>15859</v>
      </c>
      <c r="B832" s="14" t="s">
        <v>15860</v>
      </c>
      <c r="C832" s="14" t="s">
        <v>15861</v>
      </c>
      <c r="D832" s="14" t="s">
        <v>166</v>
      </c>
      <c r="E832" s="23" t="s">
        <v>15862</v>
      </c>
      <c r="F832" s="21">
        <v>6</v>
      </c>
      <c r="G832" s="14" t="s">
        <v>15863</v>
      </c>
      <c r="H832" s="14" t="s">
        <v>166</v>
      </c>
      <c r="I832" s="14" t="s">
        <v>15864</v>
      </c>
      <c r="J832" s="14" t="s">
        <v>15865</v>
      </c>
      <c r="K832" s="14" t="s">
        <v>207</v>
      </c>
      <c r="L832" s="14" t="s">
        <v>208</v>
      </c>
      <c r="M832" s="14" t="s">
        <v>621</v>
      </c>
      <c r="N832" s="14" t="s">
        <v>5421</v>
      </c>
      <c r="O832" s="14" t="s">
        <v>15866</v>
      </c>
      <c r="P832" s="14" t="s">
        <v>15867</v>
      </c>
      <c r="Q832" s="14" t="s">
        <v>166</v>
      </c>
      <c r="R832" s="14" t="s">
        <v>177</v>
      </c>
      <c r="S832" s="14" t="s">
        <v>178</v>
      </c>
      <c r="T832" s="14" t="s">
        <v>179</v>
      </c>
      <c r="U832" s="14" t="s">
        <v>15868</v>
      </c>
      <c r="V832" s="14" t="s">
        <v>15869</v>
      </c>
      <c r="W832" s="21" t="s">
        <v>15870</v>
      </c>
      <c r="X832" s="14" t="s">
        <v>15871</v>
      </c>
      <c r="Y832" s="14" t="s">
        <v>15872</v>
      </c>
      <c r="Z832" s="14" t="s">
        <v>15873</v>
      </c>
      <c r="AA832" s="14" t="s">
        <v>242</v>
      </c>
      <c r="AB832" s="14" t="s">
        <v>243</v>
      </c>
      <c r="AC832" s="14" t="s">
        <v>244</v>
      </c>
      <c r="AD832" s="14" t="s">
        <v>243</v>
      </c>
      <c r="AE832" s="14" t="s">
        <v>243</v>
      </c>
      <c r="AF832" s="14" t="s">
        <v>166</v>
      </c>
      <c r="AG832" s="14" t="s">
        <v>246</v>
      </c>
      <c r="AH832" s="21">
        <v>2</v>
      </c>
      <c r="AI832" s="3">
        <f>HYPERLINK("https://my.pitchbook.com/?d=126826-84T","126826-84T")</f>
      </c>
      <c r="AJ832" s="19">
        <v>43834</v>
      </c>
      <c r="AK832" s="19">
        <v>43907</v>
      </c>
      <c r="AL832" s="18">
        <v>0.88</v>
      </c>
      <c r="AM832" s="14" t="s">
        <v>185</v>
      </c>
      <c r="AN832" s="18">
        <v>2.5</v>
      </c>
      <c r="AO832" s="18">
        <v>3.38</v>
      </c>
      <c r="AP832" s="14" t="s">
        <v>185</v>
      </c>
      <c r="AQ832" s="21" t="s">
        <v>166</v>
      </c>
      <c r="AR832" s="21" t="s">
        <v>166</v>
      </c>
      <c r="AS832" s="17">
        <v>26.66</v>
      </c>
      <c r="AT832" s="18">
        <v>1</v>
      </c>
      <c r="AU832" s="21" t="s">
        <v>186</v>
      </c>
      <c r="AV832" s="21" t="s">
        <v>166</v>
      </c>
      <c r="AW832" s="18">
        <v>0.61</v>
      </c>
      <c r="AX832" s="21" t="s">
        <v>166</v>
      </c>
      <c r="AY832" s="14" t="s">
        <v>217</v>
      </c>
      <c r="AZ832" s="14" t="s">
        <v>217</v>
      </c>
      <c r="BA832" s="14" t="s">
        <v>166</v>
      </c>
      <c r="BB832" s="21" t="s">
        <v>166</v>
      </c>
      <c r="BC832" s="14" t="s">
        <v>179</v>
      </c>
      <c r="BD832" s="14" t="s">
        <v>15874</v>
      </c>
      <c r="BE832" s="14" t="s">
        <v>189</v>
      </c>
      <c r="BF832" s="18">
        <v>0.88</v>
      </c>
      <c r="BG832" s="14" t="s">
        <v>190</v>
      </c>
      <c r="BH832" s="14" t="s">
        <v>166</v>
      </c>
      <c r="BI832" s="14" t="s">
        <v>166</v>
      </c>
      <c r="BJ832" s="18" t="s">
        <v>166</v>
      </c>
      <c r="BK832" s="18" t="s">
        <v>166</v>
      </c>
      <c r="BL832" s="14" t="s">
        <v>191</v>
      </c>
      <c r="BM832" s="14" t="s">
        <v>178</v>
      </c>
      <c r="BN832" s="14" t="s">
        <v>177</v>
      </c>
      <c r="BO832" s="22" t="s">
        <v>166</v>
      </c>
      <c r="BP832" s="14" t="s">
        <v>15875</v>
      </c>
      <c r="BQ832" s="21">
        <v>6</v>
      </c>
      <c r="BR832" s="14" t="s">
        <v>166</v>
      </c>
      <c r="BS832" s="21" t="s">
        <v>166</v>
      </c>
      <c r="BT832" s="14" t="s">
        <v>166</v>
      </c>
      <c r="BU832" s="14" t="s">
        <v>166</v>
      </c>
      <c r="BV832" s="14" t="s">
        <v>15876</v>
      </c>
      <c r="BW832" s="14" t="s">
        <v>166</v>
      </c>
      <c r="BX832" s="14" t="s">
        <v>166</v>
      </c>
      <c r="BY832" s="14" t="s">
        <v>166</v>
      </c>
      <c r="BZ832" s="14" t="s">
        <v>166</v>
      </c>
      <c r="CA832" s="14" t="s">
        <v>166</v>
      </c>
      <c r="CB832" s="14" t="s">
        <v>166</v>
      </c>
      <c r="CC832" s="14" t="s">
        <v>166</v>
      </c>
      <c r="CD832" s="14" t="s">
        <v>166</v>
      </c>
      <c r="CE832" s="18" t="s">
        <v>166</v>
      </c>
      <c r="CF832" s="16" t="s">
        <v>166</v>
      </c>
      <c r="CG832" s="17" t="s">
        <v>166</v>
      </c>
      <c r="CH832" s="16" t="s">
        <v>166</v>
      </c>
      <c r="CI832" s="16" t="s">
        <v>166</v>
      </c>
      <c r="CJ832" s="16" t="s">
        <v>166</v>
      </c>
      <c r="CK832" s="16" t="s">
        <v>166</v>
      </c>
      <c r="CL832" s="16" t="s">
        <v>166</v>
      </c>
      <c r="CM832" s="20" t="s">
        <v>166</v>
      </c>
      <c r="CN832" s="16" t="s">
        <v>166</v>
      </c>
      <c r="CO832" s="16" t="s">
        <v>166</v>
      </c>
      <c r="CP832" s="16" t="s">
        <v>166</v>
      </c>
      <c r="CQ832" s="16" t="s">
        <v>166</v>
      </c>
      <c r="CR832" s="16" t="s">
        <v>166</v>
      </c>
      <c r="CS832" s="16" t="s">
        <v>166</v>
      </c>
      <c r="CT832" s="16" t="s">
        <v>166</v>
      </c>
      <c r="CU832" s="16" t="s">
        <v>166</v>
      </c>
      <c r="CV832" s="16" t="s">
        <v>166</v>
      </c>
      <c r="CW832" s="16" t="s">
        <v>166</v>
      </c>
      <c r="CX832" s="16" t="s">
        <v>166</v>
      </c>
      <c r="CY832" s="16" t="s">
        <v>166</v>
      </c>
      <c r="CZ832" s="16" t="s">
        <v>166</v>
      </c>
      <c r="DA832" s="16" t="s">
        <v>166</v>
      </c>
      <c r="DB832" s="16" t="s">
        <v>166</v>
      </c>
      <c r="DC832" s="16" t="s">
        <v>166</v>
      </c>
      <c r="DD832" s="16" t="s">
        <v>166</v>
      </c>
      <c r="DE832" s="17" t="s">
        <v>166</v>
      </c>
      <c r="DF832" s="22">
        <v>15</v>
      </c>
      <c r="DG832" s="14" t="s">
        <v>15877</v>
      </c>
      <c r="DH832" s="14" t="s">
        <v>193</v>
      </c>
      <c r="DI832" s="14" t="s">
        <v>194</v>
      </c>
      <c r="DJ832" s="14" t="s">
        <v>15878</v>
      </c>
      <c r="DK832" s="14" t="s">
        <v>4671</v>
      </c>
      <c r="DL832" s="21" t="s">
        <v>15879</v>
      </c>
      <c r="DM832" s="14" t="s">
        <v>198</v>
      </c>
      <c r="DN832" s="13" t="s">
        <v>15880</v>
      </c>
      <c r="DO832" s="20">
        <v>2018</v>
      </c>
      <c r="DP832" s="14" t="s">
        <v>166</v>
      </c>
      <c r="DQ832" s="14" t="s">
        <v>166</v>
      </c>
      <c r="DR832" s="18" t="s">
        <v>166</v>
      </c>
      <c r="DS832" s="16" t="s">
        <v>166</v>
      </c>
      <c r="DT832" s="19" t="s">
        <v>166</v>
      </c>
      <c r="DU832" s="14" t="s">
        <v>166</v>
      </c>
      <c r="DV832" s="18" t="s">
        <v>166</v>
      </c>
      <c r="DW832" s="18" t="s">
        <v>166</v>
      </c>
      <c r="DX832" s="16" t="s">
        <v>166</v>
      </c>
      <c r="DY832" s="16" t="s">
        <v>166</v>
      </c>
      <c r="DZ832" s="17" t="s">
        <v>166</v>
      </c>
      <c r="EA832" s="16" t="s">
        <v>166</v>
      </c>
      <c r="EB832" s="16" t="s">
        <v>166</v>
      </c>
      <c r="EC832" s="16" t="s">
        <v>166</v>
      </c>
      <c r="ED832" s="17" t="s">
        <v>166</v>
      </c>
      <c r="EE832" s="17" t="s">
        <v>166</v>
      </c>
      <c r="EF832" s="17" t="s">
        <v>166</v>
      </c>
      <c r="EG832" s="17" t="s">
        <v>166</v>
      </c>
      <c r="EH832" s="16" t="s">
        <v>166</v>
      </c>
      <c r="EI832" s="16" t="s">
        <v>166</v>
      </c>
      <c r="EJ832" s="16" t="s">
        <v>166</v>
      </c>
      <c r="EK832" s="16" t="s">
        <v>166</v>
      </c>
      <c r="EL832" s="16" t="s">
        <v>166</v>
      </c>
      <c r="EM832" s="16" t="s">
        <v>166</v>
      </c>
      <c r="EN832" s="16" t="s">
        <v>166</v>
      </c>
      <c r="EO832" s="16" t="s">
        <v>166</v>
      </c>
      <c r="EP832" s="16" t="s">
        <v>166</v>
      </c>
      <c r="EQ832" s="16" t="s">
        <v>166</v>
      </c>
      <c r="ER832" s="16" t="s">
        <v>166</v>
      </c>
      <c r="ES832" s="16" t="s">
        <v>166</v>
      </c>
      <c r="ET832" s="14" t="s">
        <v>166</v>
      </c>
      <c r="EU832" s="16" t="s">
        <v>166</v>
      </c>
      <c r="EV832" s="16" t="s">
        <v>166</v>
      </c>
      <c r="EW832" s="16" t="s">
        <v>166</v>
      </c>
      <c r="EX832" s="14" t="s">
        <v>190</v>
      </c>
      <c r="EY832" s="14" t="s">
        <v>166</v>
      </c>
      <c r="EZ832" s="16" t="s">
        <v>166</v>
      </c>
      <c r="FA832" s="15" t="s">
        <v>166</v>
      </c>
      <c r="FB832" s="15" t="s">
        <v>166</v>
      </c>
      <c r="FC832" s="15" t="s">
        <v>166</v>
      </c>
      <c r="FD832" s="15" t="s">
        <v>166</v>
      </c>
      <c r="FE832" s="15" t="s">
        <v>166</v>
      </c>
      <c r="FF832" s="15" t="s">
        <v>166</v>
      </c>
      <c r="FG832" s="14" t="s">
        <v>166</v>
      </c>
      <c r="FH832" s="3">
        <f>HYPERLINK("https://my.pitchbook.com?c=126826-84T","View Company Online")</f>
      </c>
    </row>
    <row r="833">
      <c r="A833" s="25" t="s">
        <v>15881</v>
      </c>
      <c r="B833" s="25" t="s">
        <v>15882</v>
      </c>
      <c r="C833" s="25" t="s">
        <v>15883</v>
      </c>
      <c r="D833" s="25" t="s">
        <v>166</v>
      </c>
      <c r="E833" s="34" t="s">
        <v>15884</v>
      </c>
      <c r="F833" s="32">
        <v>4</v>
      </c>
      <c r="G833" s="25" t="s">
        <v>15885</v>
      </c>
      <c r="H833" s="25" t="s">
        <v>166</v>
      </c>
      <c r="I833" s="25" t="s">
        <v>15886</v>
      </c>
      <c r="J833" s="25" t="s">
        <v>15887</v>
      </c>
      <c r="K833" s="25" t="s">
        <v>1455</v>
      </c>
      <c r="L833" s="25" t="s">
        <v>1984</v>
      </c>
      <c r="M833" s="25" t="s">
        <v>2112</v>
      </c>
      <c r="N833" s="25" t="s">
        <v>15888</v>
      </c>
      <c r="O833" s="25" t="s">
        <v>7057</v>
      </c>
      <c r="P833" s="25" t="s">
        <v>15889</v>
      </c>
      <c r="Q833" s="25" t="s">
        <v>166</v>
      </c>
      <c r="R833" s="25" t="s">
        <v>177</v>
      </c>
      <c r="S833" s="25" t="s">
        <v>178</v>
      </c>
      <c r="T833" s="25" t="s">
        <v>179</v>
      </c>
      <c r="U833" s="25" t="s">
        <v>15890</v>
      </c>
      <c r="V833" s="25" t="s">
        <v>15891</v>
      </c>
      <c r="W833" s="32" t="s">
        <v>15892</v>
      </c>
      <c r="X833" s="25" t="s">
        <v>15893</v>
      </c>
      <c r="Y833" s="25" t="s">
        <v>15894</v>
      </c>
      <c r="Z833" s="25" t="s">
        <v>166</v>
      </c>
      <c r="AA833" s="25" t="s">
        <v>242</v>
      </c>
      <c r="AB833" s="25" t="s">
        <v>243</v>
      </c>
      <c r="AC833" s="25" t="s">
        <v>244</v>
      </c>
      <c r="AD833" s="25" t="s">
        <v>243</v>
      </c>
      <c r="AE833" s="25" t="s">
        <v>243</v>
      </c>
      <c r="AF833" s="25" t="s">
        <v>166</v>
      </c>
      <c r="AG833" s="25" t="s">
        <v>246</v>
      </c>
      <c r="AH833" s="32">
        <v>1</v>
      </c>
      <c r="AI833" s="4">
        <f>HYPERLINK("https://my.pitchbook.com/?d=160674-94T","160674-94T")</f>
      </c>
      <c r="AJ833" s="30">
        <v>44133</v>
      </c>
      <c r="AK833" s="30">
        <v>44174</v>
      </c>
      <c r="AL833" s="29">
        <v>1.8</v>
      </c>
      <c r="AM833" s="25" t="s">
        <v>185</v>
      </c>
      <c r="AN833" s="29">
        <v>5.2</v>
      </c>
      <c r="AO833" s="29">
        <v>7</v>
      </c>
      <c r="AP833" s="25" t="s">
        <v>185</v>
      </c>
      <c r="AQ833" s="32" t="s">
        <v>166</v>
      </c>
      <c r="AR833" s="32" t="s">
        <v>166</v>
      </c>
      <c r="AS833" s="28">
        <v>29.88</v>
      </c>
      <c r="AT833" s="29">
        <v>1.8</v>
      </c>
      <c r="AU833" s="32" t="s">
        <v>186</v>
      </c>
      <c r="AV833" s="32" t="s">
        <v>166</v>
      </c>
      <c r="AW833" s="29">
        <v>0.34</v>
      </c>
      <c r="AX833" s="32" t="s">
        <v>166</v>
      </c>
      <c r="AY833" s="25" t="s">
        <v>217</v>
      </c>
      <c r="AZ833" s="25" t="s">
        <v>217</v>
      </c>
      <c r="BA833" s="25" t="s">
        <v>166</v>
      </c>
      <c r="BB833" s="32" t="s">
        <v>166</v>
      </c>
      <c r="BC833" s="25" t="s">
        <v>179</v>
      </c>
      <c r="BD833" s="25" t="s">
        <v>15895</v>
      </c>
      <c r="BE833" s="25" t="s">
        <v>189</v>
      </c>
      <c r="BF833" s="29">
        <v>1.8</v>
      </c>
      <c r="BG833" s="25" t="s">
        <v>190</v>
      </c>
      <c r="BH833" s="25" t="s">
        <v>166</v>
      </c>
      <c r="BI833" s="25" t="s">
        <v>166</v>
      </c>
      <c r="BJ833" s="29" t="s">
        <v>166</v>
      </c>
      <c r="BK833" s="29" t="s">
        <v>166</v>
      </c>
      <c r="BL833" s="25" t="s">
        <v>191</v>
      </c>
      <c r="BM833" s="25" t="s">
        <v>358</v>
      </c>
      <c r="BN833" s="25" t="s">
        <v>177</v>
      </c>
      <c r="BO833" s="33">
        <v>1</v>
      </c>
      <c r="BP833" s="25" t="s">
        <v>15896</v>
      </c>
      <c r="BQ833" s="32">
        <v>4</v>
      </c>
      <c r="BR833" s="25" t="s">
        <v>166</v>
      </c>
      <c r="BS833" s="32" t="s">
        <v>166</v>
      </c>
      <c r="BT833" s="25" t="s">
        <v>15897</v>
      </c>
      <c r="BU833" s="25" t="s">
        <v>166</v>
      </c>
      <c r="BV833" s="25" t="s">
        <v>15898</v>
      </c>
      <c r="BW833" s="25" t="s">
        <v>166</v>
      </c>
      <c r="BX833" s="25" t="s">
        <v>166</v>
      </c>
      <c r="BY833" s="25" t="s">
        <v>166</v>
      </c>
      <c r="BZ833" s="25" t="s">
        <v>653</v>
      </c>
      <c r="CA833" s="25" t="s">
        <v>166</v>
      </c>
      <c r="CB833" s="25" t="s">
        <v>166</v>
      </c>
      <c r="CC833" s="25" t="s">
        <v>653</v>
      </c>
      <c r="CD833" s="25" t="s">
        <v>166</v>
      </c>
      <c r="CE833" s="29" t="s">
        <v>166</v>
      </c>
      <c r="CF833" s="27" t="s">
        <v>166</v>
      </c>
      <c r="CG833" s="28" t="s">
        <v>166</v>
      </c>
      <c r="CH833" s="27" t="s">
        <v>166</v>
      </c>
      <c r="CI833" s="27" t="s">
        <v>166</v>
      </c>
      <c r="CJ833" s="27" t="s">
        <v>166</v>
      </c>
      <c r="CK833" s="27" t="s">
        <v>166</v>
      </c>
      <c r="CL833" s="27" t="s">
        <v>166</v>
      </c>
      <c r="CM833" s="31" t="s">
        <v>166</v>
      </c>
      <c r="CN833" s="27" t="s">
        <v>166</v>
      </c>
      <c r="CO833" s="27" t="s">
        <v>166</v>
      </c>
      <c r="CP833" s="27" t="s">
        <v>166</v>
      </c>
      <c r="CQ833" s="27" t="s">
        <v>166</v>
      </c>
      <c r="CR833" s="27" t="s">
        <v>166</v>
      </c>
      <c r="CS833" s="27" t="s">
        <v>166</v>
      </c>
      <c r="CT833" s="27" t="s">
        <v>166</v>
      </c>
      <c r="CU833" s="27" t="s">
        <v>166</v>
      </c>
      <c r="CV833" s="27" t="s">
        <v>166</v>
      </c>
      <c r="CW833" s="27" t="s">
        <v>166</v>
      </c>
      <c r="CX833" s="27" t="s">
        <v>166</v>
      </c>
      <c r="CY833" s="27" t="s">
        <v>166</v>
      </c>
      <c r="CZ833" s="27" t="s">
        <v>166</v>
      </c>
      <c r="DA833" s="27" t="s">
        <v>166</v>
      </c>
      <c r="DB833" s="27" t="s">
        <v>166</v>
      </c>
      <c r="DC833" s="27" t="s">
        <v>166</v>
      </c>
      <c r="DD833" s="27" t="s">
        <v>166</v>
      </c>
      <c r="DE833" s="28" t="s">
        <v>166</v>
      </c>
      <c r="DF833" s="33">
        <v>13</v>
      </c>
      <c r="DG833" s="25" t="s">
        <v>309</v>
      </c>
      <c r="DH833" s="25" t="s">
        <v>193</v>
      </c>
      <c r="DI833" s="25" t="s">
        <v>194</v>
      </c>
      <c r="DJ833" s="25" t="s">
        <v>310</v>
      </c>
      <c r="DK833" s="25" t="s">
        <v>310</v>
      </c>
      <c r="DL833" s="32" t="s">
        <v>479</v>
      </c>
      <c r="DM833" s="25" t="s">
        <v>198</v>
      </c>
      <c r="DN833" s="24" t="s">
        <v>15899</v>
      </c>
      <c r="DO833" s="31">
        <v>2020</v>
      </c>
      <c r="DP833" s="25" t="s">
        <v>166</v>
      </c>
      <c r="DQ833" s="25" t="s">
        <v>166</v>
      </c>
      <c r="DR833" s="29" t="s">
        <v>166</v>
      </c>
      <c r="DS833" s="27" t="s">
        <v>166</v>
      </c>
      <c r="DT833" s="30" t="s">
        <v>166</v>
      </c>
      <c r="DU833" s="25" t="s">
        <v>166</v>
      </c>
      <c r="DV833" s="29" t="s">
        <v>166</v>
      </c>
      <c r="DW833" s="29" t="s">
        <v>166</v>
      </c>
      <c r="DX833" s="27" t="s">
        <v>166</v>
      </c>
      <c r="DY833" s="27" t="s">
        <v>166</v>
      </c>
      <c r="DZ833" s="28" t="s">
        <v>166</v>
      </c>
      <c r="EA833" s="27" t="s">
        <v>166</v>
      </c>
      <c r="EB833" s="27" t="s">
        <v>166</v>
      </c>
      <c r="EC833" s="27" t="s">
        <v>166</v>
      </c>
      <c r="ED833" s="28" t="s">
        <v>166</v>
      </c>
      <c r="EE833" s="28" t="s">
        <v>166</v>
      </c>
      <c r="EF833" s="28" t="s">
        <v>166</v>
      </c>
      <c r="EG833" s="28" t="s">
        <v>166</v>
      </c>
      <c r="EH833" s="27" t="s">
        <v>166</v>
      </c>
      <c r="EI833" s="27" t="s">
        <v>166</v>
      </c>
      <c r="EJ833" s="27" t="s">
        <v>166</v>
      </c>
      <c r="EK833" s="27" t="s">
        <v>166</v>
      </c>
      <c r="EL833" s="27" t="s">
        <v>166</v>
      </c>
      <c r="EM833" s="27" t="s">
        <v>166</v>
      </c>
      <c r="EN833" s="27" t="s">
        <v>166</v>
      </c>
      <c r="EO833" s="27" t="s">
        <v>166</v>
      </c>
      <c r="EP833" s="27" t="s">
        <v>166</v>
      </c>
      <c r="EQ833" s="27" t="s">
        <v>166</v>
      </c>
      <c r="ER833" s="27" t="s">
        <v>166</v>
      </c>
      <c r="ES833" s="27" t="s">
        <v>166</v>
      </c>
      <c r="ET833" s="25" t="s">
        <v>166</v>
      </c>
      <c r="EU833" s="27" t="s">
        <v>166</v>
      </c>
      <c r="EV833" s="27" t="s">
        <v>166</v>
      </c>
      <c r="EW833" s="27" t="s">
        <v>166</v>
      </c>
      <c r="EX833" s="25" t="s">
        <v>190</v>
      </c>
      <c r="EY833" s="25" t="s">
        <v>166</v>
      </c>
      <c r="EZ833" s="27" t="s">
        <v>166</v>
      </c>
      <c r="FA833" s="26" t="s">
        <v>166</v>
      </c>
      <c r="FB833" s="26" t="s">
        <v>166</v>
      </c>
      <c r="FC833" s="26" t="s">
        <v>166</v>
      </c>
      <c r="FD833" s="26" t="s">
        <v>166</v>
      </c>
      <c r="FE833" s="26" t="s">
        <v>166</v>
      </c>
      <c r="FF833" s="26" t="s">
        <v>166</v>
      </c>
      <c r="FG833" s="25" t="s">
        <v>166</v>
      </c>
      <c r="FH833" s="4">
        <f>HYPERLINK("https://my.pitchbook.com?c=160674-94T","View Company Online")</f>
      </c>
    </row>
    <row r="834">
      <c r="A834" s="14" t="s">
        <v>15900</v>
      </c>
      <c r="B834" s="14" t="s">
        <v>15901</v>
      </c>
      <c r="C834" s="14" t="s">
        <v>15902</v>
      </c>
      <c r="D834" s="14" t="s">
        <v>166</v>
      </c>
      <c r="E834" s="23" t="s">
        <v>15903</v>
      </c>
      <c r="F834" s="21">
        <v>2</v>
      </c>
      <c r="G834" s="14" t="s">
        <v>15904</v>
      </c>
      <c r="H834" s="14" t="s">
        <v>166</v>
      </c>
      <c r="I834" s="14" t="s">
        <v>15905</v>
      </c>
      <c r="J834" s="14" t="s">
        <v>15906</v>
      </c>
      <c r="K834" s="14" t="s">
        <v>207</v>
      </c>
      <c r="L834" s="14" t="s">
        <v>208</v>
      </c>
      <c r="M834" s="14" t="s">
        <v>209</v>
      </c>
      <c r="N834" s="14" t="s">
        <v>1009</v>
      </c>
      <c r="O834" s="14" t="s">
        <v>15907</v>
      </c>
      <c r="P834" s="14" t="s">
        <v>15908</v>
      </c>
      <c r="Q834" s="14" t="s">
        <v>166</v>
      </c>
      <c r="R834" s="14" t="s">
        <v>177</v>
      </c>
      <c r="S834" s="14" t="s">
        <v>178</v>
      </c>
      <c r="T834" s="14" t="s">
        <v>179</v>
      </c>
      <c r="U834" s="14" t="s">
        <v>15909</v>
      </c>
      <c r="V834" s="14" t="s">
        <v>15910</v>
      </c>
      <c r="W834" s="21" t="s">
        <v>166</v>
      </c>
      <c r="X834" s="14" t="s">
        <v>166</v>
      </c>
      <c r="Y834" s="14" t="s">
        <v>15911</v>
      </c>
      <c r="Z834" s="14" t="s">
        <v>166</v>
      </c>
      <c r="AA834" s="14" t="s">
        <v>242</v>
      </c>
      <c r="AB834" s="14" t="s">
        <v>243</v>
      </c>
      <c r="AC834" s="14" t="s">
        <v>244</v>
      </c>
      <c r="AD834" s="14" t="s">
        <v>243</v>
      </c>
      <c r="AE834" s="14" t="s">
        <v>243</v>
      </c>
      <c r="AF834" s="14" t="s">
        <v>166</v>
      </c>
      <c r="AG834" s="14" t="s">
        <v>246</v>
      </c>
      <c r="AH834" s="21">
        <v>1</v>
      </c>
      <c r="AI834" s="3">
        <f>HYPERLINK("https://my.pitchbook.com/?d=241032-07T","241032-07T")</f>
      </c>
      <c r="AJ834" s="19" t="s">
        <v>166</v>
      </c>
      <c r="AK834" s="19">
        <v>44880</v>
      </c>
      <c r="AL834" s="18">
        <v>12</v>
      </c>
      <c r="AM834" s="14" t="s">
        <v>247</v>
      </c>
      <c r="AN834" s="18">
        <v>38</v>
      </c>
      <c r="AO834" s="18">
        <v>50</v>
      </c>
      <c r="AP834" s="14" t="s">
        <v>185</v>
      </c>
      <c r="AQ834" s="21" t="s">
        <v>166</v>
      </c>
      <c r="AR834" s="21" t="s">
        <v>166</v>
      </c>
      <c r="AS834" s="17">
        <v>24</v>
      </c>
      <c r="AT834" s="18">
        <v>12</v>
      </c>
      <c r="AU834" s="21" t="s">
        <v>186</v>
      </c>
      <c r="AV834" s="21" t="s">
        <v>166</v>
      </c>
      <c r="AW834" s="18">
        <v>7.25</v>
      </c>
      <c r="AX834" s="21" t="s">
        <v>166</v>
      </c>
      <c r="AY834" s="14" t="s">
        <v>217</v>
      </c>
      <c r="AZ834" s="14" t="s">
        <v>217</v>
      </c>
      <c r="BA834" s="14" t="s">
        <v>166</v>
      </c>
      <c r="BB834" s="21" t="s">
        <v>166</v>
      </c>
      <c r="BC834" s="14" t="s">
        <v>179</v>
      </c>
      <c r="BD834" s="14" t="s">
        <v>15912</v>
      </c>
      <c r="BE834" s="14" t="s">
        <v>189</v>
      </c>
      <c r="BF834" s="18">
        <v>12</v>
      </c>
      <c r="BG834" s="14" t="s">
        <v>190</v>
      </c>
      <c r="BH834" s="14" t="s">
        <v>166</v>
      </c>
      <c r="BI834" s="14" t="s">
        <v>166</v>
      </c>
      <c r="BJ834" s="18" t="s">
        <v>166</v>
      </c>
      <c r="BK834" s="18" t="s">
        <v>166</v>
      </c>
      <c r="BL834" s="14" t="s">
        <v>191</v>
      </c>
      <c r="BM834" s="14" t="s">
        <v>178</v>
      </c>
      <c r="BN834" s="14" t="s">
        <v>177</v>
      </c>
      <c r="BO834" s="22" t="s">
        <v>166</v>
      </c>
      <c r="BP834" s="14" t="s">
        <v>15903</v>
      </c>
      <c r="BQ834" s="21">
        <v>2</v>
      </c>
      <c r="BR834" s="14" t="s">
        <v>166</v>
      </c>
      <c r="BS834" s="21" t="s">
        <v>166</v>
      </c>
      <c r="BT834" s="14" t="s">
        <v>166</v>
      </c>
      <c r="BU834" s="14" t="s">
        <v>166</v>
      </c>
      <c r="BV834" s="14" t="s">
        <v>166</v>
      </c>
      <c r="BW834" s="14" t="s">
        <v>166</v>
      </c>
      <c r="BX834" s="14" t="s">
        <v>166</v>
      </c>
      <c r="BY834" s="14" t="s">
        <v>166</v>
      </c>
      <c r="BZ834" s="14" t="s">
        <v>166</v>
      </c>
      <c r="CA834" s="14" t="s">
        <v>166</v>
      </c>
      <c r="CB834" s="14" t="s">
        <v>166</v>
      </c>
      <c r="CC834" s="14" t="s">
        <v>166</v>
      </c>
      <c r="CD834" s="14" t="s">
        <v>166</v>
      </c>
      <c r="CE834" s="18" t="s">
        <v>166</v>
      </c>
      <c r="CF834" s="16" t="s">
        <v>166</v>
      </c>
      <c r="CG834" s="17" t="s">
        <v>166</v>
      </c>
      <c r="CH834" s="16" t="s">
        <v>166</v>
      </c>
      <c r="CI834" s="16" t="s">
        <v>166</v>
      </c>
      <c r="CJ834" s="16" t="s">
        <v>166</v>
      </c>
      <c r="CK834" s="16" t="s">
        <v>166</v>
      </c>
      <c r="CL834" s="16" t="s">
        <v>166</v>
      </c>
      <c r="CM834" s="20" t="s">
        <v>166</v>
      </c>
      <c r="CN834" s="16" t="s">
        <v>166</v>
      </c>
      <c r="CO834" s="16" t="s">
        <v>166</v>
      </c>
      <c r="CP834" s="16" t="s">
        <v>166</v>
      </c>
      <c r="CQ834" s="16" t="s">
        <v>166</v>
      </c>
      <c r="CR834" s="16" t="s">
        <v>166</v>
      </c>
      <c r="CS834" s="16" t="s">
        <v>166</v>
      </c>
      <c r="CT834" s="16" t="s">
        <v>166</v>
      </c>
      <c r="CU834" s="16" t="s">
        <v>166</v>
      </c>
      <c r="CV834" s="16" t="s">
        <v>166</v>
      </c>
      <c r="CW834" s="16" t="s">
        <v>166</v>
      </c>
      <c r="CX834" s="16" t="s">
        <v>166</v>
      </c>
      <c r="CY834" s="16" t="s">
        <v>166</v>
      </c>
      <c r="CZ834" s="16" t="s">
        <v>166</v>
      </c>
      <c r="DA834" s="16" t="s">
        <v>166</v>
      </c>
      <c r="DB834" s="16" t="s">
        <v>166</v>
      </c>
      <c r="DC834" s="16" t="s">
        <v>166</v>
      </c>
      <c r="DD834" s="16" t="s">
        <v>166</v>
      </c>
      <c r="DE834" s="17" t="s">
        <v>166</v>
      </c>
      <c r="DF834" s="22">
        <v>10</v>
      </c>
      <c r="DG834" s="14" t="s">
        <v>673</v>
      </c>
      <c r="DH834" s="14" t="s">
        <v>193</v>
      </c>
      <c r="DI834" s="14" t="s">
        <v>194</v>
      </c>
      <c r="DJ834" s="14" t="s">
        <v>674</v>
      </c>
      <c r="DK834" s="14" t="s">
        <v>257</v>
      </c>
      <c r="DL834" s="21" t="s">
        <v>8507</v>
      </c>
      <c r="DM834" s="14" t="s">
        <v>198</v>
      </c>
      <c r="DN834" s="13" t="s">
        <v>15913</v>
      </c>
      <c r="DO834" s="20">
        <v>2022</v>
      </c>
      <c r="DP834" s="14" t="s">
        <v>166</v>
      </c>
      <c r="DQ834" s="14" t="s">
        <v>166</v>
      </c>
      <c r="DR834" s="18" t="s">
        <v>166</v>
      </c>
      <c r="DS834" s="16" t="s">
        <v>166</v>
      </c>
      <c r="DT834" s="19" t="s">
        <v>166</v>
      </c>
      <c r="DU834" s="14" t="s">
        <v>166</v>
      </c>
      <c r="DV834" s="18" t="s">
        <v>166</v>
      </c>
      <c r="DW834" s="18" t="s">
        <v>166</v>
      </c>
      <c r="DX834" s="16" t="s">
        <v>166</v>
      </c>
      <c r="DY834" s="16" t="s">
        <v>166</v>
      </c>
      <c r="DZ834" s="17" t="s">
        <v>166</v>
      </c>
      <c r="EA834" s="16" t="s">
        <v>166</v>
      </c>
      <c r="EB834" s="16" t="s">
        <v>166</v>
      </c>
      <c r="EC834" s="16" t="s">
        <v>166</v>
      </c>
      <c r="ED834" s="17" t="s">
        <v>166</v>
      </c>
      <c r="EE834" s="17" t="s">
        <v>166</v>
      </c>
      <c r="EF834" s="17" t="s">
        <v>166</v>
      </c>
      <c r="EG834" s="17" t="s">
        <v>166</v>
      </c>
      <c r="EH834" s="16" t="s">
        <v>166</v>
      </c>
      <c r="EI834" s="16" t="s">
        <v>166</v>
      </c>
      <c r="EJ834" s="16" t="s">
        <v>166</v>
      </c>
      <c r="EK834" s="16" t="s">
        <v>166</v>
      </c>
      <c r="EL834" s="16" t="s">
        <v>166</v>
      </c>
      <c r="EM834" s="16" t="s">
        <v>166</v>
      </c>
      <c r="EN834" s="16" t="s">
        <v>166</v>
      </c>
      <c r="EO834" s="16" t="s">
        <v>166</v>
      </c>
      <c r="EP834" s="16" t="s">
        <v>166</v>
      </c>
      <c r="EQ834" s="16" t="s">
        <v>166</v>
      </c>
      <c r="ER834" s="16" t="s">
        <v>166</v>
      </c>
      <c r="ES834" s="16" t="s">
        <v>166</v>
      </c>
      <c r="ET834" s="14" t="s">
        <v>166</v>
      </c>
      <c r="EU834" s="16" t="s">
        <v>166</v>
      </c>
      <c r="EV834" s="16" t="s">
        <v>166</v>
      </c>
      <c r="EW834" s="16" t="s">
        <v>166</v>
      </c>
      <c r="EX834" s="14" t="s">
        <v>190</v>
      </c>
      <c r="EY834" s="14" t="s">
        <v>166</v>
      </c>
      <c r="EZ834" s="16" t="s">
        <v>166</v>
      </c>
      <c r="FA834" s="15" t="s">
        <v>166</v>
      </c>
      <c r="FB834" s="15" t="s">
        <v>166</v>
      </c>
      <c r="FC834" s="15" t="s">
        <v>166</v>
      </c>
      <c r="FD834" s="15" t="s">
        <v>166</v>
      </c>
      <c r="FE834" s="15" t="s">
        <v>166</v>
      </c>
      <c r="FF834" s="15" t="s">
        <v>166</v>
      </c>
      <c r="FG834" s="14" t="s">
        <v>166</v>
      </c>
      <c r="FH834" s="3">
        <f>HYPERLINK("https://my.pitchbook.com?c=241032-07T","View Company Online")</f>
      </c>
    </row>
    <row r="835">
      <c r="A835" s="25" t="s">
        <v>15914</v>
      </c>
      <c r="B835" s="25" t="s">
        <v>15915</v>
      </c>
      <c r="C835" s="25" t="s">
        <v>15916</v>
      </c>
      <c r="D835" s="25" t="s">
        <v>166</v>
      </c>
      <c r="E835" s="34" t="s">
        <v>15917</v>
      </c>
      <c r="F835" s="32">
        <v>4</v>
      </c>
      <c r="G835" s="25" t="s">
        <v>15918</v>
      </c>
      <c r="H835" s="25" t="s">
        <v>166</v>
      </c>
      <c r="I835" s="25" t="s">
        <v>15919</v>
      </c>
      <c r="J835" s="25" t="s">
        <v>15920</v>
      </c>
      <c r="K835" s="25" t="s">
        <v>207</v>
      </c>
      <c r="L835" s="25" t="s">
        <v>208</v>
      </c>
      <c r="M835" s="25" t="s">
        <v>209</v>
      </c>
      <c r="N835" s="25" t="s">
        <v>1359</v>
      </c>
      <c r="O835" s="25" t="s">
        <v>1127</v>
      </c>
      <c r="P835" s="25" t="s">
        <v>15921</v>
      </c>
      <c r="Q835" s="25" t="s">
        <v>166</v>
      </c>
      <c r="R835" s="25" t="s">
        <v>177</v>
      </c>
      <c r="S835" s="25" t="s">
        <v>358</v>
      </c>
      <c r="T835" s="25" t="s">
        <v>179</v>
      </c>
      <c r="U835" s="25" t="s">
        <v>15922</v>
      </c>
      <c r="V835" s="25" t="s">
        <v>15923</v>
      </c>
      <c r="W835" s="32" t="s">
        <v>166</v>
      </c>
      <c r="X835" s="25" t="s">
        <v>15924</v>
      </c>
      <c r="Y835" s="25" t="s">
        <v>15925</v>
      </c>
      <c r="Z835" s="25" t="s">
        <v>15926</v>
      </c>
      <c r="AA835" s="25" t="s">
        <v>242</v>
      </c>
      <c r="AB835" s="25" t="s">
        <v>243</v>
      </c>
      <c r="AC835" s="25" t="s">
        <v>244</v>
      </c>
      <c r="AD835" s="25" t="s">
        <v>243</v>
      </c>
      <c r="AE835" s="25" t="s">
        <v>243</v>
      </c>
      <c r="AF835" s="25" t="s">
        <v>245</v>
      </c>
      <c r="AG835" s="25" t="s">
        <v>807</v>
      </c>
      <c r="AH835" s="32">
        <v>1</v>
      </c>
      <c r="AI835" s="4">
        <f>HYPERLINK("https://my.pitchbook.com/?d=201187-99T","201187-99T")</f>
      </c>
      <c r="AJ835" s="30" t="s">
        <v>166</v>
      </c>
      <c r="AK835" s="30">
        <v>44670</v>
      </c>
      <c r="AL835" s="29">
        <v>3.1</v>
      </c>
      <c r="AM835" s="25" t="s">
        <v>185</v>
      </c>
      <c r="AN835" s="29">
        <v>7.5</v>
      </c>
      <c r="AO835" s="29">
        <v>10.6</v>
      </c>
      <c r="AP835" s="25" t="s">
        <v>185</v>
      </c>
      <c r="AQ835" s="32" t="s">
        <v>166</v>
      </c>
      <c r="AR835" s="32" t="s">
        <v>166</v>
      </c>
      <c r="AS835" s="28">
        <v>29.25</v>
      </c>
      <c r="AT835" s="29">
        <v>3.1</v>
      </c>
      <c r="AU835" s="32" t="s">
        <v>186</v>
      </c>
      <c r="AV835" s="32" t="s">
        <v>166</v>
      </c>
      <c r="AW835" s="29">
        <v>0.63</v>
      </c>
      <c r="AX835" s="32" t="s">
        <v>166</v>
      </c>
      <c r="AY835" s="25" t="s">
        <v>217</v>
      </c>
      <c r="AZ835" s="25" t="s">
        <v>217</v>
      </c>
      <c r="BA835" s="25" t="s">
        <v>166</v>
      </c>
      <c r="BB835" s="32" t="s">
        <v>166</v>
      </c>
      <c r="BC835" s="25" t="s">
        <v>179</v>
      </c>
      <c r="BD835" s="25" t="s">
        <v>15927</v>
      </c>
      <c r="BE835" s="25" t="s">
        <v>189</v>
      </c>
      <c r="BF835" s="29">
        <v>3.1</v>
      </c>
      <c r="BG835" s="25" t="s">
        <v>190</v>
      </c>
      <c r="BH835" s="25" t="s">
        <v>166</v>
      </c>
      <c r="BI835" s="25" t="s">
        <v>166</v>
      </c>
      <c r="BJ835" s="29" t="s">
        <v>166</v>
      </c>
      <c r="BK835" s="29" t="s">
        <v>166</v>
      </c>
      <c r="BL835" s="25" t="s">
        <v>191</v>
      </c>
      <c r="BM835" s="25" t="s">
        <v>358</v>
      </c>
      <c r="BN835" s="25" t="s">
        <v>177</v>
      </c>
      <c r="BO835" s="33" t="s">
        <v>166</v>
      </c>
      <c r="BP835" s="25" t="s">
        <v>15917</v>
      </c>
      <c r="BQ835" s="32">
        <v>4</v>
      </c>
      <c r="BR835" s="25" t="s">
        <v>166</v>
      </c>
      <c r="BS835" s="32" t="s">
        <v>166</v>
      </c>
      <c r="BT835" s="25" t="s">
        <v>166</v>
      </c>
      <c r="BU835" s="25" t="s">
        <v>166</v>
      </c>
      <c r="BV835" s="25" t="s">
        <v>166</v>
      </c>
      <c r="BW835" s="25" t="s">
        <v>166</v>
      </c>
      <c r="BX835" s="25" t="s">
        <v>166</v>
      </c>
      <c r="BY835" s="25" t="s">
        <v>166</v>
      </c>
      <c r="BZ835" s="25" t="s">
        <v>166</v>
      </c>
      <c r="CA835" s="25" t="s">
        <v>166</v>
      </c>
      <c r="CB835" s="25" t="s">
        <v>166</v>
      </c>
      <c r="CC835" s="25" t="s">
        <v>166</v>
      </c>
      <c r="CD835" s="25" t="s">
        <v>166</v>
      </c>
      <c r="CE835" s="29" t="s">
        <v>166</v>
      </c>
      <c r="CF835" s="27" t="s">
        <v>166</v>
      </c>
      <c r="CG835" s="28" t="s">
        <v>166</v>
      </c>
      <c r="CH835" s="27" t="s">
        <v>166</v>
      </c>
      <c r="CI835" s="27" t="s">
        <v>166</v>
      </c>
      <c r="CJ835" s="27" t="s">
        <v>166</v>
      </c>
      <c r="CK835" s="27" t="s">
        <v>166</v>
      </c>
      <c r="CL835" s="27" t="s">
        <v>166</v>
      </c>
      <c r="CM835" s="31" t="s">
        <v>166</v>
      </c>
      <c r="CN835" s="27" t="s">
        <v>166</v>
      </c>
      <c r="CO835" s="27" t="s">
        <v>166</v>
      </c>
      <c r="CP835" s="27" t="s">
        <v>166</v>
      </c>
      <c r="CQ835" s="27" t="s">
        <v>166</v>
      </c>
      <c r="CR835" s="27" t="s">
        <v>166</v>
      </c>
      <c r="CS835" s="27" t="s">
        <v>166</v>
      </c>
      <c r="CT835" s="27" t="s">
        <v>166</v>
      </c>
      <c r="CU835" s="27" t="s">
        <v>166</v>
      </c>
      <c r="CV835" s="27" t="s">
        <v>166</v>
      </c>
      <c r="CW835" s="27" t="s">
        <v>166</v>
      </c>
      <c r="CX835" s="27" t="s">
        <v>166</v>
      </c>
      <c r="CY835" s="27" t="s">
        <v>166</v>
      </c>
      <c r="CZ835" s="27" t="s">
        <v>166</v>
      </c>
      <c r="DA835" s="27" t="s">
        <v>166</v>
      </c>
      <c r="DB835" s="27" t="s">
        <v>166</v>
      </c>
      <c r="DC835" s="27" t="s">
        <v>166</v>
      </c>
      <c r="DD835" s="27" t="s">
        <v>166</v>
      </c>
      <c r="DE835" s="28" t="s">
        <v>166</v>
      </c>
      <c r="DF835" s="33">
        <v>6</v>
      </c>
      <c r="DG835" s="25" t="s">
        <v>309</v>
      </c>
      <c r="DH835" s="25" t="s">
        <v>193</v>
      </c>
      <c r="DI835" s="25" t="s">
        <v>194</v>
      </c>
      <c r="DJ835" s="25" t="s">
        <v>310</v>
      </c>
      <c r="DK835" s="25" t="s">
        <v>310</v>
      </c>
      <c r="DL835" s="32" t="s">
        <v>5163</v>
      </c>
      <c r="DM835" s="25" t="s">
        <v>198</v>
      </c>
      <c r="DN835" s="24" t="s">
        <v>15928</v>
      </c>
      <c r="DO835" s="31">
        <v>2022</v>
      </c>
      <c r="DP835" s="25" t="s">
        <v>166</v>
      </c>
      <c r="DQ835" s="25" t="s">
        <v>166</v>
      </c>
      <c r="DR835" s="29" t="s">
        <v>166</v>
      </c>
      <c r="DS835" s="27" t="s">
        <v>166</v>
      </c>
      <c r="DT835" s="30" t="s">
        <v>166</v>
      </c>
      <c r="DU835" s="25" t="s">
        <v>166</v>
      </c>
      <c r="DV835" s="29" t="s">
        <v>166</v>
      </c>
      <c r="DW835" s="29" t="s">
        <v>166</v>
      </c>
      <c r="DX835" s="27" t="s">
        <v>166</v>
      </c>
      <c r="DY835" s="27" t="s">
        <v>166</v>
      </c>
      <c r="DZ835" s="28" t="s">
        <v>166</v>
      </c>
      <c r="EA835" s="27" t="s">
        <v>166</v>
      </c>
      <c r="EB835" s="27" t="s">
        <v>166</v>
      </c>
      <c r="EC835" s="27" t="s">
        <v>166</v>
      </c>
      <c r="ED835" s="28" t="s">
        <v>166</v>
      </c>
      <c r="EE835" s="28" t="s">
        <v>166</v>
      </c>
      <c r="EF835" s="28" t="s">
        <v>166</v>
      </c>
      <c r="EG835" s="28" t="s">
        <v>166</v>
      </c>
      <c r="EH835" s="27" t="s">
        <v>166</v>
      </c>
      <c r="EI835" s="27" t="s">
        <v>166</v>
      </c>
      <c r="EJ835" s="27" t="s">
        <v>166</v>
      </c>
      <c r="EK835" s="27" t="s">
        <v>166</v>
      </c>
      <c r="EL835" s="27" t="s">
        <v>166</v>
      </c>
      <c r="EM835" s="27" t="s">
        <v>166</v>
      </c>
      <c r="EN835" s="27" t="s">
        <v>166</v>
      </c>
      <c r="EO835" s="27" t="s">
        <v>166</v>
      </c>
      <c r="EP835" s="27" t="s">
        <v>166</v>
      </c>
      <c r="EQ835" s="27" t="s">
        <v>166</v>
      </c>
      <c r="ER835" s="27" t="s">
        <v>166</v>
      </c>
      <c r="ES835" s="27" t="s">
        <v>166</v>
      </c>
      <c r="ET835" s="25" t="s">
        <v>166</v>
      </c>
      <c r="EU835" s="27" t="s">
        <v>166</v>
      </c>
      <c r="EV835" s="27" t="s">
        <v>166</v>
      </c>
      <c r="EW835" s="27" t="s">
        <v>166</v>
      </c>
      <c r="EX835" s="25" t="s">
        <v>190</v>
      </c>
      <c r="EY835" s="25" t="s">
        <v>166</v>
      </c>
      <c r="EZ835" s="27" t="s">
        <v>166</v>
      </c>
      <c r="FA835" s="26">
        <v>1</v>
      </c>
      <c r="FB835" s="26">
        <v>1</v>
      </c>
      <c r="FC835" s="26" t="s">
        <v>166</v>
      </c>
      <c r="FD835" s="26">
        <v>1</v>
      </c>
      <c r="FE835" s="26" t="s">
        <v>166</v>
      </c>
      <c r="FF835" s="26" t="s">
        <v>166</v>
      </c>
      <c r="FG835" s="25" t="s">
        <v>775</v>
      </c>
      <c r="FH835" s="4">
        <f>HYPERLINK("https://my.pitchbook.com?c=201187-99T","View Company Online")</f>
      </c>
    </row>
    <row r="836">
      <c r="A836" s="14" t="s">
        <v>15929</v>
      </c>
      <c r="B836" s="14" t="s">
        <v>15930</v>
      </c>
      <c r="C836" s="14" t="s">
        <v>15931</v>
      </c>
      <c r="D836" s="14" t="s">
        <v>166</v>
      </c>
      <c r="E836" s="23" t="s">
        <v>15932</v>
      </c>
      <c r="F836" s="21">
        <v>18</v>
      </c>
      <c r="G836" s="14" t="s">
        <v>15933</v>
      </c>
      <c r="H836" s="14" t="s">
        <v>166</v>
      </c>
      <c r="I836" s="14" t="s">
        <v>15934</v>
      </c>
      <c r="J836" s="14" t="s">
        <v>15935</v>
      </c>
      <c r="K836" s="14" t="s">
        <v>321</v>
      </c>
      <c r="L836" s="14" t="s">
        <v>322</v>
      </c>
      <c r="M836" s="14" t="s">
        <v>322</v>
      </c>
      <c r="N836" s="14" t="s">
        <v>2410</v>
      </c>
      <c r="O836" s="14" t="s">
        <v>11834</v>
      </c>
      <c r="P836" s="14" t="s">
        <v>15936</v>
      </c>
      <c r="Q836" s="14" t="s">
        <v>166</v>
      </c>
      <c r="R836" s="14" t="s">
        <v>177</v>
      </c>
      <c r="S836" s="14" t="s">
        <v>178</v>
      </c>
      <c r="T836" s="14" t="s">
        <v>179</v>
      </c>
      <c r="U836" s="14" t="s">
        <v>15937</v>
      </c>
      <c r="V836" s="14" t="s">
        <v>15938</v>
      </c>
      <c r="W836" s="21" t="s">
        <v>15939</v>
      </c>
      <c r="X836" s="14" t="s">
        <v>15940</v>
      </c>
      <c r="Y836" s="14" t="s">
        <v>15941</v>
      </c>
      <c r="Z836" s="14" t="s">
        <v>15942</v>
      </c>
      <c r="AA836" s="14" t="s">
        <v>242</v>
      </c>
      <c r="AB836" s="14" t="s">
        <v>243</v>
      </c>
      <c r="AC836" s="14" t="s">
        <v>244</v>
      </c>
      <c r="AD836" s="14" t="s">
        <v>243</v>
      </c>
      <c r="AE836" s="14" t="s">
        <v>243</v>
      </c>
      <c r="AF836" s="14" t="s">
        <v>166</v>
      </c>
      <c r="AG836" s="14" t="s">
        <v>246</v>
      </c>
      <c r="AH836" s="21">
        <v>1</v>
      </c>
      <c r="AI836" s="3">
        <f>HYPERLINK("https://my.pitchbook.com/?d=158657-41T","158657-41T")</f>
      </c>
      <c r="AJ836" s="19">
        <v>44043</v>
      </c>
      <c r="AK836" s="19">
        <v>44077</v>
      </c>
      <c r="AL836" s="18">
        <v>1.3</v>
      </c>
      <c r="AM836" s="14" t="s">
        <v>185</v>
      </c>
      <c r="AN836" s="18" t="s">
        <v>166</v>
      </c>
      <c r="AO836" s="18" t="s">
        <v>166</v>
      </c>
      <c r="AP836" s="14" t="s">
        <v>166</v>
      </c>
      <c r="AQ836" s="21" t="s">
        <v>166</v>
      </c>
      <c r="AR836" s="21" t="s">
        <v>166</v>
      </c>
      <c r="AS836" s="17" t="s">
        <v>166</v>
      </c>
      <c r="AT836" s="18">
        <v>1.3</v>
      </c>
      <c r="AU836" s="21" t="s">
        <v>186</v>
      </c>
      <c r="AV836" s="21" t="s">
        <v>166</v>
      </c>
      <c r="AW836" s="18">
        <v>1.13</v>
      </c>
      <c r="AX836" s="21" t="s">
        <v>166</v>
      </c>
      <c r="AY836" s="14" t="s">
        <v>217</v>
      </c>
      <c r="AZ836" s="14" t="s">
        <v>217</v>
      </c>
      <c r="BA836" s="14" t="s">
        <v>166</v>
      </c>
      <c r="BB836" s="21" t="s">
        <v>166</v>
      </c>
      <c r="BC836" s="14" t="s">
        <v>179</v>
      </c>
      <c r="BD836" s="14" t="s">
        <v>15943</v>
      </c>
      <c r="BE836" s="14" t="s">
        <v>189</v>
      </c>
      <c r="BF836" s="18">
        <v>1.3</v>
      </c>
      <c r="BG836" s="14" t="s">
        <v>190</v>
      </c>
      <c r="BH836" s="14" t="s">
        <v>166</v>
      </c>
      <c r="BI836" s="14" t="s">
        <v>166</v>
      </c>
      <c r="BJ836" s="18" t="s">
        <v>166</v>
      </c>
      <c r="BK836" s="18" t="s">
        <v>166</v>
      </c>
      <c r="BL836" s="14" t="s">
        <v>191</v>
      </c>
      <c r="BM836" s="14" t="s">
        <v>178</v>
      </c>
      <c r="BN836" s="14" t="s">
        <v>177</v>
      </c>
      <c r="BO836" s="22" t="s">
        <v>166</v>
      </c>
      <c r="BP836" s="14" t="s">
        <v>15944</v>
      </c>
      <c r="BQ836" s="21">
        <v>18</v>
      </c>
      <c r="BR836" s="14" t="s">
        <v>166</v>
      </c>
      <c r="BS836" s="21" t="s">
        <v>166</v>
      </c>
      <c r="BT836" s="14" t="s">
        <v>15945</v>
      </c>
      <c r="BU836" s="14" t="s">
        <v>166</v>
      </c>
      <c r="BV836" s="14" t="s">
        <v>15946</v>
      </c>
      <c r="BW836" s="14" t="s">
        <v>166</v>
      </c>
      <c r="BX836" s="14" t="s">
        <v>166</v>
      </c>
      <c r="BY836" s="14" t="s">
        <v>166</v>
      </c>
      <c r="BZ836" s="14" t="s">
        <v>15947</v>
      </c>
      <c r="CA836" s="14" t="s">
        <v>166</v>
      </c>
      <c r="CB836" s="14" t="s">
        <v>166</v>
      </c>
      <c r="CC836" s="14" t="s">
        <v>15947</v>
      </c>
      <c r="CD836" s="14" t="s">
        <v>166</v>
      </c>
      <c r="CE836" s="18" t="s">
        <v>166</v>
      </c>
      <c r="CF836" s="16" t="s">
        <v>166</v>
      </c>
      <c r="CG836" s="17" t="s">
        <v>166</v>
      </c>
      <c r="CH836" s="16" t="s">
        <v>166</v>
      </c>
      <c r="CI836" s="16" t="s">
        <v>166</v>
      </c>
      <c r="CJ836" s="16" t="s">
        <v>166</v>
      </c>
      <c r="CK836" s="16" t="s">
        <v>166</v>
      </c>
      <c r="CL836" s="16" t="s">
        <v>166</v>
      </c>
      <c r="CM836" s="20" t="s">
        <v>166</v>
      </c>
      <c r="CN836" s="16" t="s">
        <v>166</v>
      </c>
      <c r="CO836" s="16" t="s">
        <v>166</v>
      </c>
      <c r="CP836" s="16" t="s">
        <v>166</v>
      </c>
      <c r="CQ836" s="16" t="s">
        <v>166</v>
      </c>
      <c r="CR836" s="16" t="s">
        <v>166</v>
      </c>
      <c r="CS836" s="16" t="s">
        <v>166</v>
      </c>
      <c r="CT836" s="16" t="s">
        <v>166</v>
      </c>
      <c r="CU836" s="16" t="s">
        <v>166</v>
      </c>
      <c r="CV836" s="16" t="s">
        <v>166</v>
      </c>
      <c r="CW836" s="16" t="s">
        <v>166</v>
      </c>
      <c r="CX836" s="16" t="s">
        <v>166</v>
      </c>
      <c r="CY836" s="16" t="s">
        <v>166</v>
      </c>
      <c r="CZ836" s="16" t="s">
        <v>166</v>
      </c>
      <c r="DA836" s="16" t="s">
        <v>166</v>
      </c>
      <c r="DB836" s="16" t="s">
        <v>166</v>
      </c>
      <c r="DC836" s="16" t="s">
        <v>166</v>
      </c>
      <c r="DD836" s="16" t="s">
        <v>166</v>
      </c>
      <c r="DE836" s="17" t="s">
        <v>166</v>
      </c>
      <c r="DF836" s="22">
        <v>15</v>
      </c>
      <c r="DG836" s="14" t="s">
        <v>1540</v>
      </c>
      <c r="DH836" s="14" t="s">
        <v>193</v>
      </c>
      <c r="DI836" s="14" t="s">
        <v>194</v>
      </c>
      <c r="DJ836" s="14" t="s">
        <v>1541</v>
      </c>
      <c r="DK836" s="14" t="s">
        <v>257</v>
      </c>
      <c r="DL836" s="21" t="s">
        <v>6254</v>
      </c>
      <c r="DM836" s="14" t="s">
        <v>198</v>
      </c>
      <c r="DN836" s="13" t="s">
        <v>15948</v>
      </c>
      <c r="DO836" s="20">
        <v>2019</v>
      </c>
      <c r="DP836" s="14" t="s">
        <v>166</v>
      </c>
      <c r="DQ836" s="14" t="s">
        <v>166</v>
      </c>
      <c r="DR836" s="18" t="s">
        <v>166</v>
      </c>
      <c r="DS836" s="16" t="s">
        <v>166</v>
      </c>
      <c r="DT836" s="19" t="s">
        <v>166</v>
      </c>
      <c r="DU836" s="14" t="s">
        <v>166</v>
      </c>
      <c r="DV836" s="18" t="s">
        <v>166</v>
      </c>
      <c r="DW836" s="18" t="s">
        <v>166</v>
      </c>
      <c r="DX836" s="16" t="s">
        <v>166</v>
      </c>
      <c r="DY836" s="16" t="s">
        <v>166</v>
      </c>
      <c r="DZ836" s="17" t="s">
        <v>166</v>
      </c>
      <c r="EA836" s="16" t="s">
        <v>166</v>
      </c>
      <c r="EB836" s="16" t="s">
        <v>166</v>
      </c>
      <c r="EC836" s="16" t="s">
        <v>166</v>
      </c>
      <c r="ED836" s="17" t="s">
        <v>166</v>
      </c>
      <c r="EE836" s="17" t="s">
        <v>166</v>
      </c>
      <c r="EF836" s="17" t="s">
        <v>166</v>
      </c>
      <c r="EG836" s="17" t="s">
        <v>166</v>
      </c>
      <c r="EH836" s="16" t="s">
        <v>166</v>
      </c>
      <c r="EI836" s="16" t="s">
        <v>166</v>
      </c>
      <c r="EJ836" s="16" t="s">
        <v>166</v>
      </c>
      <c r="EK836" s="16" t="s">
        <v>166</v>
      </c>
      <c r="EL836" s="16" t="s">
        <v>166</v>
      </c>
      <c r="EM836" s="16" t="s">
        <v>166</v>
      </c>
      <c r="EN836" s="16" t="s">
        <v>166</v>
      </c>
      <c r="EO836" s="16" t="s">
        <v>166</v>
      </c>
      <c r="EP836" s="16" t="s">
        <v>166</v>
      </c>
      <c r="EQ836" s="16" t="s">
        <v>166</v>
      </c>
      <c r="ER836" s="16" t="s">
        <v>166</v>
      </c>
      <c r="ES836" s="16" t="s">
        <v>166</v>
      </c>
      <c r="ET836" s="14" t="s">
        <v>166</v>
      </c>
      <c r="EU836" s="16" t="s">
        <v>166</v>
      </c>
      <c r="EV836" s="16" t="s">
        <v>166</v>
      </c>
      <c r="EW836" s="16" t="s">
        <v>166</v>
      </c>
      <c r="EX836" s="14" t="s">
        <v>190</v>
      </c>
      <c r="EY836" s="14" t="s">
        <v>166</v>
      </c>
      <c r="EZ836" s="16" t="s">
        <v>166</v>
      </c>
      <c r="FA836" s="15" t="s">
        <v>166</v>
      </c>
      <c r="FB836" s="15" t="s">
        <v>166</v>
      </c>
      <c r="FC836" s="15" t="s">
        <v>166</v>
      </c>
      <c r="FD836" s="15" t="s">
        <v>166</v>
      </c>
      <c r="FE836" s="15" t="s">
        <v>166</v>
      </c>
      <c r="FF836" s="15" t="s">
        <v>166</v>
      </c>
      <c r="FG836" s="14" t="s">
        <v>166</v>
      </c>
      <c r="FH836" s="3">
        <f>HYPERLINK("https://my.pitchbook.com?c=158657-41T","View Company Online")</f>
      </c>
    </row>
    <row r="837">
      <c r="A837" s="25" t="s">
        <v>15949</v>
      </c>
      <c r="B837" s="25" t="s">
        <v>15950</v>
      </c>
      <c r="C837" s="25" t="s">
        <v>15951</v>
      </c>
      <c r="D837" s="25" t="s">
        <v>166</v>
      </c>
      <c r="E837" s="34" t="s">
        <v>15952</v>
      </c>
      <c r="F837" s="32">
        <v>3</v>
      </c>
      <c r="G837" s="25" t="s">
        <v>15953</v>
      </c>
      <c r="H837" s="25" t="s">
        <v>166</v>
      </c>
      <c r="I837" s="25" t="s">
        <v>15954</v>
      </c>
      <c r="J837" s="25" t="s">
        <v>15955</v>
      </c>
      <c r="K837" s="25" t="s">
        <v>207</v>
      </c>
      <c r="L837" s="25" t="s">
        <v>208</v>
      </c>
      <c r="M837" s="25" t="s">
        <v>296</v>
      </c>
      <c r="N837" s="25" t="s">
        <v>944</v>
      </c>
      <c r="O837" s="25" t="s">
        <v>15956</v>
      </c>
      <c r="P837" s="25" t="s">
        <v>15957</v>
      </c>
      <c r="Q837" s="25" t="s">
        <v>166</v>
      </c>
      <c r="R837" s="25" t="s">
        <v>177</v>
      </c>
      <c r="S837" s="25" t="s">
        <v>178</v>
      </c>
      <c r="T837" s="25" t="s">
        <v>179</v>
      </c>
      <c r="U837" s="25" t="s">
        <v>15958</v>
      </c>
      <c r="V837" s="25" t="s">
        <v>15959</v>
      </c>
      <c r="W837" s="32" t="s">
        <v>166</v>
      </c>
      <c r="X837" s="25" t="s">
        <v>15960</v>
      </c>
      <c r="Y837" s="25" t="s">
        <v>15961</v>
      </c>
      <c r="Z837" s="25" t="s">
        <v>15962</v>
      </c>
      <c r="AA837" s="25" t="s">
        <v>166</v>
      </c>
      <c r="AB837" s="25" t="s">
        <v>166</v>
      </c>
      <c r="AC837" s="25" t="s">
        <v>166</v>
      </c>
      <c r="AD837" s="25" t="s">
        <v>166</v>
      </c>
      <c r="AE837" s="25" t="s">
        <v>166</v>
      </c>
      <c r="AF837" s="25" t="s">
        <v>166</v>
      </c>
      <c r="AG837" s="25" t="s">
        <v>166</v>
      </c>
      <c r="AH837" s="32">
        <v>1</v>
      </c>
      <c r="AI837" s="4">
        <f>HYPERLINK("https://my.pitchbook.com/?d=170357-41T","170357-41T")</f>
      </c>
      <c r="AJ837" s="30" t="s">
        <v>166</v>
      </c>
      <c r="AK837" s="30">
        <v>44300</v>
      </c>
      <c r="AL837" s="29">
        <v>24</v>
      </c>
      <c r="AM837" s="25" t="s">
        <v>185</v>
      </c>
      <c r="AN837" s="29">
        <v>116</v>
      </c>
      <c r="AO837" s="29">
        <v>140</v>
      </c>
      <c r="AP837" s="25" t="s">
        <v>185</v>
      </c>
      <c r="AQ837" s="32" t="s">
        <v>166</v>
      </c>
      <c r="AR837" s="32" t="s">
        <v>166</v>
      </c>
      <c r="AS837" s="28">
        <v>17.14</v>
      </c>
      <c r="AT837" s="29">
        <v>24</v>
      </c>
      <c r="AU837" s="32" t="s">
        <v>186</v>
      </c>
      <c r="AV837" s="32" t="s">
        <v>166</v>
      </c>
      <c r="AW837" s="29" t="s">
        <v>166</v>
      </c>
      <c r="AX837" s="32" t="s">
        <v>166</v>
      </c>
      <c r="AY837" s="25" t="s">
        <v>217</v>
      </c>
      <c r="AZ837" s="25" t="s">
        <v>217</v>
      </c>
      <c r="BA837" s="25" t="s">
        <v>166</v>
      </c>
      <c r="BB837" s="32" t="s">
        <v>166</v>
      </c>
      <c r="BC837" s="25" t="s">
        <v>179</v>
      </c>
      <c r="BD837" s="25" t="s">
        <v>15963</v>
      </c>
      <c r="BE837" s="25" t="s">
        <v>189</v>
      </c>
      <c r="BF837" s="29">
        <v>24</v>
      </c>
      <c r="BG837" s="25" t="s">
        <v>190</v>
      </c>
      <c r="BH837" s="25" t="s">
        <v>166</v>
      </c>
      <c r="BI837" s="25" t="s">
        <v>166</v>
      </c>
      <c r="BJ837" s="29" t="s">
        <v>166</v>
      </c>
      <c r="BK837" s="29" t="s">
        <v>166</v>
      </c>
      <c r="BL837" s="25" t="s">
        <v>191</v>
      </c>
      <c r="BM837" s="25" t="s">
        <v>178</v>
      </c>
      <c r="BN837" s="25" t="s">
        <v>177</v>
      </c>
      <c r="BO837" s="33" t="s">
        <v>166</v>
      </c>
      <c r="BP837" s="25" t="s">
        <v>15964</v>
      </c>
      <c r="BQ837" s="32">
        <v>3</v>
      </c>
      <c r="BR837" s="25" t="s">
        <v>166</v>
      </c>
      <c r="BS837" s="32" t="s">
        <v>166</v>
      </c>
      <c r="BT837" s="25" t="s">
        <v>15965</v>
      </c>
      <c r="BU837" s="25" t="s">
        <v>166</v>
      </c>
      <c r="BV837" s="25" t="s">
        <v>15966</v>
      </c>
      <c r="BW837" s="25" t="s">
        <v>166</v>
      </c>
      <c r="BX837" s="25" t="s">
        <v>166</v>
      </c>
      <c r="BY837" s="25" t="s">
        <v>166</v>
      </c>
      <c r="BZ837" s="25" t="s">
        <v>15967</v>
      </c>
      <c r="CA837" s="25" t="s">
        <v>1232</v>
      </c>
      <c r="CB837" s="25" t="s">
        <v>166</v>
      </c>
      <c r="CC837" s="25" t="s">
        <v>15968</v>
      </c>
      <c r="CD837" s="25" t="s">
        <v>166</v>
      </c>
      <c r="CE837" s="29" t="s">
        <v>166</v>
      </c>
      <c r="CF837" s="27" t="s">
        <v>166</v>
      </c>
      <c r="CG837" s="28" t="s">
        <v>166</v>
      </c>
      <c r="CH837" s="27" t="s">
        <v>166</v>
      </c>
      <c r="CI837" s="27" t="s">
        <v>166</v>
      </c>
      <c r="CJ837" s="27" t="s">
        <v>166</v>
      </c>
      <c r="CK837" s="27" t="s">
        <v>166</v>
      </c>
      <c r="CL837" s="27" t="s">
        <v>166</v>
      </c>
      <c r="CM837" s="31" t="s">
        <v>166</v>
      </c>
      <c r="CN837" s="27" t="s">
        <v>166</v>
      </c>
      <c r="CO837" s="27" t="s">
        <v>166</v>
      </c>
      <c r="CP837" s="27" t="s">
        <v>166</v>
      </c>
      <c r="CQ837" s="27" t="s">
        <v>166</v>
      </c>
      <c r="CR837" s="27" t="s">
        <v>166</v>
      </c>
      <c r="CS837" s="27" t="s">
        <v>166</v>
      </c>
      <c r="CT837" s="27" t="s">
        <v>166</v>
      </c>
      <c r="CU837" s="27" t="s">
        <v>166</v>
      </c>
      <c r="CV837" s="27" t="s">
        <v>166</v>
      </c>
      <c r="CW837" s="27" t="s">
        <v>166</v>
      </c>
      <c r="CX837" s="27" t="s">
        <v>166</v>
      </c>
      <c r="CY837" s="27" t="s">
        <v>166</v>
      </c>
      <c r="CZ837" s="27" t="s">
        <v>166</v>
      </c>
      <c r="DA837" s="27" t="s">
        <v>166</v>
      </c>
      <c r="DB837" s="27" t="s">
        <v>166</v>
      </c>
      <c r="DC837" s="27" t="s">
        <v>166</v>
      </c>
      <c r="DD837" s="27" t="s">
        <v>166</v>
      </c>
      <c r="DE837" s="28" t="s">
        <v>166</v>
      </c>
      <c r="DF837" s="33">
        <v>170</v>
      </c>
      <c r="DG837" s="25" t="s">
        <v>2367</v>
      </c>
      <c r="DH837" s="25" t="s">
        <v>193</v>
      </c>
      <c r="DI837" s="25" t="s">
        <v>194</v>
      </c>
      <c r="DJ837" s="25" t="s">
        <v>2368</v>
      </c>
      <c r="DK837" s="25" t="s">
        <v>2369</v>
      </c>
      <c r="DL837" s="32" t="s">
        <v>8559</v>
      </c>
      <c r="DM837" s="25" t="s">
        <v>198</v>
      </c>
      <c r="DN837" s="24" t="s">
        <v>15969</v>
      </c>
      <c r="DO837" s="31">
        <v>2020</v>
      </c>
      <c r="DP837" s="25" t="s">
        <v>166</v>
      </c>
      <c r="DQ837" s="25" t="s">
        <v>166</v>
      </c>
      <c r="DR837" s="29" t="s">
        <v>166</v>
      </c>
      <c r="DS837" s="27" t="s">
        <v>166</v>
      </c>
      <c r="DT837" s="30" t="s">
        <v>166</v>
      </c>
      <c r="DU837" s="25" t="s">
        <v>166</v>
      </c>
      <c r="DV837" s="29" t="s">
        <v>166</v>
      </c>
      <c r="DW837" s="29" t="s">
        <v>166</v>
      </c>
      <c r="DX837" s="27" t="s">
        <v>166</v>
      </c>
      <c r="DY837" s="27" t="s">
        <v>166</v>
      </c>
      <c r="DZ837" s="28" t="s">
        <v>166</v>
      </c>
      <c r="EA837" s="27" t="s">
        <v>166</v>
      </c>
      <c r="EB837" s="27" t="s">
        <v>166</v>
      </c>
      <c r="EC837" s="27" t="s">
        <v>166</v>
      </c>
      <c r="ED837" s="28" t="s">
        <v>166</v>
      </c>
      <c r="EE837" s="28" t="s">
        <v>166</v>
      </c>
      <c r="EF837" s="28" t="s">
        <v>166</v>
      </c>
      <c r="EG837" s="28" t="s">
        <v>166</v>
      </c>
      <c r="EH837" s="27" t="s">
        <v>166</v>
      </c>
      <c r="EI837" s="27" t="s">
        <v>166</v>
      </c>
      <c r="EJ837" s="27" t="s">
        <v>166</v>
      </c>
      <c r="EK837" s="27" t="s">
        <v>166</v>
      </c>
      <c r="EL837" s="27" t="s">
        <v>166</v>
      </c>
      <c r="EM837" s="27" t="s">
        <v>166</v>
      </c>
      <c r="EN837" s="27" t="s">
        <v>166</v>
      </c>
      <c r="EO837" s="27" t="s">
        <v>166</v>
      </c>
      <c r="EP837" s="27" t="s">
        <v>166</v>
      </c>
      <c r="EQ837" s="27" t="s">
        <v>166</v>
      </c>
      <c r="ER837" s="27" t="s">
        <v>166</v>
      </c>
      <c r="ES837" s="27" t="s">
        <v>166</v>
      </c>
      <c r="ET837" s="25" t="s">
        <v>166</v>
      </c>
      <c r="EU837" s="27" t="s">
        <v>166</v>
      </c>
      <c r="EV837" s="27" t="s">
        <v>166</v>
      </c>
      <c r="EW837" s="27" t="s">
        <v>166</v>
      </c>
      <c r="EX837" s="25" t="s">
        <v>190</v>
      </c>
      <c r="EY837" s="25" t="s">
        <v>166</v>
      </c>
      <c r="EZ837" s="27" t="s">
        <v>166</v>
      </c>
      <c r="FA837" s="26" t="s">
        <v>166</v>
      </c>
      <c r="FB837" s="26" t="s">
        <v>166</v>
      </c>
      <c r="FC837" s="26" t="s">
        <v>166</v>
      </c>
      <c r="FD837" s="26" t="s">
        <v>166</v>
      </c>
      <c r="FE837" s="26" t="s">
        <v>166</v>
      </c>
      <c r="FF837" s="26" t="s">
        <v>166</v>
      </c>
      <c r="FG837" s="25" t="s">
        <v>166</v>
      </c>
      <c r="FH837" s="4">
        <f>HYPERLINK("https://my.pitchbook.com?c=170357-41T","View Company Online")</f>
      </c>
    </row>
    <row r="838">
      <c r="A838" s="14" t="s">
        <v>15970</v>
      </c>
      <c r="B838" s="14" t="s">
        <v>15971</v>
      </c>
      <c r="C838" s="14" t="s">
        <v>15972</v>
      </c>
      <c r="D838" s="14" t="s">
        <v>166</v>
      </c>
      <c r="E838" s="23" t="s">
        <v>15973</v>
      </c>
      <c r="F838" s="21">
        <v>8</v>
      </c>
      <c r="G838" s="14" t="s">
        <v>15974</v>
      </c>
      <c r="H838" s="14" t="s">
        <v>166</v>
      </c>
      <c r="I838" s="14" t="s">
        <v>15975</v>
      </c>
      <c r="J838" s="14" t="s">
        <v>15976</v>
      </c>
      <c r="K838" s="14" t="s">
        <v>207</v>
      </c>
      <c r="L838" s="14" t="s">
        <v>208</v>
      </c>
      <c r="M838" s="14" t="s">
        <v>209</v>
      </c>
      <c r="N838" s="14" t="s">
        <v>269</v>
      </c>
      <c r="O838" s="14" t="s">
        <v>211</v>
      </c>
      <c r="P838" s="14" t="s">
        <v>15977</v>
      </c>
      <c r="Q838" s="14" t="s">
        <v>166</v>
      </c>
      <c r="R838" s="14" t="s">
        <v>177</v>
      </c>
      <c r="S838" s="14" t="s">
        <v>178</v>
      </c>
      <c r="T838" s="14" t="s">
        <v>179</v>
      </c>
      <c r="U838" s="14" t="s">
        <v>15978</v>
      </c>
      <c r="V838" s="14" t="s">
        <v>15979</v>
      </c>
      <c r="W838" s="21" t="s">
        <v>15980</v>
      </c>
      <c r="X838" s="14" t="s">
        <v>15981</v>
      </c>
      <c r="Y838" s="14" t="s">
        <v>15982</v>
      </c>
      <c r="Z838" s="14" t="s">
        <v>15983</v>
      </c>
      <c r="AA838" s="14" t="s">
        <v>242</v>
      </c>
      <c r="AB838" s="14" t="s">
        <v>243</v>
      </c>
      <c r="AC838" s="14" t="s">
        <v>244</v>
      </c>
      <c r="AD838" s="14" t="s">
        <v>243</v>
      </c>
      <c r="AE838" s="14" t="s">
        <v>243</v>
      </c>
      <c r="AF838" s="14" t="s">
        <v>166</v>
      </c>
      <c r="AG838" s="14" t="s">
        <v>246</v>
      </c>
      <c r="AH838" s="21">
        <v>1</v>
      </c>
      <c r="AI838" s="3">
        <f>HYPERLINK("https://my.pitchbook.com/?d=269198-83T","269198-83T")</f>
      </c>
      <c r="AJ838" s="19">
        <v>45495</v>
      </c>
      <c r="AK838" s="19">
        <v>45510</v>
      </c>
      <c r="AL838" s="18">
        <v>23.35</v>
      </c>
      <c r="AM838" s="14" t="s">
        <v>185</v>
      </c>
      <c r="AN838" s="18">
        <v>78.65</v>
      </c>
      <c r="AO838" s="18">
        <v>102</v>
      </c>
      <c r="AP838" s="14" t="s">
        <v>185</v>
      </c>
      <c r="AQ838" s="21" t="s">
        <v>166</v>
      </c>
      <c r="AR838" s="21" t="s">
        <v>166</v>
      </c>
      <c r="AS838" s="17">
        <v>29.8</v>
      </c>
      <c r="AT838" s="18">
        <v>23.35</v>
      </c>
      <c r="AU838" s="21" t="s">
        <v>186</v>
      </c>
      <c r="AV838" s="21" t="s">
        <v>166</v>
      </c>
      <c r="AW838" s="18">
        <v>6.45</v>
      </c>
      <c r="AX838" s="21" t="s">
        <v>248</v>
      </c>
      <c r="AY838" s="14" t="s">
        <v>187</v>
      </c>
      <c r="AZ838" s="14" t="s">
        <v>248</v>
      </c>
      <c r="BA838" s="14" t="s">
        <v>166</v>
      </c>
      <c r="BB838" s="21" t="s">
        <v>166</v>
      </c>
      <c r="BC838" s="14" t="s">
        <v>179</v>
      </c>
      <c r="BD838" s="14" t="s">
        <v>15984</v>
      </c>
      <c r="BE838" s="14" t="s">
        <v>189</v>
      </c>
      <c r="BF838" s="18">
        <v>23.35</v>
      </c>
      <c r="BG838" s="14" t="s">
        <v>190</v>
      </c>
      <c r="BH838" s="14" t="s">
        <v>166</v>
      </c>
      <c r="BI838" s="14" t="s">
        <v>166</v>
      </c>
      <c r="BJ838" s="18" t="s">
        <v>166</v>
      </c>
      <c r="BK838" s="18" t="s">
        <v>166</v>
      </c>
      <c r="BL838" s="14" t="s">
        <v>191</v>
      </c>
      <c r="BM838" s="14" t="s">
        <v>178</v>
      </c>
      <c r="BN838" s="14" t="s">
        <v>177</v>
      </c>
      <c r="BO838" s="22" t="s">
        <v>166</v>
      </c>
      <c r="BP838" s="14" t="s">
        <v>15973</v>
      </c>
      <c r="BQ838" s="21">
        <v>8</v>
      </c>
      <c r="BR838" s="14" t="s">
        <v>166</v>
      </c>
      <c r="BS838" s="21" t="s">
        <v>166</v>
      </c>
      <c r="BT838" s="14" t="s">
        <v>15985</v>
      </c>
      <c r="BU838" s="14" t="s">
        <v>166</v>
      </c>
      <c r="BV838" s="14" t="s">
        <v>166</v>
      </c>
      <c r="BW838" s="14" t="s">
        <v>166</v>
      </c>
      <c r="BX838" s="14" t="s">
        <v>166</v>
      </c>
      <c r="BY838" s="14" t="s">
        <v>166</v>
      </c>
      <c r="BZ838" s="14" t="s">
        <v>770</v>
      </c>
      <c r="CA838" s="14" t="s">
        <v>770</v>
      </c>
      <c r="CB838" s="14" t="s">
        <v>166</v>
      </c>
      <c r="CC838" s="14" t="s">
        <v>166</v>
      </c>
      <c r="CD838" s="14" t="s">
        <v>166</v>
      </c>
      <c r="CE838" s="18" t="s">
        <v>166</v>
      </c>
      <c r="CF838" s="16" t="s">
        <v>166</v>
      </c>
      <c r="CG838" s="17" t="s">
        <v>166</v>
      </c>
      <c r="CH838" s="16" t="s">
        <v>166</v>
      </c>
      <c r="CI838" s="16" t="s">
        <v>166</v>
      </c>
      <c r="CJ838" s="16" t="s">
        <v>166</v>
      </c>
      <c r="CK838" s="16" t="s">
        <v>166</v>
      </c>
      <c r="CL838" s="16" t="s">
        <v>166</v>
      </c>
      <c r="CM838" s="20" t="s">
        <v>166</v>
      </c>
      <c r="CN838" s="16" t="s">
        <v>166</v>
      </c>
      <c r="CO838" s="16" t="s">
        <v>166</v>
      </c>
      <c r="CP838" s="16" t="s">
        <v>166</v>
      </c>
      <c r="CQ838" s="16" t="s">
        <v>166</v>
      </c>
      <c r="CR838" s="16" t="s">
        <v>166</v>
      </c>
      <c r="CS838" s="16" t="s">
        <v>166</v>
      </c>
      <c r="CT838" s="16" t="s">
        <v>166</v>
      </c>
      <c r="CU838" s="16" t="s">
        <v>166</v>
      </c>
      <c r="CV838" s="16" t="s">
        <v>166</v>
      </c>
      <c r="CW838" s="16" t="s">
        <v>166</v>
      </c>
      <c r="CX838" s="16" t="s">
        <v>166</v>
      </c>
      <c r="CY838" s="16" t="s">
        <v>166</v>
      </c>
      <c r="CZ838" s="16" t="s">
        <v>166</v>
      </c>
      <c r="DA838" s="16" t="s">
        <v>166</v>
      </c>
      <c r="DB838" s="16" t="s">
        <v>166</v>
      </c>
      <c r="DC838" s="16" t="s">
        <v>166</v>
      </c>
      <c r="DD838" s="16" t="s">
        <v>166</v>
      </c>
      <c r="DE838" s="17" t="s">
        <v>166</v>
      </c>
      <c r="DF838" s="22">
        <v>50</v>
      </c>
      <c r="DG838" s="14" t="s">
        <v>4289</v>
      </c>
      <c r="DH838" s="14" t="s">
        <v>193</v>
      </c>
      <c r="DI838" s="14" t="s">
        <v>194</v>
      </c>
      <c r="DJ838" s="14" t="s">
        <v>4290</v>
      </c>
      <c r="DK838" s="14" t="s">
        <v>257</v>
      </c>
      <c r="DL838" s="21" t="s">
        <v>7639</v>
      </c>
      <c r="DM838" s="14" t="s">
        <v>198</v>
      </c>
      <c r="DN838" s="13" t="s">
        <v>15986</v>
      </c>
      <c r="DO838" s="20">
        <v>2021</v>
      </c>
      <c r="DP838" s="14" t="s">
        <v>166</v>
      </c>
      <c r="DQ838" s="14" t="s">
        <v>166</v>
      </c>
      <c r="DR838" s="18" t="s">
        <v>166</v>
      </c>
      <c r="DS838" s="16" t="s">
        <v>166</v>
      </c>
      <c r="DT838" s="19" t="s">
        <v>166</v>
      </c>
      <c r="DU838" s="14" t="s">
        <v>166</v>
      </c>
      <c r="DV838" s="18" t="s">
        <v>166</v>
      </c>
      <c r="DW838" s="18" t="s">
        <v>166</v>
      </c>
      <c r="DX838" s="16" t="s">
        <v>166</v>
      </c>
      <c r="DY838" s="16" t="s">
        <v>166</v>
      </c>
      <c r="DZ838" s="17" t="s">
        <v>166</v>
      </c>
      <c r="EA838" s="16" t="s">
        <v>166</v>
      </c>
      <c r="EB838" s="16" t="s">
        <v>166</v>
      </c>
      <c r="EC838" s="16" t="s">
        <v>166</v>
      </c>
      <c r="ED838" s="17" t="s">
        <v>166</v>
      </c>
      <c r="EE838" s="17" t="s">
        <v>166</v>
      </c>
      <c r="EF838" s="17" t="s">
        <v>166</v>
      </c>
      <c r="EG838" s="17" t="s">
        <v>166</v>
      </c>
      <c r="EH838" s="16" t="s">
        <v>166</v>
      </c>
      <c r="EI838" s="16" t="s">
        <v>166</v>
      </c>
      <c r="EJ838" s="16" t="s">
        <v>166</v>
      </c>
      <c r="EK838" s="16" t="s">
        <v>166</v>
      </c>
      <c r="EL838" s="16" t="s">
        <v>166</v>
      </c>
      <c r="EM838" s="16" t="s">
        <v>166</v>
      </c>
      <c r="EN838" s="16" t="s">
        <v>166</v>
      </c>
      <c r="EO838" s="16" t="s">
        <v>166</v>
      </c>
      <c r="EP838" s="16" t="s">
        <v>166</v>
      </c>
      <c r="EQ838" s="16" t="s">
        <v>166</v>
      </c>
      <c r="ER838" s="16" t="s">
        <v>166</v>
      </c>
      <c r="ES838" s="16" t="s">
        <v>166</v>
      </c>
      <c r="ET838" s="14" t="s">
        <v>166</v>
      </c>
      <c r="EU838" s="16" t="s">
        <v>166</v>
      </c>
      <c r="EV838" s="16" t="s">
        <v>166</v>
      </c>
      <c r="EW838" s="16" t="s">
        <v>166</v>
      </c>
      <c r="EX838" s="14" t="s">
        <v>190</v>
      </c>
      <c r="EY838" s="14" t="s">
        <v>166</v>
      </c>
      <c r="EZ838" s="16" t="s">
        <v>166</v>
      </c>
      <c r="FA838" s="15" t="s">
        <v>166</v>
      </c>
      <c r="FB838" s="15" t="s">
        <v>166</v>
      </c>
      <c r="FC838" s="15" t="s">
        <v>166</v>
      </c>
      <c r="FD838" s="15" t="s">
        <v>166</v>
      </c>
      <c r="FE838" s="15" t="s">
        <v>166</v>
      </c>
      <c r="FF838" s="15" t="s">
        <v>166</v>
      </c>
      <c r="FG838" s="14" t="s">
        <v>166</v>
      </c>
      <c r="FH838" s="3">
        <f>HYPERLINK("https://my.pitchbook.com?c=269198-83T","View Company Online")</f>
      </c>
    </row>
    <row r="839">
      <c r="A839" s="25" t="s">
        <v>15987</v>
      </c>
      <c r="B839" s="25" t="s">
        <v>15988</v>
      </c>
      <c r="C839" s="25" t="s">
        <v>15989</v>
      </c>
      <c r="D839" s="25" t="s">
        <v>166</v>
      </c>
      <c r="E839" s="34" t="s">
        <v>15990</v>
      </c>
      <c r="F839" s="32">
        <v>11</v>
      </c>
      <c r="G839" s="25" t="s">
        <v>15991</v>
      </c>
      <c r="H839" s="25" t="s">
        <v>166</v>
      </c>
      <c r="I839" s="25" t="s">
        <v>15992</v>
      </c>
      <c r="J839" s="25" t="s">
        <v>5888</v>
      </c>
      <c r="K839" s="25" t="s">
        <v>207</v>
      </c>
      <c r="L839" s="25" t="s">
        <v>208</v>
      </c>
      <c r="M839" s="25" t="s">
        <v>621</v>
      </c>
      <c r="N839" s="25" t="s">
        <v>15993</v>
      </c>
      <c r="O839" s="25" t="s">
        <v>442</v>
      </c>
      <c r="P839" s="25" t="s">
        <v>15994</v>
      </c>
      <c r="Q839" s="25" t="s">
        <v>166</v>
      </c>
      <c r="R839" s="25" t="s">
        <v>177</v>
      </c>
      <c r="S839" s="25" t="s">
        <v>178</v>
      </c>
      <c r="T839" s="25" t="s">
        <v>179</v>
      </c>
      <c r="U839" s="25" t="s">
        <v>15995</v>
      </c>
      <c r="V839" s="25" t="s">
        <v>15996</v>
      </c>
      <c r="W839" s="32" t="s">
        <v>15997</v>
      </c>
      <c r="X839" s="25" t="s">
        <v>166</v>
      </c>
      <c r="Y839" s="25" t="s">
        <v>15998</v>
      </c>
      <c r="Z839" s="25" t="s">
        <v>15999</v>
      </c>
      <c r="AA839" s="25" t="s">
        <v>242</v>
      </c>
      <c r="AB839" s="25" t="s">
        <v>243</v>
      </c>
      <c r="AC839" s="25" t="s">
        <v>244</v>
      </c>
      <c r="AD839" s="25" t="s">
        <v>243</v>
      </c>
      <c r="AE839" s="25" t="s">
        <v>243</v>
      </c>
      <c r="AF839" s="25" t="s">
        <v>166</v>
      </c>
      <c r="AG839" s="25" t="s">
        <v>246</v>
      </c>
      <c r="AH839" s="32">
        <v>1</v>
      </c>
      <c r="AI839" s="4">
        <f>HYPERLINK("https://my.pitchbook.com/?d=134661-25T","134661-25T")</f>
      </c>
      <c r="AJ839" s="30">
        <v>43840</v>
      </c>
      <c r="AK839" s="30">
        <v>43966</v>
      </c>
      <c r="AL839" s="29">
        <v>19.96</v>
      </c>
      <c r="AM839" s="25" t="s">
        <v>185</v>
      </c>
      <c r="AN839" s="29">
        <v>40</v>
      </c>
      <c r="AO839" s="29">
        <v>59.96</v>
      </c>
      <c r="AP839" s="25" t="s">
        <v>185</v>
      </c>
      <c r="AQ839" s="32" t="s">
        <v>166</v>
      </c>
      <c r="AR839" s="32" t="s">
        <v>166</v>
      </c>
      <c r="AS839" s="28">
        <v>44.81</v>
      </c>
      <c r="AT839" s="29">
        <v>19.96</v>
      </c>
      <c r="AU839" s="32" t="s">
        <v>186</v>
      </c>
      <c r="AV839" s="32" t="s">
        <v>166</v>
      </c>
      <c r="AW839" s="29">
        <v>2.6</v>
      </c>
      <c r="AX839" s="32" t="s">
        <v>166</v>
      </c>
      <c r="AY839" s="25" t="s">
        <v>217</v>
      </c>
      <c r="AZ839" s="25" t="s">
        <v>217</v>
      </c>
      <c r="BA839" s="25" t="s">
        <v>166</v>
      </c>
      <c r="BB839" s="32" t="s">
        <v>166</v>
      </c>
      <c r="BC839" s="25" t="s">
        <v>179</v>
      </c>
      <c r="BD839" s="25" t="s">
        <v>16000</v>
      </c>
      <c r="BE839" s="25" t="s">
        <v>189</v>
      </c>
      <c r="BF839" s="29">
        <v>19.96</v>
      </c>
      <c r="BG839" s="25" t="s">
        <v>190</v>
      </c>
      <c r="BH839" s="25" t="s">
        <v>166</v>
      </c>
      <c r="BI839" s="25" t="s">
        <v>166</v>
      </c>
      <c r="BJ839" s="29" t="s">
        <v>166</v>
      </c>
      <c r="BK839" s="29" t="s">
        <v>166</v>
      </c>
      <c r="BL839" s="25" t="s">
        <v>191</v>
      </c>
      <c r="BM839" s="25" t="s">
        <v>178</v>
      </c>
      <c r="BN839" s="25" t="s">
        <v>177</v>
      </c>
      <c r="BO839" s="33" t="s">
        <v>166</v>
      </c>
      <c r="BP839" s="25" t="s">
        <v>16001</v>
      </c>
      <c r="BQ839" s="32">
        <v>11</v>
      </c>
      <c r="BR839" s="25" t="s">
        <v>166</v>
      </c>
      <c r="BS839" s="32" t="s">
        <v>166</v>
      </c>
      <c r="BT839" s="25" t="s">
        <v>166</v>
      </c>
      <c r="BU839" s="25" t="s">
        <v>166</v>
      </c>
      <c r="BV839" s="25" t="s">
        <v>16002</v>
      </c>
      <c r="BW839" s="25" t="s">
        <v>166</v>
      </c>
      <c r="BX839" s="25" t="s">
        <v>166</v>
      </c>
      <c r="BY839" s="25" t="s">
        <v>166</v>
      </c>
      <c r="BZ839" s="25" t="s">
        <v>16003</v>
      </c>
      <c r="CA839" s="25" t="s">
        <v>166</v>
      </c>
      <c r="CB839" s="25" t="s">
        <v>166</v>
      </c>
      <c r="CC839" s="25" t="s">
        <v>16003</v>
      </c>
      <c r="CD839" s="25" t="s">
        <v>166</v>
      </c>
      <c r="CE839" s="29" t="s">
        <v>166</v>
      </c>
      <c r="CF839" s="27" t="s">
        <v>166</v>
      </c>
      <c r="CG839" s="28" t="s">
        <v>166</v>
      </c>
      <c r="CH839" s="27" t="s">
        <v>166</v>
      </c>
      <c r="CI839" s="27" t="s">
        <v>166</v>
      </c>
      <c r="CJ839" s="27" t="s">
        <v>166</v>
      </c>
      <c r="CK839" s="27" t="s">
        <v>166</v>
      </c>
      <c r="CL839" s="27" t="s">
        <v>166</v>
      </c>
      <c r="CM839" s="31" t="s">
        <v>166</v>
      </c>
      <c r="CN839" s="27" t="s">
        <v>166</v>
      </c>
      <c r="CO839" s="27" t="s">
        <v>166</v>
      </c>
      <c r="CP839" s="27" t="s">
        <v>166</v>
      </c>
      <c r="CQ839" s="27" t="s">
        <v>166</v>
      </c>
      <c r="CR839" s="27" t="s">
        <v>166</v>
      </c>
      <c r="CS839" s="27" t="s">
        <v>166</v>
      </c>
      <c r="CT839" s="27" t="s">
        <v>166</v>
      </c>
      <c r="CU839" s="27" t="s">
        <v>166</v>
      </c>
      <c r="CV839" s="27" t="s">
        <v>166</v>
      </c>
      <c r="CW839" s="27" t="s">
        <v>166</v>
      </c>
      <c r="CX839" s="27" t="s">
        <v>166</v>
      </c>
      <c r="CY839" s="27" t="s">
        <v>166</v>
      </c>
      <c r="CZ839" s="27" t="s">
        <v>166</v>
      </c>
      <c r="DA839" s="27" t="s">
        <v>166</v>
      </c>
      <c r="DB839" s="27" t="s">
        <v>166</v>
      </c>
      <c r="DC839" s="27" t="s">
        <v>166</v>
      </c>
      <c r="DD839" s="27" t="s">
        <v>166</v>
      </c>
      <c r="DE839" s="28" t="s">
        <v>166</v>
      </c>
      <c r="DF839" s="33">
        <v>80</v>
      </c>
      <c r="DG839" s="25" t="s">
        <v>1077</v>
      </c>
      <c r="DH839" s="25" t="s">
        <v>193</v>
      </c>
      <c r="DI839" s="25" t="s">
        <v>194</v>
      </c>
      <c r="DJ839" s="25" t="s">
        <v>1078</v>
      </c>
      <c r="DK839" s="25" t="s">
        <v>257</v>
      </c>
      <c r="DL839" s="32" t="s">
        <v>1079</v>
      </c>
      <c r="DM839" s="25" t="s">
        <v>198</v>
      </c>
      <c r="DN839" s="24" t="s">
        <v>16004</v>
      </c>
      <c r="DO839" s="31">
        <v>2018</v>
      </c>
      <c r="DP839" s="25" t="s">
        <v>166</v>
      </c>
      <c r="DQ839" s="25" t="s">
        <v>166</v>
      </c>
      <c r="DR839" s="29" t="s">
        <v>166</v>
      </c>
      <c r="DS839" s="27" t="s">
        <v>166</v>
      </c>
      <c r="DT839" s="30" t="s">
        <v>166</v>
      </c>
      <c r="DU839" s="25" t="s">
        <v>166</v>
      </c>
      <c r="DV839" s="29" t="s">
        <v>166</v>
      </c>
      <c r="DW839" s="29" t="s">
        <v>166</v>
      </c>
      <c r="DX839" s="27" t="s">
        <v>166</v>
      </c>
      <c r="DY839" s="27" t="s">
        <v>166</v>
      </c>
      <c r="DZ839" s="28" t="s">
        <v>166</v>
      </c>
      <c r="EA839" s="27" t="s">
        <v>166</v>
      </c>
      <c r="EB839" s="27" t="s">
        <v>166</v>
      </c>
      <c r="EC839" s="27" t="s">
        <v>166</v>
      </c>
      <c r="ED839" s="28" t="s">
        <v>166</v>
      </c>
      <c r="EE839" s="28" t="s">
        <v>166</v>
      </c>
      <c r="EF839" s="28" t="s">
        <v>166</v>
      </c>
      <c r="EG839" s="28" t="s">
        <v>166</v>
      </c>
      <c r="EH839" s="27" t="s">
        <v>166</v>
      </c>
      <c r="EI839" s="27" t="s">
        <v>166</v>
      </c>
      <c r="EJ839" s="27" t="s">
        <v>166</v>
      </c>
      <c r="EK839" s="27" t="s">
        <v>166</v>
      </c>
      <c r="EL839" s="27" t="s">
        <v>166</v>
      </c>
      <c r="EM839" s="27" t="s">
        <v>166</v>
      </c>
      <c r="EN839" s="27" t="s">
        <v>166</v>
      </c>
      <c r="EO839" s="27" t="s">
        <v>166</v>
      </c>
      <c r="EP839" s="27" t="s">
        <v>166</v>
      </c>
      <c r="EQ839" s="27" t="s">
        <v>166</v>
      </c>
      <c r="ER839" s="27" t="s">
        <v>166</v>
      </c>
      <c r="ES839" s="27" t="s">
        <v>166</v>
      </c>
      <c r="ET839" s="25" t="s">
        <v>166</v>
      </c>
      <c r="EU839" s="27" t="s">
        <v>166</v>
      </c>
      <c r="EV839" s="27" t="s">
        <v>166</v>
      </c>
      <c r="EW839" s="27" t="s">
        <v>166</v>
      </c>
      <c r="EX839" s="25" t="s">
        <v>190</v>
      </c>
      <c r="EY839" s="25" t="s">
        <v>166</v>
      </c>
      <c r="EZ839" s="27" t="s">
        <v>166</v>
      </c>
      <c r="FA839" s="26">
        <v>10</v>
      </c>
      <c r="FB839" s="26">
        <v>2</v>
      </c>
      <c r="FC839" s="26">
        <v>4</v>
      </c>
      <c r="FD839" s="26" t="s">
        <v>166</v>
      </c>
      <c r="FE839" s="26" t="s">
        <v>166</v>
      </c>
      <c r="FF839" s="26">
        <v>6</v>
      </c>
      <c r="FG839" s="25" t="s">
        <v>16005</v>
      </c>
      <c r="FH839" s="4">
        <f>HYPERLINK("https://my.pitchbook.com?c=134661-25T","View Company Online")</f>
      </c>
    </row>
    <row r="840">
      <c r="A840" s="14" t="s">
        <v>16006</v>
      </c>
      <c r="B840" s="14" t="s">
        <v>16007</v>
      </c>
      <c r="C840" s="14" t="s">
        <v>16008</v>
      </c>
      <c r="D840" s="14" t="s">
        <v>166</v>
      </c>
      <c r="E840" s="23" t="s">
        <v>16009</v>
      </c>
      <c r="F840" s="21">
        <v>11</v>
      </c>
      <c r="G840" s="14" t="s">
        <v>16010</v>
      </c>
      <c r="H840" s="14" t="s">
        <v>166</v>
      </c>
      <c r="I840" s="14" t="s">
        <v>16011</v>
      </c>
      <c r="J840" s="14" t="s">
        <v>16012</v>
      </c>
      <c r="K840" s="14" t="s">
        <v>207</v>
      </c>
      <c r="L840" s="14" t="s">
        <v>208</v>
      </c>
      <c r="M840" s="14" t="s">
        <v>1940</v>
      </c>
      <c r="N840" s="14" t="s">
        <v>16013</v>
      </c>
      <c r="O840" s="14" t="s">
        <v>16014</v>
      </c>
      <c r="P840" s="14" t="s">
        <v>16015</v>
      </c>
      <c r="Q840" s="14" t="s">
        <v>166</v>
      </c>
      <c r="R840" s="14" t="s">
        <v>177</v>
      </c>
      <c r="S840" s="14" t="s">
        <v>358</v>
      </c>
      <c r="T840" s="14" t="s">
        <v>179</v>
      </c>
      <c r="U840" s="14" t="s">
        <v>16016</v>
      </c>
      <c r="V840" s="14" t="s">
        <v>16017</v>
      </c>
      <c r="W840" s="21" t="s">
        <v>166</v>
      </c>
      <c r="X840" s="14" t="s">
        <v>166</v>
      </c>
      <c r="Y840" s="14" t="s">
        <v>16018</v>
      </c>
      <c r="Z840" s="14" t="s">
        <v>166</v>
      </c>
      <c r="AA840" s="14" t="s">
        <v>166</v>
      </c>
      <c r="AB840" s="14" t="s">
        <v>166</v>
      </c>
      <c r="AC840" s="14" t="s">
        <v>166</v>
      </c>
      <c r="AD840" s="14" t="s">
        <v>166</v>
      </c>
      <c r="AE840" s="14" t="s">
        <v>166</v>
      </c>
      <c r="AF840" s="14" t="s">
        <v>166</v>
      </c>
      <c r="AG840" s="14" t="s">
        <v>166</v>
      </c>
      <c r="AH840" s="21">
        <v>1</v>
      </c>
      <c r="AI840" s="3">
        <f>HYPERLINK("https://my.pitchbook.com/?d=220953-25T","220953-25T")</f>
      </c>
      <c r="AJ840" s="19" t="s">
        <v>166</v>
      </c>
      <c r="AK840" s="19">
        <v>45037</v>
      </c>
      <c r="AL840" s="18">
        <v>1</v>
      </c>
      <c r="AM840" s="14" t="s">
        <v>185</v>
      </c>
      <c r="AN840" s="18" t="s">
        <v>166</v>
      </c>
      <c r="AO840" s="18" t="s">
        <v>166</v>
      </c>
      <c r="AP840" s="14" t="s">
        <v>166</v>
      </c>
      <c r="AQ840" s="21" t="s">
        <v>166</v>
      </c>
      <c r="AR840" s="21" t="s">
        <v>166</v>
      </c>
      <c r="AS840" s="17" t="s">
        <v>166</v>
      </c>
      <c r="AT840" s="18">
        <v>1</v>
      </c>
      <c r="AU840" s="21" t="s">
        <v>186</v>
      </c>
      <c r="AV840" s="21" t="s">
        <v>166</v>
      </c>
      <c r="AW840" s="18" t="s">
        <v>166</v>
      </c>
      <c r="AX840" s="21" t="s">
        <v>166</v>
      </c>
      <c r="AY840" s="14" t="s">
        <v>217</v>
      </c>
      <c r="AZ840" s="14" t="s">
        <v>217</v>
      </c>
      <c r="BA840" s="14" t="s">
        <v>166</v>
      </c>
      <c r="BB840" s="21" t="s">
        <v>166</v>
      </c>
      <c r="BC840" s="14" t="s">
        <v>179</v>
      </c>
      <c r="BD840" s="14" t="s">
        <v>16019</v>
      </c>
      <c r="BE840" s="14" t="s">
        <v>189</v>
      </c>
      <c r="BF840" s="18">
        <v>1</v>
      </c>
      <c r="BG840" s="14" t="s">
        <v>190</v>
      </c>
      <c r="BH840" s="14" t="s">
        <v>166</v>
      </c>
      <c r="BI840" s="14" t="s">
        <v>166</v>
      </c>
      <c r="BJ840" s="18" t="s">
        <v>166</v>
      </c>
      <c r="BK840" s="18" t="s">
        <v>166</v>
      </c>
      <c r="BL840" s="14" t="s">
        <v>191</v>
      </c>
      <c r="BM840" s="14" t="s">
        <v>358</v>
      </c>
      <c r="BN840" s="14" t="s">
        <v>177</v>
      </c>
      <c r="BO840" s="22" t="s">
        <v>166</v>
      </c>
      <c r="BP840" s="14" t="s">
        <v>16020</v>
      </c>
      <c r="BQ840" s="21">
        <v>11</v>
      </c>
      <c r="BR840" s="14" t="s">
        <v>166</v>
      </c>
      <c r="BS840" s="21" t="s">
        <v>166</v>
      </c>
      <c r="BT840" s="14" t="s">
        <v>166</v>
      </c>
      <c r="BU840" s="14" t="s">
        <v>166</v>
      </c>
      <c r="BV840" s="14" t="s">
        <v>16021</v>
      </c>
      <c r="BW840" s="14" t="s">
        <v>166</v>
      </c>
      <c r="BX840" s="14" t="s">
        <v>166</v>
      </c>
      <c r="BY840" s="14" t="s">
        <v>166</v>
      </c>
      <c r="BZ840" s="14" t="s">
        <v>16022</v>
      </c>
      <c r="CA840" s="14" t="s">
        <v>166</v>
      </c>
      <c r="CB840" s="14" t="s">
        <v>166</v>
      </c>
      <c r="CC840" s="14" t="s">
        <v>16022</v>
      </c>
      <c r="CD840" s="14" t="s">
        <v>166</v>
      </c>
      <c r="CE840" s="18" t="s">
        <v>166</v>
      </c>
      <c r="CF840" s="16" t="s">
        <v>166</v>
      </c>
      <c r="CG840" s="17" t="s">
        <v>166</v>
      </c>
      <c r="CH840" s="16" t="s">
        <v>166</v>
      </c>
      <c r="CI840" s="16" t="s">
        <v>166</v>
      </c>
      <c r="CJ840" s="16" t="s">
        <v>166</v>
      </c>
      <c r="CK840" s="16" t="s">
        <v>166</v>
      </c>
      <c r="CL840" s="16" t="s">
        <v>166</v>
      </c>
      <c r="CM840" s="20" t="s">
        <v>166</v>
      </c>
      <c r="CN840" s="16" t="s">
        <v>166</v>
      </c>
      <c r="CO840" s="16" t="s">
        <v>166</v>
      </c>
      <c r="CP840" s="16" t="s">
        <v>166</v>
      </c>
      <c r="CQ840" s="16" t="s">
        <v>166</v>
      </c>
      <c r="CR840" s="16" t="s">
        <v>166</v>
      </c>
      <c r="CS840" s="16" t="s">
        <v>166</v>
      </c>
      <c r="CT840" s="16" t="s">
        <v>166</v>
      </c>
      <c r="CU840" s="16" t="s">
        <v>166</v>
      </c>
      <c r="CV840" s="16" t="s">
        <v>166</v>
      </c>
      <c r="CW840" s="16" t="s">
        <v>166</v>
      </c>
      <c r="CX840" s="16" t="s">
        <v>166</v>
      </c>
      <c r="CY840" s="16" t="s">
        <v>166</v>
      </c>
      <c r="CZ840" s="16" t="s">
        <v>166</v>
      </c>
      <c r="DA840" s="16" t="s">
        <v>166</v>
      </c>
      <c r="DB840" s="16" t="s">
        <v>166</v>
      </c>
      <c r="DC840" s="16" t="s">
        <v>166</v>
      </c>
      <c r="DD840" s="16" t="s">
        <v>166</v>
      </c>
      <c r="DE840" s="17" t="s">
        <v>166</v>
      </c>
      <c r="DF840" s="22">
        <v>3</v>
      </c>
      <c r="DG840" s="14" t="s">
        <v>16023</v>
      </c>
      <c r="DH840" s="14" t="s">
        <v>193</v>
      </c>
      <c r="DI840" s="14" t="s">
        <v>194</v>
      </c>
      <c r="DJ840" s="14" t="s">
        <v>16024</v>
      </c>
      <c r="DK840" s="14" t="s">
        <v>196</v>
      </c>
      <c r="DL840" s="21" t="s">
        <v>166</v>
      </c>
      <c r="DM840" s="14" t="s">
        <v>198</v>
      </c>
      <c r="DN840" s="13" t="s">
        <v>16025</v>
      </c>
      <c r="DO840" s="20">
        <v>2022</v>
      </c>
      <c r="DP840" s="14" t="s">
        <v>166</v>
      </c>
      <c r="DQ840" s="14" t="s">
        <v>166</v>
      </c>
      <c r="DR840" s="18" t="s">
        <v>166</v>
      </c>
      <c r="DS840" s="16" t="s">
        <v>166</v>
      </c>
      <c r="DT840" s="19" t="s">
        <v>166</v>
      </c>
      <c r="DU840" s="14" t="s">
        <v>166</v>
      </c>
      <c r="DV840" s="18" t="s">
        <v>166</v>
      </c>
      <c r="DW840" s="18" t="s">
        <v>166</v>
      </c>
      <c r="DX840" s="16" t="s">
        <v>166</v>
      </c>
      <c r="DY840" s="16" t="s">
        <v>166</v>
      </c>
      <c r="DZ840" s="17" t="s">
        <v>166</v>
      </c>
      <c r="EA840" s="16" t="s">
        <v>166</v>
      </c>
      <c r="EB840" s="16" t="s">
        <v>166</v>
      </c>
      <c r="EC840" s="16" t="s">
        <v>166</v>
      </c>
      <c r="ED840" s="17" t="s">
        <v>166</v>
      </c>
      <c r="EE840" s="17" t="s">
        <v>166</v>
      </c>
      <c r="EF840" s="17" t="s">
        <v>166</v>
      </c>
      <c r="EG840" s="17" t="s">
        <v>166</v>
      </c>
      <c r="EH840" s="16" t="s">
        <v>166</v>
      </c>
      <c r="EI840" s="16" t="s">
        <v>166</v>
      </c>
      <c r="EJ840" s="16" t="s">
        <v>166</v>
      </c>
      <c r="EK840" s="16" t="s">
        <v>166</v>
      </c>
      <c r="EL840" s="16" t="s">
        <v>166</v>
      </c>
      <c r="EM840" s="16" t="s">
        <v>166</v>
      </c>
      <c r="EN840" s="16" t="s">
        <v>166</v>
      </c>
      <c r="EO840" s="16" t="s">
        <v>166</v>
      </c>
      <c r="EP840" s="16" t="s">
        <v>166</v>
      </c>
      <c r="EQ840" s="16" t="s">
        <v>166</v>
      </c>
      <c r="ER840" s="16" t="s">
        <v>166</v>
      </c>
      <c r="ES840" s="16" t="s">
        <v>166</v>
      </c>
      <c r="ET840" s="14" t="s">
        <v>166</v>
      </c>
      <c r="EU840" s="16" t="s">
        <v>166</v>
      </c>
      <c r="EV840" s="16" t="s">
        <v>166</v>
      </c>
      <c r="EW840" s="16" t="s">
        <v>166</v>
      </c>
      <c r="EX840" s="14" t="s">
        <v>190</v>
      </c>
      <c r="EY840" s="14" t="s">
        <v>166</v>
      </c>
      <c r="EZ840" s="16" t="s">
        <v>166</v>
      </c>
      <c r="FA840" s="15" t="s">
        <v>166</v>
      </c>
      <c r="FB840" s="15" t="s">
        <v>166</v>
      </c>
      <c r="FC840" s="15" t="s">
        <v>166</v>
      </c>
      <c r="FD840" s="15" t="s">
        <v>166</v>
      </c>
      <c r="FE840" s="15" t="s">
        <v>166</v>
      </c>
      <c r="FF840" s="15" t="s">
        <v>166</v>
      </c>
      <c r="FG840" s="14" t="s">
        <v>166</v>
      </c>
      <c r="FH840" s="3">
        <f>HYPERLINK("https://my.pitchbook.com?c=220953-25T","View Company Online")</f>
      </c>
    </row>
    <row r="841">
      <c r="A841" s="25" t="s">
        <v>16026</v>
      </c>
      <c r="B841" s="25" t="s">
        <v>16027</v>
      </c>
      <c r="C841" s="25" t="s">
        <v>16028</v>
      </c>
      <c r="D841" s="25" t="s">
        <v>166</v>
      </c>
      <c r="E841" s="34" t="s">
        <v>16029</v>
      </c>
      <c r="F841" s="32">
        <v>1</v>
      </c>
      <c r="G841" s="25" t="s">
        <v>16030</v>
      </c>
      <c r="H841" s="25" t="s">
        <v>166</v>
      </c>
      <c r="I841" s="25" t="s">
        <v>16031</v>
      </c>
      <c r="J841" s="25" t="s">
        <v>16032</v>
      </c>
      <c r="K841" s="25" t="s">
        <v>207</v>
      </c>
      <c r="L841" s="25" t="s">
        <v>208</v>
      </c>
      <c r="M841" s="25" t="s">
        <v>209</v>
      </c>
      <c r="N841" s="25" t="s">
        <v>1529</v>
      </c>
      <c r="O841" s="25" t="s">
        <v>16033</v>
      </c>
      <c r="P841" s="25" t="s">
        <v>16034</v>
      </c>
      <c r="Q841" s="25" t="s">
        <v>166</v>
      </c>
      <c r="R841" s="25" t="s">
        <v>177</v>
      </c>
      <c r="S841" s="25" t="s">
        <v>358</v>
      </c>
      <c r="T841" s="25" t="s">
        <v>179</v>
      </c>
      <c r="U841" s="25" t="s">
        <v>16035</v>
      </c>
      <c r="V841" s="25" t="s">
        <v>16036</v>
      </c>
      <c r="W841" s="32" t="s">
        <v>16037</v>
      </c>
      <c r="X841" s="25" t="s">
        <v>16038</v>
      </c>
      <c r="Y841" s="25" t="s">
        <v>16039</v>
      </c>
      <c r="Z841" s="25" t="s">
        <v>16040</v>
      </c>
      <c r="AA841" s="25" t="s">
        <v>242</v>
      </c>
      <c r="AB841" s="25" t="s">
        <v>243</v>
      </c>
      <c r="AC841" s="25" t="s">
        <v>244</v>
      </c>
      <c r="AD841" s="25" t="s">
        <v>243</v>
      </c>
      <c r="AE841" s="25" t="s">
        <v>243</v>
      </c>
      <c r="AF841" s="25" t="s">
        <v>166</v>
      </c>
      <c r="AG841" s="25" t="s">
        <v>246</v>
      </c>
      <c r="AH841" s="32">
        <v>1</v>
      </c>
      <c r="AI841" s="4">
        <f>HYPERLINK("https://my.pitchbook.com/?d=175346-20T","175346-20T")</f>
      </c>
      <c r="AJ841" s="30">
        <v>44364</v>
      </c>
      <c r="AK841" s="30">
        <v>44371</v>
      </c>
      <c r="AL841" s="29">
        <v>5</v>
      </c>
      <c r="AM841" s="25" t="s">
        <v>185</v>
      </c>
      <c r="AN841" s="29">
        <v>7.8</v>
      </c>
      <c r="AO841" s="29">
        <v>12.8</v>
      </c>
      <c r="AP841" s="25" t="s">
        <v>185</v>
      </c>
      <c r="AQ841" s="32" t="s">
        <v>166</v>
      </c>
      <c r="AR841" s="32" t="s">
        <v>166</v>
      </c>
      <c r="AS841" s="28">
        <v>39.06</v>
      </c>
      <c r="AT841" s="29">
        <v>5</v>
      </c>
      <c r="AU841" s="32" t="s">
        <v>186</v>
      </c>
      <c r="AV841" s="32" t="s">
        <v>166</v>
      </c>
      <c r="AW841" s="29">
        <v>0.8</v>
      </c>
      <c r="AX841" s="32" t="s">
        <v>166</v>
      </c>
      <c r="AY841" s="25" t="s">
        <v>217</v>
      </c>
      <c r="AZ841" s="25" t="s">
        <v>217</v>
      </c>
      <c r="BA841" s="25" t="s">
        <v>166</v>
      </c>
      <c r="BB841" s="32" t="s">
        <v>166</v>
      </c>
      <c r="BC841" s="25" t="s">
        <v>179</v>
      </c>
      <c r="BD841" s="25" t="s">
        <v>16032</v>
      </c>
      <c r="BE841" s="25" t="s">
        <v>189</v>
      </c>
      <c r="BF841" s="29">
        <v>5</v>
      </c>
      <c r="BG841" s="25" t="s">
        <v>190</v>
      </c>
      <c r="BH841" s="25" t="s">
        <v>166</v>
      </c>
      <c r="BI841" s="25" t="s">
        <v>166</v>
      </c>
      <c r="BJ841" s="29" t="s">
        <v>166</v>
      </c>
      <c r="BK841" s="29" t="s">
        <v>166</v>
      </c>
      <c r="BL841" s="25" t="s">
        <v>191</v>
      </c>
      <c r="BM841" s="25" t="s">
        <v>358</v>
      </c>
      <c r="BN841" s="25" t="s">
        <v>177</v>
      </c>
      <c r="BO841" s="33" t="s">
        <v>166</v>
      </c>
      <c r="BP841" s="25" t="s">
        <v>16029</v>
      </c>
      <c r="BQ841" s="32">
        <v>1</v>
      </c>
      <c r="BR841" s="25" t="s">
        <v>166</v>
      </c>
      <c r="BS841" s="32" t="s">
        <v>166</v>
      </c>
      <c r="BT841" s="25" t="s">
        <v>166</v>
      </c>
      <c r="BU841" s="25" t="s">
        <v>166</v>
      </c>
      <c r="BV841" s="25" t="s">
        <v>166</v>
      </c>
      <c r="BW841" s="25" t="s">
        <v>166</v>
      </c>
      <c r="BX841" s="25" t="s">
        <v>166</v>
      </c>
      <c r="BY841" s="25" t="s">
        <v>166</v>
      </c>
      <c r="BZ841" s="25" t="s">
        <v>166</v>
      </c>
      <c r="CA841" s="25" t="s">
        <v>166</v>
      </c>
      <c r="CB841" s="25" t="s">
        <v>166</v>
      </c>
      <c r="CC841" s="25" t="s">
        <v>166</v>
      </c>
      <c r="CD841" s="25" t="s">
        <v>166</v>
      </c>
      <c r="CE841" s="29" t="s">
        <v>166</v>
      </c>
      <c r="CF841" s="27" t="s">
        <v>166</v>
      </c>
      <c r="CG841" s="28" t="s">
        <v>166</v>
      </c>
      <c r="CH841" s="27" t="s">
        <v>166</v>
      </c>
      <c r="CI841" s="27" t="s">
        <v>166</v>
      </c>
      <c r="CJ841" s="27" t="s">
        <v>166</v>
      </c>
      <c r="CK841" s="27" t="s">
        <v>166</v>
      </c>
      <c r="CL841" s="27" t="s">
        <v>166</v>
      </c>
      <c r="CM841" s="31" t="s">
        <v>166</v>
      </c>
      <c r="CN841" s="27" t="s">
        <v>166</v>
      </c>
      <c r="CO841" s="27" t="s">
        <v>166</v>
      </c>
      <c r="CP841" s="27" t="s">
        <v>166</v>
      </c>
      <c r="CQ841" s="27" t="s">
        <v>166</v>
      </c>
      <c r="CR841" s="27" t="s">
        <v>166</v>
      </c>
      <c r="CS841" s="27" t="s">
        <v>166</v>
      </c>
      <c r="CT841" s="27" t="s">
        <v>166</v>
      </c>
      <c r="CU841" s="27" t="s">
        <v>166</v>
      </c>
      <c r="CV841" s="27" t="s">
        <v>166</v>
      </c>
      <c r="CW841" s="27" t="s">
        <v>166</v>
      </c>
      <c r="CX841" s="27" t="s">
        <v>166</v>
      </c>
      <c r="CY841" s="27" t="s">
        <v>166</v>
      </c>
      <c r="CZ841" s="27" t="s">
        <v>166</v>
      </c>
      <c r="DA841" s="27" t="s">
        <v>166</v>
      </c>
      <c r="DB841" s="27" t="s">
        <v>166</v>
      </c>
      <c r="DC841" s="27" t="s">
        <v>166</v>
      </c>
      <c r="DD841" s="27" t="s">
        <v>166</v>
      </c>
      <c r="DE841" s="28" t="s">
        <v>166</v>
      </c>
      <c r="DF841" s="33">
        <v>7</v>
      </c>
      <c r="DG841" s="25" t="s">
        <v>1678</v>
      </c>
      <c r="DH841" s="25" t="s">
        <v>193</v>
      </c>
      <c r="DI841" s="25" t="s">
        <v>194</v>
      </c>
      <c r="DJ841" s="25" t="s">
        <v>1679</v>
      </c>
      <c r="DK841" s="25" t="s">
        <v>310</v>
      </c>
      <c r="DL841" s="32" t="s">
        <v>16041</v>
      </c>
      <c r="DM841" s="25" t="s">
        <v>198</v>
      </c>
      <c r="DN841" s="24" t="s">
        <v>16042</v>
      </c>
      <c r="DO841" s="31">
        <v>2021</v>
      </c>
      <c r="DP841" s="25" t="s">
        <v>166</v>
      </c>
      <c r="DQ841" s="25" t="s">
        <v>166</v>
      </c>
      <c r="DR841" s="29" t="s">
        <v>166</v>
      </c>
      <c r="DS841" s="27" t="s">
        <v>166</v>
      </c>
      <c r="DT841" s="30" t="s">
        <v>166</v>
      </c>
      <c r="DU841" s="25" t="s">
        <v>166</v>
      </c>
      <c r="DV841" s="29" t="s">
        <v>166</v>
      </c>
      <c r="DW841" s="29" t="s">
        <v>166</v>
      </c>
      <c r="DX841" s="27" t="s">
        <v>166</v>
      </c>
      <c r="DY841" s="27" t="s">
        <v>166</v>
      </c>
      <c r="DZ841" s="28" t="s">
        <v>166</v>
      </c>
      <c r="EA841" s="27" t="s">
        <v>166</v>
      </c>
      <c r="EB841" s="27" t="s">
        <v>166</v>
      </c>
      <c r="EC841" s="27" t="s">
        <v>166</v>
      </c>
      <c r="ED841" s="28" t="s">
        <v>166</v>
      </c>
      <c r="EE841" s="28" t="s">
        <v>166</v>
      </c>
      <c r="EF841" s="28" t="s">
        <v>166</v>
      </c>
      <c r="EG841" s="28" t="s">
        <v>166</v>
      </c>
      <c r="EH841" s="27" t="s">
        <v>166</v>
      </c>
      <c r="EI841" s="27" t="s">
        <v>166</v>
      </c>
      <c r="EJ841" s="27" t="s">
        <v>166</v>
      </c>
      <c r="EK841" s="27" t="s">
        <v>166</v>
      </c>
      <c r="EL841" s="27" t="s">
        <v>166</v>
      </c>
      <c r="EM841" s="27" t="s">
        <v>166</v>
      </c>
      <c r="EN841" s="27" t="s">
        <v>166</v>
      </c>
      <c r="EO841" s="27" t="s">
        <v>166</v>
      </c>
      <c r="EP841" s="27" t="s">
        <v>166</v>
      </c>
      <c r="EQ841" s="27" t="s">
        <v>166</v>
      </c>
      <c r="ER841" s="27" t="s">
        <v>166</v>
      </c>
      <c r="ES841" s="27" t="s">
        <v>166</v>
      </c>
      <c r="ET841" s="25" t="s">
        <v>166</v>
      </c>
      <c r="EU841" s="27" t="s">
        <v>166</v>
      </c>
      <c r="EV841" s="27" t="s">
        <v>166</v>
      </c>
      <c r="EW841" s="27" t="s">
        <v>166</v>
      </c>
      <c r="EX841" s="25" t="s">
        <v>190</v>
      </c>
      <c r="EY841" s="25" t="s">
        <v>166</v>
      </c>
      <c r="EZ841" s="27" t="s">
        <v>166</v>
      </c>
      <c r="FA841" s="26" t="s">
        <v>166</v>
      </c>
      <c r="FB841" s="26" t="s">
        <v>166</v>
      </c>
      <c r="FC841" s="26" t="s">
        <v>166</v>
      </c>
      <c r="FD841" s="26" t="s">
        <v>166</v>
      </c>
      <c r="FE841" s="26" t="s">
        <v>166</v>
      </c>
      <c r="FF841" s="26" t="s">
        <v>166</v>
      </c>
      <c r="FG841" s="25" t="s">
        <v>166</v>
      </c>
      <c r="FH841" s="4">
        <f>HYPERLINK("https://my.pitchbook.com?c=175346-20T","View Company Online")</f>
      </c>
    </row>
    <row r="842">
      <c r="A842" s="14" t="s">
        <v>16043</v>
      </c>
      <c r="B842" s="14" t="s">
        <v>16044</v>
      </c>
      <c r="C842" s="14" t="s">
        <v>16045</v>
      </c>
      <c r="D842" s="14" t="s">
        <v>166</v>
      </c>
      <c r="E842" s="23" t="s">
        <v>16046</v>
      </c>
      <c r="F842" s="21">
        <v>5</v>
      </c>
      <c r="G842" s="14" t="s">
        <v>16047</v>
      </c>
      <c r="H842" s="14" t="s">
        <v>166</v>
      </c>
      <c r="I842" s="14" t="s">
        <v>16048</v>
      </c>
      <c r="J842" s="14" t="s">
        <v>16049</v>
      </c>
      <c r="K842" s="14" t="s">
        <v>171</v>
      </c>
      <c r="L842" s="14" t="s">
        <v>172</v>
      </c>
      <c r="M842" s="14" t="s">
        <v>1689</v>
      </c>
      <c r="N842" s="14" t="s">
        <v>16050</v>
      </c>
      <c r="O842" s="14" t="s">
        <v>2829</v>
      </c>
      <c r="P842" s="14" t="s">
        <v>16051</v>
      </c>
      <c r="Q842" s="14" t="s">
        <v>166</v>
      </c>
      <c r="R842" s="14" t="s">
        <v>177</v>
      </c>
      <c r="S842" s="14" t="s">
        <v>178</v>
      </c>
      <c r="T842" s="14" t="s">
        <v>179</v>
      </c>
      <c r="U842" s="14" t="s">
        <v>16052</v>
      </c>
      <c r="V842" s="14" t="s">
        <v>16053</v>
      </c>
      <c r="W842" s="21" t="s">
        <v>16054</v>
      </c>
      <c r="X842" s="14" t="s">
        <v>16055</v>
      </c>
      <c r="Y842" s="14" t="s">
        <v>16056</v>
      </c>
      <c r="Z842" s="14" t="s">
        <v>16057</v>
      </c>
      <c r="AA842" s="14" t="s">
        <v>166</v>
      </c>
      <c r="AB842" s="14" t="s">
        <v>166</v>
      </c>
      <c r="AC842" s="14" t="s">
        <v>166</v>
      </c>
      <c r="AD842" s="14" t="s">
        <v>166</v>
      </c>
      <c r="AE842" s="14" t="s">
        <v>166</v>
      </c>
      <c r="AF842" s="14" t="s">
        <v>166</v>
      </c>
      <c r="AG842" s="14" t="s">
        <v>166</v>
      </c>
      <c r="AH842" s="21">
        <v>2</v>
      </c>
      <c r="AI842" s="3">
        <f>HYPERLINK("https://my.pitchbook.com/?d=199994-14T","199994-14T")</f>
      </c>
      <c r="AJ842" s="19">
        <v>44743</v>
      </c>
      <c r="AK842" s="19">
        <v>44770</v>
      </c>
      <c r="AL842" s="18">
        <v>1.5</v>
      </c>
      <c r="AM842" s="14" t="s">
        <v>185</v>
      </c>
      <c r="AN842" s="18" t="s">
        <v>166</v>
      </c>
      <c r="AO842" s="18" t="s">
        <v>166</v>
      </c>
      <c r="AP842" s="14" t="s">
        <v>166</v>
      </c>
      <c r="AQ842" s="21" t="s">
        <v>166</v>
      </c>
      <c r="AR842" s="21" t="s">
        <v>166</v>
      </c>
      <c r="AS842" s="17" t="s">
        <v>166</v>
      </c>
      <c r="AT842" s="18">
        <v>1.5</v>
      </c>
      <c r="AU842" s="21" t="s">
        <v>186</v>
      </c>
      <c r="AV842" s="21" t="s">
        <v>166</v>
      </c>
      <c r="AW842" s="18" t="s">
        <v>166</v>
      </c>
      <c r="AX842" s="21" t="s">
        <v>166</v>
      </c>
      <c r="AY842" s="14" t="s">
        <v>217</v>
      </c>
      <c r="AZ842" s="14" t="s">
        <v>217</v>
      </c>
      <c r="BA842" s="14" t="s">
        <v>166</v>
      </c>
      <c r="BB842" s="21" t="s">
        <v>166</v>
      </c>
      <c r="BC842" s="14" t="s">
        <v>179</v>
      </c>
      <c r="BD842" s="14" t="s">
        <v>16058</v>
      </c>
      <c r="BE842" s="14" t="s">
        <v>189</v>
      </c>
      <c r="BF842" s="18">
        <v>1.5</v>
      </c>
      <c r="BG842" s="14" t="s">
        <v>190</v>
      </c>
      <c r="BH842" s="14" t="s">
        <v>166</v>
      </c>
      <c r="BI842" s="14" t="s">
        <v>166</v>
      </c>
      <c r="BJ842" s="18" t="s">
        <v>166</v>
      </c>
      <c r="BK842" s="18" t="s">
        <v>166</v>
      </c>
      <c r="BL842" s="14" t="s">
        <v>191</v>
      </c>
      <c r="BM842" s="14" t="s">
        <v>178</v>
      </c>
      <c r="BN842" s="14" t="s">
        <v>177</v>
      </c>
      <c r="BO842" s="22" t="s">
        <v>166</v>
      </c>
      <c r="BP842" s="14" t="s">
        <v>16059</v>
      </c>
      <c r="BQ842" s="21">
        <v>5</v>
      </c>
      <c r="BR842" s="14" t="s">
        <v>166</v>
      </c>
      <c r="BS842" s="21" t="s">
        <v>166</v>
      </c>
      <c r="BT842" s="14" t="s">
        <v>166</v>
      </c>
      <c r="BU842" s="14" t="s">
        <v>166</v>
      </c>
      <c r="BV842" s="14" t="s">
        <v>16060</v>
      </c>
      <c r="BW842" s="14" t="s">
        <v>166</v>
      </c>
      <c r="BX842" s="14" t="s">
        <v>166</v>
      </c>
      <c r="BY842" s="14" t="s">
        <v>166</v>
      </c>
      <c r="BZ842" s="14" t="s">
        <v>166</v>
      </c>
      <c r="CA842" s="14" t="s">
        <v>166</v>
      </c>
      <c r="CB842" s="14" t="s">
        <v>166</v>
      </c>
      <c r="CC842" s="14" t="s">
        <v>166</v>
      </c>
      <c r="CD842" s="14" t="s">
        <v>166</v>
      </c>
      <c r="CE842" s="18" t="s">
        <v>166</v>
      </c>
      <c r="CF842" s="16" t="s">
        <v>166</v>
      </c>
      <c r="CG842" s="17" t="s">
        <v>166</v>
      </c>
      <c r="CH842" s="16" t="s">
        <v>166</v>
      </c>
      <c r="CI842" s="16" t="s">
        <v>166</v>
      </c>
      <c r="CJ842" s="16" t="s">
        <v>166</v>
      </c>
      <c r="CK842" s="16" t="s">
        <v>166</v>
      </c>
      <c r="CL842" s="16" t="s">
        <v>166</v>
      </c>
      <c r="CM842" s="20" t="s">
        <v>166</v>
      </c>
      <c r="CN842" s="16" t="s">
        <v>166</v>
      </c>
      <c r="CO842" s="16" t="s">
        <v>166</v>
      </c>
      <c r="CP842" s="16" t="s">
        <v>166</v>
      </c>
      <c r="CQ842" s="16" t="s">
        <v>166</v>
      </c>
      <c r="CR842" s="16" t="s">
        <v>166</v>
      </c>
      <c r="CS842" s="16" t="s">
        <v>166</v>
      </c>
      <c r="CT842" s="16" t="s">
        <v>166</v>
      </c>
      <c r="CU842" s="16" t="s">
        <v>166</v>
      </c>
      <c r="CV842" s="16" t="s">
        <v>166</v>
      </c>
      <c r="CW842" s="16" t="s">
        <v>166</v>
      </c>
      <c r="CX842" s="16" t="s">
        <v>166</v>
      </c>
      <c r="CY842" s="16" t="s">
        <v>166</v>
      </c>
      <c r="CZ842" s="16" t="s">
        <v>166</v>
      </c>
      <c r="DA842" s="16" t="s">
        <v>166</v>
      </c>
      <c r="DB842" s="16" t="s">
        <v>166</v>
      </c>
      <c r="DC842" s="16" t="s">
        <v>166</v>
      </c>
      <c r="DD842" s="16" t="s">
        <v>166</v>
      </c>
      <c r="DE842" s="17" t="s">
        <v>166</v>
      </c>
      <c r="DF842" s="22">
        <v>5</v>
      </c>
      <c r="DG842" s="14" t="s">
        <v>5665</v>
      </c>
      <c r="DH842" s="14" t="s">
        <v>193</v>
      </c>
      <c r="DI842" s="14" t="s">
        <v>194</v>
      </c>
      <c r="DJ842" s="14" t="s">
        <v>5666</v>
      </c>
      <c r="DK842" s="14" t="s">
        <v>5667</v>
      </c>
      <c r="DL842" s="21" t="s">
        <v>16061</v>
      </c>
      <c r="DM842" s="14" t="s">
        <v>198</v>
      </c>
      <c r="DN842" s="13" t="s">
        <v>16062</v>
      </c>
      <c r="DO842" s="20">
        <v>2020</v>
      </c>
      <c r="DP842" s="14" t="s">
        <v>166</v>
      </c>
      <c r="DQ842" s="14" t="s">
        <v>166</v>
      </c>
      <c r="DR842" s="18" t="s">
        <v>166</v>
      </c>
      <c r="DS842" s="16" t="s">
        <v>166</v>
      </c>
      <c r="DT842" s="19" t="s">
        <v>166</v>
      </c>
      <c r="DU842" s="14" t="s">
        <v>166</v>
      </c>
      <c r="DV842" s="18" t="s">
        <v>166</v>
      </c>
      <c r="DW842" s="18" t="s">
        <v>166</v>
      </c>
      <c r="DX842" s="16" t="s">
        <v>166</v>
      </c>
      <c r="DY842" s="16" t="s">
        <v>166</v>
      </c>
      <c r="DZ842" s="17" t="s">
        <v>166</v>
      </c>
      <c r="EA842" s="16" t="s">
        <v>166</v>
      </c>
      <c r="EB842" s="16" t="s">
        <v>166</v>
      </c>
      <c r="EC842" s="16" t="s">
        <v>166</v>
      </c>
      <c r="ED842" s="17" t="s">
        <v>166</v>
      </c>
      <c r="EE842" s="17" t="s">
        <v>166</v>
      </c>
      <c r="EF842" s="17" t="s">
        <v>166</v>
      </c>
      <c r="EG842" s="17" t="s">
        <v>166</v>
      </c>
      <c r="EH842" s="16" t="s">
        <v>166</v>
      </c>
      <c r="EI842" s="16" t="s">
        <v>166</v>
      </c>
      <c r="EJ842" s="16" t="s">
        <v>166</v>
      </c>
      <c r="EK842" s="16" t="s">
        <v>166</v>
      </c>
      <c r="EL842" s="16" t="s">
        <v>166</v>
      </c>
      <c r="EM842" s="16" t="s">
        <v>166</v>
      </c>
      <c r="EN842" s="16" t="s">
        <v>166</v>
      </c>
      <c r="EO842" s="16" t="s">
        <v>166</v>
      </c>
      <c r="EP842" s="16" t="s">
        <v>166</v>
      </c>
      <c r="EQ842" s="16" t="s">
        <v>166</v>
      </c>
      <c r="ER842" s="16" t="s">
        <v>166</v>
      </c>
      <c r="ES842" s="16" t="s">
        <v>166</v>
      </c>
      <c r="ET842" s="14" t="s">
        <v>166</v>
      </c>
      <c r="EU842" s="16" t="s">
        <v>166</v>
      </c>
      <c r="EV842" s="16" t="s">
        <v>166</v>
      </c>
      <c r="EW842" s="16" t="s">
        <v>166</v>
      </c>
      <c r="EX842" s="14" t="s">
        <v>190</v>
      </c>
      <c r="EY842" s="14" t="s">
        <v>166</v>
      </c>
      <c r="EZ842" s="16" t="s">
        <v>166</v>
      </c>
      <c r="FA842" s="15" t="s">
        <v>166</v>
      </c>
      <c r="FB842" s="15" t="s">
        <v>166</v>
      </c>
      <c r="FC842" s="15" t="s">
        <v>166</v>
      </c>
      <c r="FD842" s="15" t="s">
        <v>166</v>
      </c>
      <c r="FE842" s="15" t="s">
        <v>166</v>
      </c>
      <c r="FF842" s="15" t="s">
        <v>166</v>
      </c>
      <c r="FG842" s="14" t="s">
        <v>166</v>
      </c>
      <c r="FH842" s="3">
        <f>HYPERLINK("https://my.pitchbook.com?c=199994-14T","View Company Online")</f>
      </c>
    </row>
    <row r="843">
      <c r="A843" s="25" t="s">
        <v>16063</v>
      </c>
      <c r="B843" s="25" t="s">
        <v>16064</v>
      </c>
      <c r="C843" s="25" t="s">
        <v>16065</v>
      </c>
      <c r="D843" s="25" t="s">
        <v>166</v>
      </c>
      <c r="E843" s="34" t="s">
        <v>16066</v>
      </c>
      <c r="F843" s="32">
        <v>3</v>
      </c>
      <c r="G843" s="25" t="s">
        <v>16067</v>
      </c>
      <c r="H843" s="25" t="s">
        <v>166</v>
      </c>
      <c r="I843" s="25" t="s">
        <v>16068</v>
      </c>
      <c r="J843" s="25" t="s">
        <v>16069</v>
      </c>
      <c r="K843" s="25" t="s">
        <v>207</v>
      </c>
      <c r="L843" s="25" t="s">
        <v>208</v>
      </c>
      <c r="M843" s="25" t="s">
        <v>1940</v>
      </c>
      <c r="N843" s="25" t="s">
        <v>16070</v>
      </c>
      <c r="O843" s="25" t="s">
        <v>5519</v>
      </c>
      <c r="P843" s="25" t="s">
        <v>16071</v>
      </c>
      <c r="Q843" s="25" t="s">
        <v>166</v>
      </c>
      <c r="R843" s="25" t="s">
        <v>177</v>
      </c>
      <c r="S843" s="25" t="s">
        <v>358</v>
      </c>
      <c r="T843" s="25" t="s">
        <v>179</v>
      </c>
      <c r="U843" s="25" t="s">
        <v>16072</v>
      </c>
      <c r="V843" s="25" t="s">
        <v>16073</v>
      </c>
      <c r="W843" s="32" t="s">
        <v>166</v>
      </c>
      <c r="X843" s="25" t="s">
        <v>16074</v>
      </c>
      <c r="Y843" s="25" t="s">
        <v>16075</v>
      </c>
      <c r="Z843" s="25" t="s">
        <v>166</v>
      </c>
      <c r="AA843" s="25" t="s">
        <v>242</v>
      </c>
      <c r="AB843" s="25" t="s">
        <v>243</v>
      </c>
      <c r="AC843" s="25" t="s">
        <v>244</v>
      </c>
      <c r="AD843" s="25" t="s">
        <v>243</v>
      </c>
      <c r="AE843" s="25" t="s">
        <v>243</v>
      </c>
      <c r="AF843" s="25" t="s">
        <v>166</v>
      </c>
      <c r="AG843" s="25" t="s">
        <v>807</v>
      </c>
      <c r="AH843" s="32">
        <v>1</v>
      </c>
      <c r="AI843" s="4">
        <f>HYPERLINK("https://my.pitchbook.com/?d=191349-64T","191349-64T")</f>
      </c>
      <c r="AJ843" s="30" t="s">
        <v>166</v>
      </c>
      <c r="AK843" s="30">
        <v>44609</v>
      </c>
      <c r="AL843" s="29">
        <v>3</v>
      </c>
      <c r="AM843" s="25" t="s">
        <v>185</v>
      </c>
      <c r="AN843" s="29">
        <v>11</v>
      </c>
      <c r="AO843" s="29">
        <v>14</v>
      </c>
      <c r="AP843" s="25" t="s">
        <v>185</v>
      </c>
      <c r="AQ843" s="32" t="s">
        <v>166</v>
      </c>
      <c r="AR843" s="32" t="s">
        <v>166</v>
      </c>
      <c r="AS843" s="28">
        <v>21.43</v>
      </c>
      <c r="AT843" s="29">
        <v>3</v>
      </c>
      <c r="AU843" s="32" t="s">
        <v>186</v>
      </c>
      <c r="AV843" s="32" t="s">
        <v>166</v>
      </c>
      <c r="AW843" s="29">
        <v>0.91</v>
      </c>
      <c r="AX843" s="32" t="s">
        <v>166</v>
      </c>
      <c r="AY843" s="25" t="s">
        <v>217</v>
      </c>
      <c r="AZ843" s="25" t="s">
        <v>217</v>
      </c>
      <c r="BA843" s="25" t="s">
        <v>166</v>
      </c>
      <c r="BB843" s="32" t="s">
        <v>166</v>
      </c>
      <c r="BC843" s="25" t="s">
        <v>179</v>
      </c>
      <c r="BD843" s="25" t="s">
        <v>16076</v>
      </c>
      <c r="BE843" s="25" t="s">
        <v>189</v>
      </c>
      <c r="BF843" s="29">
        <v>3</v>
      </c>
      <c r="BG843" s="25" t="s">
        <v>190</v>
      </c>
      <c r="BH843" s="25" t="s">
        <v>166</v>
      </c>
      <c r="BI843" s="25" t="s">
        <v>166</v>
      </c>
      <c r="BJ843" s="29" t="s">
        <v>166</v>
      </c>
      <c r="BK843" s="29" t="s">
        <v>166</v>
      </c>
      <c r="BL843" s="25" t="s">
        <v>191</v>
      </c>
      <c r="BM843" s="25" t="s">
        <v>358</v>
      </c>
      <c r="BN843" s="25" t="s">
        <v>177</v>
      </c>
      <c r="BO843" s="33" t="s">
        <v>166</v>
      </c>
      <c r="BP843" s="25" t="s">
        <v>16077</v>
      </c>
      <c r="BQ843" s="32">
        <v>3</v>
      </c>
      <c r="BR843" s="25" t="s">
        <v>166</v>
      </c>
      <c r="BS843" s="32" t="s">
        <v>166</v>
      </c>
      <c r="BT843" s="25" t="s">
        <v>166</v>
      </c>
      <c r="BU843" s="25" t="s">
        <v>166</v>
      </c>
      <c r="BV843" s="25" t="s">
        <v>16078</v>
      </c>
      <c r="BW843" s="25" t="s">
        <v>166</v>
      </c>
      <c r="BX843" s="25" t="s">
        <v>166</v>
      </c>
      <c r="BY843" s="25" t="s">
        <v>166</v>
      </c>
      <c r="BZ843" s="25" t="s">
        <v>16079</v>
      </c>
      <c r="CA843" s="25" t="s">
        <v>16080</v>
      </c>
      <c r="CB843" s="25" t="s">
        <v>166</v>
      </c>
      <c r="CC843" s="25" t="s">
        <v>16081</v>
      </c>
      <c r="CD843" s="25" t="s">
        <v>166</v>
      </c>
      <c r="CE843" s="29" t="s">
        <v>166</v>
      </c>
      <c r="CF843" s="27" t="s">
        <v>166</v>
      </c>
      <c r="CG843" s="28" t="s">
        <v>166</v>
      </c>
      <c r="CH843" s="27" t="s">
        <v>166</v>
      </c>
      <c r="CI843" s="27" t="s">
        <v>166</v>
      </c>
      <c r="CJ843" s="27" t="s">
        <v>166</v>
      </c>
      <c r="CK843" s="27" t="s">
        <v>166</v>
      </c>
      <c r="CL843" s="27" t="s">
        <v>166</v>
      </c>
      <c r="CM843" s="31" t="s">
        <v>166</v>
      </c>
      <c r="CN843" s="27" t="s">
        <v>166</v>
      </c>
      <c r="CO843" s="27" t="s">
        <v>166</v>
      </c>
      <c r="CP843" s="27" t="s">
        <v>166</v>
      </c>
      <c r="CQ843" s="27" t="s">
        <v>166</v>
      </c>
      <c r="CR843" s="27" t="s">
        <v>166</v>
      </c>
      <c r="CS843" s="27" t="s">
        <v>166</v>
      </c>
      <c r="CT843" s="27" t="s">
        <v>166</v>
      </c>
      <c r="CU843" s="27" t="s">
        <v>166</v>
      </c>
      <c r="CV843" s="27" t="s">
        <v>166</v>
      </c>
      <c r="CW843" s="27" t="s">
        <v>166</v>
      </c>
      <c r="CX843" s="27" t="s">
        <v>166</v>
      </c>
      <c r="CY843" s="27" t="s">
        <v>166</v>
      </c>
      <c r="CZ843" s="27" t="s">
        <v>166</v>
      </c>
      <c r="DA843" s="27" t="s">
        <v>166</v>
      </c>
      <c r="DB843" s="27" t="s">
        <v>166</v>
      </c>
      <c r="DC843" s="27" t="s">
        <v>166</v>
      </c>
      <c r="DD843" s="27" t="s">
        <v>166</v>
      </c>
      <c r="DE843" s="28" t="s">
        <v>166</v>
      </c>
      <c r="DF843" s="33">
        <v>27</v>
      </c>
      <c r="DG843" s="25" t="s">
        <v>309</v>
      </c>
      <c r="DH843" s="25" t="s">
        <v>193</v>
      </c>
      <c r="DI843" s="25" t="s">
        <v>194</v>
      </c>
      <c r="DJ843" s="25" t="s">
        <v>310</v>
      </c>
      <c r="DK843" s="25" t="s">
        <v>310</v>
      </c>
      <c r="DL843" s="32" t="s">
        <v>16082</v>
      </c>
      <c r="DM843" s="25" t="s">
        <v>198</v>
      </c>
      <c r="DN843" s="24" t="s">
        <v>16083</v>
      </c>
      <c r="DO843" s="31">
        <v>2021</v>
      </c>
      <c r="DP843" s="25" t="s">
        <v>166</v>
      </c>
      <c r="DQ843" s="25" t="s">
        <v>166</v>
      </c>
      <c r="DR843" s="29" t="s">
        <v>166</v>
      </c>
      <c r="DS843" s="27" t="s">
        <v>166</v>
      </c>
      <c r="DT843" s="30" t="s">
        <v>166</v>
      </c>
      <c r="DU843" s="25" t="s">
        <v>166</v>
      </c>
      <c r="DV843" s="29" t="s">
        <v>166</v>
      </c>
      <c r="DW843" s="29" t="s">
        <v>166</v>
      </c>
      <c r="DX843" s="27" t="s">
        <v>166</v>
      </c>
      <c r="DY843" s="27" t="s">
        <v>166</v>
      </c>
      <c r="DZ843" s="28" t="s">
        <v>166</v>
      </c>
      <c r="EA843" s="27" t="s">
        <v>166</v>
      </c>
      <c r="EB843" s="27" t="s">
        <v>166</v>
      </c>
      <c r="EC843" s="27" t="s">
        <v>166</v>
      </c>
      <c r="ED843" s="28" t="s">
        <v>166</v>
      </c>
      <c r="EE843" s="28" t="s">
        <v>166</v>
      </c>
      <c r="EF843" s="28" t="s">
        <v>166</v>
      </c>
      <c r="EG843" s="28" t="s">
        <v>166</v>
      </c>
      <c r="EH843" s="27" t="s">
        <v>166</v>
      </c>
      <c r="EI843" s="27" t="s">
        <v>166</v>
      </c>
      <c r="EJ843" s="27" t="s">
        <v>166</v>
      </c>
      <c r="EK843" s="27" t="s">
        <v>166</v>
      </c>
      <c r="EL843" s="27" t="s">
        <v>166</v>
      </c>
      <c r="EM843" s="27" t="s">
        <v>166</v>
      </c>
      <c r="EN843" s="27" t="s">
        <v>166</v>
      </c>
      <c r="EO843" s="27" t="s">
        <v>166</v>
      </c>
      <c r="EP843" s="27" t="s">
        <v>166</v>
      </c>
      <c r="EQ843" s="27" t="s">
        <v>166</v>
      </c>
      <c r="ER843" s="27" t="s">
        <v>166</v>
      </c>
      <c r="ES843" s="27" t="s">
        <v>166</v>
      </c>
      <c r="ET843" s="25" t="s">
        <v>166</v>
      </c>
      <c r="EU843" s="27" t="s">
        <v>166</v>
      </c>
      <c r="EV843" s="27" t="s">
        <v>166</v>
      </c>
      <c r="EW843" s="27" t="s">
        <v>166</v>
      </c>
      <c r="EX843" s="25" t="s">
        <v>190</v>
      </c>
      <c r="EY843" s="25" t="s">
        <v>166</v>
      </c>
      <c r="EZ843" s="27" t="s">
        <v>166</v>
      </c>
      <c r="FA843" s="26">
        <v>1</v>
      </c>
      <c r="FB843" s="26">
        <v>1</v>
      </c>
      <c r="FC843" s="26">
        <v>1</v>
      </c>
      <c r="FD843" s="26" t="s">
        <v>166</v>
      </c>
      <c r="FE843" s="26" t="s">
        <v>166</v>
      </c>
      <c r="FF843" s="26" t="s">
        <v>166</v>
      </c>
      <c r="FG843" s="25" t="s">
        <v>166</v>
      </c>
      <c r="FH843" s="4">
        <f>HYPERLINK("https://my.pitchbook.com?c=191349-64T","View Company Online")</f>
      </c>
    </row>
    <row r="844">
      <c r="A844" s="14" t="s">
        <v>16084</v>
      </c>
      <c r="B844" s="14" t="s">
        <v>16085</v>
      </c>
      <c r="C844" s="14" t="s">
        <v>16086</v>
      </c>
      <c r="D844" s="14" t="s">
        <v>166</v>
      </c>
      <c r="E844" s="23" t="s">
        <v>16087</v>
      </c>
      <c r="F844" s="21">
        <v>10</v>
      </c>
      <c r="G844" s="14" t="s">
        <v>16088</v>
      </c>
      <c r="H844" s="14" t="s">
        <v>166</v>
      </c>
      <c r="I844" s="14" t="s">
        <v>16089</v>
      </c>
      <c r="J844" s="14" t="s">
        <v>16090</v>
      </c>
      <c r="K844" s="14" t="s">
        <v>171</v>
      </c>
      <c r="L844" s="14" t="s">
        <v>172</v>
      </c>
      <c r="M844" s="14" t="s">
        <v>173</v>
      </c>
      <c r="N844" s="14" t="s">
        <v>10130</v>
      </c>
      <c r="O844" s="14" t="s">
        <v>4299</v>
      </c>
      <c r="P844" s="14" t="s">
        <v>16091</v>
      </c>
      <c r="Q844" s="14" t="s">
        <v>166</v>
      </c>
      <c r="R844" s="14" t="s">
        <v>177</v>
      </c>
      <c r="S844" s="14" t="s">
        <v>178</v>
      </c>
      <c r="T844" s="14" t="s">
        <v>179</v>
      </c>
      <c r="U844" s="14" t="s">
        <v>16092</v>
      </c>
      <c r="V844" s="14" t="s">
        <v>16093</v>
      </c>
      <c r="W844" s="21" t="s">
        <v>16094</v>
      </c>
      <c r="X844" s="14" t="s">
        <v>16095</v>
      </c>
      <c r="Y844" s="14" t="s">
        <v>16096</v>
      </c>
      <c r="Z844" s="14" t="s">
        <v>166</v>
      </c>
      <c r="AA844" s="14" t="s">
        <v>242</v>
      </c>
      <c r="AB844" s="14" t="s">
        <v>243</v>
      </c>
      <c r="AC844" s="14" t="s">
        <v>244</v>
      </c>
      <c r="AD844" s="14" t="s">
        <v>243</v>
      </c>
      <c r="AE844" s="14" t="s">
        <v>243</v>
      </c>
      <c r="AF844" s="14" t="s">
        <v>245</v>
      </c>
      <c r="AG844" s="14" t="s">
        <v>246</v>
      </c>
      <c r="AH844" s="21">
        <v>1</v>
      </c>
      <c r="AI844" s="3">
        <f>HYPERLINK("https://my.pitchbook.com/?d=133802-20T","133802-20T")</f>
      </c>
      <c r="AJ844" s="19" t="s">
        <v>166</v>
      </c>
      <c r="AK844" s="19">
        <v>43909</v>
      </c>
      <c r="AL844" s="18">
        <v>7</v>
      </c>
      <c r="AM844" s="14" t="s">
        <v>185</v>
      </c>
      <c r="AN844" s="18">
        <v>15</v>
      </c>
      <c r="AO844" s="18">
        <v>22</v>
      </c>
      <c r="AP844" s="14" t="s">
        <v>185</v>
      </c>
      <c r="AQ844" s="21" t="s">
        <v>166</v>
      </c>
      <c r="AR844" s="21" t="s">
        <v>166</v>
      </c>
      <c r="AS844" s="17">
        <v>31.82</v>
      </c>
      <c r="AT844" s="18">
        <v>7</v>
      </c>
      <c r="AU844" s="21" t="s">
        <v>186</v>
      </c>
      <c r="AV844" s="21" t="s">
        <v>166</v>
      </c>
      <c r="AW844" s="18">
        <v>0.58</v>
      </c>
      <c r="AX844" s="21" t="s">
        <v>166</v>
      </c>
      <c r="AY844" s="14" t="s">
        <v>217</v>
      </c>
      <c r="AZ844" s="14" t="s">
        <v>217</v>
      </c>
      <c r="BA844" s="14" t="s">
        <v>166</v>
      </c>
      <c r="BB844" s="21" t="s">
        <v>166</v>
      </c>
      <c r="BC844" s="14" t="s">
        <v>179</v>
      </c>
      <c r="BD844" s="14" t="s">
        <v>16097</v>
      </c>
      <c r="BE844" s="14" t="s">
        <v>189</v>
      </c>
      <c r="BF844" s="18">
        <v>7</v>
      </c>
      <c r="BG844" s="14" t="s">
        <v>190</v>
      </c>
      <c r="BH844" s="14" t="s">
        <v>166</v>
      </c>
      <c r="BI844" s="14" t="s">
        <v>166</v>
      </c>
      <c r="BJ844" s="18" t="s">
        <v>166</v>
      </c>
      <c r="BK844" s="18" t="s">
        <v>166</v>
      </c>
      <c r="BL844" s="14" t="s">
        <v>191</v>
      </c>
      <c r="BM844" s="14" t="s">
        <v>178</v>
      </c>
      <c r="BN844" s="14" t="s">
        <v>177</v>
      </c>
      <c r="BO844" s="22">
        <v>9</v>
      </c>
      <c r="BP844" s="14" t="s">
        <v>16098</v>
      </c>
      <c r="BQ844" s="21">
        <v>10</v>
      </c>
      <c r="BR844" s="14" t="s">
        <v>166</v>
      </c>
      <c r="BS844" s="21" t="s">
        <v>166</v>
      </c>
      <c r="BT844" s="14" t="s">
        <v>16099</v>
      </c>
      <c r="BU844" s="14" t="s">
        <v>166</v>
      </c>
      <c r="BV844" s="14" t="s">
        <v>16100</v>
      </c>
      <c r="BW844" s="14" t="s">
        <v>166</v>
      </c>
      <c r="BX844" s="14" t="s">
        <v>166</v>
      </c>
      <c r="BY844" s="14" t="s">
        <v>166</v>
      </c>
      <c r="BZ844" s="14" t="s">
        <v>996</v>
      </c>
      <c r="CA844" s="14" t="s">
        <v>996</v>
      </c>
      <c r="CB844" s="14" t="s">
        <v>166</v>
      </c>
      <c r="CC844" s="14" t="s">
        <v>166</v>
      </c>
      <c r="CD844" s="14" t="s">
        <v>166</v>
      </c>
      <c r="CE844" s="18" t="s">
        <v>166</v>
      </c>
      <c r="CF844" s="16" t="s">
        <v>166</v>
      </c>
      <c r="CG844" s="17" t="s">
        <v>166</v>
      </c>
      <c r="CH844" s="16" t="s">
        <v>166</v>
      </c>
      <c r="CI844" s="16" t="s">
        <v>166</v>
      </c>
      <c r="CJ844" s="16" t="s">
        <v>166</v>
      </c>
      <c r="CK844" s="16" t="s">
        <v>166</v>
      </c>
      <c r="CL844" s="16" t="s">
        <v>166</v>
      </c>
      <c r="CM844" s="20" t="s">
        <v>166</v>
      </c>
      <c r="CN844" s="16" t="s">
        <v>166</v>
      </c>
      <c r="CO844" s="16" t="s">
        <v>166</v>
      </c>
      <c r="CP844" s="16" t="s">
        <v>166</v>
      </c>
      <c r="CQ844" s="16" t="s">
        <v>166</v>
      </c>
      <c r="CR844" s="16" t="s">
        <v>166</v>
      </c>
      <c r="CS844" s="16" t="s">
        <v>166</v>
      </c>
      <c r="CT844" s="16" t="s">
        <v>166</v>
      </c>
      <c r="CU844" s="16" t="s">
        <v>166</v>
      </c>
      <c r="CV844" s="16" t="s">
        <v>166</v>
      </c>
      <c r="CW844" s="16" t="s">
        <v>166</v>
      </c>
      <c r="CX844" s="16" t="s">
        <v>166</v>
      </c>
      <c r="CY844" s="16" t="s">
        <v>166</v>
      </c>
      <c r="CZ844" s="16" t="s">
        <v>166</v>
      </c>
      <c r="DA844" s="16" t="s">
        <v>166</v>
      </c>
      <c r="DB844" s="16" t="s">
        <v>166</v>
      </c>
      <c r="DC844" s="16" t="s">
        <v>166</v>
      </c>
      <c r="DD844" s="16" t="s">
        <v>166</v>
      </c>
      <c r="DE844" s="17" t="s">
        <v>166</v>
      </c>
      <c r="DF844" s="22">
        <v>18</v>
      </c>
      <c r="DG844" s="14" t="s">
        <v>4728</v>
      </c>
      <c r="DH844" s="14" t="s">
        <v>193</v>
      </c>
      <c r="DI844" s="14" t="s">
        <v>194</v>
      </c>
      <c r="DJ844" s="14" t="s">
        <v>4729</v>
      </c>
      <c r="DK844" s="14" t="s">
        <v>257</v>
      </c>
      <c r="DL844" s="21" t="s">
        <v>4730</v>
      </c>
      <c r="DM844" s="14" t="s">
        <v>198</v>
      </c>
      <c r="DN844" s="13" t="s">
        <v>16101</v>
      </c>
      <c r="DO844" s="20">
        <v>2019</v>
      </c>
      <c r="DP844" s="14" t="s">
        <v>166</v>
      </c>
      <c r="DQ844" s="14" t="s">
        <v>166</v>
      </c>
      <c r="DR844" s="18" t="s">
        <v>166</v>
      </c>
      <c r="DS844" s="16" t="s">
        <v>166</v>
      </c>
      <c r="DT844" s="19" t="s">
        <v>166</v>
      </c>
      <c r="DU844" s="14" t="s">
        <v>166</v>
      </c>
      <c r="DV844" s="18" t="s">
        <v>166</v>
      </c>
      <c r="DW844" s="18" t="s">
        <v>166</v>
      </c>
      <c r="DX844" s="16" t="s">
        <v>166</v>
      </c>
      <c r="DY844" s="16" t="s">
        <v>166</v>
      </c>
      <c r="DZ844" s="17" t="s">
        <v>166</v>
      </c>
      <c r="EA844" s="16" t="s">
        <v>166</v>
      </c>
      <c r="EB844" s="16" t="s">
        <v>166</v>
      </c>
      <c r="EC844" s="16" t="s">
        <v>166</v>
      </c>
      <c r="ED844" s="17" t="s">
        <v>166</v>
      </c>
      <c r="EE844" s="17" t="s">
        <v>166</v>
      </c>
      <c r="EF844" s="17" t="s">
        <v>166</v>
      </c>
      <c r="EG844" s="17" t="s">
        <v>166</v>
      </c>
      <c r="EH844" s="16" t="s">
        <v>166</v>
      </c>
      <c r="EI844" s="16" t="s">
        <v>166</v>
      </c>
      <c r="EJ844" s="16" t="s">
        <v>166</v>
      </c>
      <c r="EK844" s="16" t="s">
        <v>166</v>
      </c>
      <c r="EL844" s="16" t="s">
        <v>166</v>
      </c>
      <c r="EM844" s="16" t="s">
        <v>166</v>
      </c>
      <c r="EN844" s="16" t="s">
        <v>166</v>
      </c>
      <c r="EO844" s="16" t="s">
        <v>166</v>
      </c>
      <c r="EP844" s="16" t="s">
        <v>166</v>
      </c>
      <c r="EQ844" s="16" t="s">
        <v>166</v>
      </c>
      <c r="ER844" s="16" t="s">
        <v>166</v>
      </c>
      <c r="ES844" s="16" t="s">
        <v>166</v>
      </c>
      <c r="ET844" s="14" t="s">
        <v>166</v>
      </c>
      <c r="EU844" s="16" t="s">
        <v>166</v>
      </c>
      <c r="EV844" s="16" t="s">
        <v>166</v>
      </c>
      <c r="EW844" s="16" t="s">
        <v>166</v>
      </c>
      <c r="EX844" s="14" t="s">
        <v>190</v>
      </c>
      <c r="EY844" s="14" t="s">
        <v>166</v>
      </c>
      <c r="EZ844" s="16" t="s">
        <v>166</v>
      </c>
      <c r="FA844" s="15" t="s">
        <v>166</v>
      </c>
      <c r="FB844" s="15" t="s">
        <v>166</v>
      </c>
      <c r="FC844" s="15" t="s">
        <v>166</v>
      </c>
      <c r="FD844" s="15" t="s">
        <v>166</v>
      </c>
      <c r="FE844" s="15" t="s">
        <v>166</v>
      </c>
      <c r="FF844" s="15" t="s">
        <v>166</v>
      </c>
      <c r="FG844" s="14" t="s">
        <v>166</v>
      </c>
      <c r="FH844" s="3">
        <f>HYPERLINK("https://my.pitchbook.com?c=133802-20T","View Company Online")</f>
      </c>
    </row>
    <row r="845">
      <c r="A845" s="25" t="s">
        <v>16102</v>
      </c>
      <c r="B845" s="25" t="s">
        <v>16103</v>
      </c>
      <c r="C845" s="25" t="s">
        <v>16104</v>
      </c>
      <c r="D845" s="25" t="s">
        <v>166</v>
      </c>
      <c r="E845" s="34" t="s">
        <v>16105</v>
      </c>
      <c r="F845" s="32">
        <v>3</v>
      </c>
      <c r="G845" s="25" t="s">
        <v>16106</v>
      </c>
      <c r="H845" s="25" t="s">
        <v>166</v>
      </c>
      <c r="I845" s="25" t="s">
        <v>16107</v>
      </c>
      <c r="J845" s="25" t="s">
        <v>16108</v>
      </c>
      <c r="K845" s="25" t="s">
        <v>1455</v>
      </c>
      <c r="L845" s="25" t="s">
        <v>1456</v>
      </c>
      <c r="M845" s="25" t="s">
        <v>1457</v>
      </c>
      <c r="N845" s="25" t="s">
        <v>16109</v>
      </c>
      <c r="O845" s="25" t="s">
        <v>13937</v>
      </c>
      <c r="P845" s="25" t="s">
        <v>16110</v>
      </c>
      <c r="Q845" s="25" t="s">
        <v>166</v>
      </c>
      <c r="R845" s="25" t="s">
        <v>177</v>
      </c>
      <c r="S845" s="25" t="s">
        <v>178</v>
      </c>
      <c r="T845" s="25" t="s">
        <v>179</v>
      </c>
      <c r="U845" s="25" t="s">
        <v>16111</v>
      </c>
      <c r="V845" s="25" t="s">
        <v>16112</v>
      </c>
      <c r="W845" s="32" t="s">
        <v>16113</v>
      </c>
      <c r="X845" s="25" t="s">
        <v>16114</v>
      </c>
      <c r="Y845" s="25" t="s">
        <v>16115</v>
      </c>
      <c r="Z845" s="25" t="s">
        <v>16116</v>
      </c>
      <c r="AA845" s="25" t="s">
        <v>242</v>
      </c>
      <c r="AB845" s="25" t="s">
        <v>243</v>
      </c>
      <c r="AC845" s="25" t="s">
        <v>244</v>
      </c>
      <c r="AD845" s="25" t="s">
        <v>243</v>
      </c>
      <c r="AE845" s="25" t="s">
        <v>243</v>
      </c>
      <c r="AF845" s="25" t="s">
        <v>166</v>
      </c>
      <c r="AG845" s="25" t="s">
        <v>807</v>
      </c>
      <c r="AH845" s="32">
        <v>1</v>
      </c>
      <c r="AI845" s="4">
        <f>HYPERLINK("https://my.pitchbook.com/?d=164453-32T","164453-32T")</f>
      </c>
      <c r="AJ845" s="30" t="s">
        <v>166</v>
      </c>
      <c r="AK845" s="30">
        <v>44105</v>
      </c>
      <c r="AL845" s="29">
        <v>1</v>
      </c>
      <c r="AM845" s="25" t="s">
        <v>247</v>
      </c>
      <c r="AN845" s="29">
        <v>3</v>
      </c>
      <c r="AO845" s="29">
        <v>4</v>
      </c>
      <c r="AP845" s="25" t="s">
        <v>185</v>
      </c>
      <c r="AQ845" s="32" t="s">
        <v>166</v>
      </c>
      <c r="AR845" s="32" t="s">
        <v>166</v>
      </c>
      <c r="AS845" s="28">
        <v>25</v>
      </c>
      <c r="AT845" s="29">
        <v>1</v>
      </c>
      <c r="AU845" s="32" t="s">
        <v>186</v>
      </c>
      <c r="AV845" s="32" t="s">
        <v>166</v>
      </c>
      <c r="AW845" s="29">
        <v>0.47</v>
      </c>
      <c r="AX845" s="32" t="s">
        <v>166</v>
      </c>
      <c r="AY845" s="25" t="s">
        <v>217</v>
      </c>
      <c r="AZ845" s="25" t="s">
        <v>217</v>
      </c>
      <c r="BA845" s="25" t="s">
        <v>166</v>
      </c>
      <c r="BB845" s="32" t="s">
        <v>166</v>
      </c>
      <c r="BC845" s="25" t="s">
        <v>179</v>
      </c>
      <c r="BD845" s="25" t="s">
        <v>16117</v>
      </c>
      <c r="BE845" s="25" t="s">
        <v>189</v>
      </c>
      <c r="BF845" s="29">
        <v>1</v>
      </c>
      <c r="BG845" s="25" t="s">
        <v>190</v>
      </c>
      <c r="BH845" s="25" t="s">
        <v>166</v>
      </c>
      <c r="BI845" s="25" t="s">
        <v>166</v>
      </c>
      <c r="BJ845" s="29" t="s">
        <v>166</v>
      </c>
      <c r="BK845" s="29" t="s">
        <v>166</v>
      </c>
      <c r="BL845" s="25" t="s">
        <v>191</v>
      </c>
      <c r="BM845" s="25" t="s">
        <v>178</v>
      </c>
      <c r="BN845" s="25" t="s">
        <v>177</v>
      </c>
      <c r="BO845" s="33" t="s">
        <v>166</v>
      </c>
      <c r="BP845" s="25" t="s">
        <v>16118</v>
      </c>
      <c r="BQ845" s="32">
        <v>3</v>
      </c>
      <c r="BR845" s="25" t="s">
        <v>166</v>
      </c>
      <c r="BS845" s="32" t="s">
        <v>166</v>
      </c>
      <c r="BT845" s="25" t="s">
        <v>166</v>
      </c>
      <c r="BU845" s="25" t="s">
        <v>166</v>
      </c>
      <c r="BV845" s="25" t="s">
        <v>16119</v>
      </c>
      <c r="BW845" s="25" t="s">
        <v>166</v>
      </c>
      <c r="BX845" s="25" t="s">
        <v>166</v>
      </c>
      <c r="BY845" s="25" t="s">
        <v>166</v>
      </c>
      <c r="BZ845" s="25" t="s">
        <v>166</v>
      </c>
      <c r="CA845" s="25" t="s">
        <v>166</v>
      </c>
      <c r="CB845" s="25" t="s">
        <v>166</v>
      </c>
      <c r="CC845" s="25" t="s">
        <v>166</v>
      </c>
      <c r="CD845" s="25" t="s">
        <v>166</v>
      </c>
      <c r="CE845" s="29" t="s">
        <v>166</v>
      </c>
      <c r="CF845" s="27" t="s">
        <v>166</v>
      </c>
      <c r="CG845" s="28" t="s">
        <v>166</v>
      </c>
      <c r="CH845" s="27" t="s">
        <v>166</v>
      </c>
      <c r="CI845" s="27" t="s">
        <v>166</v>
      </c>
      <c r="CJ845" s="27" t="s">
        <v>166</v>
      </c>
      <c r="CK845" s="27" t="s">
        <v>166</v>
      </c>
      <c r="CL845" s="27" t="s">
        <v>166</v>
      </c>
      <c r="CM845" s="31" t="s">
        <v>166</v>
      </c>
      <c r="CN845" s="27" t="s">
        <v>166</v>
      </c>
      <c r="CO845" s="27" t="s">
        <v>166</v>
      </c>
      <c r="CP845" s="27" t="s">
        <v>166</v>
      </c>
      <c r="CQ845" s="27" t="s">
        <v>166</v>
      </c>
      <c r="CR845" s="27" t="s">
        <v>166</v>
      </c>
      <c r="CS845" s="27" t="s">
        <v>166</v>
      </c>
      <c r="CT845" s="27" t="s">
        <v>166</v>
      </c>
      <c r="CU845" s="27" t="s">
        <v>166</v>
      </c>
      <c r="CV845" s="27" t="s">
        <v>166</v>
      </c>
      <c r="CW845" s="27" t="s">
        <v>166</v>
      </c>
      <c r="CX845" s="27" t="s">
        <v>166</v>
      </c>
      <c r="CY845" s="27" t="s">
        <v>166</v>
      </c>
      <c r="CZ845" s="27" t="s">
        <v>166</v>
      </c>
      <c r="DA845" s="27" t="s">
        <v>166</v>
      </c>
      <c r="DB845" s="27" t="s">
        <v>166</v>
      </c>
      <c r="DC845" s="27" t="s">
        <v>166</v>
      </c>
      <c r="DD845" s="27" t="s">
        <v>166</v>
      </c>
      <c r="DE845" s="28" t="s">
        <v>166</v>
      </c>
      <c r="DF845" s="33">
        <v>10</v>
      </c>
      <c r="DG845" s="25" t="s">
        <v>673</v>
      </c>
      <c r="DH845" s="25" t="s">
        <v>193</v>
      </c>
      <c r="DI845" s="25" t="s">
        <v>194</v>
      </c>
      <c r="DJ845" s="25" t="s">
        <v>674</v>
      </c>
      <c r="DK845" s="25" t="s">
        <v>257</v>
      </c>
      <c r="DL845" s="32" t="s">
        <v>166</v>
      </c>
      <c r="DM845" s="25" t="s">
        <v>198</v>
      </c>
      <c r="DN845" s="24" t="s">
        <v>16120</v>
      </c>
      <c r="DO845" s="31">
        <v>2020</v>
      </c>
      <c r="DP845" s="25" t="s">
        <v>166</v>
      </c>
      <c r="DQ845" s="25" t="s">
        <v>166</v>
      </c>
      <c r="DR845" s="29" t="s">
        <v>166</v>
      </c>
      <c r="DS845" s="27" t="s">
        <v>166</v>
      </c>
      <c r="DT845" s="30" t="s">
        <v>166</v>
      </c>
      <c r="DU845" s="25" t="s">
        <v>166</v>
      </c>
      <c r="DV845" s="29" t="s">
        <v>166</v>
      </c>
      <c r="DW845" s="29" t="s">
        <v>166</v>
      </c>
      <c r="DX845" s="27" t="s">
        <v>166</v>
      </c>
      <c r="DY845" s="27" t="s">
        <v>166</v>
      </c>
      <c r="DZ845" s="28" t="s">
        <v>166</v>
      </c>
      <c r="EA845" s="27" t="s">
        <v>166</v>
      </c>
      <c r="EB845" s="27" t="s">
        <v>166</v>
      </c>
      <c r="EC845" s="27" t="s">
        <v>166</v>
      </c>
      <c r="ED845" s="28" t="s">
        <v>166</v>
      </c>
      <c r="EE845" s="28" t="s">
        <v>166</v>
      </c>
      <c r="EF845" s="28" t="s">
        <v>166</v>
      </c>
      <c r="EG845" s="28" t="s">
        <v>166</v>
      </c>
      <c r="EH845" s="27" t="s">
        <v>166</v>
      </c>
      <c r="EI845" s="27" t="s">
        <v>166</v>
      </c>
      <c r="EJ845" s="27" t="s">
        <v>166</v>
      </c>
      <c r="EK845" s="27" t="s">
        <v>166</v>
      </c>
      <c r="EL845" s="27" t="s">
        <v>166</v>
      </c>
      <c r="EM845" s="27" t="s">
        <v>166</v>
      </c>
      <c r="EN845" s="27" t="s">
        <v>166</v>
      </c>
      <c r="EO845" s="27" t="s">
        <v>166</v>
      </c>
      <c r="EP845" s="27" t="s">
        <v>166</v>
      </c>
      <c r="EQ845" s="27" t="s">
        <v>166</v>
      </c>
      <c r="ER845" s="27" t="s">
        <v>166</v>
      </c>
      <c r="ES845" s="27" t="s">
        <v>166</v>
      </c>
      <c r="ET845" s="25" t="s">
        <v>166</v>
      </c>
      <c r="EU845" s="27" t="s">
        <v>166</v>
      </c>
      <c r="EV845" s="27" t="s">
        <v>166</v>
      </c>
      <c r="EW845" s="27" t="s">
        <v>166</v>
      </c>
      <c r="EX845" s="25" t="s">
        <v>190</v>
      </c>
      <c r="EY845" s="25" t="s">
        <v>166</v>
      </c>
      <c r="EZ845" s="27" t="s">
        <v>166</v>
      </c>
      <c r="FA845" s="26">
        <v>1</v>
      </c>
      <c r="FB845" s="26">
        <v>1</v>
      </c>
      <c r="FC845" s="26">
        <v>1</v>
      </c>
      <c r="FD845" s="26" t="s">
        <v>166</v>
      </c>
      <c r="FE845" s="26" t="s">
        <v>166</v>
      </c>
      <c r="FF845" s="26" t="s">
        <v>166</v>
      </c>
      <c r="FG845" s="25" t="s">
        <v>5033</v>
      </c>
      <c r="FH845" s="4">
        <f>HYPERLINK("https://my.pitchbook.com?c=164453-32T","View Company Online")</f>
      </c>
    </row>
    <row r="846">
      <c r="A846" s="14" t="s">
        <v>16121</v>
      </c>
      <c r="B846" s="14" t="s">
        <v>16122</v>
      </c>
      <c r="C846" s="14" t="s">
        <v>16123</v>
      </c>
      <c r="D846" s="14" t="s">
        <v>166</v>
      </c>
      <c r="E846" s="23" t="s">
        <v>16124</v>
      </c>
      <c r="F846" s="21">
        <v>11</v>
      </c>
      <c r="G846" s="14" t="s">
        <v>16125</v>
      </c>
      <c r="H846" s="14" t="s">
        <v>166</v>
      </c>
      <c r="I846" s="14" t="s">
        <v>16126</v>
      </c>
      <c r="J846" s="14" t="s">
        <v>16127</v>
      </c>
      <c r="K846" s="14" t="s">
        <v>207</v>
      </c>
      <c r="L846" s="14" t="s">
        <v>208</v>
      </c>
      <c r="M846" s="14" t="s">
        <v>209</v>
      </c>
      <c r="N846" s="14" t="s">
        <v>269</v>
      </c>
      <c r="O846" s="14" t="s">
        <v>4904</v>
      </c>
      <c r="P846" s="14" t="s">
        <v>16128</v>
      </c>
      <c r="Q846" s="14" t="s">
        <v>166</v>
      </c>
      <c r="R846" s="14" t="s">
        <v>177</v>
      </c>
      <c r="S846" s="14" t="s">
        <v>178</v>
      </c>
      <c r="T846" s="14" t="s">
        <v>179</v>
      </c>
      <c r="U846" s="14" t="s">
        <v>16129</v>
      </c>
      <c r="V846" s="14" t="s">
        <v>16130</v>
      </c>
      <c r="W846" s="21" t="s">
        <v>16131</v>
      </c>
      <c r="X846" s="14" t="s">
        <v>16132</v>
      </c>
      <c r="Y846" s="14" t="s">
        <v>16133</v>
      </c>
      <c r="Z846" s="14" t="s">
        <v>16134</v>
      </c>
      <c r="AA846" s="14" t="s">
        <v>242</v>
      </c>
      <c r="AB846" s="14" t="s">
        <v>166</v>
      </c>
      <c r="AC846" s="14" t="s">
        <v>244</v>
      </c>
      <c r="AD846" s="14" t="s">
        <v>243</v>
      </c>
      <c r="AE846" s="14" t="s">
        <v>243</v>
      </c>
      <c r="AF846" s="14" t="s">
        <v>166</v>
      </c>
      <c r="AG846" s="14" t="s">
        <v>807</v>
      </c>
      <c r="AH846" s="21">
        <v>1</v>
      </c>
      <c r="AI846" s="3">
        <f>HYPERLINK("https://my.pitchbook.com/?d=155866-42T","155866-42T")</f>
      </c>
      <c r="AJ846" s="19" t="s">
        <v>166</v>
      </c>
      <c r="AK846" s="19">
        <v>44019</v>
      </c>
      <c r="AL846" s="18">
        <v>0.26</v>
      </c>
      <c r="AM846" s="14" t="s">
        <v>247</v>
      </c>
      <c r="AN846" s="18">
        <v>2.24</v>
      </c>
      <c r="AO846" s="18">
        <v>2.5</v>
      </c>
      <c r="AP846" s="14" t="s">
        <v>185</v>
      </c>
      <c r="AQ846" s="21" t="s">
        <v>166</v>
      </c>
      <c r="AR846" s="21" t="s">
        <v>166</v>
      </c>
      <c r="AS846" s="17">
        <v>10.4</v>
      </c>
      <c r="AT846" s="18">
        <v>0.26</v>
      </c>
      <c r="AU846" s="21" t="s">
        <v>186</v>
      </c>
      <c r="AV846" s="21" t="s">
        <v>166</v>
      </c>
      <c r="AW846" s="18">
        <v>0.42</v>
      </c>
      <c r="AX846" s="21" t="s">
        <v>166</v>
      </c>
      <c r="AY846" s="14" t="s">
        <v>217</v>
      </c>
      <c r="AZ846" s="14" t="s">
        <v>217</v>
      </c>
      <c r="BA846" s="14" t="s">
        <v>166</v>
      </c>
      <c r="BB846" s="21" t="s">
        <v>166</v>
      </c>
      <c r="BC846" s="14" t="s">
        <v>179</v>
      </c>
      <c r="BD846" s="14" t="s">
        <v>16135</v>
      </c>
      <c r="BE846" s="14" t="s">
        <v>189</v>
      </c>
      <c r="BF846" s="18">
        <v>0.26</v>
      </c>
      <c r="BG846" s="14" t="s">
        <v>190</v>
      </c>
      <c r="BH846" s="14" t="s">
        <v>166</v>
      </c>
      <c r="BI846" s="14" t="s">
        <v>166</v>
      </c>
      <c r="BJ846" s="18" t="s">
        <v>166</v>
      </c>
      <c r="BK846" s="18" t="s">
        <v>166</v>
      </c>
      <c r="BL846" s="14" t="s">
        <v>191</v>
      </c>
      <c r="BM846" s="14" t="s">
        <v>358</v>
      </c>
      <c r="BN846" s="14" t="s">
        <v>177</v>
      </c>
      <c r="BO846" s="22" t="s">
        <v>166</v>
      </c>
      <c r="BP846" s="14" t="s">
        <v>16136</v>
      </c>
      <c r="BQ846" s="21">
        <v>11</v>
      </c>
      <c r="BR846" s="14" t="s">
        <v>166</v>
      </c>
      <c r="BS846" s="21" t="s">
        <v>166</v>
      </c>
      <c r="BT846" s="14" t="s">
        <v>166</v>
      </c>
      <c r="BU846" s="14" t="s">
        <v>166</v>
      </c>
      <c r="BV846" s="14" t="s">
        <v>16137</v>
      </c>
      <c r="BW846" s="14" t="s">
        <v>166</v>
      </c>
      <c r="BX846" s="14" t="s">
        <v>166</v>
      </c>
      <c r="BY846" s="14" t="s">
        <v>166</v>
      </c>
      <c r="BZ846" s="14" t="s">
        <v>166</v>
      </c>
      <c r="CA846" s="14" t="s">
        <v>166</v>
      </c>
      <c r="CB846" s="14" t="s">
        <v>166</v>
      </c>
      <c r="CC846" s="14" t="s">
        <v>166</v>
      </c>
      <c r="CD846" s="14" t="s">
        <v>166</v>
      </c>
      <c r="CE846" s="18" t="s">
        <v>166</v>
      </c>
      <c r="CF846" s="16" t="s">
        <v>166</v>
      </c>
      <c r="CG846" s="17" t="s">
        <v>166</v>
      </c>
      <c r="CH846" s="16" t="s">
        <v>166</v>
      </c>
      <c r="CI846" s="16" t="s">
        <v>166</v>
      </c>
      <c r="CJ846" s="16" t="s">
        <v>166</v>
      </c>
      <c r="CK846" s="16" t="s">
        <v>166</v>
      </c>
      <c r="CL846" s="16" t="s">
        <v>166</v>
      </c>
      <c r="CM846" s="20" t="s">
        <v>166</v>
      </c>
      <c r="CN846" s="16" t="s">
        <v>166</v>
      </c>
      <c r="CO846" s="16" t="s">
        <v>166</v>
      </c>
      <c r="CP846" s="16" t="s">
        <v>166</v>
      </c>
      <c r="CQ846" s="16" t="s">
        <v>166</v>
      </c>
      <c r="CR846" s="16" t="s">
        <v>166</v>
      </c>
      <c r="CS846" s="16" t="s">
        <v>166</v>
      </c>
      <c r="CT846" s="16" t="s">
        <v>166</v>
      </c>
      <c r="CU846" s="16" t="s">
        <v>166</v>
      </c>
      <c r="CV846" s="16" t="s">
        <v>166</v>
      </c>
      <c r="CW846" s="16" t="s">
        <v>166</v>
      </c>
      <c r="CX846" s="16" t="s">
        <v>166</v>
      </c>
      <c r="CY846" s="16" t="s">
        <v>166</v>
      </c>
      <c r="CZ846" s="16" t="s">
        <v>166</v>
      </c>
      <c r="DA846" s="16" t="s">
        <v>166</v>
      </c>
      <c r="DB846" s="16" t="s">
        <v>166</v>
      </c>
      <c r="DC846" s="16" t="s">
        <v>166</v>
      </c>
      <c r="DD846" s="16" t="s">
        <v>166</v>
      </c>
      <c r="DE846" s="17" t="s">
        <v>166</v>
      </c>
      <c r="DF846" s="22">
        <v>11</v>
      </c>
      <c r="DG846" s="14" t="s">
        <v>673</v>
      </c>
      <c r="DH846" s="14" t="s">
        <v>193</v>
      </c>
      <c r="DI846" s="14" t="s">
        <v>194</v>
      </c>
      <c r="DJ846" s="14" t="s">
        <v>674</v>
      </c>
      <c r="DK846" s="14" t="s">
        <v>257</v>
      </c>
      <c r="DL846" s="21" t="s">
        <v>1866</v>
      </c>
      <c r="DM846" s="14" t="s">
        <v>198</v>
      </c>
      <c r="DN846" s="13" t="s">
        <v>16138</v>
      </c>
      <c r="DO846" s="20">
        <v>2020</v>
      </c>
      <c r="DP846" s="14" t="s">
        <v>166</v>
      </c>
      <c r="DQ846" s="14" t="s">
        <v>166</v>
      </c>
      <c r="DR846" s="18" t="s">
        <v>166</v>
      </c>
      <c r="DS846" s="16" t="s">
        <v>166</v>
      </c>
      <c r="DT846" s="19" t="s">
        <v>166</v>
      </c>
      <c r="DU846" s="14" t="s">
        <v>166</v>
      </c>
      <c r="DV846" s="18" t="s">
        <v>166</v>
      </c>
      <c r="DW846" s="18" t="s">
        <v>166</v>
      </c>
      <c r="DX846" s="16" t="s">
        <v>166</v>
      </c>
      <c r="DY846" s="16" t="s">
        <v>166</v>
      </c>
      <c r="DZ846" s="17" t="s">
        <v>166</v>
      </c>
      <c r="EA846" s="16" t="s">
        <v>166</v>
      </c>
      <c r="EB846" s="16" t="s">
        <v>166</v>
      </c>
      <c r="EC846" s="16" t="s">
        <v>166</v>
      </c>
      <c r="ED846" s="17" t="s">
        <v>166</v>
      </c>
      <c r="EE846" s="17" t="s">
        <v>166</v>
      </c>
      <c r="EF846" s="17" t="s">
        <v>166</v>
      </c>
      <c r="EG846" s="17" t="s">
        <v>166</v>
      </c>
      <c r="EH846" s="16" t="s">
        <v>166</v>
      </c>
      <c r="EI846" s="16" t="s">
        <v>166</v>
      </c>
      <c r="EJ846" s="16" t="s">
        <v>166</v>
      </c>
      <c r="EK846" s="16" t="s">
        <v>166</v>
      </c>
      <c r="EL846" s="16" t="s">
        <v>166</v>
      </c>
      <c r="EM846" s="16" t="s">
        <v>166</v>
      </c>
      <c r="EN846" s="16" t="s">
        <v>166</v>
      </c>
      <c r="EO846" s="16" t="s">
        <v>166</v>
      </c>
      <c r="EP846" s="16" t="s">
        <v>166</v>
      </c>
      <c r="EQ846" s="16" t="s">
        <v>166</v>
      </c>
      <c r="ER846" s="16" t="s">
        <v>166</v>
      </c>
      <c r="ES846" s="16" t="s">
        <v>166</v>
      </c>
      <c r="ET846" s="14" t="s">
        <v>166</v>
      </c>
      <c r="EU846" s="16" t="s">
        <v>166</v>
      </c>
      <c r="EV846" s="16" t="s">
        <v>166</v>
      </c>
      <c r="EW846" s="16" t="s">
        <v>166</v>
      </c>
      <c r="EX846" s="14" t="s">
        <v>190</v>
      </c>
      <c r="EY846" s="14" t="s">
        <v>166</v>
      </c>
      <c r="EZ846" s="16" t="s">
        <v>166</v>
      </c>
      <c r="FA846" s="15" t="s">
        <v>166</v>
      </c>
      <c r="FB846" s="15" t="s">
        <v>166</v>
      </c>
      <c r="FC846" s="15" t="s">
        <v>166</v>
      </c>
      <c r="FD846" s="15" t="s">
        <v>166</v>
      </c>
      <c r="FE846" s="15" t="s">
        <v>166</v>
      </c>
      <c r="FF846" s="15" t="s">
        <v>166</v>
      </c>
      <c r="FG846" s="14" t="s">
        <v>166</v>
      </c>
      <c r="FH846" s="3">
        <f>HYPERLINK("https://my.pitchbook.com?c=155866-42T","View Company Online")</f>
      </c>
    </row>
    <row r="847">
      <c r="A847" s="25" t="s">
        <v>16139</v>
      </c>
      <c r="B847" s="25" t="s">
        <v>16140</v>
      </c>
      <c r="C847" s="25" t="s">
        <v>16141</v>
      </c>
      <c r="D847" s="25" t="s">
        <v>166</v>
      </c>
      <c r="E847" s="34" t="s">
        <v>16142</v>
      </c>
      <c r="F847" s="32">
        <v>2</v>
      </c>
      <c r="G847" s="25" t="s">
        <v>16143</v>
      </c>
      <c r="H847" s="25" t="s">
        <v>166</v>
      </c>
      <c r="I847" s="25" t="s">
        <v>16144</v>
      </c>
      <c r="J847" s="25" t="s">
        <v>16145</v>
      </c>
      <c r="K847" s="25" t="s">
        <v>207</v>
      </c>
      <c r="L847" s="25" t="s">
        <v>5931</v>
      </c>
      <c r="M847" s="25" t="s">
        <v>5932</v>
      </c>
      <c r="N847" s="25" t="s">
        <v>16146</v>
      </c>
      <c r="O847" s="25" t="s">
        <v>211</v>
      </c>
      <c r="P847" s="25" t="s">
        <v>16147</v>
      </c>
      <c r="Q847" s="25" t="s">
        <v>166</v>
      </c>
      <c r="R847" s="25" t="s">
        <v>177</v>
      </c>
      <c r="S847" s="25" t="s">
        <v>178</v>
      </c>
      <c r="T847" s="25" t="s">
        <v>1401</v>
      </c>
      <c r="U847" s="25" t="s">
        <v>16148</v>
      </c>
      <c r="V847" s="25" t="s">
        <v>16149</v>
      </c>
      <c r="W847" s="32" t="s">
        <v>16150</v>
      </c>
      <c r="X847" s="25" t="s">
        <v>16151</v>
      </c>
      <c r="Y847" s="25" t="s">
        <v>16152</v>
      </c>
      <c r="Z847" s="25" t="s">
        <v>16153</v>
      </c>
      <c r="AA847" s="25" t="s">
        <v>166</v>
      </c>
      <c r="AB847" s="25" t="s">
        <v>166</v>
      </c>
      <c r="AC847" s="25" t="s">
        <v>166</v>
      </c>
      <c r="AD847" s="25" t="s">
        <v>166</v>
      </c>
      <c r="AE847" s="25" t="s">
        <v>166</v>
      </c>
      <c r="AF847" s="25" t="s">
        <v>166</v>
      </c>
      <c r="AG847" s="25" t="s">
        <v>166</v>
      </c>
      <c r="AH847" s="32">
        <v>2</v>
      </c>
      <c r="AI847" s="4">
        <f>HYPERLINK("https://my.pitchbook.com/?d=137359-99T","137359-99T")</f>
      </c>
      <c r="AJ847" s="30">
        <v>43938</v>
      </c>
      <c r="AK847" s="30">
        <v>43973</v>
      </c>
      <c r="AL847" s="29">
        <v>0.51</v>
      </c>
      <c r="AM847" s="25" t="s">
        <v>185</v>
      </c>
      <c r="AN847" s="29">
        <v>3.49</v>
      </c>
      <c r="AO847" s="29">
        <v>4</v>
      </c>
      <c r="AP847" s="25" t="s">
        <v>185</v>
      </c>
      <c r="AQ847" s="32" t="s">
        <v>166</v>
      </c>
      <c r="AR847" s="32" t="s">
        <v>166</v>
      </c>
      <c r="AS847" s="28">
        <v>12.75</v>
      </c>
      <c r="AT847" s="29">
        <v>0.51</v>
      </c>
      <c r="AU847" s="32" t="s">
        <v>186</v>
      </c>
      <c r="AV847" s="32" t="s">
        <v>166</v>
      </c>
      <c r="AW847" s="29" t="s">
        <v>166</v>
      </c>
      <c r="AX847" s="32" t="s">
        <v>166</v>
      </c>
      <c r="AY847" s="25" t="s">
        <v>217</v>
      </c>
      <c r="AZ847" s="25" t="s">
        <v>217</v>
      </c>
      <c r="BA847" s="25" t="s">
        <v>166</v>
      </c>
      <c r="BB847" s="32" t="s">
        <v>166</v>
      </c>
      <c r="BC847" s="25" t="s">
        <v>179</v>
      </c>
      <c r="BD847" s="25" t="s">
        <v>16154</v>
      </c>
      <c r="BE847" s="25" t="s">
        <v>189</v>
      </c>
      <c r="BF847" s="29">
        <v>0.51</v>
      </c>
      <c r="BG847" s="25" t="s">
        <v>190</v>
      </c>
      <c r="BH847" s="25" t="s">
        <v>166</v>
      </c>
      <c r="BI847" s="25" t="s">
        <v>166</v>
      </c>
      <c r="BJ847" s="29" t="s">
        <v>166</v>
      </c>
      <c r="BK847" s="29" t="s">
        <v>166</v>
      </c>
      <c r="BL847" s="25" t="s">
        <v>191</v>
      </c>
      <c r="BM847" s="25" t="s">
        <v>178</v>
      </c>
      <c r="BN847" s="25" t="s">
        <v>177</v>
      </c>
      <c r="BO847" s="33" t="s">
        <v>166</v>
      </c>
      <c r="BP847" s="25" t="s">
        <v>16142</v>
      </c>
      <c r="BQ847" s="32">
        <v>2</v>
      </c>
      <c r="BR847" s="25" t="s">
        <v>166</v>
      </c>
      <c r="BS847" s="32" t="s">
        <v>166</v>
      </c>
      <c r="BT847" s="25" t="s">
        <v>166</v>
      </c>
      <c r="BU847" s="25" t="s">
        <v>166</v>
      </c>
      <c r="BV847" s="25" t="s">
        <v>16155</v>
      </c>
      <c r="BW847" s="25" t="s">
        <v>166</v>
      </c>
      <c r="BX847" s="25" t="s">
        <v>166</v>
      </c>
      <c r="BY847" s="25" t="s">
        <v>166</v>
      </c>
      <c r="BZ847" s="25" t="s">
        <v>166</v>
      </c>
      <c r="CA847" s="25" t="s">
        <v>166</v>
      </c>
      <c r="CB847" s="25" t="s">
        <v>166</v>
      </c>
      <c r="CC847" s="25" t="s">
        <v>166</v>
      </c>
      <c r="CD847" s="25" t="s">
        <v>166</v>
      </c>
      <c r="CE847" s="29" t="s">
        <v>166</v>
      </c>
      <c r="CF847" s="27" t="s">
        <v>166</v>
      </c>
      <c r="CG847" s="28" t="s">
        <v>166</v>
      </c>
      <c r="CH847" s="27" t="s">
        <v>166</v>
      </c>
      <c r="CI847" s="27" t="s">
        <v>166</v>
      </c>
      <c r="CJ847" s="27" t="s">
        <v>166</v>
      </c>
      <c r="CK847" s="27" t="s">
        <v>166</v>
      </c>
      <c r="CL847" s="27" t="s">
        <v>166</v>
      </c>
      <c r="CM847" s="31" t="s">
        <v>166</v>
      </c>
      <c r="CN847" s="27" t="s">
        <v>166</v>
      </c>
      <c r="CO847" s="27" t="s">
        <v>166</v>
      </c>
      <c r="CP847" s="27" t="s">
        <v>166</v>
      </c>
      <c r="CQ847" s="27" t="s">
        <v>166</v>
      </c>
      <c r="CR847" s="27" t="s">
        <v>166</v>
      </c>
      <c r="CS847" s="27" t="s">
        <v>166</v>
      </c>
      <c r="CT847" s="27" t="s">
        <v>166</v>
      </c>
      <c r="CU847" s="27" t="s">
        <v>166</v>
      </c>
      <c r="CV847" s="27" t="s">
        <v>166</v>
      </c>
      <c r="CW847" s="27" t="s">
        <v>166</v>
      </c>
      <c r="CX847" s="27" t="s">
        <v>166</v>
      </c>
      <c r="CY847" s="27" t="s">
        <v>166</v>
      </c>
      <c r="CZ847" s="27" t="s">
        <v>166</v>
      </c>
      <c r="DA847" s="27" t="s">
        <v>166</v>
      </c>
      <c r="DB847" s="27" t="s">
        <v>166</v>
      </c>
      <c r="DC847" s="27" t="s">
        <v>166</v>
      </c>
      <c r="DD847" s="27" t="s">
        <v>166</v>
      </c>
      <c r="DE847" s="28" t="s">
        <v>166</v>
      </c>
      <c r="DF847" s="33">
        <v>50</v>
      </c>
      <c r="DG847" s="25" t="s">
        <v>16156</v>
      </c>
      <c r="DH847" s="25" t="s">
        <v>193</v>
      </c>
      <c r="DI847" s="25" t="s">
        <v>194</v>
      </c>
      <c r="DJ847" s="25" t="s">
        <v>16157</v>
      </c>
      <c r="DK847" s="25" t="s">
        <v>1023</v>
      </c>
      <c r="DL847" s="32" t="s">
        <v>16158</v>
      </c>
      <c r="DM847" s="25" t="s">
        <v>198</v>
      </c>
      <c r="DN847" s="24" t="s">
        <v>16159</v>
      </c>
      <c r="DO847" s="31">
        <v>2015</v>
      </c>
      <c r="DP847" s="25" t="s">
        <v>166</v>
      </c>
      <c r="DQ847" s="25" t="s">
        <v>166</v>
      </c>
      <c r="DR847" s="29" t="s">
        <v>166</v>
      </c>
      <c r="DS847" s="27" t="s">
        <v>166</v>
      </c>
      <c r="DT847" s="30" t="s">
        <v>166</v>
      </c>
      <c r="DU847" s="25" t="s">
        <v>166</v>
      </c>
      <c r="DV847" s="29" t="s">
        <v>166</v>
      </c>
      <c r="DW847" s="29" t="s">
        <v>166</v>
      </c>
      <c r="DX847" s="27" t="s">
        <v>166</v>
      </c>
      <c r="DY847" s="27" t="s">
        <v>166</v>
      </c>
      <c r="DZ847" s="28" t="s">
        <v>166</v>
      </c>
      <c r="EA847" s="27" t="s">
        <v>166</v>
      </c>
      <c r="EB847" s="27" t="s">
        <v>166</v>
      </c>
      <c r="EC847" s="27" t="s">
        <v>166</v>
      </c>
      <c r="ED847" s="28" t="s">
        <v>166</v>
      </c>
      <c r="EE847" s="28" t="s">
        <v>166</v>
      </c>
      <c r="EF847" s="28" t="s">
        <v>166</v>
      </c>
      <c r="EG847" s="28" t="s">
        <v>166</v>
      </c>
      <c r="EH847" s="27" t="s">
        <v>166</v>
      </c>
      <c r="EI847" s="27" t="s">
        <v>166</v>
      </c>
      <c r="EJ847" s="27" t="s">
        <v>166</v>
      </c>
      <c r="EK847" s="27" t="s">
        <v>166</v>
      </c>
      <c r="EL847" s="27" t="s">
        <v>166</v>
      </c>
      <c r="EM847" s="27" t="s">
        <v>166</v>
      </c>
      <c r="EN847" s="27" t="s">
        <v>166</v>
      </c>
      <c r="EO847" s="27" t="s">
        <v>166</v>
      </c>
      <c r="EP847" s="27" t="s">
        <v>166</v>
      </c>
      <c r="EQ847" s="27" t="s">
        <v>166</v>
      </c>
      <c r="ER847" s="27" t="s">
        <v>166</v>
      </c>
      <c r="ES847" s="27" t="s">
        <v>166</v>
      </c>
      <c r="ET847" s="25" t="s">
        <v>166</v>
      </c>
      <c r="EU847" s="27" t="s">
        <v>166</v>
      </c>
      <c r="EV847" s="27" t="s">
        <v>166</v>
      </c>
      <c r="EW847" s="27" t="s">
        <v>166</v>
      </c>
      <c r="EX847" s="25" t="s">
        <v>190</v>
      </c>
      <c r="EY847" s="25" t="s">
        <v>166</v>
      </c>
      <c r="EZ847" s="27" t="s">
        <v>166</v>
      </c>
      <c r="FA847" s="26" t="s">
        <v>166</v>
      </c>
      <c r="FB847" s="26" t="s">
        <v>166</v>
      </c>
      <c r="FC847" s="26" t="s">
        <v>166</v>
      </c>
      <c r="FD847" s="26" t="s">
        <v>166</v>
      </c>
      <c r="FE847" s="26" t="s">
        <v>166</v>
      </c>
      <c r="FF847" s="26" t="s">
        <v>166</v>
      </c>
      <c r="FG847" s="25" t="s">
        <v>166</v>
      </c>
      <c r="FH847" s="4">
        <f>HYPERLINK("https://my.pitchbook.com?c=137359-99T","View Company Online")</f>
      </c>
    </row>
    <row r="848">
      <c r="A848" s="14" t="s">
        <v>16160</v>
      </c>
      <c r="B848" s="14" t="s">
        <v>16161</v>
      </c>
      <c r="C848" s="14" t="s">
        <v>16162</v>
      </c>
      <c r="D848" s="14" t="s">
        <v>166</v>
      </c>
      <c r="E848" s="23" t="s">
        <v>16029</v>
      </c>
      <c r="F848" s="21">
        <v>1</v>
      </c>
      <c r="G848" s="14" t="s">
        <v>16030</v>
      </c>
      <c r="H848" s="14" t="s">
        <v>166</v>
      </c>
      <c r="I848" s="14" t="s">
        <v>16163</v>
      </c>
      <c r="J848" s="14" t="s">
        <v>16164</v>
      </c>
      <c r="K848" s="14" t="s">
        <v>207</v>
      </c>
      <c r="L848" s="14" t="s">
        <v>208</v>
      </c>
      <c r="M848" s="14" t="s">
        <v>209</v>
      </c>
      <c r="N848" s="14" t="s">
        <v>3221</v>
      </c>
      <c r="O848" s="14" t="s">
        <v>1691</v>
      </c>
      <c r="P848" s="14" t="s">
        <v>16165</v>
      </c>
      <c r="Q848" s="14" t="s">
        <v>166</v>
      </c>
      <c r="R848" s="14" t="s">
        <v>177</v>
      </c>
      <c r="S848" s="14" t="s">
        <v>178</v>
      </c>
      <c r="T848" s="14" t="s">
        <v>179</v>
      </c>
      <c r="U848" s="14" t="s">
        <v>16166</v>
      </c>
      <c r="V848" s="14" t="s">
        <v>16167</v>
      </c>
      <c r="W848" s="21" t="s">
        <v>16168</v>
      </c>
      <c r="X848" s="14" t="s">
        <v>16169</v>
      </c>
      <c r="Y848" s="14" t="s">
        <v>16170</v>
      </c>
      <c r="Z848" s="14" t="s">
        <v>16171</v>
      </c>
      <c r="AA848" s="14" t="s">
        <v>166</v>
      </c>
      <c r="AB848" s="14" t="s">
        <v>166</v>
      </c>
      <c r="AC848" s="14" t="s">
        <v>166</v>
      </c>
      <c r="AD848" s="14" t="s">
        <v>166</v>
      </c>
      <c r="AE848" s="14" t="s">
        <v>166</v>
      </c>
      <c r="AF848" s="14" t="s">
        <v>166</v>
      </c>
      <c r="AG848" s="14" t="s">
        <v>166</v>
      </c>
      <c r="AH848" s="21">
        <v>2</v>
      </c>
      <c r="AI848" s="3">
        <f>HYPERLINK("https://my.pitchbook.com/?d=219423-88T","219423-88T")</f>
      </c>
      <c r="AJ848" s="19" t="s">
        <v>166</v>
      </c>
      <c r="AK848" s="19">
        <v>44747</v>
      </c>
      <c r="AL848" s="18">
        <v>0.76</v>
      </c>
      <c r="AM848" s="14" t="s">
        <v>185</v>
      </c>
      <c r="AN848" s="18">
        <v>10</v>
      </c>
      <c r="AO848" s="18">
        <v>10.76</v>
      </c>
      <c r="AP848" s="14" t="s">
        <v>185</v>
      </c>
      <c r="AQ848" s="21" t="s">
        <v>166</v>
      </c>
      <c r="AR848" s="21" t="s">
        <v>166</v>
      </c>
      <c r="AS848" s="17" t="s">
        <v>166</v>
      </c>
      <c r="AT848" s="18">
        <v>0.99</v>
      </c>
      <c r="AU848" s="21" t="s">
        <v>186</v>
      </c>
      <c r="AV848" s="21" t="s">
        <v>166</v>
      </c>
      <c r="AW848" s="18" t="s">
        <v>166</v>
      </c>
      <c r="AX848" s="21" t="s">
        <v>166</v>
      </c>
      <c r="AY848" s="14" t="s">
        <v>217</v>
      </c>
      <c r="AZ848" s="14" t="s">
        <v>217</v>
      </c>
      <c r="BA848" s="14" t="s">
        <v>166</v>
      </c>
      <c r="BB848" s="21" t="s">
        <v>166</v>
      </c>
      <c r="BC848" s="14" t="s">
        <v>179</v>
      </c>
      <c r="BD848" s="14" t="s">
        <v>16164</v>
      </c>
      <c r="BE848" s="14" t="s">
        <v>189</v>
      </c>
      <c r="BF848" s="18">
        <v>0.76</v>
      </c>
      <c r="BG848" s="14" t="s">
        <v>190</v>
      </c>
      <c r="BH848" s="14" t="s">
        <v>166</v>
      </c>
      <c r="BI848" s="14" t="s">
        <v>166</v>
      </c>
      <c r="BJ848" s="18" t="s">
        <v>166</v>
      </c>
      <c r="BK848" s="18" t="s">
        <v>166</v>
      </c>
      <c r="BL848" s="14" t="s">
        <v>191</v>
      </c>
      <c r="BM848" s="14" t="s">
        <v>178</v>
      </c>
      <c r="BN848" s="14" t="s">
        <v>177</v>
      </c>
      <c r="BO848" s="22" t="s">
        <v>166</v>
      </c>
      <c r="BP848" s="14" t="s">
        <v>16029</v>
      </c>
      <c r="BQ848" s="21">
        <v>1</v>
      </c>
      <c r="BR848" s="14" t="s">
        <v>166</v>
      </c>
      <c r="BS848" s="21" t="s">
        <v>166</v>
      </c>
      <c r="BT848" s="14" t="s">
        <v>166</v>
      </c>
      <c r="BU848" s="14" t="s">
        <v>166</v>
      </c>
      <c r="BV848" s="14" t="s">
        <v>166</v>
      </c>
      <c r="BW848" s="14" t="s">
        <v>166</v>
      </c>
      <c r="BX848" s="14" t="s">
        <v>166</v>
      </c>
      <c r="BY848" s="14" t="s">
        <v>166</v>
      </c>
      <c r="BZ848" s="14" t="s">
        <v>166</v>
      </c>
      <c r="CA848" s="14" t="s">
        <v>166</v>
      </c>
      <c r="CB848" s="14" t="s">
        <v>166</v>
      </c>
      <c r="CC848" s="14" t="s">
        <v>166</v>
      </c>
      <c r="CD848" s="14" t="s">
        <v>166</v>
      </c>
      <c r="CE848" s="18" t="s">
        <v>166</v>
      </c>
      <c r="CF848" s="16" t="s">
        <v>166</v>
      </c>
      <c r="CG848" s="17" t="s">
        <v>166</v>
      </c>
      <c r="CH848" s="16" t="s">
        <v>166</v>
      </c>
      <c r="CI848" s="16" t="s">
        <v>166</v>
      </c>
      <c r="CJ848" s="16" t="s">
        <v>166</v>
      </c>
      <c r="CK848" s="16" t="s">
        <v>166</v>
      </c>
      <c r="CL848" s="16" t="s">
        <v>166</v>
      </c>
      <c r="CM848" s="20" t="s">
        <v>166</v>
      </c>
      <c r="CN848" s="16" t="s">
        <v>166</v>
      </c>
      <c r="CO848" s="16" t="s">
        <v>166</v>
      </c>
      <c r="CP848" s="16" t="s">
        <v>166</v>
      </c>
      <c r="CQ848" s="16" t="s">
        <v>166</v>
      </c>
      <c r="CR848" s="16" t="s">
        <v>166</v>
      </c>
      <c r="CS848" s="16" t="s">
        <v>166</v>
      </c>
      <c r="CT848" s="16" t="s">
        <v>166</v>
      </c>
      <c r="CU848" s="16" t="s">
        <v>166</v>
      </c>
      <c r="CV848" s="16" t="s">
        <v>166</v>
      </c>
      <c r="CW848" s="16" t="s">
        <v>166</v>
      </c>
      <c r="CX848" s="16" t="s">
        <v>166</v>
      </c>
      <c r="CY848" s="16" t="s">
        <v>166</v>
      </c>
      <c r="CZ848" s="16" t="s">
        <v>166</v>
      </c>
      <c r="DA848" s="16" t="s">
        <v>166</v>
      </c>
      <c r="DB848" s="16" t="s">
        <v>166</v>
      </c>
      <c r="DC848" s="16" t="s">
        <v>166</v>
      </c>
      <c r="DD848" s="16" t="s">
        <v>166</v>
      </c>
      <c r="DE848" s="17" t="s">
        <v>166</v>
      </c>
      <c r="DF848" s="22">
        <v>5</v>
      </c>
      <c r="DG848" s="14" t="s">
        <v>8923</v>
      </c>
      <c r="DH848" s="14" t="s">
        <v>193</v>
      </c>
      <c r="DI848" s="14" t="s">
        <v>194</v>
      </c>
      <c r="DJ848" s="14" t="s">
        <v>8924</v>
      </c>
      <c r="DK848" s="14" t="s">
        <v>257</v>
      </c>
      <c r="DL848" s="21" t="s">
        <v>16172</v>
      </c>
      <c r="DM848" s="14" t="s">
        <v>198</v>
      </c>
      <c r="DN848" s="13" t="s">
        <v>16173</v>
      </c>
      <c r="DO848" s="20">
        <v>2016</v>
      </c>
      <c r="DP848" s="14" t="s">
        <v>166</v>
      </c>
      <c r="DQ848" s="14" t="s">
        <v>166</v>
      </c>
      <c r="DR848" s="18" t="s">
        <v>166</v>
      </c>
      <c r="DS848" s="16" t="s">
        <v>166</v>
      </c>
      <c r="DT848" s="19" t="s">
        <v>166</v>
      </c>
      <c r="DU848" s="14" t="s">
        <v>166</v>
      </c>
      <c r="DV848" s="18" t="s">
        <v>166</v>
      </c>
      <c r="DW848" s="18" t="s">
        <v>166</v>
      </c>
      <c r="DX848" s="16" t="s">
        <v>166</v>
      </c>
      <c r="DY848" s="16" t="s">
        <v>166</v>
      </c>
      <c r="DZ848" s="17" t="s">
        <v>166</v>
      </c>
      <c r="EA848" s="16" t="s">
        <v>166</v>
      </c>
      <c r="EB848" s="16" t="s">
        <v>166</v>
      </c>
      <c r="EC848" s="16" t="s">
        <v>166</v>
      </c>
      <c r="ED848" s="17" t="s">
        <v>166</v>
      </c>
      <c r="EE848" s="17" t="s">
        <v>166</v>
      </c>
      <c r="EF848" s="17" t="s">
        <v>166</v>
      </c>
      <c r="EG848" s="17" t="s">
        <v>166</v>
      </c>
      <c r="EH848" s="16" t="s">
        <v>166</v>
      </c>
      <c r="EI848" s="16" t="s">
        <v>166</v>
      </c>
      <c r="EJ848" s="16" t="s">
        <v>166</v>
      </c>
      <c r="EK848" s="16" t="s">
        <v>166</v>
      </c>
      <c r="EL848" s="16" t="s">
        <v>166</v>
      </c>
      <c r="EM848" s="16" t="s">
        <v>166</v>
      </c>
      <c r="EN848" s="16" t="s">
        <v>166</v>
      </c>
      <c r="EO848" s="16" t="s">
        <v>166</v>
      </c>
      <c r="EP848" s="16" t="s">
        <v>166</v>
      </c>
      <c r="EQ848" s="16" t="s">
        <v>166</v>
      </c>
      <c r="ER848" s="16" t="s">
        <v>166</v>
      </c>
      <c r="ES848" s="16" t="s">
        <v>166</v>
      </c>
      <c r="ET848" s="14" t="s">
        <v>166</v>
      </c>
      <c r="EU848" s="16" t="s">
        <v>166</v>
      </c>
      <c r="EV848" s="16" t="s">
        <v>166</v>
      </c>
      <c r="EW848" s="16" t="s">
        <v>166</v>
      </c>
      <c r="EX848" s="14" t="s">
        <v>190</v>
      </c>
      <c r="EY848" s="14" t="s">
        <v>166</v>
      </c>
      <c r="EZ848" s="16" t="s">
        <v>166</v>
      </c>
      <c r="FA848" s="15">
        <v>4</v>
      </c>
      <c r="FB848" s="15">
        <v>3</v>
      </c>
      <c r="FC848" s="15">
        <v>2</v>
      </c>
      <c r="FD848" s="15" t="s">
        <v>166</v>
      </c>
      <c r="FE848" s="15" t="s">
        <v>166</v>
      </c>
      <c r="FF848" s="15">
        <v>2</v>
      </c>
      <c r="FG848" s="14" t="s">
        <v>775</v>
      </c>
      <c r="FH848" s="3">
        <f>HYPERLINK("https://my.pitchbook.com?c=219423-88T","View Company Online")</f>
      </c>
    </row>
    <row r="849">
      <c r="A849" s="25" t="s">
        <v>16174</v>
      </c>
      <c r="B849" s="25" t="s">
        <v>16175</v>
      </c>
      <c r="C849" s="25" t="s">
        <v>16176</v>
      </c>
      <c r="D849" s="25" t="s">
        <v>166</v>
      </c>
      <c r="E849" s="34" t="s">
        <v>16177</v>
      </c>
      <c r="F849" s="32">
        <v>16</v>
      </c>
      <c r="G849" s="25" t="s">
        <v>16178</v>
      </c>
      <c r="H849" s="25" t="s">
        <v>166</v>
      </c>
      <c r="I849" s="25" t="s">
        <v>16179</v>
      </c>
      <c r="J849" s="25" t="s">
        <v>16180</v>
      </c>
      <c r="K849" s="25" t="s">
        <v>171</v>
      </c>
      <c r="L849" s="25" t="s">
        <v>172</v>
      </c>
      <c r="M849" s="25" t="s">
        <v>173</v>
      </c>
      <c r="N849" s="25" t="s">
        <v>16181</v>
      </c>
      <c r="O849" s="25" t="s">
        <v>16182</v>
      </c>
      <c r="P849" s="25" t="s">
        <v>16183</v>
      </c>
      <c r="Q849" s="25" t="s">
        <v>166</v>
      </c>
      <c r="R849" s="25" t="s">
        <v>177</v>
      </c>
      <c r="S849" s="25" t="s">
        <v>178</v>
      </c>
      <c r="T849" s="25" t="s">
        <v>179</v>
      </c>
      <c r="U849" s="25" t="s">
        <v>16184</v>
      </c>
      <c r="V849" s="25" t="s">
        <v>16185</v>
      </c>
      <c r="W849" s="32" t="s">
        <v>16186</v>
      </c>
      <c r="X849" s="25" t="s">
        <v>16187</v>
      </c>
      <c r="Y849" s="25" t="s">
        <v>16188</v>
      </c>
      <c r="Z849" s="25" t="s">
        <v>16189</v>
      </c>
      <c r="AA849" s="25" t="s">
        <v>242</v>
      </c>
      <c r="AB849" s="25" t="s">
        <v>243</v>
      </c>
      <c r="AC849" s="25" t="s">
        <v>244</v>
      </c>
      <c r="AD849" s="25" t="s">
        <v>243</v>
      </c>
      <c r="AE849" s="25" t="s">
        <v>243</v>
      </c>
      <c r="AF849" s="25" t="s">
        <v>166</v>
      </c>
      <c r="AG849" s="25" t="s">
        <v>246</v>
      </c>
      <c r="AH849" s="32">
        <v>1</v>
      </c>
      <c r="AI849" s="4">
        <f>HYPERLINK("https://my.pitchbook.com/?d=183535-12T","183535-12T")</f>
      </c>
      <c r="AJ849" s="30">
        <v>44509</v>
      </c>
      <c r="AK849" s="30">
        <v>44511</v>
      </c>
      <c r="AL849" s="29">
        <v>4.17</v>
      </c>
      <c r="AM849" s="25" t="s">
        <v>185</v>
      </c>
      <c r="AN849" s="29">
        <v>8</v>
      </c>
      <c r="AO849" s="29">
        <v>12.17</v>
      </c>
      <c r="AP849" s="25" t="s">
        <v>185</v>
      </c>
      <c r="AQ849" s="32" t="s">
        <v>166</v>
      </c>
      <c r="AR849" s="32" t="s">
        <v>166</v>
      </c>
      <c r="AS849" s="28">
        <v>38.36</v>
      </c>
      <c r="AT849" s="29">
        <v>4.17</v>
      </c>
      <c r="AU849" s="32" t="s">
        <v>186</v>
      </c>
      <c r="AV849" s="32" t="s">
        <v>166</v>
      </c>
      <c r="AW849" s="29">
        <v>1.01</v>
      </c>
      <c r="AX849" s="32" t="s">
        <v>166</v>
      </c>
      <c r="AY849" s="25" t="s">
        <v>217</v>
      </c>
      <c r="AZ849" s="25" t="s">
        <v>217</v>
      </c>
      <c r="BA849" s="25" t="s">
        <v>166</v>
      </c>
      <c r="BB849" s="32" t="s">
        <v>166</v>
      </c>
      <c r="BC849" s="25" t="s">
        <v>179</v>
      </c>
      <c r="BD849" s="25" t="s">
        <v>16190</v>
      </c>
      <c r="BE849" s="25" t="s">
        <v>189</v>
      </c>
      <c r="BF849" s="29">
        <v>4.17</v>
      </c>
      <c r="BG849" s="25" t="s">
        <v>190</v>
      </c>
      <c r="BH849" s="25" t="s">
        <v>166</v>
      </c>
      <c r="BI849" s="25" t="s">
        <v>166</v>
      </c>
      <c r="BJ849" s="29" t="s">
        <v>166</v>
      </c>
      <c r="BK849" s="29" t="s">
        <v>166</v>
      </c>
      <c r="BL849" s="25" t="s">
        <v>191</v>
      </c>
      <c r="BM849" s="25" t="s">
        <v>178</v>
      </c>
      <c r="BN849" s="25" t="s">
        <v>177</v>
      </c>
      <c r="BO849" s="33" t="s">
        <v>166</v>
      </c>
      <c r="BP849" s="25" t="s">
        <v>16191</v>
      </c>
      <c r="BQ849" s="32">
        <v>16</v>
      </c>
      <c r="BR849" s="25" t="s">
        <v>166</v>
      </c>
      <c r="BS849" s="32" t="s">
        <v>166</v>
      </c>
      <c r="BT849" s="25" t="s">
        <v>16192</v>
      </c>
      <c r="BU849" s="25" t="s">
        <v>166</v>
      </c>
      <c r="BV849" s="25" t="s">
        <v>16193</v>
      </c>
      <c r="BW849" s="25" t="s">
        <v>166</v>
      </c>
      <c r="BX849" s="25" t="s">
        <v>166</v>
      </c>
      <c r="BY849" s="25" t="s">
        <v>166</v>
      </c>
      <c r="BZ849" s="25" t="s">
        <v>166</v>
      </c>
      <c r="CA849" s="25" t="s">
        <v>166</v>
      </c>
      <c r="CB849" s="25" t="s">
        <v>166</v>
      </c>
      <c r="CC849" s="25" t="s">
        <v>166</v>
      </c>
      <c r="CD849" s="25" t="s">
        <v>166</v>
      </c>
      <c r="CE849" s="29" t="s">
        <v>166</v>
      </c>
      <c r="CF849" s="27" t="s">
        <v>166</v>
      </c>
      <c r="CG849" s="28" t="s">
        <v>166</v>
      </c>
      <c r="CH849" s="27" t="s">
        <v>166</v>
      </c>
      <c r="CI849" s="27" t="s">
        <v>166</v>
      </c>
      <c r="CJ849" s="27" t="s">
        <v>166</v>
      </c>
      <c r="CK849" s="27" t="s">
        <v>166</v>
      </c>
      <c r="CL849" s="27" t="s">
        <v>166</v>
      </c>
      <c r="CM849" s="31" t="s">
        <v>166</v>
      </c>
      <c r="CN849" s="27" t="s">
        <v>166</v>
      </c>
      <c r="CO849" s="27" t="s">
        <v>166</v>
      </c>
      <c r="CP849" s="27" t="s">
        <v>166</v>
      </c>
      <c r="CQ849" s="27" t="s">
        <v>166</v>
      </c>
      <c r="CR849" s="27" t="s">
        <v>166</v>
      </c>
      <c r="CS849" s="27" t="s">
        <v>166</v>
      </c>
      <c r="CT849" s="27" t="s">
        <v>166</v>
      </c>
      <c r="CU849" s="27" t="s">
        <v>166</v>
      </c>
      <c r="CV849" s="27" t="s">
        <v>166</v>
      </c>
      <c r="CW849" s="27" t="s">
        <v>166</v>
      </c>
      <c r="CX849" s="27" t="s">
        <v>166</v>
      </c>
      <c r="CY849" s="27" t="s">
        <v>166</v>
      </c>
      <c r="CZ849" s="27" t="s">
        <v>166</v>
      </c>
      <c r="DA849" s="27" t="s">
        <v>166</v>
      </c>
      <c r="DB849" s="27" t="s">
        <v>166</v>
      </c>
      <c r="DC849" s="27" t="s">
        <v>166</v>
      </c>
      <c r="DD849" s="27" t="s">
        <v>166</v>
      </c>
      <c r="DE849" s="28" t="s">
        <v>166</v>
      </c>
      <c r="DF849" s="33">
        <v>6</v>
      </c>
      <c r="DG849" s="25" t="s">
        <v>673</v>
      </c>
      <c r="DH849" s="25" t="s">
        <v>193</v>
      </c>
      <c r="DI849" s="25" t="s">
        <v>194</v>
      </c>
      <c r="DJ849" s="25" t="s">
        <v>674</v>
      </c>
      <c r="DK849" s="25" t="s">
        <v>257</v>
      </c>
      <c r="DL849" s="32" t="s">
        <v>1329</v>
      </c>
      <c r="DM849" s="25" t="s">
        <v>198</v>
      </c>
      <c r="DN849" s="24" t="s">
        <v>16194</v>
      </c>
      <c r="DO849" s="31">
        <v>2019</v>
      </c>
      <c r="DP849" s="25" t="s">
        <v>166</v>
      </c>
      <c r="DQ849" s="25" t="s">
        <v>166</v>
      </c>
      <c r="DR849" s="29" t="s">
        <v>166</v>
      </c>
      <c r="DS849" s="27" t="s">
        <v>166</v>
      </c>
      <c r="DT849" s="30" t="s">
        <v>166</v>
      </c>
      <c r="DU849" s="25" t="s">
        <v>166</v>
      </c>
      <c r="DV849" s="29" t="s">
        <v>166</v>
      </c>
      <c r="DW849" s="29" t="s">
        <v>166</v>
      </c>
      <c r="DX849" s="27" t="s">
        <v>166</v>
      </c>
      <c r="DY849" s="27" t="s">
        <v>166</v>
      </c>
      <c r="DZ849" s="28" t="s">
        <v>166</v>
      </c>
      <c r="EA849" s="27" t="s">
        <v>166</v>
      </c>
      <c r="EB849" s="27" t="s">
        <v>166</v>
      </c>
      <c r="EC849" s="27" t="s">
        <v>166</v>
      </c>
      <c r="ED849" s="28" t="s">
        <v>166</v>
      </c>
      <c r="EE849" s="28" t="s">
        <v>166</v>
      </c>
      <c r="EF849" s="28" t="s">
        <v>166</v>
      </c>
      <c r="EG849" s="28" t="s">
        <v>166</v>
      </c>
      <c r="EH849" s="27" t="s">
        <v>166</v>
      </c>
      <c r="EI849" s="27" t="s">
        <v>166</v>
      </c>
      <c r="EJ849" s="27" t="s">
        <v>166</v>
      </c>
      <c r="EK849" s="27" t="s">
        <v>166</v>
      </c>
      <c r="EL849" s="27" t="s">
        <v>166</v>
      </c>
      <c r="EM849" s="27" t="s">
        <v>166</v>
      </c>
      <c r="EN849" s="27" t="s">
        <v>166</v>
      </c>
      <c r="EO849" s="27" t="s">
        <v>166</v>
      </c>
      <c r="EP849" s="27" t="s">
        <v>166</v>
      </c>
      <c r="EQ849" s="27" t="s">
        <v>166</v>
      </c>
      <c r="ER849" s="27" t="s">
        <v>166</v>
      </c>
      <c r="ES849" s="27" t="s">
        <v>166</v>
      </c>
      <c r="ET849" s="25" t="s">
        <v>166</v>
      </c>
      <c r="EU849" s="27" t="s">
        <v>166</v>
      </c>
      <c r="EV849" s="27" t="s">
        <v>166</v>
      </c>
      <c r="EW849" s="27" t="s">
        <v>166</v>
      </c>
      <c r="EX849" s="25" t="s">
        <v>190</v>
      </c>
      <c r="EY849" s="25" t="s">
        <v>166</v>
      </c>
      <c r="EZ849" s="27" t="s">
        <v>166</v>
      </c>
      <c r="FA849" s="26" t="s">
        <v>166</v>
      </c>
      <c r="FB849" s="26" t="s">
        <v>166</v>
      </c>
      <c r="FC849" s="26" t="s">
        <v>166</v>
      </c>
      <c r="FD849" s="26" t="s">
        <v>166</v>
      </c>
      <c r="FE849" s="26" t="s">
        <v>166</v>
      </c>
      <c r="FF849" s="26" t="s">
        <v>166</v>
      </c>
      <c r="FG849" s="25" t="s">
        <v>166</v>
      </c>
      <c r="FH849" s="4">
        <f>HYPERLINK("https://my.pitchbook.com?c=183535-12T","View Company Online")</f>
      </c>
    </row>
    <row r="850">
      <c r="A850" s="14" t="s">
        <v>16195</v>
      </c>
      <c r="B850" s="14" t="s">
        <v>16196</v>
      </c>
      <c r="C850" s="14" t="s">
        <v>16197</v>
      </c>
      <c r="D850" s="14" t="s">
        <v>166</v>
      </c>
      <c r="E850" s="23" t="s">
        <v>16198</v>
      </c>
      <c r="F850" s="21">
        <v>3</v>
      </c>
      <c r="G850" s="14" t="s">
        <v>16199</v>
      </c>
      <c r="H850" s="14" t="s">
        <v>166</v>
      </c>
      <c r="I850" s="14" t="s">
        <v>16200</v>
      </c>
      <c r="J850" s="14" t="s">
        <v>16201</v>
      </c>
      <c r="K850" s="14" t="s">
        <v>1455</v>
      </c>
      <c r="L850" s="14" t="s">
        <v>1984</v>
      </c>
      <c r="M850" s="14" t="s">
        <v>2112</v>
      </c>
      <c r="N850" s="14" t="s">
        <v>3046</v>
      </c>
      <c r="O850" s="14" t="s">
        <v>1842</v>
      </c>
      <c r="P850" s="14" t="s">
        <v>16202</v>
      </c>
      <c r="Q850" s="14" t="s">
        <v>166</v>
      </c>
      <c r="R850" s="14" t="s">
        <v>177</v>
      </c>
      <c r="S850" s="14" t="s">
        <v>178</v>
      </c>
      <c r="T850" s="14" t="s">
        <v>179</v>
      </c>
      <c r="U850" s="14" t="s">
        <v>16203</v>
      </c>
      <c r="V850" s="14" t="s">
        <v>16204</v>
      </c>
      <c r="W850" s="21" t="s">
        <v>16205</v>
      </c>
      <c r="X850" s="14" t="s">
        <v>16206</v>
      </c>
      <c r="Y850" s="14" t="s">
        <v>16207</v>
      </c>
      <c r="Z850" s="14" t="s">
        <v>166</v>
      </c>
      <c r="AA850" s="14" t="s">
        <v>242</v>
      </c>
      <c r="AB850" s="14" t="s">
        <v>243</v>
      </c>
      <c r="AC850" s="14" t="s">
        <v>244</v>
      </c>
      <c r="AD850" s="14" t="s">
        <v>243</v>
      </c>
      <c r="AE850" s="14" t="s">
        <v>243</v>
      </c>
      <c r="AF850" s="14" t="s">
        <v>166</v>
      </c>
      <c r="AG850" s="14" t="s">
        <v>807</v>
      </c>
      <c r="AH850" s="21">
        <v>2</v>
      </c>
      <c r="AI850" s="3">
        <f>HYPERLINK("https://my.pitchbook.com/?d=208823-32T","208823-32T")</f>
      </c>
      <c r="AJ850" s="19">
        <v>44225</v>
      </c>
      <c r="AK850" s="19">
        <v>45017</v>
      </c>
      <c r="AL850" s="18">
        <v>0.65</v>
      </c>
      <c r="AM850" s="14" t="s">
        <v>185</v>
      </c>
      <c r="AN850" s="18">
        <v>2.35</v>
      </c>
      <c r="AO850" s="18">
        <v>3</v>
      </c>
      <c r="AP850" s="14" t="s">
        <v>185</v>
      </c>
      <c r="AQ850" s="21" t="s">
        <v>166</v>
      </c>
      <c r="AR850" s="21" t="s">
        <v>166</v>
      </c>
      <c r="AS850" s="17">
        <v>21.67</v>
      </c>
      <c r="AT850" s="18">
        <v>0.65</v>
      </c>
      <c r="AU850" s="21" t="s">
        <v>186</v>
      </c>
      <c r="AV850" s="21" t="s">
        <v>166</v>
      </c>
      <c r="AW850" s="18">
        <v>0.22</v>
      </c>
      <c r="AX850" s="21" t="s">
        <v>166</v>
      </c>
      <c r="AY850" s="14" t="s">
        <v>217</v>
      </c>
      <c r="AZ850" s="14" t="s">
        <v>217</v>
      </c>
      <c r="BA850" s="14" t="s">
        <v>166</v>
      </c>
      <c r="BB850" s="21" t="s">
        <v>166</v>
      </c>
      <c r="BC850" s="14" t="s">
        <v>179</v>
      </c>
      <c r="BD850" s="14" t="s">
        <v>16208</v>
      </c>
      <c r="BE850" s="14" t="s">
        <v>189</v>
      </c>
      <c r="BF850" s="18">
        <v>0.65</v>
      </c>
      <c r="BG850" s="14" t="s">
        <v>190</v>
      </c>
      <c r="BH850" s="14" t="s">
        <v>166</v>
      </c>
      <c r="BI850" s="14" t="s">
        <v>166</v>
      </c>
      <c r="BJ850" s="18" t="s">
        <v>166</v>
      </c>
      <c r="BK850" s="18" t="s">
        <v>166</v>
      </c>
      <c r="BL850" s="14" t="s">
        <v>191</v>
      </c>
      <c r="BM850" s="14" t="s">
        <v>178</v>
      </c>
      <c r="BN850" s="14" t="s">
        <v>177</v>
      </c>
      <c r="BO850" s="22" t="s">
        <v>166</v>
      </c>
      <c r="BP850" s="14" t="s">
        <v>16198</v>
      </c>
      <c r="BQ850" s="21">
        <v>3</v>
      </c>
      <c r="BR850" s="14" t="s">
        <v>166</v>
      </c>
      <c r="BS850" s="21" t="s">
        <v>166</v>
      </c>
      <c r="BT850" s="14" t="s">
        <v>166</v>
      </c>
      <c r="BU850" s="14" t="s">
        <v>166</v>
      </c>
      <c r="BV850" s="14" t="s">
        <v>166</v>
      </c>
      <c r="BW850" s="14" t="s">
        <v>166</v>
      </c>
      <c r="BX850" s="14" t="s">
        <v>166</v>
      </c>
      <c r="BY850" s="14" t="s">
        <v>166</v>
      </c>
      <c r="BZ850" s="14" t="s">
        <v>16209</v>
      </c>
      <c r="CA850" s="14" t="s">
        <v>16209</v>
      </c>
      <c r="CB850" s="14" t="s">
        <v>166</v>
      </c>
      <c r="CC850" s="14" t="s">
        <v>166</v>
      </c>
      <c r="CD850" s="14" t="s">
        <v>166</v>
      </c>
      <c r="CE850" s="18" t="s">
        <v>166</v>
      </c>
      <c r="CF850" s="16" t="s">
        <v>166</v>
      </c>
      <c r="CG850" s="17" t="s">
        <v>166</v>
      </c>
      <c r="CH850" s="16" t="s">
        <v>166</v>
      </c>
      <c r="CI850" s="16" t="s">
        <v>166</v>
      </c>
      <c r="CJ850" s="16" t="s">
        <v>166</v>
      </c>
      <c r="CK850" s="16" t="s">
        <v>166</v>
      </c>
      <c r="CL850" s="16" t="s">
        <v>166</v>
      </c>
      <c r="CM850" s="20" t="s">
        <v>166</v>
      </c>
      <c r="CN850" s="16" t="s">
        <v>166</v>
      </c>
      <c r="CO850" s="16" t="s">
        <v>166</v>
      </c>
      <c r="CP850" s="16" t="s">
        <v>166</v>
      </c>
      <c r="CQ850" s="16" t="s">
        <v>166</v>
      </c>
      <c r="CR850" s="16" t="s">
        <v>166</v>
      </c>
      <c r="CS850" s="16" t="s">
        <v>166</v>
      </c>
      <c r="CT850" s="16" t="s">
        <v>166</v>
      </c>
      <c r="CU850" s="16" t="s">
        <v>166</v>
      </c>
      <c r="CV850" s="16" t="s">
        <v>166</v>
      </c>
      <c r="CW850" s="16" t="s">
        <v>166</v>
      </c>
      <c r="CX850" s="16" t="s">
        <v>166</v>
      </c>
      <c r="CY850" s="16" t="s">
        <v>166</v>
      </c>
      <c r="CZ850" s="16" t="s">
        <v>166</v>
      </c>
      <c r="DA850" s="16" t="s">
        <v>166</v>
      </c>
      <c r="DB850" s="16" t="s">
        <v>166</v>
      </c>
      <c r="DC850" s="16" t="s">
        <v>166</v>
      </c>
      <c r="DD850" s="16" t="s">
        <v>166</v>
      </c>
      <c r="DE850" s="17" t="s">
        <v>166</v>
      </c>
      <c r="DF850" s="22">
        <v>4</v>
      </c>
      <c r="DG850" s="14" t="s">
        <v>5665</v>
      </c>
      <c r="DH850" s="14" t="s">
        <v>193</v>
      </c>
      <c r="DI850" s="14" t="s">
        <v>194</v>
      </c>
      <c r="DJ850" s="14" t="s">
        <v>5666</v>
      </c>
      <c r="DK850" s="14" t="s">
        <v>5667</v>
      </c>
      <c r="DL850" s="21" t="s">
        <v>16210</v>
      </c>
      <c r="DM850" s="14" t="s">
        <v>198</v>
      </c>
      <c r="DN850" s="13" t="s">
        <v>16211</v>
      </c>
      <c r="DO850" s="20">
        <v>2020</v>
      </c>
      <c r="DP850" s="14" t="s">
        <v>166</v>
      </c>
      <c r="DQ850" s="14" t="s">
        <v>166</v>
      </c>
      <c r="DR850" s="18" t="s">
        <v>166</v>
      </c>
      <c r="DS850" s="16" t="s">
        <v>166</v>
      </c>
      <c r="DT850" s="19" t="s">
        <v>166</v>
      </c>
      <c r="DU850" s="14" t="s">
        <v>166</v>
      </c>
      <c r="DV850" s="18" t="s">
        <v>166</v>
      </c>
      <c r="DW850" s="18" t="s">
        <v>166</v>
      </c>
      <c r="DX850" s="16" t="s">
        <v>166</v>
      </c>
      <c r="DY850" s="16" t="s">
        <v>166</v>
      </c>
      <c r="DZ850" s="17" t="s">
        <v>166</v>
      </c>
      <c r="EA850" s="16" t="s">
        <v>166</v>
      </c>
      <c r="EB850" s="16" t="s">
        <v>166</v>
      </c>
      <c r="EC850" s="16" t="s">
        <v>166</v>
      </c>
      <c r="ED850" s="17" t="s">
        <v>166</v>
      </c>
      <c r="EE850" s="17" t="s">
        <v>166</v>
      </c>
      <c r="EF850" s="17" t="s">
        <v>166</v>
      </c>
      <c r="EG850" s="17" t="s">
        <v>166</v>
      </c>
      <c r="EH850" s="16" t="s">
        <v>166</v>
      </c>
      <c r="EI850" s="16" t="s">
        <v>166</v>
      </c>
      <c r="EJ850" s="16" t="s">
        <v>166</v>
      </c>
      <c r="EK850" s="16" t="s">
        <v>166</v>
      </c>
      <c r="EL850" s="16" t="s">
        <v>166</v>
      </c>
      <c r="EM850" s="16" t="s">
        <v>166</v>
      </c>
      <c r="EN850" s="16" t="s">
        <v>166</v>
      </c>
      <c r="EO850" s="16" t="s">
        <v>166</v>
      </c>
      <c r="EP850" s="16" t="s">
        <v>166</v>
      </c>
      <c r="EQ850" s="16" t="s">
        <v>166</v>
      </c>
      <c r="ER850" s="16" t="s">
        <v>166</v>
      </c>
      <c r="ES850" s="16" t="s">
        <v>166</v>
      </c>
      <c r="ET850" s="14" t="s">
        <v>166</v>
      </c>
      <c r="EU850" s="16" t="s">
        <v>166</v>
      </c>
      <c r="EV850" s="16" t="s">
        <v>166</v>
      </c>
      <c r="EW850" s="16" t="s">
        <v>166</v>
      </c>
      <c r="EX850" s="14" t="s">
        <v>190</v>
      </c>
      <c r="EY850" s="14" t="s">
        <v>166</v>
      </c>
      <c r="EZ850" s="16" t="s">
        <v>166</v>
      </c>
      <c r="FA850" s="15" t="s">
        <v>166</v>
      </c>
      <c r="FB850" s="15" t="s">
        <v>166</v>
      </c>
      <c r="FC850" s="15" t="s">
        <v>166</v>
      </c>
      <c r="FD850" s="15" t="s">
        <v>166</v>
      </c>
      <c r="FE850" s="15" t="s">
        <v>166</v>
      </c>
      <c r="FF850" s="15" t="s">
        <v>166</v>
      </c>
      <c r="FG850" s="14" t="s">
        <v>166</v>
      </c>
      <c r="FH850" s="3">
        <f>HYPERLINK("https://my.pitchbook.com?c=208823-32T","View Company Online")</f>
      </c>
    </row>
    <row r="851">
      <c r="A851" s="25" t="s">
        <v>16212</v>
      </c>
      <c r="B851" s="25" t="s">
        <v>16213</v>
      </c>
      <c r="C851" s="25" t="s">
        <v>16214</v>
      </c>
      <c r="D851" s="25" t="s">
        <v>166</v>
      </c>
      <c r="E851" s="34" t="s">
        <v>15586</v>
      </c>
      <c r="F851" s="32">
        <v>1</v>
      </c>
      <c r="G851" s="25" t="s">
        <v>16215</v>
      </c>
      <c r="H851" s="25" t="s">
        <v>166</v>
      </c>
      <c r="I851" s="25" t="s">
        <v>16216</v>
      </c>
      <c r="J851" s="25" t="s">
        <v>16217</v>
      </c>
      <c r="K851" s="25" t="s">
        <v>207</v>
      </c>
      <c r="L851" s="25" t="s">
        <v>208</v>
      </c>
      <c r="M851" s="25" t="s">
        <v>209</v>
      </c>
      <c r="N851" s="25" t="s">
        <v>3221</v>
      </c>
      <c r="O851" s="25" t="s">
        <v>641</v>
      </c>
      <c r="P851" s="25" t="s">
        <v>16218</v>
      </c>
      <c r="Q851" s="25" t="s">
        <v>166</v>
      </c>
      <c r="R851" s="25" t="s">
        <v>177</v>
      </c>
      <c r="S851" s="25" t="s">
        <v>178</v>
      </c>
      <c r="T851" s="25" t="s">
        <v>179</v>
      </c>
      <c r="U851" s="25" t="s">
        <v>16219</v>
      </c>
      <c r="V851" s="25" t="s">
        <v>16220</v>
      </c>
      <c r="W851" s="32" t="s">
        <v>166</v>
      </c>
      <c r="X851" s="25" t="s">
        <v>16221</v>
      </c>
      <c r="Y851" s="25" t="s">
        <v>16222</v>
      </c>
      <c r="Z851" s="25" t="s">
        <v>166</v>
      </c>
      <c r="AA851" s="25" t="s">
        <v>166</v>
      </c>
      <c r="AB851" s="25" t="s">
        <v>166</v>
      </c>
      <c r="AC851" s="25" t="s">
        <v>166</v>
      </c>
      <c r="AD851" s="25" t="s">
        <v>166</v>
      </c>
      <c r="AE851" s="25" t="s">
        <v>166</v>
      </c>
      <c r="AF851" s="25" t="s">
        <v>166</v>
      </c>
      <c r="AG851" s="25" t="s">
        <v>166</v>
      </c>
      <c r="AH851" s="32">
        <v>5</v>
      </c>
      <c r="AI851" s="4">
        <f>HYPERLINK("https://my.pitchbook.com/?d=180359-65T","180359-65T")</f>
      </c>
      <c r="AJ851" s="30" t="s">
        <v>166</v>
      </c>
      <c r="AK851" s="30">
        <v>44455</v>
      </c>
      <c r="AL851" s="29">
        <v>1.2</v>
      </c>
      <c r="AM851" s="25" t="s">
        <v>185</v>
      </c>
      <c r="AN851" s="29" t="s">
        <v>166</v>
      </c>
      <c r="AO851" s="29" t="s">
        <v>166</v>
      </c>
      <c r="AP851" s="25" t="s">
        <v>166</v>
      </c>
      <c r="AQ851" s="32" t="s">
        <v>166</v>
      </c>
      <c r="AR851" s="32" t="s">
        <v>166</v>
      </c>
      <c r="AS851" s="28" t="s">
        <v>166</v>
      </c>
      <c r="AT851" s="29">
        <v>1.2</v>
      </c>
      <c r="AU851" s="32" t="s">
        <v>186</v>
      </c>
      <c r="AV851" s="32" t="s">
        <v>166</v>
      </c>
      <c r="AW851" s="29" t="s">
        <v>166</v>
      </c>
      <c r="AX851" s="32" t="s">
        <v>166</v>
      </c>
      <c r="AY851" s="25" t="s">
        <v>217</v>
      </c>
      <c r="AZ851" s="25" t="s">
        <v>217</v>
      </c>
      <c r="BA851" s="25" t="s">
        <v>166</v>
      </c>
      <c r="BB851" s="32" t="s">
        <v>166</v>
      </c>
      <c r="BC851" s="25" t="s">
        <v>179</v>
      </c>
      <c r="BD851" s="25" t="s">
        <v>16223</v>
      </c>
      <c r="BE851" s="25" t="s">
        <v>189</v>
      </c>
      <c r="BF851" s="29">
        <v>1.2</v>
      </c>
      <c r="BG851" s="25" t="s">
        <v>190</v>
      </c>
      <c r="BH851" s="25" t="s">
        <v>166</v>
      </c>
      <c r="BI851" s="25" t="s">
        <v>166</v>
      </c>
      <c r="BJ851" s="29" t="s">
        <v>166</v>
      </c>
      <c r="BK851" s="29" t="s">
        <v>166</v>
      </c>
      <c r="BL851" s="25" t="s">
        <v>191</v>
      </c>
      <c r="BM851" s="25" t="s">
        <v>178</v>
      </c>
      <c r="BN851" s="25" t="s">
        <v>177</v>
      </c>
      <c r="BO851" s="33" t="s">
        <v>166</v>
      </c>
      <c r="BP851" s="25" t="s">
        <v>15586</v>
      </c>
      <c r="BQ851" s="32">
        <v>1</v>
      </c>
      <c r="BR851" s="25" t="s">
        <v>166</v>
      </c>
      <c r="BS851" s="32" t="s">
        <v>166</v>
      </c>
      <c r="BT851" s="25" t="s">
        <v>166</v>
      </c>
      <c r="BU851" s="25" t="s">
        <v>166</v>
      </c>
      <c r="BV851" s="25" t="s">
        <v>383</v>
      </c>
      <c r="BW851" s="25" t="s">
        <v>166</v>
      </c>
      <c r="BX851" s="25" t="s">
        <v>166</v>
      </c>
      <c r="BY851" s="25" t="s">
        <v>166</v>
      </c>
      <c r="BZ851" s="25" t="s">
        <v>166</v>
      </c>
      <c r="CA851" s="25" t="s">
        <v>166</v>
      </c>
      <c r="CB851" s="25" t="s">
        <v>166</v>
      </c>
      <c r="CC851" s="25" t="s">
        <v>166</v>
      </c>
      <c r="CD851" s="25" t="s">
        <v>166</v>
      </c>
      <c r="CE851" s="29" t="s">
        <v>166</v>
      </c>
      <c r="CF851" s="27" t="s">
        <v>166</v>
      </c>
      <c r="CG851" s="28" t="s">
        <v>166</v>
      </c>
      <c r="CH851" s="27" t="s">
        <v>166</v>
      </c>
      <c r="CI851" s="27" t="s">
        <v>166</v>
      </c>
      <c r="CJ851" s="27" t="s">
        <v>166</v>
      </c>
      <c r="CK851" s="27" t="s">
        <v>166</v>
      </c>
      <c r="CL851" s="27" t="s">
        <v>166</v>
      </c>
      <c r="CM851" s="31" t="s">
        <v>166</v>
      </c>
      <c r="CN851" s="27" t="s">
        <v>166</v>
      </c>
      <c r="CO851" s="27" t="s">
        <v>166</v>
      </c>
      <c r="CP851" s="27" t="s">
        <v>166</v>
      </c>
      <c r="CQ851" s="27" t="s">
        <v>166</v>
      </c>
      <c r="CR851" s="27" t="s">
        <v>166</v>
      </c>
      <c r="CS851" s="27" t="s">
        <v>166</v>
      </c>
      <c r="CT851" s="27" t="s">
        <v>166</v>
      </c>
      <c r="CU851" s="27" t="s">
        <v>166</v>
      </c>
      <c r="CV851" s="27" t="s">
        <v>166</v>
      </c>
      <c r="CW851" s="27" t="s">
        <v>166</v>
      </c>
      <c r="CX851" s="27" t="s">
        <v>166</v>
      </c>
      <c r="CY851" s="27" t="s">
        <v>166</v>
      </c>
      <c r="CZ851" s="27" t="s">
        <v>166</v>
      </c>
      <c r="DA851" s="27" t="s">
        <v>166</v>
      </c>
      <c r="DB851" s="27" t="s">
        <v>166</v>
      </c>
      <c r="DC851" s="27" t="s">
        <v>166</v>
      </c>
      <c r="DD851" s="27" t="s">
        <v>166</v>
      </c>
      <c r="DE851" s="28" t="s">
        <v>166</v>
      </c>
      <c r="DF851" s="33">
        <v>10</v>
      </c>
      <c r="DG851" s="25" t="s">
        <v>384</v>
      </c>
      <c r="DH851" s="25" t="s">
        <v>193</v>
      </c>
      <c r="DI851" s="25" t="s">
        <v>194</v>
      </c>
      <c r="DJ851" s="25" t="s">
        <v>385</v>
      </c>
      <c r="DK851" s="25" t="s">
        <v>386</v>
      </c>
      <c r="DL851" s="32" t="s">
        <v>16224</v>
      </c>
      <c r="DM851" s="25" t="s">
        <v>198</v>
      </c>
      <c r="DN851" s="24" t="s">
        <v>16225</v>
      </c>
      <c r="DO851" s="31">
        <v>2018</v>
      </c>
      <c r="DP851" s="25" t="s">
        <v>166</v>
      </c>
      <c r="DQ851" s="25" t="s">
        <v>166</v>
      </c>
      <c r="DR851" s="29" t="s">
        <v>166</v>
      </c>
      <c r="DS851" s="27" t="s">
        <v>166</v>
      </c>
      <c r="DT851" s="30" t="s">
        <v>166</v>
      </c>
      <c r="DU851" s="25" t="s">
        <v>166</v>
      </c>
      <c r="DV851" s="29" t="s">
        <v>166</v>
      </c>
      <c r="DW851" s="29" t="s">
        <v>166</v>
      </c>
      <c r="DX851" s="27" t="s">
        <v>166</v>
      </c>
      <c r="DY851" s="27" t="s">
        <v>166</v>
      </c>
      <c r="DZ851" s="28" t="s">
        <v>166</v>
      </c>
      <c r="EA851" s="27" t="s">
        <v>166</v>
      </c>
      <c r="EB851" s="27" t="s">
        <v>166</v>
      </c>
      <c r="EC851" s="27" t="s">
        <v>166</v>
      </c>
      <c r="ED851" s="28" t="s">
        <v>166</v>
      </c>
      <c r="EE851" s="28" t="s">
        <v>166</v>
      </c>
      <c r="EF851" s="28" t="s">
        <v>166</v>
      </c>
      <c r="EG851" s="28" t="s">
        <v>166</v>
      </c>
      <c r="EH851" s="27" t="s">
        <v>166</v>
      </c>
      <c r="EI851" s="27" t="s">
        <v>166</v>
      </c>
      <c r="EJ851" s="27" t="s">
        <v>166</v>
      </c>
      <c r="EK851" s="27" t="s">
        <v>166</v>
      </c>
      <c r="EL851" s="27" t="s">
        <v>166</v>
      </c>
      <c r="EM851" s="27" t="s">
        <v>166</v>
      </c>
      <c r="EN851" s="27" t="s">
        <v>166</v>
      </c>
      <c r="EO851" s="27" t="s">
        <v>166</v>
      </c>
      <c r="EP851" s="27" t="s">
        <v>166</v>
      </c>
      <c r="EQ851" s="27" t="s">
        <v>166</v>
      </c>
      <c r="ER851" s="27" t="s">
        <v>166</v>
      </c>
      <c r="ES851" s="27" t="s">
        <v>166</v>
      </c>
      <c r="ET851" s="25" t="s">
        <v>166</v>
      </c>
      <c r="EU851" s="27" t="s">
        <v>166</v>
      </c>
      <c r="EV851" s="27" t="s">
        <v>166</v>
      </c>
      <c r="EW851" s="27" t="s">
        <v>166</v>
      </c>
      <c r="EX851" s="25" t="s">
        <v>190</v>
      </c>
      <c r="EY851" s="25" t="s">
        <v>166</v>
      </c>
      <c r="EZ851" s="27" t="s">
        <v>166</v>
      </c>
      <c r="FA851" s="26" t="s">
        <v>166</v>
      </c>
      <c r="FB851" s="26" t="s">
        <v>166</v>
      </c>
      <c r="FC851" s="26" t="s">
        <v>166</v>
      </c>
      <c r="FD851" s="26" t="s">
        <v>166</v>
      </c>
      <c r="FE851" s="26" t="s">
        <v>166</v>
      </c>
      <c r="FF851" s="26" t="s">
        <v>166</v>
      </c>
      <c r="FG851" s="25" t="s">
        <v>166</v>
      </c>
      <c r="FH851" s="4">
        <f>HYPERLINK("https://my.pitchbook.com?c=180359-65T","View Company Online")</f>
      </c>
    </row>
    <row r="852">
      <c r="A852" s="14" t="s">
        <v>16226</v>
      </c>
      <c r="B852" s="14" t="s">
        <v>16227</v>
      </c>
      <c r="C852" s="14" t="s">
        <v>16228</v>
      </c>
      <c r="D852" s="14" t="s">
        <v>166</v>
      </c>
      <c r="E852" s="23" t="s">
        <v>16229</v>
      </c>
      <c r="F852" s="21">
        <v>2</v>
      </c>
      <c r="G852" s="14" t="s">
        <v>16230</v>
      </c>
      <c r="H852" s="14" t="s">
        <v>166</v>
      </c>
      <c r="I852" s="14" t="s">
        <v>16231</v>
      </c>
      <c r="J852" s="14" t="s">
        <v>16232</v>
      </c>
      <c r="K852" s="14" t="s">
        <v>207</v>
      </c>
      <c r="L852" s="14" t="s">
        <v>208</v>
      </c>
      <c r="M852" s="14" t="s">
        <v>1940</v>
      </c>
      <c r="N852" s="14" t="s">
        <v>16233</v>
      </c>
      <c r="O852" s="14" t="s">
        <v>16234</v>
      </c>
      <c r="P852" s="14" t="s">
        <v>16235</v>
      </c>
      <c r="Q852" s="14" t="s">
        <v>166</v>
      </c>
      <c r="R852" s="14" t="s">
        <v>177</v>
      </c>
      <c r="S852" s="14" t="s">
        <v>178</v>
      </c>
      <c r="T852" s="14" t="s">
        <v>179</v>
      </c>
      <c r="U852" s="14" t="s">
        <v>16236</v>
      </c>
      <c r="V852" s="14" t="s">
        <v>16237</v>
      </c>
      <c r="W852" s="21" t="s">
        <v>16238</v>
      </c>
      <c r="X852" s="14" t="s">
        <v>166</v>
      </c>
      <c r="Y852" s="14" t="s">
        <v>16239</v>
      </c>
      <c r="Z852" s="14" t="s">
        <v>166</v>
      </c>
      <c r="AA852" s="14" t="s">
        <v>242</v>
      </c>
      <c r="AB852" s="14" t="s">
        <v>243</v>
      </c>
      <c r="AC852" s="14" t="s">
        <v>244</v>
      </c>
      <c r="AD852" s="14" t="s">
        <v>243</v>
      </c>
      <c r="AE852" s="14" t="s">
        <v>243</v>
      </c>
      <c r="AF852" s="14" t="s">
        <v>166</v>
      </c>
      <c r="AG852" s="14" t="s">
        <v>246</v>
      </c>
      <c r="AH852" s="21">
        <v>1</v>
      </c>
      <c r="AI852" s="3">
        <f>HYPERLINK("https://my.pitchbook.com/?d=225546-76T","225546-76T")</f>
      </c>
      <c r="AJ852" s="19" t="s">
        <v>166</v>
      </c>
      <c r="AK852" s="19">
        <v>44859</v>
      </c>
      <c r="AL852" s="18">
        <v>4.3</v>
      </c>
      <c r="AM852" s="14" t="s">
        <v>247</v>
      </c>
      <c r="AN852" s="18">
        <v>10</v>
      </c>
      <c r="AO852" s="18">
        <v>14.3</v>
      </c>
      <c r="AP852" s="14" t="s">
        <v>185</v>
      </c>
      <c r="AQ852" s="21" t="s">
        <v>166</v>
      </c>
      <c r="AR852" s="21" t="s">
        <v>166</v>
      </c>
      <c r="AS852" s="17">
        <v>34.92</v>
      </c>
      <c r="AT852" s="18">
        <v>4.3</v>
      </c>
      <c r="AU852" s="21" t="s">
        <v>186</v>
      </c>
      <c r="AV852" s="21" t="s">
        <v>166</v>
      </c>
      <c r="AW852" s="18">
        <v>1.12</v>
      </c>
      <c r="AX852" s="21" t="s">
        <v>166</v>
      </c>
      <c r="AY852" s="14" t="s">
        <v>217</v>
      </c>
      <c r="AZ852" s="14" t="s">
        <v>217</v>
      </c>
      <c r="BA852" s="14" t="s">
        <v>166</v>
      </c>
      <c r="BB852" s="21" t="s">
        <v>166</v>
      </c>
      <c r="BC852" s="14" t="s">
        <v>179</v>
      </c>
      <c r="BD852" s="14" t="s">
        <v>16232</v>
      </c>
      <c r="BE852" s="14" t="s">
        <v>189</v>
      </c>
      <c r="BF852" s="18">
        <v>4.3</v>
      </c>
      <c r="BG852" s="14" t="s">
        <v>190</v>
      </c>
      <c r="BH852" s="14" t="s">
        <v>166</v>
      </c>
      <c r="BI852" s="14" t="s">
        <v>166</v>
      </c>
      <c r="BJ852" s="18" t="s">
        <v>166</v>
      </c>
      <c r="BK852" s="18" t="s">
        <v>166</v>
      </c>
      <c r="BL852" s="14" t="s">
        <v>191</v>
      </c>
      <c r="BM852" s="14" t="s">
        <v>178</v>
      </c>
      <c r="BN852" s="14" t="s">
        <v>177</v>
      </c>
      <c r="BO852" s="22" t="s">
        <v>166</v>
      </c>
      <c r="BP852" s="14" t="s">
        <v>16229</v>
      </c>
      <c r="BQ852" s="21">
        <v>2</v>
      </c>
      <c r="BR852" s="14" t="s">
        <v>166</v>
      </c>
      <c r="BS852" s="21" t="s">
        <v>166</v>
      </c>
      <c r="BT852" s="14" t="s">
        <v>166</v>
      </c>
      <c r="BU852" s="14" t="s">
        <v>166</v>
      </c>
      <c r="BV852" s="14" t="s">
        <v>14585</v>
      </c>
      <c r="BW852" s="14" t="s">
        <v>166</v>
      </c>
      <c r="BX852" s="14" t="s">
        <v>166</v>
      </c>
      <c r="BY852" s="14" t="s">
        <v>166</v>
      </c>
      <c r="BZ852" s="14" t="s">
        <v>166</v>
      </c>
      <c r="CA852" s="14" t="s">
        <v>166</v>
      </c>
      <c r="CB852" s="14" t="s">
        <v>166</v>
      </c>
      <c r="CC852" s="14" t="s">
        <v>166</v>
      </c>
      <c r="CD852" s="14" t="s">
        <v>166</v>
      </c>
      <c r="CE852" s="18" t="s">
        <v>166</v>
      </c>
      <c r="CF852" s="16" t="s">
        <v>166</v>
      </c>
      <c r="CG852" s="17" t="s">
        <v>166</v>
      </c>
      <c r="CH852" s="16" t="s">
        <v>166</v>
      </c>
      <c r="CI852" s="16" t="s">
        <v>166</v>
      </c>
      <c r="CJ852" s="16" t="s">
        <v>166</v>
      </c>
      <c r="CK852" s="16" t="s">
        <v>166</v>
      </c>
      <c r="CL852" s="16" t="s">
        <v>166</v>
      </c>
      <c r="CM852" s="20" t="s">
        <v>166</v>
      </c>
      <c r="CN852" s="16" t="s">
        <v>166</v>
      </c>
      <c r="CO852" s="16" t="s">
        <v>166</v>
      </c>
      <c r="CP852" s="16" t="s">
        <v>166</v>
      </c>
      <c r="CQ852" s="16" t="s">
        <v>166</v>
      </c>
      <c r="CR852" s="16" t="s">
        <v>166</v>
      </c>
      <c r="CS852" s="16" t="s">
        <v>166</v>
      </c>
      <c r="CT852" s="16" t="s">
        <v>166</v>
      </c>
      <c r="CU852" s="16" t="s">
        <v>166</v>
      </c>
      <c r="CV852" s="16" t="s">
        <v>166</v>
      </c>
      <c r="CW852" s="16" t="s">
        <v>166</v>
      </c>
      <c r="CX852" s="16" t="s">
        <v>166</v>
      </c>
      <c r="CY852" s="16" t="s">
        <v>166</v>
      </c>
      <c r="CZ852" s="16" t="s">
        <v>166</v>
      </c>
      <c r="DA852" s="16" t="s">
        <v>166</v>
      </c>
      <c r="DB852" s="16" t="s">
        <v>166</v>
      </c>
      <c r="DC852" s="16" t="s">
        <v>166</v>
      </c>
      <c r="DD852" s="16" t="s">
        <v>166</v>
      </c>
      <c r="DE852" s="17" t="s">
        <v>166</v>
      </c>
      <c r="DF852" s="22">
        <v>16</v>
      </c>
      <c r="DG852" s="14" t="s">
        <v>16240</v>
      </c>
      <c r="DH852" s="14" t="s">
        <v>193</v>
      </c>
      <c r="DI852" s="14" t="s">
        <v>194</v>
      </c>
      <c r="DJ852" s="14" t="s">
        <v>16241</v>
      </c>
      <c r="DK852" s="14" t="s">
        <v>196</v>
      </c>
      <c r="DL852" s="21" t="s">
        <v>16242</v>
      </c>
      <c r="DM852" s="14" t="s">
        <v>198</v>
      </c>
      <c r="DN852" s="13" t="s">
        <v>16243</v>
      </c>
      <c r="DO852" s="20">
        <v>2022</v>
      </c>
      <c r="DP852" s="14" t="s">
        <v>166</v>
      </c>
      <c r="DQ852" s="14" t="s">
        <v>166</v>
      </c>
      <c r="DR852" s="18" t="s">
        <v>166</v>
      </c>
      <c r="DS852" s="16" t="s">
        <v>166</v>
      </c>
      <c r="DT852" s="19" t="s">
        <v>166</v>
      </c>
      <c r="DU852" s="14" t="s">
        <v>166</v>
      </c>
      <c r="DV852" s="18" t="s">
        <v>166</v>
      </c>
      <c r="DW852" s="18" t="s">
        <v>166</v>
      </c>
      <c r="DX852" s="16" t="s">
        <v>166</v>
      </c>
      <c r="DY852" s="16" t="s">
        <v>166</v>
      </c>
      <c r="DZ852" s="17" t="s">
        <v>166</v>
      </c>
      <c r="EA852" s="16" t="s">
        <v>166</v>
      </c>
      <c r="EB852" s="16" t="s">
        <v>166</v>
      </c>
      <c r="EC852" s="16" t="s">
        <v>166</v>
      </c>
      <c r="ED852" s="17" t="s">
        <v>166</v>
      </c>
      <c r="EE852" s="17" t="s">
        <v>166</v>
      </c>
      <c r="EF852" s="17" t="s">
        <v>166</v>
      </c>
      <c r="EG852" s="17" t="s">
        <v>166</v>
      </c>
      <c r="EH852" s="16" t="s">
        <v>166</v>
      </c>
      <c r="EI852" s="16" t="s">
        <v>166</v>
      </c>
      <c r="EJ852" s="16" t="s">
        <v>166</v>
      </c>
      <c r="EK852" s="16" t="s">
        <v>166</v>
      </c>
      <c r="EL852" s="16" t="s">
        <v>166</v>
      </c>
      <c r="EM852" s="16" t="s">
        <v>166</v>
      </c>
      <c r="EN852" s="16" t="s">
        <v>166</v>
      </c>
      <c r="EO852" s="16" t="s">
        <v>166</v>
      </c>
      <c r="EP852" s="16" t="s">
        <v>166</v>
      </c>
      <c r="EQ852" s="16" t="s">
        <v>166</v>
      </c>
      <c r="ER852" s="16" t="s">
        <v>166</v>
      </c>
      <c r="ES852" s="16" t="s">
        <v>166</v>
      </c>
      <c r="ET852" s="14" t="s">
        <v>166</v>
      </c>
      <c r="EU852" s="16" t="s">
        <v>166</v>
      </c>
      <c r="EV852" s="16" t="s">
        <v>166</v>
      </c>
      <c r="EW852" s="16" t="s">
        <v>166</v>
      </c>
      <c r="EX852" s="14" t="s">
        <v>190</v>
      </c>
      <c r="EY852" s="14" t="s">
        <v>166</v>
      </c>
      <c r="EZ852" s="16" t="s">
        <v>166</v>
      </c>
      <c r="FA852" s="15" t="s">
        <v>166</v>
      </c>
      <c r="FB852" s="15" t="s">
        <v>166</v>
      </c>
      <c r="FC852" s="15" t="s">
        <v>166</v>
      </c>
      <c r="FD852" s="15" t="s">
        <v>166</v>
      </c>
      <c r="FE852" s="15" t="s">
        <v>166</v>
      </c>
      <c r="FF852" s="15" t="s">
        <v>166</v>
      </c>
      <c r="FG852" s="14" t="s">
        <v>166</v>
      </c>
      <c r="FH852" s="3">
        <f>HYPERLINK("https://my.pitchbook.com?c=225546-76T","View Company Online")</f>
      </c>
    </row>
    <row r="853">
      <c r="A853" s="25" t="s">
        <v>16244</v>
      </c>
      <c r="B853" s="25" t="s">
        <v>16245</v>
      </c>
      <c r="C853" s="25" t="s">
        <v>16246</v>
      </c>
      <c r="D853" s="25" t="s">
        <v>166</v>
      </c>
      <c r="E853" s="34" t="s">
        <v>16247</v>
      </c>
      <c r="F853" s="32">
        <v>6</v>
      </c>
      <c r="G853" s="25" t="s">
        <v>16248</v>
      </c>
      <c r="H853" s="25" t="s">
        <v>166</v>
      </c>
      <c r="I853" s="25" t="s">
        <v>16249</v>
      </c>
      <c r="J853" s="25" t="s">
        <v>16250</v>
      </c>
      <c r="K853" s="25" t="s">
        <v>207</v>
      </c>
      <c r="L853" s="25" t="s">
        <v>208</v>
      </c>
      <c r="M853" s="25" t="s">
        <v>209</v>
      </c>
      <c r="N853" s="25" t="s">
        <v>684</v>
      </c>
      <c r="O853" s="25" t="s">
        <v>166</v>
      </c>
      <c r="P853" s="25" t="s">
        <v>16251</v>
      </c>
      <c r="Q853" s="25" t="s">
        <v>2555</v>
      </c>
      <c r="R853" s="25" t="s">
        <v>177</v>
      </c>
      <c r="S853" s="25" t="s">
        <v>178</v>
      </c>
      <c r="T853" s="25" t="s">
        <v>179</v>
      </c>
      <c r="U853" s="25" t="s">
        <v>16252</v>
      </c>
      <c r="V853" s="25" t="s">
        <v>16253</v>
      </c>
      <c r="W853" s="32" t="s">
        <v>166</v>
      </c>
      <c r="X853" s="25" t="s">
        <v>16254</v>
      </c>
      <c r="Y853" s="25" t="s">
        <v>16255</v>
      </c>
      <c r="Z853" s="25" t="s">
        <v>16256</v>
      </c>
      <c r="AA853" s="25" t="s">
        <v>242</v>
      </c>
      <c r="AB853" s="25" t="s">
        <v>243</v>
      </c>
      <c r="AC853" s="25" t="s">
        <v>244</v>
      </c>
      <c r="AD853" s="25" t="s">
        <v>243</v>
      </c>
      <c r="AE853" s="25" t="s">
        <v>243</v>
      </c>
      <c r="AF853" s="25" t="s">
        <v>245</v>
      </c>
      <c r="AG853" s="25" t="s">
        <v>246</v>
      </c>
      <c r="AH853" s="32">
        <v>1</v>
      </c>
      <c r="AI853" s="4">
        <f>HYPERLINK("https://my.pitchbook.com/?d=213090-58T","213090-58T")</f>
      </c>
      <c r="AJ853" s="30" t="s">
        <v>166</v>
      </c>
      <c r="AK853" s="30">
        <v>44943</v>
      </c>
      <c r="AL853" s="29">
        <v>9.5</v>
      </c>
      <c r="AM853" s="25" t="s">
        <v>185</v>
      </c>
      <c r="AN853" s="29">
        <v>44</v>
      </c>
      <c r="AO853" s="29">
        <v>53.5</v>
      </c>
      <c r="AP853" s="25" t="s">
        <v>185</v>
      </c>
      <c r="AQ853" s="32" t="s">
        <v>166</v>
      </c>
      <c r="AR853" s="32" t="s">
        <v>166</v>
      </c>
      <c r="AS853" s="28">
        <v>17.76</v>
      </c>
      <c r="AT853" s="29">
        <v>9.5</v>
      </c>
      <c r="AU853" s="32" t="s">
        <v>186</v>
      </c>
      <c r="AV853" s="32" t="s">
        <v>166</v>
      </c>
      <c r="AW853" s="29">
        <v>1.89</v>
      </c>
      <c r="AX853" s="32" t="s">
        <v>248</v>
      </c>
      <c r="AY853" s="25" t="s">
        <v>187</v>
      </c>
      <c r="AZ853" s="25" t="s">
        <v>248</v>
      </c>
      <c r="BA853" s="25" t="s">
        <v>166</v>
      </c>
      <c r="BB853" s="32" t="s">
        <v>166</v>
      </c>
      <c r="BC853" s="25" t="s">
        <v>179</v>
      </c>
      <c r="BD853" s="25" t="s">
        <v>16257</v>
      </c>
      <c r="BE853" s="25" t="s">
        <v>189</v>
      </c>
      <c r="BF853" s="29">
        <v>9.5</v>
      </c>
      <c r="BG853" s="25" t="s">
        <v>190</v>
      </c>
      <c r="BH853" s="25" t="s">
        <v>166</v>
      </c>
      <c r="BI853" s="25" t="s">
        <v>166</v>
      </c>
      <c r="BJ853" s="29" t="s">
        <v>166</v>
      </c>
      <c r="BK853" s="29" t="s">
        <v>166</v>
      </c>
      <c r="BL853" s="25" t="s">
        <v>191</v>
      </c>
      <c r="BM853" s="25" t="s">
        <v>178</v>
      </c>
      <c r="BN853" s="25" t="s">
        <v>177</v>
      </c>
      <c r="BO853" s="33" t="s">
        <v>166</v>
      </c>
      <c r="BP853" s="25" t="s">
        <v>16247</v>
      </c>
      <c r="BQ853" s="32">
        <v>6</v>
      </c>
      <c r="BR853" s="25" t="s">
        <v>166</v>
      </c>
      <c r="BS853" s="32" t="s">
        <v>166</v>
      </c>
      <c r="BT853" s="25" t="s">
        <v>870</v>
      </c>
      <c r="BU853" s="25" t="s">
        <v>166</v>
      </c>
      <c r="BV853" s="25" t="s">
        <v>871</v>
      </c>
      <c r="BW853" s="25" t="s">
        <v>166</v>
      </c>
      <c r="BX853" s="25" t="s">
        <v>166</v>
      </c>
      <c r="BY853" s="25" t="s">
        <v>166</v>
      </c>
      <c r="BZ853" s="25" t="s">
        <v>166</v>
      </c>
      <c r="CA853" s="25" t="s">
        <v>166</v>
      </c>
      <c r="CB853" s="25" t="s">
        <v>166</v>
      </c>
      <c r="CC853" s="25" t="s">
        <v>166</v>
      </c>
      <c r="CD853" s="25" t="s">
        <v>166</v>
      </c>
      <c r="CE853" s="29" t="s">
        <v>166</v>
      </c>
      <c r="CF853" s="27" t="s">
        <v>166</v>
      </c>
      <c r="CG853" s="28" t="s">
        <v>166</v>
      </c>
      <c r="CH853" s="27" t="s">
        <v>166</v>
      </c>
      <c r="CI853" s="27" t="s">
        <v>166</v>
      </c>
      <c r="CJ853" s="27" t="s">
        <v>166</v>
      </c>
      <c r="CK853" s="27" t="s">
        <v>166</v>
      </c>
      <c r="CL853" s="27" t="s">
        <v>166</v>
      </c>
      <c r="CM853" s="31" t="s">
        <v>166</v>
      </c>
      <c r="CN853" s="27" t="s">
        <v>166</v>
      </c>
      <c r="CO853" s="27" t="s">
        <v>166</v>
      </c>
      <c r="CP853" s="27" t="s">
        <v>166</v>
      </c>
      <c r="CQ853" s="27" t="s">
        <v>166</v>
      </c>
      <c r="CR853" s="27" t="s">
        <v>166</v>
      </c>
      <c r="CS853" s="27" t="s">
        <v>166</v>
      </c>
      <c r="CT853" s="27" t="s">
        <v>166</v>
      </c>
      <c r="CU853" s="27" t="s">
        <v>166</v>
      </c>
      <c r="CV853" s="27" t="s">
        <v>166</v>
      </c>
      <c r="CW853" s="27" t="s">
        <v>166</v>
      </c>
      <c r="CX853" s="27" t="s">
        <v>166</v>
      </c>
      <c r="CY853" s="27" t="s">
        <v>166</v>
      </c>
      <c r="CZ853" s="27" t="s">
        <v>166</v>
      </c>
      <c r="DA853" s="27" t="s">
        <v>166</v>
      </c>
      <c r="DB853" s="27" t="s">
        <v>166</v>
      </c>
      <c r="DC853" s="27" t="s">
        <v>166</v>
      </c>
      <c r="DD853" s="27" t="s">
        <v>166</v>
      </c>
      <c r="DE853" s="28" t="s">
        <v>166</v>
      </c>
      <c r="DF853" s="33">
        <v>26</v>
      </c>
      <c r="DG853" s="25" t="s">
        <v>1678</v>
      </c>
      <c r="DH853" s="25" t="s">
        <v>193</v>
      </c>
      <c r="DI853" s="25" t="s">
        <v>194</v>
      </c>
      <c r="DJ853" s="25" t="s">
        <v>1679</v>
      </c>
      <c r="DK853" s="25" t="s">
        <v>310</v>
      </c>
      <c r="DL853" s="32" t="s">
        <v>13762</v>
      </c>
      <c r="DM853" s="25" t="s">
        <v>198</v>
      </c>
      <c r="DN853" s="24" t="s">
        <v>16258</v>
      </c>
      <c r="DO853" s="31">
        <v>2022</v>
      </c>
      <c r="DP853" s="25" t="s">
        <v>166</v>
      </c>
      <c r="DQ853" s="25" t="s">
        <v>166</v>
      </c>
      <c r="DR853" s="29" t="s">
        <v>166</v>
      </c>
      <c r="DS853" s="27" t="s">
        <v>166</v>
      </c>
      <c r="DT853" s="30" t="s">
        <v>166</v>
      </c>
      <c r="DU853" s="25" t="s">
        <v>166</v>
      </c>
      <c r="DV853" s="29" t="s">
        <v>166</v>
      </c>
      <c r="DW853" s="29" t="s">
        <v>166</v>
      </c>
      <c r="DX853" s="27" t="s">
        <v>166</v>
      </c>
      <c r="DY853" s="27" t="s">
        <v>166</v>
      </c>
      <c r="DZ853" s="28" t="s">
        <v>166</v>
      </c>
      <c r="EA853" s="27" t="s">
        <v>166</v>
      </c>
      <c r="EB853" s="27" t="s">
        <v>166</v>
      </c>
      <c r="EC853" s="27" t="s">
        <v>166</v>
      </c>
      <c r="ED853" s="28" t="s">
        <v>166</v>
      </c>
      <c r="EE853" s="28" t="s">
        <v>166</v>
      </c>
      <c r="EF853" s="28" t="s">
        <v>166</v>
      </c>
      <c r="EG853" s="28" t="s">
        <v>166</v>
      </c>
      <c r="EH853" s="27" t="s">
        <v>166</v>
      </c>
      <c r="EI853" s="27" t="s">
        <v>166</v>
      </c>
      <c r="EJ853" s="27" t="s">
        <v>166</v>
      </c>
      <c r="EK853" s="27" t="s">
        <v>166</v>
      </c>
      <c r="EL853" s="27" t="s">
        <v>166</v>
      </c>
      <c r="EM853" s="27" t="s">
        <v>166</v>
      </c>
      <c r="EN853" s="27" t="s">
        <v>166</v>
      </c>
      <c r="EO853" s="27" t="s">
        <v>166</v>
      </c>
      <c r="EP853" s="27" t="s">
        <v>166</v>
      </c>
      <c r="EQ853" s="27" t="s">
        <v>166</v>
      </c>
      <c r="ER853" s="27" t="s">
        <v>166</v>
      </c>
      <c r="ES853" s="27" t="s">
        <v>166</v>
      </c>
      <c r="ET853" s="25" t="s">
        <v>166</v>
      </c>
      <c r="EU853" s="27" t="s">
        <v>166</v>
      </c>
      <c r="EV853" s="27" t="s">
        <v>166</v>
      </c>
      <c r="EW853" s="27" t="s">
        <v>166</v>
      </c>
      <c r="EX853" s="25" t="s">
        <v>190</v>
      </c>
      <c r="EY853" s="25" t="s">
        <v>166</v>
      </c>
      <c r="EZ853" s="27" t="s">
        <v>166</v>
      </c>
      <c r="FA853" s="26" t="s">
        <v>166</v>
      </c>
      <c r="FB853" s="26" t="s">
        <v>166</v>
      </c>
      <c r="FC853" s="26" t="s">
        <v>166</v>
      </c>
      <c r="FD853" s="26" t="s">
        <v>166</v>
      </c>
      <c r="FE853" s="26" t="s">
        <v>166</v>
      </c>
      <c r="FF853" s="26" t="s">
        <v>166</v>
      </c>
      <c r="FG853" s="25" t="s">
        <v>166</v>
      </c>
      <c r="FH853" s="4">
        <f>HYPERLINK("https://my.pitchbook.com?c=213090-58T","View Company Online")</f>
      </c>
    </row>
    <row r="854">
      <c r="A854" s="14" t="s">
        <v>16259</v>
      </c>
      <c r="B854" s="14" t="s">
        <v>16260</v>
      </c>
      <c r="C854" s="14" t="s">
        <v>16261</v>
      </c>
      <c r="D854" s="14" t="s">
        <v>166</v>
      </c>
      <c r="E854" s="23" t="s">
        <v>16262</v>
      </c>
      <c r="F854" s="21">
        <v>9</v>
      </c>
      <c r="G854" s="14" t="s">
        <v>16263</v>
      </c>
      <c r="H854" s="14" t="s">
        <v>166</v>
      </c>
      <c r="I854" s="14" t="s">
        <v>16264</v>
      </c>
      <c r="J854" s="14" t="s">
        <v>16265</v>
      </c>
      <c r="K854" s="14" t="s">
        <v>207</v>
      </c>
      <c r="L854" s="14" t="s">
        <v>208</v>
      </c>
      <c r="M854" s="14" t="s">
        <v>296</v>
      </c>
      <c r="N854" s="14" t="s">
        <v>1052</v>
      </c>
      <c r="O854" s="14" t="s">
        <v>2931</v>
      </c>
      <c r="P854" s="14" t="s">
        <v>16266</v>
      </c>
      <c r="Q854" s="14" t="s">
        <v>2555</v>
      </c>
      <c r="R854" s="14" t="s">
        <v>177</v>
      </c>
      <c r="S854" s="14" t="s">
        <v>178</v>
      </c>
      <c r="T854" s="14" t="s">
        <v>179</v>
      </c>
      <c r="U854" s="14" t="s">
        <v>16267</v>
      </c>
      <c r="V854" s="14" t="s">
        <v>16268</v>
      </c>
      <c r="W854" s="21" t="s">
        <v>166</v>
      </c>
      <c r="X854" s="14" t="s">
        <v>166</v>
      </c>
      <c r="Y854" s="14" t="s">
        <v>16269</v>
      </c>
      <c r="Z854" s="14" t="s">
        <v>166</v>
      </c>
      <c r="AA854" s="14" t="s">
        <v>166</v>
      </c>
      <c r="AB854" s="14" t="s">
        <v>166</v>
      </c>
      <c r="AC854" s="14" t="s">
        <v>166</v>
      </c>
      <c r="AD854" s="14" t="s">
        <v>166</v>
      </c>
      <c r="AE854" s="14" t="s">
        <v>166</v>
      </c>
      <c r="AF854" s="14" t="s">
        <v>166</v>
      </c>
      <c r="AG854" s="14" t="s">
        <v>166</v>
      </c>
      <c r="AH854" s="21">
        <v>1</v>
      </c>
      <c r="AI854" s="3">
        <f>HYPERLINK("https://my.pitchbook.com/?d=179900-29T","179900-29T")</f>
      </c>
      <c r="AJ854" s="19" t="s">
        <v>166</v>
      </c>
      <c r="AK854" s="19">
        <v>44298</v>
      </c>
      <c r="AL854" s="18">
        <v>1</v>
      </c>
      <c r="AM854" s="14" t="s">
        <v>185</v>
      </c>
      <c r="AN854" s="18" t="s">
        <v>166</v>
      </c>
      <c r="AO854" s="18" t="s">
        <v>166</v>
      </c>
      <c r="AP854" s="14" t="s">
        <v>166</v>
      </c>
      <c r="AQ854" s="21" t="s">
        <v>166</v>
      </c>
      <c r="AR854" s="21" t="s">
        <v>166</v>
      </c>
      <c r="AS854" s="17" t="s">
        <v>166</v>
      </c>
      <c r="AT854" s="18">
        <v>1</v>
      </c>
      <c r="AU854" s="21" t="s">
        <v>186</v>
      </c>
      <c r="AV854" s="21" t="s">
        <v>166</v>
      </c>
      <c r="AW854" s="18" t="s">
        <v>166</v>
      </c>
      <c r="AX854" s="21" t="s">
        <v>166</v>
      </c>
      <c r="AY854" s="14" t="s">
        <v>217</v>
      </c>
      <c r="AZ854" s="14" t="s">
        <v>217</v>
      </c>
      <c r="BA854" s="14" t="s">
        <v>166</v>
      </c>
      <c r="BB854" s="21" t="s">
        <v>166</v>
      </c>
      <c r="BC854" s="14" t="s">
        <v>179</v>
      </c>
      <c r="BD854" s="14" t="s">
        <v>16270</v>
      </c>
      <c r="BE854" s="14" t="s">
        <v>189</v>
      </c>
      <c r="BF854" s="18">
        <v>1</v>
      </c>
      <c r="BG854" s="14" t="s">
        <v>190</v>
      </c>
      <c r="BH854" s="14" t="s">
        <v>166</v>
      </c>
      <c r="BI854" s="14" t="s">
        <v>166</v>
      </c>
      <c r="BJ854" s="18" t="s">
        <v>166</v>
      </c>
      <c r="BK854" s="18" t="s">
        <v>166</v>
      </c>
      <c r="BL854" s="14" t="s">
        <v>191</v>
      </c>
      <c r="BM854" s="14" t="s">
        <v>178</v>
      </c>
      <c r="BN854" s="14" t="s">
        <v>177</v>
      </c>
      <c r="BO854" s="22" t="s">
        <v>166</v>
      </c>
      <c r="BP854" s="14" t="s">
        <v>16262</v>
      </c>
      <c r="BQ854" s="21">
        <v>9</v>
      </c>
      <c r="BR854" s="14" t="s">
        <v>166</v>
      </c>
      <c r="BS854" s="21" t="s">
        <v>166</v>
      </c>
      <c r="BT854" s="14" t="s">
        <v>16271</v>
      </c>
      <c r="BU854" s="14" t="s">
        <v>166</v>
      </c>
      <c r="BV854" s="14" t="s">
        <v>16272</v>
      </c>
      <c r="BW854" s="14" t="s">
        <v>166</v>
      </c>
      <c r="BX854" s="14" t="s">
        <v>166</v>
      </c>
      <c r="BY854" s="14" t="s">
        <v>166</v>
      </c>
      <c r="BZ854" s="14" t="s">
        <v>166</v>
      </c>
      <c r="CA854" s="14" t="s">
        <v>166</v>
      </c>
      <c r="CB854" s="14" t="s">
        <v>166</v>
      </c>
      <c r="CC854" s="14" t="s">
        <v>166</v>
      </c>
      <c r="CD854" s="14" t="s">
        <v>166</v>
      </c>
      <c r="CE854" s="18" t="s">
        <v>166</v>
      </c>
      <c r="CF854" s="16" t="s">
        <v>166</v>
      </c>
      <c r="CG854" s="17" t="s">
        <v>166</v>
      </c>
      <c r="CH854" s="16" t="s">
        <v>166</v>
      </c>
      <c r="CI854" s="16" t="s">
        <v>166</v>
      </c>
      <c r="CJ854" s="16" t="s">
        <v>166</v>
      </c>
      <c r="CK854" s="16" t="s">
        <v>166</v>
      </c>
      <c r="CL854" s="16" t="s">
        <v>166</v>
      </c>
      <c r="CM854" s="20" t="s">
        <v>166</v>
      </c>
      <c r="CN854" s="16" t="s">
        <v>166</v>
      </c>
      <c r="CO854" s="16" t="s">
        <v>166</v>
      </c>
      <c r="CP854" s="16" t="s">
        <v>166</v>
      </c>
      <c r="CQ854" s="16" t="s">
        <v>166</v>
      </c>
      <c r="CR854" s="16" t="s">
        <v>166</v>
      </c>
      <c r="CS854" s="16" t="s">
        <v>166</v>
      </c>
      <c r="CT854" s="16" t="s">
        <v>166</v>
      </c>
      <c r="CU854" s="16" t="s">
        <v>166</v>
      </c>
      <c r="CV854" s="16" t="s">
        <v>166</v>
      </c>
      <c r="CW854" s="16" t="s">
        <v>166</v>
      </c>
      <c r="CX854" s="16" t="s">
        <v>166</v>
      </c>
      <c r="CY854" s="16" t="s">
        <v>166</v>
      </c>
      <c r="CZ854" s="16" t="s">
        <v>166</v>
      </c>
      <c r="DA854" s="16" t="s">
        <v>166</v>
      </c>
      <c r="DB854" s="16" t="s">
        <v>166</v>
      </c>
      <c r="DC854" s="16" t="s">
        <v>166</v>
      </c>
      <c r="DD854" s="16" t="s">
        <v>166</v>
      </c>
      <c r="DE854" s="17" t="s">
        <v>166</v>
      </c>
      <c r="DF854" s="22">
        <v>14</v>
      </c>
      <c r="DG854" s="14" t="s">
        <v>309</v>
      </c>
      <c r="DH854" s="14" t="s">
        <v>193</v>
      </c>
      <c r="DI854" s="14" t="s">
        <v>194</v>
      </c>
      <c r="DJ854" s="14" t="s">
        <v>310</v>
      </c>
      <c r="DK854" s="14" t="s">
        <v>310</v>
      </c>
      <c r="DL854" s="21" t="s">
        <v>166</v>
      </c>
      <c r="DM854" s="14" t="s">
        <v>198</v>
      </c>
      <c r="DN854" s="13" t="s">
        <v>16273</v>
      </c>
      <c r="DO854" s="20">
        <v>2020</v>
      </c>
      <c r="DP854" s="14" t="s">
        <v>166</v>
      </c>
      <c r="DQ854" s="14" t="s">
        <v>166</v>
      </c>
      <c r="DR854" s="18" t="s">
        <v>166</v>
      </c>
      <c r="DS854" s="16" t="s">
        <v>166</v>
      </c>
      <c r="DT854" s="19" t="s">
        <v>166</v>
      </c>
      <c r="DU854" s="14" t="s">
        <v>166</v>
      </c>
      <c r="DV854" s="18" t="s">
        <v>166</v>
      </c>
      <c r="DW854" s="18" t="s">
        <v>166</v>
      </c>
      <c r="DX854" s="16" t="s">
        <v>166</v>
      </c>
      <c r="DY854" s="16" t="s">
        <v>166</v>
      </c>
      <c r="DZ854" s="17" t="s">
        <v>166</v>
      </c>
      <c r="EA854" s="16" t="s">
        <v>166</v>
      </c>
      <c r="EB854" s="16" t="s">
        <v>166</v>
      </c>
      <c r="EC854" s="16" t="s">
        <v>166</v>
      </c>
      <c r="ED854" s="17" t="s">
        <v>166</v>
      </c>
      <c r="EE854" s="17" t="s">
        <v>166</v>
      </c>
      <c r="EF854" s="17" t="s">
        <v>166</v>
      </c>
      <c r="EG854" s="17" t="s">
        <v>166</v>
      </c>
      <c r="EH854" s="16" t="s">
        <v>166</v>
      </c>
      <c r="EI854" s="16" t="s">
        <v>166</v>
      </c>
      <c r="EJ854" s="16" t="s">
        <v>166</v>
      </c>
      <c r="EK854" s="16" t="s">
        <v>166</v>
      </c>
      <c r="EL854" s="16" t="s">
        <v>166</v>
      </c>
      <c r="EM854" s="16" t="s">
        <v>166</v>
      </c>
      <c r="EN854" s="16" t="s">
        <v>166</v>
      </c>
      <c r="EO854" s="16" t="s">
        <v>166</v>
      </c>
      <c r="EP854" s="16" t="s">
        <v>166</v>
      </c>
      <c r="EQ854" s="16" t="s">
        <v>166</v>
      </c>
      <c r="ER854" s="16" t="s">
        <v>166</v>
      </c>
      <c r="ES854" s="16" t="s">
        <v>166</v>
      </c>
      <c r="ET854" s="14" t="s">
        <v>166</v>
      </c>
      <c r="EU854" s="16" t="s">
        <v>166</v>
      </c>
      <c r="EV854" s="16" t="s">
        <v>166</v>
      </c>
      <c r="EW854" s="16" t="s">
        <v>166</v>
      </c>
      <c r="EX854" s="14" t="s">
        <v>190</v>
      </c>
      <c r="EY854" s="14" t="s">
        <v>166</v>
      </c>
      <c r="EZ854" s="16" t="s">
        <v>166</v>
      </c>
      <c r="FA854" s="15">
        <v>2</v>
      </c>
      <c r="FB854" s="15">
        <v>2</v>
      </c>
      <c r="FC854" s="15">
        <v>1</v>
      </c>
      <c r="FD854" s="15" t="s">
        <v>166</v>
      </c>
      <c r="FE854" s="15">
        <v>1</v>
      </c>
      <c r="FF854" s="15">
        <v>1</v>
      </c>
      <c r="FG854" s="14" t="s">
        <v>16274</v>
      </c>
      <c r="FH854" s="3">
        <f>HYPERLINK("https://my.pitchbook.com?c=179900-29T","View Company Online")</f>
      </c>
    </row>
    <row r="855">
      <c r="A855" s="25" t="s">
        <v>16275</v>
      </c>
      <c r="B855" s="25" t="s">
        <v>16276</v>
      </c>
      <c r="C855" s="25" t="s">
        <v>16277</v>
      </c>
      <c r="D855" s="25" t="s">
        <v>166</v>
      </c>
      <c r="E855" s="34" t="s">
        <v>16278</v>
      </c>
      <c r="F855" s="32">
        <v>7</v>
      </c>
      <c r="G855" s="25" t="s">
        <v>16279</v>
      </c>
      <c r="H855" s="25" t="s">
        <v>166</v>
      </c>
      <c r="I855" s="25" t="s">
        <v>16280</v>
      </c>
      <c r="J855" s="25" t="s">
        <v>16281</v>
      </c>
      <c r="K855" s="25" t="s">
        <v>1455</v>
      </c>
      <c r="L855" s="25" t="s">
        <v>1984</v>
      </c>
      <c r="M855" s="25" t="s">
        <v>2112</v>
      </c>
      <c r="N855" s="25" t="s">
        <v>16282</v>
      </c>
      <c r="O855" s="25" t="s">
        <v>4964</v>
      </c>
      <c r="P855" s="25" t="s">
        <v>16283</v>
      </c>
      <c r="Q855" s="25" t="s">
        <v>166</v>
      </c>
      <c r="R855" s="25" t="s">
        <v>177</v>
      </c>
      <c r="S855" s="25" t="s">
        <v>178</v>
      </c>
      <c r="T855" s="25" t="s">
        <v>179</v>
      </c>
      <c r="U855" s="25" t="s">
        <v>16284</v>
      </c>
      <c r="V855" s="25" t="s">
        <v>16285</v>
      </c>
      <c r="W855" s="32" t="s">
        <v>16286</v>
      </c>
      <c r="X855" s="25" t="s">
        <v>166</v>
      </c>
      <c r="Y855" s="25" t="s">
        <v>16287</v>
      </c>
      <c r="Z855" s="25" t="s">
        <v>16288</v>
      </c>
      <c r="AA855" s="25" t="s">
        <v>166</v>
      </c>
      <c r="AB855" s="25" t="s">
        <v>166</v>
      </c>
      <c r="AC855" s="25" t="s">
        <v>166</v>
      </c>
      <c r="AD855" s="25" t="s">
        <v>166</v>
      </c>
      <c r="AE855" s="25" t="s">
        <v>166</v>
      </c>
      <c r="AF855" s="25" t="s">
        <v>166</v>
      </c>
      <c r="AG855" s="25" t="s">
        <v>166</v>
      </c>
      <c r="AH855" s="32">
        <v>2</v>
      </c>
      <c r="AI855" s="4">
        <f>HYPERLINK("https://my.pitchbook.com/?d=188476-03T","188476-03T")</f>
      </c>
      <c r="AJ855" s="30">
        <v>44581</v>
      </c>
      <c r="AK855" s="30">
        <v>45544</v>
      </c>
      <c r="AL855" s="29">
        <v>4.07</v>
      </c>
      <c r="AM855" s="25" t="s">
        <v>185</v>
      </c>
      <c r="AN855" s="29" t="s">
        <v>166</v>
      </c>
      <c r="AO855" s="29" t="s">
        <v>166</v>
      </c>
      <c r="AP855" s="25" t="s">
        <v>166</v>
      </c>
      <c r="AQ855" s="32" t="s">
        <v>166</v>
      </c>
      <c r="AR855" s="32" t="s">
        <v>166</v>
      </c>
      <c r="AS855" s="28" t="s">
        <v>166</v>
      </c>
      <c r="AT855" s="29">
        <v>4.07</v>
      </c>
      <c r="AU855" s="32" t="s">
        <v>186</v>
      </c>
      <c r="AV855" s="32" t="s">
        <v>166</v>
      </c>
      <c r="AW855" s="29" t="s">
        <v>166</v>
      </c>
      <c r="AX855" s="32" t="s">
        <v>166</v>
      </c>
      <c r="AY855" s="25" t="s">
        <v>217</v>
      </c>
      <c r="AZ855" s="25" t="s">
        <v>217</v>
      </c>
      <c r="BA855" s="25" t="s">
        <v>166</v>
      </c>
      <c r="BB855" s="32" t="s">
        <v>166</v>
      </c>
      <c r="BC855" s="25" t="s">
        <v>179</v>
      </c>
      <c r="BD855" s="25" t="s">
        <v>16289</v>
      </c>
      <c r="BE855" s="25" t="s">
        <v>189</v>
      </c>
      <c r="BF855" s="29" t="s">
        <v>166</v>
      </c>
      <c r="BG855" s="25" t="s">
        <v>190</v>
      </c>
      <c r="BH855" s="25" t="s">
        <v>166</v>
      </c>
      <c r="BI855" s="25" t="s">
        <v>166</v>
      </c>
      <c r="BJ855" s="29" t="s">
        <v>166</v>
      </c>
      <c r="BK855" s="29" t="s">
        <v>166</v>
      </c>
      <c r="BL855" s="25" t="s">
        <v>191</v>
      </c>
      <c r="BM855" s="25" t="s">
        <v>178</v>
      </c>
      <c r="BN855" s="25" t="s">
        <v>177</v>
      </c>
      <c r="BO855" s="33" t="s">
        <v>166</v>
      </c>
      <c r="BP855" s="25" t="s">
        <v>16290</v>
      </c>
      <c r="BQ855" s="32">
        <v>7</v>
      </c>
      <c r="BR855" s="25" t="s">
        <v>166</v>
      </c>
      <c r="BS855" s="32" t="s">
        <v>166</v>
      </c>
      <c r="BT855" s="25" t="s">
        <v>16291</v>
      </c>
      <c r="BU855" s="25" t="s">
        <v>166</v>
      </c>
      <c r="BV855" s="25" t="s">
        <v>166</v>
      </c>
      <c r="BW855" s="25" t="s">
        <v>166</v>
      </c>
      <c r="BX855" s="25" t="s">
        <v>166</v>
      </c>
      <c r="BY855" s="25" t="s">
        <v>166</v>
      </c>
      <c r="BZ855" s="25" t="s">
        <v>166</v>
      </c>
      <c r="CA855" s="25" t="s">
        <v>166</v>
      </c>
      <c r="CB855" s="25" t="s">
        <v>166</v>
      </c>
      <c r="CC855" s="25" t="s">
        <v>166</v>
      </c>
      <c r="CD855" s="25" t="s">
        <v>166</v>
      </c>
      <c r="CE855" s="29" t="s">
        <v>166</v>
      </c>
      <c r="CF855" s="27" t="s">
        <v>166</v>
      </c>
      <c r="CG855" s="28" t="s">
        <v>166</v>
      </c>
      <c r="CH855" s="27" t="s">
        <v>166</v>
      </c>
      <c r="CI855" s="27" t="s">
        <v>166</v>
      </c>
      <c r="CJ855" s="27" t="s">
        <v>166</v>
      </c>
      <c r="CK855" s="27" t="s">
        <v>166</v>
      </c>
      <c r="CL855" s="27" t="s">
        <v>166</v>
      </c>
      <c r="CM855" s="31" t="s">
        <v>166</v>
      </c>
      <c r="CN855" s="27" t="s">
        <v>166</v>
      </c>
      <c r="CO855" s="27" t="s">
        <v>166</v>
      </c>
      <c r="CP855" s="27" t="s">
        <v>166</v>
      </c>
      <c r="CQ855" s="27" t="s">
        <v>166</v>
      </c>
      <c r="CR855" s="27" t="s">
        <v>166</v>
      </c>
      <c r="CS855" s="27" t="s">
        <v>166</v>
      </c>
      <c r="CT855" s="27" t="s">
        <v>166</v>
      </c>
      <c r="CU855" s="27" t="s">
        <v>166</v>
      </c>
      <c r="CV855" s="27" t="s">
        <v>166</v>
      </c>
      <c r="CW855" s="27" t="s">
        <v>166</v>
      </c>
      <c r="CX855" s="27" t="s">
        <v>166</v>
      </c>
      <c r="CY855" s="27" t="s">
        <v>166</v>
      </c>
      <c r="CZ855" s="27" t="s">
        <v>166</v>
      </c>
      <c r="DA855" s="27" t="s">
        <v>166</v>
      </c>
      <c r="DB855" s="27" t="s">
        <v>166</v>
      </c>
      <c r="DC855" s="27" t="s">
        <v>166</v>
      </c>
      <c r="DD855" s="27" t="s">
        <v>166</v>
      </c>
      <c r="DE855" s="28" t="s">
        <v>166</v>
      </c>
      <c r="DF855" s="33">
        <v>48</v>
      </c>
      <c r="DG855" s="25" t="s">
        <v>16292</v>
      </c>
      <c r="DH855" s="25" t="s">
        <v>193</v>
      </c>
      <c r="DI855" s="25" t="s">
        <v>194</v>
      </c>
      <c r="DJ855" s="25" t="s">
        <v>16293</v>
      </c>
      <c r="DK855" s="25" t="s">
        <v>257</v>
      </c>
      <c r="DL855" s="32" t="s">
        <v>16294</v>
      </c>
      <c r="DM855" s="25" t="s">
        <v>198</v>
      </c>
      <c r="DN855" s="24" t="s">
        <v>16295</v>
      </c>
      <c r="DO855" s="31">
        <v>2020</v>
      </c>
      <c r="DP855" s="25" t="s">
        <v>166</v>
      </c>
      <c r="DQ855" s="25" t="s">
        <v>166</v>
      </c>
      <c r="DR855" s="29" t="s">
        <v>166</v>
      </c>
      <c r="DS855" s="27" t="s">
        <v>166</v>
      </c>
      <c r="DT855" s="30" t="s">
        <v>166</v>
      </c>
      <c r="DU855" s="25" t="s">
        <v>166</v>
      </c>
      <c r="DV855" s="29" t="s">
        <v>166</v>
      </c>
      <c r="DW855" s="29" t="s">
        <v>166</v>
      </c>
      <c r="DX855" s="27" t="s">
        <v>166</v>
      </c>
      <c r="DY855" s="27" t="s">
        <v>166</v>
      </c>
      <c r="DZ855" s="28" t="s">
        <v>166</v>
      </c>
      <c r="EA855" s="27" t="s">
        <v>166</v>
      </c>
      <c r="EB855" s="27" t="s">
        <v>166</v>
      </c>
      <c r="EC855" s="27" t="s">
        <v>166</v>
      </c>
      <c r="ED855" s="28" t="s">
        <v>166</v>
      </c>
      <c r="EE855" s="28" t="s">
        <v>166</v>
      </c>
      <c r="EF855" s="28" t="s">
        <v>166</v>
      </c>
      <c r="EG855" s="28" t="s">
        <v>166</v>
      </c>
      <c r="EH855" s="27" t="s">
        <v>166</v>
      </c>
      <c r="EI855" s="27" t="s">
        <v>166</v>
      </c>
      <c r="EJ855" s="27" t="s">
        <v>166</v>
      </c>
      <c r="EK855" s="27" t="s">
        <v>166</v>
      </c>
      <c r="EL855" s="27" t="s">
        <v>166</v>
      </c>
      <c r="EM855" s="27" t="s">
        <v>166</v>
      </c>
      <c r="EN855" s="27" t="s">
        <v>166</v>
      </c>
      <c r="EO855" s="27" t="s">
        <v>166</v>
      </c>
      <c r="EP855" s="27" t="s">
        <v>166</v>
      </c>
      <c r="EQ855" s="27" t="s">
        <v>166</v>
      </c>
      <c r="ER855" s="27" t="s">
        <v>166</v>
      </c>
      <c r="ES855" s="27" t="s">
        <v>166</v>
      </c>
      <c r="ET855" s="25" t="s">
        <v>166</v>
      </c>
      <c r="EU855" s="27" t="s">
        <v>166</v>
      </c>
      <c r="EV855" s="27" t="s">
        <v>166</v>
      </c>
      <c r="EW855" s="27" t="s">
        <v>166</v>
      </c>
      <c r="EX855" s="25" t="s">
        <v>190</v>
      </c>
      <c r="EY855" s="25" t="s">
        <v>166</v>
      </c>
      <c r="EZ855" s="27" t="s">
        <v>166</v>
      </c>
      <c r="FA855" s="26" t="s">
        <v>166</v>
      </c>
      <c r="FB855" s="26" t="s">
        <v>166</v>
      </c>
      <c r="FC855" s="26" t="s">
        <v>166</v>
      </c>
      <c r="FD855" s="26" t="s">
        <v>166</v>
      </c>
      <c r="FE855" s="26" t="s">
        <v>166</v>
      </c>
      <c r="FF855" s="26" t="s">
        <v>166</v>
      </c>
      <c r="FG855" s="25" t="s">
        <v>166</v>
      </c>
      <c r="FH855" s="4">
        <f>HYPERLINK("https://my.pitchbook.com?c=188476-03T","View Company Online")</f>
      </c>
    </row>
    <row r="856">
      <c r="A856" s="14" t="s">
        <v>16296</v>
      </c>
      <c r="B856" s="14" t="s">
        <v>16297</v>
      </c>
      <c r="C856" s="14" t="s">
        <v>16298</v>
      </c>
      <c r="D856" s="14" t="s">
        <v>166</v>
      </c>
      <c r="E856" s="23" t="s">
        <v>16299</v>
      </c>
      <c r="F856" s="21">
        <v>6</v>
      </c>
      <c r="G856" s="14" t="s">
        <v>16300</v>
      </c>
      <c r="H856" s="14" t="s">
        <v>166</v>
      </c>
      <c r="I856" s="14" t="s">
        <v>16301</v>
      </c>
      <c r="J856" s="14" t="s">
        <v>16302</v>
      </c>
      <c r="K856" s="14" t="s">
        <v>171</v>
      </c>
      <c r="L856" s="14" t="s">
        <v>172</v>
      </c>
      <c r="M856" s="14" t="s">
        <v>173</v>
      </c>
      <c r="N856" s="14" t="s">
        <v>16303</v>
      </c>
      <c r="O856" s="14" t="s">
        <v>4158</v>
      </c>
      <c r="P856" s="14" t="s">
        <v>16304</v>
      </c>
      <c r="Q856" s="14" t="s">
        <v>166</v>
      </c>
      <c r="R856" s="14" t="s">
        <v>177</v>
      </c>
      <c r="S856" s="14" t="s">
        <v>178</v>
      </c>
      <c r="T856" s="14" t="s">
        <v>179</v>
      </c>
      <c r="U856" s="14" t="s">
        <v>16305</v>
      </c>
      <c r="V856" s="14" t="s">
        <v>16306</v>
      </c>
      <c r="W856" s="21" t="s">
        <v>16307</v>
      </c>
      <c r="X856" s="14" t="s">
        <v>16308</v>
      </c>
      <c r="Y856" s="14" t="s">
        <v>16309</v>
      </c>
      <c r="Z856" s="14" t="s">
        <v>166</v>
      </c>
      <c r="AA856" s="14" t="s">
        <v>242</v>
      </c>
      <c r="AB856" s="14" t="s">
        <v>243</v>
      </c>
      <c r="AC856" s="14" t="s">
        <v>244</v>
      </c>
      <c r="AD856" s="14" t="s">
        <v>243</v>
      </c>
      <c r="AE856" s="14" t="s">
        <v>243</v>
      </c>
      <c r="AF856" s="14" t="s">
        <v>166</v>
      </c>
      <c r="AG856" s="14" t="s">
        <v>246</v>
      </c>
      <c r="AH856" s="21">
        <v>1</v>
      </c>
      <c r="AI856" s="3">
        <f>HYPERLINK("https://my.pitchbook.com/?d=202215-52T","202215-52T")</f>
      </c>
      <c r="AJ856" s="19">
        <v>44784</v>
      </c>
      <c r="AK856" s="19">
        <v>44846</v>
      </c>
      <c r="AL856" s="18">
        <v>2.07</v>
      </c>
      <c r="AM856" s="14" t="s">
        <v>185</v>
      </c>
      <c r="AN856" s="18">
        <v>4</v>
      </c>
      <c r="AO856" s="18">
        <v>6.07</v>
      </c>
      <c r="AP856" s="14" t="s">
        <v>185</v>
      </c>
      <c r="AQ856" s="21" t="s">
        <v>166</v>
      </c>
      <c r="AR856" s="21" t="s">
        <v>166</v>
      </c>
      <c r="AS856" s="17">
        <v>37.78</v>
      </c>
      <c r="AT856" s="18">
        <v>2.07</v>
      </c>
      <c r="AU856" s="21" t="s">
        <v>186</v>
      </c>
      <c r="AV856" s="21" t="s">
        <v>166</v>
      </c>
      <c r="AW856" s="18">
        <v>0.62</v>
      </c>
      <c r="AX856" s="21" t="s">
        <v>166</v>
      </c>
      <c r="AY856" s="14" t="s">
        <v>217</v>
      </c>
      <c r="AZ856" s="14" t="s">
        <v>217</v>
      </c>
      <c r="BA856" s="14" t="s">
        <v>166</v>
      </c>
      <c r="BB856" s="21" t="s">
        <v>166</v>
      </c>
      <c r="BC856" s="14" t="s">
        <v>179</v>
      </c>
      <c r="BD856" s="14" t="s">
        <v>16310</v>
      </c>
      <c r="BE856" s="14" t="s">
        <v>189</v>
      </c>
      <c r="BF856" s="18">
        <v>2.07</v>
      </c>
      <c r="BG856" s="14" t="s">
        <v>190</v>
      </c>
      <c r="BH856" s="14" t="s">
        <v>166</v>
      </c>
      <c r="BI856" s="14" t="s">
        <v>166</v>
      </c>
      <c r="BJ856" s="18" t="s">
        <v>166</v>
      </c>
      <c r="BK856" s="18" t="s">
        <v>166</v>
      </c>
      <c r="BL856" s="14" t="s">
        <v>191</v>
      </c>
      <c r="BM856" s="14" t="s">
        <v>178</v>
      </c>
      <c r="BN856" s="14" t="s">
        <v>177</v>
      </c>
      <c r="BO856" s="22" t="s">
        <v>166</v>
      </c>
      <c r="BP856" s="14" t="s">
        <v>16299</v>
      </c>
      <c r="BQ856" s="21">
        <v>6</v>
      </c>
      <c r="BR856" s="14" t="s">
        <v>166</v>
      </c>
      <c r="BS856" s="21" t="s">
        <v>166</v>
      </c>
      <c r="BT856" s="14" t="s">
        <v>166</v>
      </c>
      <c r="BU856" s="14" t="s">
        <v>166</v>
      </c>
      <c r="BV856" s="14" t="s">
        <v>16311</v>
      </c>
      <c r="BW856" s="14" t="s">
        <v>166</v>
      </c>
      <c r="BX856" s="14" t="s">
        <v>166</v>
      </c>
      <c r="BY856" s="14" t="s">
        <v>166</v>
      </c>
      <c r="BZ856" s="14" t="s">
        <v>16312</v>
      </c>
      <c r="CA856" s="14" t="s">
        <v>16312</v>
      </c>
      <c r="CB856" s="14" t="s">
        <v>166</v>
      </c>
      <c r="CC856" s="14" t="s">
        <v>166</v>
      </c>
      <c r="CD856" s="14" t="s">
        <v>166</v>
      </c>
      <c r="CE856" s="18" t="s">
        <v>166</v>
      </c>
      <c r="CF856" s="16" t="s">
        <v>166</v>
      </c>
      <c r="CG856" s="17" t="s">
        <v>166</v>
      </c>
      <c r="CH856" s="16" t="s">
        <v>166</v>
      </c>
      <c r="CI856" s="16" t="s">
        <v>166</v>
      </c>
      <c r="CJ856" s="16" t="s">
        <v>166</v>
      </c>
      <c r="CK856" s="16" t="s">
        <v>166</v>
      </c>
      <c r="CL856" s="16" t="s">
        <v>166</v>
      </c>
      <c r="CM856" s="20" t="s">
        <v>166</v>
      </c>
      <c r="CN856" s="16" t="s">
        <v>166</v>
      </c>
      <c r="CO856" s="16" t="s">
        <v>166</v>
      </c>
      <c r="CP856" s="16" t="s">
        <v>166</v>
      </c>
      <c r="CQ856" s="16" t="s">
        <v>166</v>
      </c>
      <c r="CR856" s="16" t="s">
        <v>166</v>
      </c>
      <c r="CS856" s="16" t="s">
        <v>166</v>
      </c>
      <c r="CT856" s="16" t="s">
        <v>166</v>
      </c>
      <c r="CU856" s="16" t="s">
        <v>166</v>
      </c>
      <c r="CV856" s="16" t="s">
        <v>166</v>
      </c>
      <c r="CW856" s="16" t="s">
        <v>166</v>
      </c>
      <c r="CX856" s="16" t="s">
        <v>166</v>
      </c>
      <c r="CY856" s="16" t="s">
        <v>166</v>
      </c>
      <c r="CZ856" s="16" t="s">
        <v>166</v>
      </c>
      <c r="DA856" s="16" t="s">
        <v>166</v>
      </c>
      <c r="DB856" s="16" t="s">
        <v>166</v>
      </c>
      <c r="DC856" s="16" t="s">
        <v>166</v>
      </c>
      <c r="DD856" s="16" t="s">
        <v>166</v>
      </c>
      <c r="DE856" s="17" t="s">
        <v>166</v>
      </c>
      <c r="DF856" s="22">
        <v>10</v>
      </c>
      <c r="DG856" s="14" t="s">
        <v>3174</v>
      </c>
      <c r="DH856" s="14" t="s">
        <v>193</v>
      </c>
      <c r="DI856" s="14" t="s">
        <v>194</v>
      </c>
      <c r="DJ856" s="14" t="s">
        <v>3175</v>
      </c>
      <c r="DK856" s="14" t="s">
        <v>1063</v>
      </c>
      <c r="DL856" s="21" t="s">
        <v>3176</v>
      </c>
      <c r="DM856" s="14" t="s">
        <v>198</v>
      </c>
      <c r="DN856" s="13" t="s">
        <v>16313</v>
      </c>
      <c r="DO856" s="20">
        <v>2021</v>
      </c>
      <c r="DP856" s="14" t="s">
        <v>166</v>
      </c>
      <c r="DQ856" s="14" t="s">
        <v>166</v>
      </c>
      <c r="DR856" s="18" t="s">
        <v>166</v>
      </c>
      <c r="DS856" s="16" t="s">
        <v>166</v>
      </c>
      <c r="DT856" s="19" t="s">
        <v>166</v>
      </c>
      <c r="DU856" s="14" t="s">
        <v>166</v>
      </c>
      <c r="DV856" s="18" t="s">
        <v>166</v>
      </c>
      <c r="DW856" s="18" t="s">
        <v>166</v>
      </c>
      <c r="DX856" s="16" t="s">
        <v>166</v>
      </c>
      <c r="DY856" s="16" t="s">
        <v>166</v>
      </c>
      <c r="DZ856" s="17" t="s">
        <v>166</v>
      </c>
      <c r="EA856" s="16" t="s">
        <v>166</v>
      </c>
      <c r="EB856" s="16" t="s">
        <v>166</v>
      </c>
      <c r="EC856" s="16" t="s">
        <v>166</v>
      </c>
      <c r="ED856" s="17" t="s">
        <v>166</v>
      </c>
      <c r="EE856" s="17" t="s">
        <v>166</v>
      </c>
      <c r="EF856" s="17" t="s">
        <v>166</v>
      </c>
      <c r="EG856" s="17" t="s">
        <v>166</v>
      </c>
      <c r="EH856" s="16" t="s">
        <v>166</v>
      </c>
      <c r="EI856" s="16" t="s">
        <v>166</v>
      </c>
      <c r="EJ856" s="16" t="s">
        <v>166</v>
      </c>
      <c r="EK856" s="16" t="s">
        <v>166</v>
      </c>
      <c r="EL856" s="16" t="s">
        <v>166</v>
      </c>
      <c r="EM856" s="16" t="s">
        <v>166</v>
      </c>
      <c r="EN856" s="16" t="s">
        <v>166</v>
      </c>
      <c r="EO856" s="16" t="s">
        <v>166</v>
      </c>
      <c r="EP856" s="16" t="s">
        <v>166</v>
      </c>
      <c r="EQ856" s="16" t="s">
        <v>166</v>
      </c>
      <c r="ER856" s="16" t="s">
        <v>166</v>
      </c>
      <c r="ES856" s="16" t="s">
        <v>166</v>
      </c>
      <c r="ET856" s="14" t="s">
        <v>166</v>
      </c>
      <c r="EU856" s="16" t="s">
        <v>166</v>
      </c>
      <c r="EV856" s="16" t="s">
        <v>166</v>
      </c>
      <c r="EW856" s="16" t="s">
        <v>166</v>
      </c>
      <c r="EX856" s="14" t="s">
        <v>190</v>
      </c>
      <c r="EY856" s="14" t="s">
        <v>166</v>
      </c>
      <c r="EZ856" s="16" t="s">
        <v>166</v>
      </c>
      <c r="FA856" s="15" t="s">
        <v>166</v>
      </c>
      <c r="FB856" s="15" t="s">
        <v>166</v>
      </c>
      <c r="FC856" s="15" t="s">
        <v>166</v>
      </c>
      <c r="FD856" s="15" t="s">
        <v>166</v>
      </c>
      <c r="FE856" s="15" t="s">
        <v>166</v>
      </c>
      <c r="FF856" s="15" t="s">
        <v>166</v>
      </c>
      <c r="FG856" s="14" t="s">
        <v>166</v>
      </c>
      <c r="FH856" s="3">
        <f>HYPERLINK("https://my.pitchbook.com?c=202215-52T","View Company Online")</f>
      </c>
    </row>
    <row r="857">
      <c r="A857" s="25" t="s">
        <v>16314</v>
      </c>
      <c r="B857" s="25" t="s">
        <v>16315</v>
      </c>
      <c r="C857" s="25" t="s">
        <v>16316</v>
      </c>
      <c r="D857" s="25" t="s">
        <v>166</v>
      </c>
      <c r="E857" s="34" t="s">
        <v>16317</v>
      </c>
      <c r="F857" s="32">
        <v>4</v>
      </c>
      <c r="G857" s="25" t="s">
        <v>16318</v>
      </c>
      <c r="H857" s="25" t="s">
        <v>166</v>
      </c>
      <c r="I857" s="25" t="s">
        <v>16319</v>
      </c>
      <c r="J857" s="25" t="s">
        <v>16320</v>
      </c>
      <c r="K857" s="25" t="s">
        <v>171</v>
      </c>
      <c r="L857" s="25" t="s">
        <v>172</v>
      </c>
      <c r="M857" s="25" t="s">
        <v>1033</v>
      </c>
      <c r="N857" s="25" t="s">
        <v>16321</v>
      </c>
      <c r="O857" s="25" t="s">
        <v>665</v>
      </c>
      <c r="P857" s="25" t="s">
        <v>16322</v>
      </c>
      <c r="Q857" s="25" t="s">
        <v>166</v>
      </c>
      <c r="R857" s="25" t="s">
        <v>177</v>
      </c>
      <c r="S857" s="25" t="s">
        <v>178</v>
      </c>
      <c r="T857" s="25" t="s">
        <v>179</v>
      </c>
      <c r="U857" s="25" t="s">
        <v>166</v>
      </c>
      <c r="V857" s="25" t="s">
        <v>166</v>
      </c>
      <c r="W857" s="32" t="s">
        <v>166</v>
      </c>
      <c r="X857" s="25" t="s">
        <v>166</v>
      </c>
      <c r="Y857" s="25" t="s">
        <v>166</v>
      </c>
      <c r="Z857" s="25" t="s">
        <v>166</v>
      </c>
      <c r="AA857" s="25" t="s">
        <v>166</v>
      </c>
      <c r="AB857" s="25" t="s">
        <v>166</v>
      </c>
      <c r="AC857" s="25" t="s">
        <v>166</v>
      </c>
      <c r="AD857" s="25" t="s">
        <v>166</v>
      </c>
      <c r="AE857" s="25" t="s">
        <v>166</v>
      </c>
      <c r="AF857" s="25" t="s">
        <v>166</v>
      </c>
      <c r="AG857" s="25" t="s">
        <v>166</v>
      </c>
      <c r="AH857" s="32">
        <v>5</v>
      </c>
      <c r="AI857" s="4">
        <f>HYPERLINK("https://my.pitchbook.com/?d=123261-49T","123261-49T")</f>
      </c>
      <c r="AJ857" s="30">
        <v>43565</v>
      </c>
      <c r="AK857" s="30">
        <v>44006</v>
      </c>
      <c r="AL857" s="29">
        <v>0.15</v>
      </c>
      <c r="AM857" s="25" t="s">
        <v>185</v>
      </c>
      <c r="AN857" s="29" t="s">
        <v>166</v>
      </c>
      <c r="AO857" s="29" t="s">
        <v>166</v>
      </c>
      <c r="AP857" s="25" t="s">
        <v>166</v>
      </c>
      <c r="AQ857" s="32" t="s">
        <v>166</v>
      </c>
      <c r="AR857" s="32" t="s">
        <v>166</v>
      </c>
      <c r="AS857" s="28" t="s">
        <v>166</v>
      </c>
      <c r="AT857" s="29">
        <v>0.18</v>
      </c>
      <c r="AU857" s="32" t="s">
        <v>186</v>
      </c>
      <c r="AV857" s="32" t="s">
        <v>166</v>
      </c>
      <c r="AW857" s="29" t="s">
        <v>166</v>
      </c>
      <c r="AX857" s="32" t="s">
        <v>166</v>
      </c>
      <c r="AY857" s="25" t="s">
        <v>217</v>
      </c>
      <c r="AZ857" s="25" t="s">
        <v>217</v>
      </c>
      <c r="BA857" s="25" t="s">
        <v>166</v>
      </c>
      <c r="BB857" s="32" t="s">
        <v>166</v>
      </c>
      <c r="BC857" s="25" t="s">
        <v>179</v>
      </c>
      <c r="BD857" s="25" t="s">
        <v>16323</v>
      </c>
      <c r="BE857" s="25" t="s">
        <v>189</v>
      </c>
      <c r="BF857" s="29">
        <v>0.15</v>
      </c>
      <c r="BG857" s="25" t="s">
        <v>190</v>
      </c>
      <c r="BH857" s="25" t="s">
        <v>166</v>
      </c>
      <c r="BI857" s="25" t="s">
        <v>166</v>
      </c>
      <c r="BJ857" s="29" t="s">
        <v>166</v>
      </c>
      <c r="BK857" s="29" t="s">
        <v>166</v>
      </c>
      <c r="BL857" s="25" t="s">
        <v>191</v>
      </c>
      <c r="BM857" s="25" t="s">
        <v>178</v>
      </c>
      <c r="BN857" s="25" t="s">
        <v>177</v>
      </c>
      <c r="BO857" s="33" t="s">
        <v>166</v>
      </c>
      <c r="BP857" s="25" t="s">
        <v>16324</v>
      </c>
      <c r="BQ857" s="32">
        <v>4</v>
      </c>
      <c r="BR857" s="25" t="s">
        <v>166</v>
      </c>
      <c r="BS857" s="32" t="s">
        <v>166</v>
      </c>
      <c r="BT857" s="25" t="s">
        <v>166</v>
      </c>
      <c r="BU857" s="25" t="s">
        <v>166</v>
      </c>
      <c r="BV857" s="25" t="s">
        <v>166</v>
      </c>
      <c r="BW857" s="25" t="s">
        <v>166</v>
      </c>
      <c r="BX857" s="25" t="s">
        <v>166</v>
      </c>
      <c r="BY857" s="25" t="s">
        <v>166</v>
      </c>
      <c r="BZ857" s="25" t="s">
        <v>166</v>
      </c>
      <c r="CA857" s="25" t="s">
        <v>166</v>
      </c>
      <c r="CB857" s="25" t="s">
        <v>166</v>
      </c>
      <c r="CC857" s="25" t="s">
        <v>166</v>
      </c>
      <c r="CD857" s="25" t="s">
        <v>166</v>
      </c>
      <c r="CE857" s="29" t="s">
        <v>166</v>
      </c>
      <c r="CF857" s="27" t="s">
        <v>166</v>
      </c>
      <c r="CG857" s="28" t="s">
        <v>166</v>
      </c>
      <c r="CH857" s="27" t="s">
        <v>166</v>
      </c>
      <c r="CI857" s="27" t="s">
        <v>166</v>
      </c>
      <c r="CJ857" s="27" t="s">
        <v>166</v>
      </c>
      <c r="CK857" s="27" t="s">
        <v>166</v>
      </c>
      <c r="CL857" s="27" t="s">
        <v>166</v>
      </c>
      <c r="CM857" s="31" t="s">
        <v>166</v>
      </c>
      <c r="CN857" s="27" t="s">
        <v>166</v>
      </c>
      <c r="CO857" s="27" t="s">
        <v>166</v>
      </c>
      <c r="CP857" s="27" t="s">
        <v>166</v>
      </c>
      <c r="CQ857" s="27" t="s">
        <v>166</v>
      </c>
      <c r="CR857" s="27" t="s">
        <v>166</v>
      </c>
      <c r="CS857" s="27" t="s">
        <v>166</v>
      </c>
      <c r="CT857" s="27" t="s">
        <v>166</v>
      </c>
      <c r="CU857" s="27" t="s">
        <v>166</v>
      </c>
      <c r="CV857" s="27" t="s">
        <v>166</v>
      </c>
      <c r="CW857" s="27" t="s">
        <v>166</v>
      </c>
      <c r="CX857" s="27" t="s">
        <v>166</v>
      </c>
      <c r="CY857" s="27" t="s">
        <v>166</v>
      </c>
      <c r="CZ857" s="27" t="s">
        <v>166</v>
      </c>
      <c r="DA857" s="27" t="s">
        <v>166</v>
      </c>
      <c r="DB857" s="27" t="s">
        <v>166</v>
      </c>
      <c r="DC857" s="27" t="s">
        <v>166</v>
      </c>
      <c r="DD857" s="27" t="s">
        <v>166</v>
      </c>
      <c r="DE857" s="28" t="s">
        <v>166</v>
      </c>
      <c r="DF857" s="33">
        <v>19</v>
      </c>
      <c r="DG857" s="25" t="s">
        <v>543</v>
      </c>
      <c r="DH857" s="25" t="s">
        <v>193</v>
      </c>
      <c r="DI857" s="25" t="s">
        <v>194</v>
      </c>
      <c r="DJ857" s="25" t="s">
        <v>544</v>
      </c>
      <c r="DK857" s="25" t="s">
        <v>545</v>
      </c>
      <c r="DL857" s="32" t="s">
        <v>16325</v>
      </c>
      <c r="DM857" s="25" t="s">
        <v>198</v>
      </c>
      <c r="DN857" s="24" t="s">
        <v>16326</v>
      </c>
      <c r="DO857" s="31">
        <v>2018</v>
      </c>
      <c r="DP857" s="25" t="s">
        <v>166</v>
      </c>
      <c r="DQ857" s="25" t="s">
        <v>166</v>
      </c>
      <c r="DR857" s="29" t="s">
        <v>166</v>
      </c>
      <c r="DS857" s="27" t="s">
        <v>166</v>
      </c>
      <c r="DT857" s="30" t="s">
        <v>166</v>
      </c>
      <c r="DU857" s="25" t="s">
        <v>166</v>
      </c>
      <c r="DV857" s="29" t="s">
        <v>166</v>
      </c>
      <c r="DW857" s="29" t="s">
        <v>166</v>
      </c>
      <c r="DX857" s="27" t="s">
        <v>166</v>
      </c>
      <c r="DY857" s="27" t="s">
        <v>166</v>
      </c>
      <c r="DZ857" s="28" t="s">
        <v>166</v>
      </c>
      <c r="EA857" s="27" t="s">
        <v>166</v>
      </c>
      <c r="EB857" s="27" t="s">
        <v>166</v>
      </c>
      <c r="EC857" s="27" t="s">
        <v>166</v>
      </c>
      <c r="ED857" s="28" t="s">
        <v>166</v>
      </c>
      <c r="EE857" s="28" t="s">
        <v>166</v>
      </c>
      <c r="EF857" s="28" t="s">
        <v>166</v>
      </c>
      <c r="EG857" s="28" t="s">
        <v>166</v>
      </c>
      <c r="EH857" s="27" t="s">
        <v>166</v>
      </c>
      <c r="EI857" s="27" t="s">
        <v>166</v>
      </c>
      <c r="EJ857" s="27" t="s">
        <v>166</v>
      </c>
      <c r="EK857" s="27" t="s">
        <v>166</v>
      </c>
      <c r="EL857" s="27" t="s">
        <v>166</v>
      </c>
      <c r="EM857" s="27" t="s">
        <v>166</v>
      </c>
      <c r="EN857" s="27" t="s">
        <v>166</v>
      </c>
      <c r="EO857" s="27" t="s">
        <v>166</v>
      </c>
      <c r="EP857" s="27" t="s">
        <v>166</v>
      </c>
      <c r="EQ857" s="27" t="s">
        <v>166</v>
      </c>
      <c r="ER857" s="27" t="s">
        <v>166</v>
      </c>
      <c r="ES857" s="27" t="s">
        <v>166</v>
      </c>
      <c r="ET857" s="25" t="s">
        <v>166</v>
      </c>
      <c r="EU857" s="27" t="s">
        <v>166</v>
      </c>
      <c r="EV857" s="27" t="s">
        <v>166</v>
      </c>
      <c r="EW857" s="27" t="s">
        <v>166</v>
      </c>
      <c r="EX857" s="25" t="s">
        <v>190</v>
      </c>
      <c r="EY857" s="25" t="s">
        <v>166</v>
      </c>
      <c r="EZ857" s="27" t="s">
        <v>166</v>
      </c>
      <c r="FA857" s="26">
        <v>3</v>
      </c>
      <c r="FB857" s="26">
        <v>2</v>
      </c>
      <c r="FC857" s="26">
        <v>2</v>
      </c>
      <c r="FD857" s="26">
        <v>1</v>
      </c>
      <c r="FE857" s="26" t="s">
        <v>166</v>
      </c>
      <c r="FF857" s="26" t="s">
        <v>166</v>
      </c>
      <c r="FG857" s="25" t="s">
        <v>16327</v>
      </c>
      <c r="FH857" s="4">
        <f>HYPERLINK("https://my.pitchbook.com?c=123261-49T","View Company Online")</f>
      </c>
    </row>
    <row r="858">
      <c r="A858" s="14" t="s">
        <v>16328</v>
      </c>
      <c r="B858" s="14" t="s">
        <v>16329</v>
      </c>
      <c r="C858" s="14" t="s">
        <v>16330</v>
      </c>
      <c r="D858" s="14" t="s">
        <v>166</v>
      </c>
      <c r="E858" s="23" t="s">
        <v>16331</v>
      </c>
      <c r="F858" s="21">
        <v>5</v>
      </c>
      <c r="G858" s="14" t="s">
        <v>16332</v>
      </c>
      <c r="H858" s="14" t="s">
        <v>166</v>
      </c>
      <c r="I858" s="14" t="s">
        <v>16333</v>
      </c>
      <c r="J858" s="14" t="s">
        <v>16334</v>
      </c>
      <c r="K858" s="14" t="s">
        <v>1455</v>
      </c>
      <c r="L858" s="14" t="s">
        <v>5912</v>
      </c>
      <c r="M858" s="14" t="s">
        <v>7112</v>
      </c>
      <c r="N858" s="14" t="s">
        <v>16335</v>
      </c>
      <c r="O858" s="14" t="s">
        <v>16336</v>
      </c>
      <c r="P858" s="14" t="s">
        <v>16337</v>
      </c>
      <c r="Q858" s="14" t="s">
        <v>166</v>
      </c>
      <c r="R858" s="14" t="s">
        <v>177</v>
      </c>
      <c r="S858" s="14" t="s">
        <v>178</v>
      </c>
      <c r="T858" s="14" t="s">
        <v>179</v>
      </c>
      <c r="U858" s="14" t="s">
        <v>16338</v>
      </c>
      <c r="V858" s="14" t="s">
        <v>16339</v>
      </c>
      <c r="W858" s="21" t="s">
        <v>166</v>
      </c>
      <c r="X858" s="14" t="s">
        <v>166</v>
      </c>
      <c r="Y858" s="14" t="s">
        <v>16340</v>
      </c>
      <c r="Z858" s="14" t="s">
        <v>166</v>
      </c>
      <c r="AA858" s="14" t="s">
        <v>166</v>
      </c>
      <c r="AB858" s="14" t="s">
        <v>166</v>
      </c>
      <c r="AC858" s="14" t="s">
        <v>166</v>
      </c>
      <c r="AD858" s="14" t="s">
        <v>166</v>
      </c>
      <c r="AE858" s="14" t="s">
        <v>166</v>
      </c>
      <c r="AF858" s="14" t="s">
        <v>166</v>
      </c>
      <c r="AG858" s="14" t="s">
        <v>166</v>
      </c>
      <c r="AH858" s="21">
        <v>1</v>
      </c>
      <c r="AI858" s="3">
        <f>HYPERLINK("https://my.pitchbook.com/?d=158356-18T","158356-18T")</f>
      </c>
      <c r="AJ858" s="19">
        <v>44050</v>
      </c>
      <c r="AK858" s="19">
        <v>44132</v>
      </c>
      <c r="AL858" s="18">
        <v>0.22</v>
      </c>
      <c r="AM858" s="14" t="s">
        <v>185</v>
      </c>
      <c r="AN858" s="18" t="s">
        <v>166</v>
      </c>
      <c r="AO858" s="18" t="s">
        <v>166</v>
      </c>
      <c r="AP858" s="14" t="s">
        <v>166</v>
      </c>
      <c r="AQ858" s="21" t="s">
        <v>166</v>
      </c>
      <c r="AR858" s="21" t="s">
        <v>166</v>
      </c>
      <c r="AS858" s="17" t="s">
        <v>166</v>
      </c>
      <c r="AT858" s="18">
        <v>0.22</v>
      </c>
      <c r="AU858" s="21" t="s">
        <v>186</v>
      </c>
      <c r="AV858" s="21" t="s">
        <v>166</v>
      </c>
      <c r="AW858" s="18" t="s">
        <v>166</v>
      </c>
      <c r="AX858" s="21" t="s">
        <v>166</v>
      </c>
      <c r="AY858" s="14" t="s">
        <v>217</v>
      </c>
      <c r="AZ858" s="14" t="s">
        <v>217</v>
      </c>
      <c r="BA858" s="14" t="s">
        <v>166</v>
      </c>
      <c r="BB858" s="21" t="s">
        <v>166</v>
      </c>
      <c r="BC858" s="14" t="s">
        <v>179</v>
      </c>
      <c r="BD858" s="14" t="s">
        <v>16341</v>
      </c>
      <c r="BE858" s="14" t="s">
        <v>189</v>
      </c>
      <c r="BF858" s="18">
        <v>0.22</v>
      </c>
      <c r="BG858" s="14" t="s">
        <v>190</v>
      </c>
      <c r="BH858" s="14" t="s">
        <v>166</v>
      </c>
      <c r="BI858" s="14" t="s">
        <v>166</v>
      </c>
      <c r="BJ858" s="18" t="s">
        <v>166</v>
      </c>
      <c r="BK858" s="18" t="s">
        <v>166</v>
      </c>
      <c r="BL858" s="14" t="s">
        <v>191</v>
      </c>
      <c r="BM858" s="14" t="s">
        <v>178</v>
      </c>
      <c r="BN858" s="14" t="s">
        <v>177</v>
      </c>
      <c r="BO858" s="22" t="s">
        <v>166</v>
      </c>
      <c r="BP858" s="14" t="s">
        <v>16342</v>
      </c>
      <c r="BQ858" s="21">
        <v>5</v>
      </c>
      <c r="BR858" s="14" t="s">
        <v>166</v>
      </c>
      <c r="BS858" s="21" t="s">
        <v>166</v>
      </c>
      <c r="BT858" s="14" t="s">
        <v>16343</v>
      </c>
      <c r="BU858" s="14" t="s">
        <v>166</v>
      </c>
      <c r="BV858" s="14" t="s">
        <v>16344</v>
      </c>
      <c r="BW858" s="14" t="s">
        <v>166</v>
      </c>
      <c r="BX858" s="14" t="s">
        <v>166</v>
      </c>
      <c r="BY858" s="14" t="s">
        <v>166</v>
      </c>
      <c r="BZ858" s="14" t="s">
        <v>166</v>
      </c>
      <c r="CA858" s="14" t="s">
        <v>166</v>
      </c>
      <c r="CB858" s="14" t="s">
        <v>166</v>
      </c>
      <c r="CC858" s="14" t="s">
        <v>166</v>
      </c>
      <c r="CD858" s="14" t="s">
        <v>166</v>
      </c>
      <c r="CE858" s="18" t="s">
        <v>166</v>
      </c>
      <c r="CF858" s="16" t="s">
        <v>166</v>
      </c>
      <c r="CG858" s="17" t="s">
        <v>166</v>
      </c>
      <c r="CH858" s="16" t="s">
        <v>166</v>
      </c>
      <c r="CI858" s="16" t="s">
        <v>166</v>
      </c>
      <c r="CJ858" s="16" t="s">
        <v>166</v>
      </c>
      <c r="CK858" s="16" t="s">
        <v>166</v>
      </c>
      <c r="CL858" s="16" t="s">
        <v>166</v>
      </c>
      <c r="CM858" s="20" t="s">
        <v>166</v>
      </c>
      <c r="CN858" s="16" t="s">
        <v>166</v>
      </c>
      <c r="CO858" s="16" t="s">
        <v>166</v>
      </c>
      <c r="CP858" s="16" t="s">
        <v>166</v>
      </c>
      <c r="CQ858" s="16" t="s">
        <v>166</v>
      </c>
      <c r="CR858" s="16" t="s">
        <v>166</v>
      </c>
      <c r="CS858" s="16" t="s">
        <v>166</v>
      </c>
      <c r="CT858" s="16" t="s">
        <v>166</v>
      </c>
      <c r="CU858" s="16" t="s">
        <v>166</v>
      </c>
      <c r="CV858" s="16" t="s">
        <v>166</v>
      </c>
      <c r="CW858" s="16" t="s">
        <v>166</v>
      </c>
      <c r="CX858" s="16" t="s">
        <v>166</v>
      </c>
      <c r="CY858" s="16" t="s">
        <v>166</v>
      </c>
      <c r="CZ858" s="16" t="s">
        <v>166</v>
      </c>
      <c r="DA858" s="16" t="s">
        <v>166</v>
      </c>
      <c r="DB858" s="16" t="s">
        <v>166</v>
      </c>
      <c r="DC858" s="16" t="s">
        <v>166</v>
      </c>
      <c r="DD858" s="16" t="s">
        <v>166</v>
      </c>
      <c r="DE858" s="17" t="s">
        <v>166</v>
      </c>
      <c r="DF858" s="22">
        <v>10</v>
      </c>
      <c r="DG858" s="14" t="s">
        <v>16345</v>
      </c>
      <c r="DH858" s="14" t="s">
        <v>193</v>
      </c>
      <c r="DI858" s="14" t="s">
        <v>194</v>
      </c>
      <c r="DJ858" s="14" t="s">
        <v>16346</v>
      </c>
      <c r="DK858" s="14" t="s">
        <v>8633</v>
      </c>
      <c r="DL858" s="21" t="s">
        <v>16347</v>
      </c>
      <c r="DM858" s="14" t="s">
        <v>198</v>
      </c>
      <c r="DN858" s="13" t="s">
        <v>16348</v>
      </c>
      <c r="DO858" s="20">
        <v>2020</v>
      </c>
      <c r="DP858" s="14" t="s">
        <v>166</v>
      </c>
      <c r="DQ858" s="14" t="s">
        <v>166</v>
      </c>
      <c r="DR858" s="18" t="s">
        <v>166</v>
      </c>
      <c r="DS858" s="16" t="s">
        <v>166</v>
      </c>
      <c r="DT858" s="19" t="s">
        <v>166</v>
      </c>
      <c r="DU858" s="14" t="s">
        <v>166</v>
      </c>
      <c r="DV858" s="18" t="s">
        <v>166</v>
      </c>
      <c r="DW858" s="18" t="s">
        <v>166</v>
      </c>
      <c r="DX858" s="16" t="s">
        <v>166</v>
      </c>
      <c r="DY858" s="16" t="s">
        <v>166</v>
      </c>
      <c r="DZ858" s="17" t="s">
        <v>166</v>
      </c>
      <c r="EA858" s="16" t="s">
        <v>166</v>
      </c>
      <c r="EB858" s="16" t="s">
        <v>166</v>
      </c>
      <c r="EC858" s="16" t="s">
        <v>166</v>
      </c>
      <c r="ED858" s="17" t="s">
        <v>166</v>
      </c>
      <c r="EE858" s="17" t="s">
        <v>166</v>
      </c>
      <c r="EF858" s="17" t="s">
        <v>166</v>
      </c>
      <c r="EG858" s="17" t="s">
        <v>166</v>
      </c>
      <c r="EH858" s="16" t="s">
        <v>166</v>
      </c>
      <c r="EI858" s="16" t="s">
        <v>166</v>
      </c>
      <c r="EJ858" s="16" t="s">
        <v>166</v>
      </c>
      <c r="EK858" s="16" t="s">
        <v>166</v>
      </c>
      <c r="EL858" s="16" t="s">
        <v>166</v>
      </c>
      <c r="EM858" s="16" t="s">
        <v>166</v>
      </c>
      <c r="EN858" s="16" t="s">
        <v>166</v>
      </c>
      <c r="EO858" s="16" t="s">
        <v>166</v>
      </c>
      <c r="EP858" s="16" t="s">
        <v>166</v>
      </c>
      <c r="EQ858" s="16" t="s">
        <v>166</v>
      </c>
      <c r="ER858" s="16" t="s">
        <v>166</v>
      </c>
      <c r="ES858" s="16" t="s">
        <v>166</v>
      </c>
      <c r="ET858" s="14" t="s">
        <v>166</v>
      </c>
      <c r="EU858" s="16" t="s">
        <v>166</v>
      </c>
      <c r="EV858" s="16" t="s">
        <v>166</v>
      </c>
      <c r="EW858" s="16" t="s">
        <v>166</v>
      </c>
      <c r="EX858" s="14" t="s">
        <v>190</v>
      </c>
      <c r="EY858" s="14" t="s">
        <v>166</v>
      </c>
      <c r="EZ858" s="16" t="s">
        <v>166</v>
      </c>
      <c r="FA858" s="15">
        <v>2</v>
      </c>
      <c r="FB858" s="15">
        <v>2</v>
      </c>
      <c r="FC858" s="15" t="s">
        <v>166</v>
      </c>
      <c r="FD858" s="15" t="s">
        <v>166</v>
      </c>
      <c r="FE858" s="15" t="s">
        <v>166</v>
      </c>
      <c r="FF858" s="15">
        <v>2</v>
      </c>
      <c r="FG858" s="14" t="s">
        <v>166</v>
      </c>
      <c r="FH858" s="3">
        <f>HYPERLINK("https://my.pitchbook.com?c=158356-18T","View Company Online")</f>
      </c>
    </row>
    <row r="859">
      <c r="A859" s="25" t="s">
        <v>16349</v>
      </c>
      <c r="B859" s="25" t="s">
        <v>16350</v>
      </c>
      <c r="C859" s="25" t="s">
        <v>16351</v>
      </c>
      <c r="D859" s="25" t="s">
        <v>166</v>
      </c>
      <c r="E859" s="34" t="s">
        <v>16352</v>
      </c>
      <c r="F859" s="32">
        <v>9</v>
      </c>
      <c r="G859" s="25" t="s">
        <v>16353</v>
      </c>
      <c r="H859" s="25" t="s">
        <v>166</v>
      </c>
      <c r="I859" s="25" t="s">
        <v>16354</v>
      </c>
      <c r="J859" s="25" t="s">
        <v>16355</v>
      </c>
      <c r="K859" s="25" t="s">
        <v>207</v>
      </c>
      <c r="L859" s="25" t="s">
        <v>208</v>
      </c>
      <c r="M859" s="25" t="s">
        <v>1940</v>
      </c>
      <c r="N859" s="25" t="s">
        <v>16356</v>
      </c>
      <c r="O859" s="25" t="s">
        <v>16357</v>
      </c>
      <c r="P859" s="25" t="s">
        <v>16358</v>
      </c>
      <c r="Q859" s="25" t="s">
        <v>166</v>
      </c>
      <c r="R859" s="25" t="s">
        <v>177</v>
      </c>
      <c r="S859" s="25" t="s">
        <v>178</v>
      </c>
      <c r="T859" s="25" t="s">
        <v>179</v>
      </c>
      <c r="U859" s="25" t="s">
        <v>16359</v>
      </c>
      <c r="V859" s="25" t="s">
        <v>16360</v>
      </c>
      <c r="W859" s="32" t="s">
        <v>16361</v>
      </c>
      <c r="X859" s="25" t="s">
        <v>166</v>
      </c>
      <c r="Y859" s="25" t="s">
        <v>16362</v>
      </c>
      <c r="Z859" s="25" t="s">
        <v>16363</v>
      </c>
      <c r="AA859" s="25" t="s">
        <v>242</v>
      </c>
      <c r="AB859" s="25" t="s">
        <v>243</v>
      </c>
      <c r="AC859" s="25" t="s">
        <v>244</v>
      </c>
      <c r="AD859" s="25" t="s">
        <v>243</v>
      </c>
      <c r="AE859" s="25" t="s">
        <v>243</v>
      </c>
      <c r="AF859" s="25" t="s">
        <v>166</v>
      </c>
      <c r="AG859" s="25" t="s">
        <v>246</v>
      </c>
      <c r="AH859" s="32">
        <v>2</v>
      </c>
      <c r="AI859" s="4">
        <f>HYPERLINK("https://my.pitchbook.com/?d=235061-11T","235061-11T")</f>
      </c>
      <c r="AJ859" s="30" t="s">
        <v>166</v>
      </c>
      <c r="AK859" s="30">
        <v>45169</v>
      </c>
      <c r="AL859" s="29">
        <v>6.28</v>
      </c>
      <c r="AM859" s="25" t="s">
        <v>185</v>
      </c>
      <c r="AN859" s="29">
        <v>9.72</v>
      </c>
      <c r="AO859" s="29">
        <v>16</v>
      </c>
      <c r="AP859" s="25" t="s">
        <v>185</v>
      </c>
      <c r="AQ859" s="32" t="s">
        <v>166</v>
      </c>
      <c r="AR859" s="32" t="s">
        <v>166</v>
      </c>
      <c r="AS859" s="28">
        <v>39.28</v>
      </c>
      <c r="AT859" s="29">
        <v>6.28</v>
      </c>
      <c r="AU859" s="32" t="s">
        <v>186</v>
      </c>
      <c r="AV859" s="32" t="s">
        <v>166</v>
      </c>
      <c r="AW859" s="29">
        <v>1.04</v>
      </c>
      <c r="AX859" s="32" t="s">
        <v>166</v>
      </c>
      <c r="AY859" s="25" t="s">
        <v>217</v>
      </c>
      <c r="AZ859" s="25" t="s">
        <v>217</v>
      </c>
      <c r="BA859" s="25" t="s">
        <v>166</v>
      </c>
      <c r="BB859" s="32" t="s">
        <v>166</v>
      </c>
      <c r="BC859" s="25" t="s">
        <v>179</v>
      </c>
      <c r="BD859" s="25" t="s">
        <v>16355</v>
      </c>
      <c r="BE859" s="25" t="s">
        <v>189</v>
      </c>
      <c r="BF859" s="29">
        <v>6.28</v>
      </c>
      <c r="BG859" s="25" t="s">
        <v>190</v>
      </c>
      <c r="BH859" s="25" t="s">
        <v>166</v>
      </c>
      <c r="BI859" s="25" t="s">
        <v>166</v>
      </c>
      <c r="BJ859" s="29" t="s">
        <v>166</v>
      </c>
      <c r="BK859" s="29" t="s">
        <v>166</v>
      </c>
      <c r="BL859" s="25" t="s">
        <v>191</v>
      </c>
      <c r="BM859" s="25" t="s">
        <v>178</v>
      </c>
      <c r="BN859" s="25" t="s">
        <v>177</v>
      </c>
      <c r="BO859" s="33" t="s">
        <v>166</v>
      </c>
      <c r="BP859" s="25" t="s">
        <v>16364</v>
      </c>
      <c r="BQ859" s="32">
        <v>9</v>
      </c>
      <c r="BR859" s="25" t="s">
        <v>166</v>
      </c>
      <c r="BS859" s="32" t="s">
        <v>166</v>
      </c>
      <c r="BT859" s="25" t="s">
        <v>16365</v>
      </c>
      <c r="BU859" s="25" t="s">
        <v>166</v>
      </c>
      <c r="BV859" s="25" t="s">
        <v>16366</v>
      </c>
      <c r="BW859" s="25" t="s">
        <v>166</v>
      </c>
      <c r="BX859" s="25" t="s">
        <v>166</v>
      </c>
      <c r="BY859" s="25" t="s">
        <v>166</v>
      </c>
      <c r="BZ859" s="25" t="s">
        <v>16367</v>
      </c>
      <c r="CA859" s="25" t="s">
        <v>166</v>
      </c>
      <c r="CB859" s="25" t="s">
        <v>166</v>
      </c>
      <c r="CC859" s="25" t="s">
        <v>16367</v>
      </c>
      <c r="CD859" s="25" t="s">
        <v>166</v>
      </c>
      <c r="CE859" s="29" t="s">
        <v>166</v>
      </c>
      <c r="CF859" s="27" t="s">
        <v>166</v>
      </c>
      <c r="CG859" s="28" t="s">
        <v>166</v>
      </c>
      <c r="CH859" s="27" t="s">
        <v>166</v>
      </c>
      <c r="CI859" s="27" t="s">
        <v>166</v>
      </c>
      <c r="CJ859" s="27" t="s">
        <v>166</v>
      </c>
      <c r="CK859" s="27" t="s">
        <v>166</v>
      </c>
      <c r="CL859" s="27" t="s">
        <v>166</v>
      </c>
      <c r="CM859" s="31" t="s">
        <v>166</v>
      </c>
      <c r="CN859" s="27" t="s">
        <v>166</v>
      </c>
      <c r="CO859" s="27" t="s">
        <v>166</v>
      </c>
      <c r="CP859" s="27" t="s">
        <v>166</v>
      </c>
      <c r="CQ859" s="27" t="s">
        <v>166</v>
      </c>
      <c r="CR859" s="27" t="s">
        <v>166</v>
      </c>
      <c r="CS859" s="27" t="s">
        <v>166</v>
      </c>
      <c r="CT859" s="27" t="s">
        <v>166</v>
      </c>
      <c r="CU859" s="27" t="s">
        <v>166</v>
      </c>
      <c r="CV859" s="27" t="s">
        <v>166</v>
      </c>
      <c r="CW859" s="27" t="s">
        <v>166</v>
      </c>
      <c r="CX859" s="27" t="s">
        <v>166</v>
      </c>
      <c r="CY859" s="27" t="s">
        <v>166</v>
      </c>
      <c r="CZ859" s="27" t="s">
        <v>166</v>
      </c>
      <c r="DA859" s="27" t="s">
        <v>166</v>
      </c>
      <c r="DB859" s="27" t="s">
        <v>166</v>
      </c>
      <c r="DC859" s="27" t="s">
        <v>166</v>
      </c>
      <c r="DD859" s="27" t="s">
        <v>166</v>
      </c>
      <c r="DE859" s="28" t="s">
        <v>166</v>
      </c>
      <c r="DF859" s="33">
        <v>9</v>
      </c>
      <c r="DG859" s="25" t="s">
        <v>5485</v>
      </c>
      <c r="DH859" s="25" t="s">
        <v>193</v>
      </c>
      <c r="DI859" s="25" t="s">
        <v>194</v>
      </c>
      <c r="DJ859" s="25" t="s">
        <v>5486</v>
      </c>
      <c r="DK859" s="25" t="s">
        <v>257</v>
      </c>
      <c r="DL859" s="32" t="s">
        <v>5487</v>
      </c>
      <c r="DM859" s="25" t="s">
        <v>198</v>
      </c>
      <c r="DN859" s="24" t="s">
        <v>16368</v>
      </c>
      <c r="DO859" s="31">
        <v>2019</v>
      </c>
      <c r="DP859" s="25" t="s">
        <v>166</v>
      </c>
      <c r="DQ859" s="25" t="s">
        <v>166</v>
      </c>
      <c r="DR859" s="29" t="s">
        <v>166</v>
      </c>
      <c r="DS859" s="27" t="s">
        <v>166</v>
      </c>
      <c r="DT859" s="30" t="s">
        <v>166</v>
      </c>
      <c r="DU859" s="25" t="s">
        <v>166</v>
      </c>
      <c r="DV859" s="29" t="s">
        <v>166</v>
      </c>
      <c r="DW859" s="29" t="s">
        <v>166</v>
      </c>
      <c r="DX859" s="27" t="s">
        <v>166</v>
      </c>
      <c r="DY859" s="27" t="s">
        <v>166</v>
      </c>
      <c r="DZ859" s="28" t="s">
        <v>166</v>
      </c>
      <c r="EA859" s="27" t="s">
        <v>166</v>
      </c>
      <c r="EB859" s="27" t="s">
        <v>166</v>
      </c>
      <c r="EC859" s="27" t="s">
        <v>166</v>
      </c>
      <c r="ED859" s="28" t="s">
        <v>166</v>
      </c>
      <c r="EE859" s="28" t="s">
        <v>166</v>
      </c>
      <c r="EF859" s="28" t="s">
        <v>166</v>
      </c>
      <c r="EG859" s="28" t="s">
        <v>166</v>
      </c>
      <c r="EH859" s="27" t="s">
        <v>166</v>
      </c>
      <c r="EI859" s="27" t="s">
        <v>166</v>
      </c>
      <c r="EJ859" s="27" t="s">
        <v>166</v>
      </c>
      <c r="EK859" s="27" t="s">
        <v>166</v>
      </c>
      <c r="EL859" s="27" t="s">
        <v>166</v>
      </c>
      <c r="EM859" s="27" t="s">
        <v>166</v>
      </c>
      <c r="EN859" s="27" t="s">
        <v>166</v>
      </c>
      <c r="EO859" s="27" t="s">
        <v>166</v>
      </c>
      <c r="EP859" s="27" t="s">
        <v>166</v>
      </c>
      <c r="EQ859" s="27" t="s">
        <v>166</v>
      </c>
      <c r="ER859" s="27" t="s">
        <v>166</v>
      </c>
      <c r="ES859" s="27" t="s">
        <v>166</v>
      </c>
      <c r="ET859" s="25" t="s">
        <v>166</v>
      </c>
      <c r="EU859" s="27" t="s">
        <v>166</v>
      </c>
      <c r="EV859" s="27" t="s">
        <v>166</v>
      </c>
      <c r="EW859" s="27" t="s">
        <v>166</v>
      </c>
      <c r="EX859" s="25" t="s">
        <v>190</v>
      </c>
      <c r="EY859" s="25" t="s">
        <v>166</v>
      </c>
      <c r="EZ859" s="27" t="s">
        <v>166</v>
      </c>
      <c r="FA859" s="26" t="s">
        <v>166</v>
      </c>
      <c r="FB859" s="26" t="s">
        <v>166</v>
      </c>
      <c r="FC859" s="26" t="s">
        <v>166</v>
      </c>
      <c r="FD859" s="26" t="s">
        <v>166</v>
      </c>
      <c r="FE859" s="26" t="s">
        <v>166</v>
      </c>
      <c r="FF859" s="26" t="s">
        <v>166</v>
      </c>
      <c r="FG859" s="25" t="s">
        <v>166</v>
      </c>
      <c r="FH859" s="4">
        <f>HYPERLINK("https://my.pitchbook.com?c=235061-11T","View Company Online")</f>
      </c>
    </row>
    <row r="860">
      <c r="A860" s="14" t="s">
        <v>16369</v>
      </c>
      <c r="B860" s="14" t="s">
        <v>16370</v>
      </c>
      <c r="C860" s="14" t="s">
        <v>16371</v>
      </c>
      <c r="D860" s="14">
        <v>32111</v>
      </c>
      <c r="E860" s="23" t="s">
        <v>16372</v>
      </c>
      <c r="F860" s="21">
        <v>7</v>
      </c>
      <c r="G860" s="14" t="s">
        <v>16373</v>
      </c>
      <c r="H860" s="14" t="s">
        <v>166</v>
      </c>
      <c r="I860" s="14" t="s">
        <v>16374</v>
      </c>
      <c r="J860" s="14" t="s">
        <v>16375</v>
      </c>
      <c r="K860" s="14" t="s">
        <v>321</v>
      </c>
      <c r="L860" s="14" t="s">
        <v>322</v>
      </c>
      <c r="M860" s="14" t="s">
        <v>322</v>
      </c>
      <c r="N860" s="14" t="s">
        <v>2410</v>
      </c>
      <c r="O860" s="14" t="s">
        <v>325</v>
      </c>
      <c r="P860" s="14" t="s">
        <v>16376</v>
      </c>
      <c r="Q860" s="14" t="s">
        <v>166</v>
      </c>
      <c r="R860" s="14" t="s">
        <v>177</v>
      </c>
      <c r="S860" s="14" t="s">
        <v>178</v>
      </c>
      <c r="T860" s="14" t="s">
        <v>179</v>
      </c>
      <c r="U860" s="14" t="s">
        <v>16377</v>
      </c>
      <c r="V860" s="14" t="s">
        <v>16378</v>
      </c>
      <c r="W860" s="21" t="s">
        <v>16379</v>
      </c>
      <c r="X860" s="14" t="s">
        <v>16380</v>
      </c>
      <c r="Y860" s="14" t="s">
        <v>16381</v>
      </c>
      <c r="Z860" s="14" t="s">
        <v>166</v>
      </c>
      <c r="AA860" s="14" t="s">
        <v>166</v>
      </c>
      <c r="AB860" s="14" t="s">
        <v>166</v>
      </c>
      <c r="AC860" s="14" t="s">
        <v>166</v>
      </c>
      <c r="AD860" s="14" t="s">
        <v>166</v>
      </c>
      <c r="AE860" s="14" t="s">
        <v>166</v>
      </c>
      <c r="AF860" s="14" t="s">
        <v>166</v>
      </c>
      <c r="AG860" s="14" t="s">
        <v>166</v>
      </c>
      <c r="AH860" s="21">
        <v>1</v>
      </c>
      <c r="AI860" s="3">
        <f>HYPERLINK("https://my.pitchbook.com/?d=195219-37T","195219-37T")</f>
      </c>
      <c r="AJ860" s="19" t="s">
        <v>166</v>
      </c>
      <c r="AK860" s="19">
        <v>44713</v>
      </c>
      <c r="AL860" s="18">
        <v>60</v>
      </c>
      <c r="AM860" s="14" t="s">
        <v>185</v>
      </c>
      <c r="AN860" s="18" t="s">
        <v>166</v>
      </c>
      <c r="AO860" s="18" t="s">
        <v>166</v>
      </c>
      <c r="AP860" s="14" t="s">
        <v>166</v>
      </c>
      <c r="AQ860" s="21" t="s">
        <v>166</v>
      </c>
      <c r="AR860" s="21" t="s">
        <v>166</v>
      </c>
      <c r="AS860" s="17" t="s">
        <v>166</v>
      </c>
      <c r="AT860" s="18">
        <v>60</v>
      </c>
      <c r="AU860" s="21" t="s">
        <v>186</v>
      </c>
      <c r="AV860" s="21" t="s">
        <v>166</v>
      </c>
      <c r="AW860" s="18" t="s">
        <v>166</v>
      </c>
      <c r="AX860" s="21" t="s">
        <v>166</v>
      </c>
      <c r="AY860" s="14" t="s">
        <v>217</v>
      </c>
      <c r="AZ860" s="14" t="s">
        <v>217</v>
      </c>
      <c r="BA860" s="14" t="s">
        <v>166</v>
      </c>
      <c r="BB860" s="21" t="s">
        <v>166</v>
      </c>
      <c r="BC860" s="14" t="s">
        <v>179</v>
      </c>
      <c r="BD860" s="14" t="s">
        <v>16382</v>
      </c>
      <c r="BE860" s="14" t="s">
        <v>189</v>
      </c>
      <c r="BF860" s="18">
        <v>10</v>
      </c>
      <c r="BG860" s="14" t="s">
        <v>190</v>
      </c>
      <c r="BH860" s="14" t="s">
        <v>166</v>
      </c>
      <c r="BI860" s="14" t="s">
        <v>166</v>
      </c>
      <c r="BJ860" s="18">
        <v>50</v>
      </c>
      <c r="BK860" s="18" t="s">
        <v>166</v>
      </c>
      <c r="BL860" s="14" t="s">
        <v>191</v>
      </c>
      <c r="BM860" s="14" t="s">
        <v>178</v>
      </c>
      <c r="BN860" s="14" t="s">
        <v>177</v>
      </c>
      <c r="BO860" s="22" t="s">
        <v>166</v>
      </c>
      <c r="BP860" s="14" t="s">
        <v>16383</v>
      </c>
      <c r="BQ860" s="21">
        <v>7</v>
      </c>
      <c r="BR860" s="14" t="s">
        <v>166</v>
      </c>
      <c r="BS860" s="21" t="s">
        <v>166</v>
      </c>
      <c r="BT860" s="14" t="s">
        <v>16384</v>
      </c>
      <c r="BU860" s="14" t="s">
        <v>166</v>
      </c>
      <c r="BV860" s="14" t="s">
        <v>166</v>
      </c>
      <c r="BW860" s="14" t="s">
        <v>166</v>
      </c>
      <c r="BX860" s="14" t="s">
        <v>166</v>
      </c>
      <c r="BY860" s="14" t="s">
        <v>166</v>
      </c>
      <c r="BZ860" s="14" t="s">
        <v>16385</v>
      </c>
      <c r="CA860" s="14" t="s">
        <v>872</v>
      </c>
      <c r="CB860" s="14" t="s">
        <v>166</v>
      </c>
      <c r="CC860" s="14" t="s">
        <v>2286</v>
      </c>
      <c r="CD860" s="14" t="s">
        <v>16386</v>
      </c>
      <c r="CE860" s="18" t="s">
        <v>166</v>
      </c>
      <c r="CF860" s="16" t="s">
        <v>166</v>
      </c>
      <c r="CG860" s="17" t="s">
        <v>166</v>
      </c>
      <c r="CH860" s="16" t="s">
        <v>166</v>
      </c>
      <c r="CI860" s="16" t="s">
        <v>166</v>
      </c>
      <c r="CJ860" s="16" t="s">
        <v>166</v>
      </c>
      <c r="CK860" s="16" t="s">
        <v>166</v>
      </c>
      <c r="CL860" s="16" t="s">
        <v>166</v>
      </c>
      <c r="CM860" s="20" t="s">
        <v>166</v>
      </c>
      <c r="CN860" s="16" t="s">
        <v>166</v>
      </c>
      <c r="CO860" s="16" t="s">
        <v>166</v>
      </c>
      <c r="CP860" s="16" t="s">
        <v>166</v>
      </c>
      <c r="CQ860" s="16" t="s">
        <v>166</v>
      </c>
      <c r="CR860" s="16" t="s">
        <v>166</v>
      </c>
      <c r="CS860" s="16" t="s">
        <v>166</v>
      </c>
      <c r="CT860" s="16" t="s">
        <v>166</v>
      </c>
      <c r="CU860" s="16" t="s">
        <v>166</v>
      </c>
      <c r="CV860" s="16" t="s">
        <v>166</v>
      </c>
      <c r="CW860" s="16" t="s">
        <v>166</v>
      </c>
      <c r="CX860" s="16" t="s">
        <v>166</v>
      </c>
      <c r="CY860" s="16">
        <v>5</v>
      </c>
      <c r="CZ860" s="16" t="s">
        <v>166</v>
      </c>
      <c r="DA860" s="16" t="s">
        <v>166</v>
      </c>
      <c r="DB860" s="16" t="s">
        <v>166</v>
      </c>
      <c r="DC860" s="16" t="s">
        <v>166</v>
      </c>
      <c r="DD860" s="16" t="s">
        <v>166</v>
      </c>
      <c r="DE860" s="17" t="s">
        <v>166</v>
      </c>
      <c r="DF860" s="22">
        <v>23</v>
      </c>
      <c r="DG860" s="14" t="s">
        <v>429</v>
      </c>
      <c r="DH860" s="14" t="s">
        <v>193</v>
      </c>
      <c r="DI860" s="14" t="s">
        <v>194</v>
      </c>
      <c r="DJ860" s="14" t="s">
        <v>430</v>
      </c>
      <c r="DK860" s="14" t="s">
        <v>431</v>
      </c>
      <c r="DL860" s="21" t="s">
        <v>166</v>
      </c>
      <c r="DM860" s="14" t="s">
        <v>198</v>
      </c>
      <c r="DN860" s="13" t="s">
        <v>16387</v>
      </c>
      <c r="DO860" s="20">
        <v>2021</v>
      </c>
      <c r="DP860" s="14">
        <v>56137</v>
      </c>
      <c r="DQ860" s="14" t="s">
        <v>16388</v>
      </c>
      <c r="DR860" s="18">
        <v>50</v>
      </c>
      <c r="DS860" s="16" t="s">
        <v>166</v>
      </c>
      <c r="DT860" s="19">
        <v>44797</v>
      </c>
      <c r="DU860" s="14" t="s">
        <v>16389</v>
      </c>
      <c r="DV860" s="18" t="s">
        <v>166</v>
      </c>
      <c r="DW860" s="18" t="s">
        <v>166</v>
      </c>
      <c r="DX860" s="16" t="s">
        <v>166</v>
      </c>
      <c r="DY860" s="16" t="s">
        <v>166</v>
      </c>
      <c r="DZ860" s="17" t="s">
        <v>166</v>
      </c>
      <c r="EA860" s="16" t="s">
        <v>166</v>
      </c>
      <c r="EB860" s="16" t="s">
        <v>166</v>
      </c>
      <c r="EC860" s="16" t="s">
        <v>166</v>
      </c>
      <c r="ED860" s="17" t="s">
        <v>166</v>
      </c>
      <c r="EE860" s="17" t="s">
        <v>166</v>
      </c>
      <c r="EF860" s="17" t="s">
        <v>166</v>
      </c>
      <c r="EG860" s="17" t="s">
        <v>166</v>
      </c>
      <c r="EH860" s="16" t="s">
        <v>166</v>
      </c>
      <c r="EI860" s="16" t="s">
        <v>166</v>
      </c>
      <c r="EJ860" s="16" t="s">
        <v>166</v>
      </c>
      <c r="EK860" s="16" t="s">
        <v>166</v>
      </c>
      <c r="EL860" s="16" t="s">
        <v>166</v>
      </c>
      <c r="EM860" s="16">
        <v>50</v>
      </c>
      <c r="EN860" s="16" t="s">
        <v>166</v>
      </c>
      <c r="EO860" s="16" t="s">
        <v>166</v>
      </c>
      <c r="EP860" s="16" t="s">
        <v>166</v>
      </c>
      <c r="EQ860" s="16" t="s">
        <v>166</v>
      </c>
      <c r="ER860" s="16" t="s">
        <v>166</v>
      </c>
      <c r="ES860" s="16" t="s">
        <v>166</v>
      </c>
      <c r="ET860" s="14" t="s">
        <v>243</v>
      </c>
      <c r="EU860" s="16" t="s">
        <v>166</v>
      </c>
      <c r="EV860" s="16" t="s">
        <v>166</v>
      </c>
      <c r="EW860" s="16" t="s">
        <v>166</v>
      </c>
      <c r="EX860" s="14" t="s">
        <v>190</v>
      </c>
      <c r="EY860" s="14" t="s">
        <v>190</v>
      </c>
      <c r="EZ860" s="16" t="s">
        <v>166</v>
      </c>
      <c r="FA860" s="15" t="s">
        <v>166</v>
      </c>
      <c r="FB860" s="15" t="s">
        <v>166</v>
      </c>
      <c r="FC860" s="15" t="s">
        <v>166</v>
      </c>
      <c r="FD860" s="15" t="s">
        <v>166</v>
      </c>
      <c r="FE860" s="15" t="s">
        <v>166</v>
      </c>
      <c r="FF860" s="15" t="s">
        <v>166</v>
      </c>
      <c r="FG860" s="14" t="s">
        <v>166</v>
      </c>
      <c r="FH860" s="3">
        <f>HYPERLINK("https://my.pitchbook.com?c=195219-37T","View Company Online")</f>
      </c>
    </row>
    <row r="861">
      <c r="A861" s="25" t="s">
        <v>16390</v>
      </c>
      <c r="B861" s="25" t="s">
        <v>16391</v>
      </c>
      <c r="C861" s="25" t="s">
        <v>16392</v>
      </c>
      <c r="D861" s="25" t="s">
        <v>166</v>
      </c>
      <c r="E861" s="34" t="s">
        <v>16393</v>
      </c>
      <c r="F861" s="32">
        <v>6</v>
      </c>
      <c r="G861" s="25" t="s">
        <v>16394</v>
      </c>
      <c r="H861" s="25" t="s">
        <v>166</v>
      </c>
      <c r="I861" s="25" t="s">
        <v>16395</v>
      </c>
      <c r="J861" s="25" t="s">
        <v>16396</v>
      </c>
      <c r="K861" s="25" t="s">
        <v>207</v>
      </c>
      <c r="L861" s="25" t="s">
        <v>208</v>
      </c>
      <c r="M861" s="25" t="s">
        <v>296</v>
      </c>
      <c r="N861" s="25" t="s">
        <v>1052</v>
      </c>
      <c r="O861" s="25" t="s">
        <v>16397</v>
      </c>
      <c r="P861" s="25" t="s">
        <v>16398</v>
      </c>
      <c r="Q861" s="25" t="s">
        <v>166</v>
      </c>
      <c r="R861" s="25" t="s">
        <v>177</v>
      </c>
      <c r="S861" s="25" t="s">
        <v>178</v>
      </c>
      <c r="T861" s="25" t="s">
        <v>179</v>
      </c>
      <c r="U861" s="25" t="s">
        <v>16399</v>
      </c>
      <c r="V861" s="25" t="s">
        <v>16400</v>
      </c>
      <c r="W861" s="32" t="s">
        <v>16401</v>
      </c>
      <c r="X861" s="25" t="s">
        <v>16402</v>
      </c>
      <c r="Y861" s="25" t="s">
        <v>16403</v>
      </c>
      <c r="Z861" s="25" t="s">
        <v>166</v>
      </c>
      <c r="AA861" s="25" t="s">
        <v>166</v>
      </c>
      <c r="AB861" s="25" t="s">
        <v>166</v>
      </c>
      <c r="AC861" s="25" t="s">
        <v>166</v>
      </c>
      <c r="AD861" s="25" t="s">
        <v>166</v>
      </c>
      <c r="AE861" s="25" t="s">
        <v>166</v>
      </c>
      <c r="AF861" s="25" t="s">
        <v>166</v>
      </c>
      <c r="AG861" s="25" t="s">
        <v>166</v>
      </c>
      <c r="AH861" s="32">
        <v>4</v>
      </c>
      <c r="AI861" s="4">
        <f>HYPERLINK("https://my.pitchbook.com/?d=169439-77T","169439-77T")</f>
      </c>
      <c r="AJ861" s="30" t="s">
        <v>166</v>
      </c>
      <c r="AK861" s="30">
        <v>44285</v>
      </c>
      <c r="AL861" s="29">
        <v>1.5</v>
      </c>
      <c r="AM861" s="25" t="s">
        <v>185</v>
      </c>
      <c r="AN861" s="29" t="s">
        <v>166</v>
      </c>
      <c r="AO861" s="29" t="s">
        <v>166</v>
      </c>
      <c r="AP861" s="25" t="s">
        <v>166</v>
      </c>
      <c r="AQ861" s="32" t="s">
        <v>166</v>
      </c>
      <c r="AR861" s="32" t="s">
        <v>166</v>
      </c>
      <c r="AS861" s="28" t="s">
        <v>166</v>
      </c>
      <c r="AT861" s="29">
        <v>1.83</v>
      </c>
      <c r="AU861" s="32" t="s">
        <v>186</v>
      </c>
      <c r="AV861" s="32" t="s">
        <v>166</v>
      </c>
      <c r="AW861" s="29" t="s">
        <v>166</v>
      </c>
      <c r="AX861" s="32" t="s">
        <v>166</v>
      </c>
      <c r="AY861" s="25" t="s">
        <v>217</v>
      </c>
      <c r="AZ861" s="25" t="s">
        <v>217</v>
      </c>
      <c r="BA861" s="25" t="s">
        <v>166</v>
      </c>
      <c r="BB861" s="32" t="s">
        <v>166</v>
      </c>
      <c r="BC861" s="25" t="s">
        <v>179</v>
      </c>
      <c r="BD861" s="25" t="s">
        <v>16404</v>
      </c>
      <c r="BE861" s="25" t="s">
        <v>189</v>
      </c>
      <c r="BF861" s="29">
        <v>1.5</v>
      </c>
      <c r="BG861" s="25" t="s">
        <v>190</v>
      </c>
      <c r="BH861" s="25" t="s">
        <v>166</v>
      </c>
      <c r="BI861" s="25" t="s">
        <v>166</v>
      </c>
      <c r="BJ861" s="29" t="s">
        <v>166</v>
      </c>
      <c r="BK861" s="29" t="s">
        <v>166</v>
      </c>
      <c r="BL861" s="25" t="s">
        <v>191</v>
      </c>
      <c r="BM861" s="25" t="s">
        <v>178</v>
      </c>
      <c r="BN861" s="25" t="s">
        <v>177</v>
      </c>
      <c r="BO861" s="33" t="s">
        <v>166</v>
      </c>
      <c r="BP861" s="25" t="s">
        <v>16405</v>
      </c>
      <c r="BQ861" s="32">
        <v>6</v>
      </c>
      <c r="BR861" s="25" t="s">
        <v>166</v>
      </c>
      <c r="BS861" s="32" t="s">
        <v>166</v>
      </c>
      <c r="BT861" s="25" t="s">
        <v>166</v>
      </c>
      <c r="BU861" s="25" t="s">
        <v>166</v>
      </c>
      <c r="BV861" s="25" t="s">
        <v>166</v>
      </c>
      <c r="BW861" s="25" t="s">
        <v>166</v>
      </c>
      <c r="BX861" s="25" t="s">
        <v>166</v>
      </c>
      <c r="BY861" s="25" t="s">
        <v>166</v>
      </c>
      <c r="BZ861" s="25" t="s">
        <v>166</v>
      </c>
      <c r="CA861" s="25" t="s">
        <v>166</v>
      </c>
      <c r="CB861" s="25" t="s">
        <v>166</v>
      </c>
      <c r="CC861" s="25" t="s">
        <v>166</v>
      </c>
      <c r="CD861" s="25" t="s">
        <v>166</v>
      </c>
      <c r="CE861" s="29" t="s">
        <v>166</v>
      </c>
      <c r="CF861" s="27" t="s">
        <v>166</v>
      </c>
      <c r="CG861" s="28" t="s">
        <v>166</v>
      </c>
      <c r="CH861" s="27" t="s">
        <v>166</v>
      </c>
      <c r="CI861" s="27" t="s">
        <v>166</v>
      </c>
      <c r="CJ861" s="27" t="s">
        <v>166</v>
      </c>
      <c r="CK861" s="27" t="s">
        <v>166</v>
      </c>
      <c r="CL861" s="27" t="s">
        <v>166</v>
      </c>
      <c r="CM861" s="31" t="s">
        <v>166</v>
      </c>
      <c r="CN861" s="27" t="s">
        <v>166</v>
      </c>
      <c r="CO861" s="27" t="s">
        <v>166</v>
      </c>
      <c r="CP861" s="27" t="s">
        <v>166</v>
      </c>
      <c r="CQ861" s="27" t="s">
        <v>166</v>
      </c>
      <c r="CR861" s="27" t="s">
        <v>166</v>
      </c>
      <c r="CS861" s="27" t="s">
        <v>166</v>
      </c>
      <c r="CT861" s="27" t="s">
        <v>166</v>
      </c>
      <c r="CU861" s="27" t="s">
        <v>166</v>
      </c>
      <c r="CV861" s="27" t="s">
        <v>166</v>
      </c>
      <c r="CW861" s="27" t="s">
        <v>166</v>
      </c>
      <c r="CX861" s="27" t="s">
        <v>166</v>
      </c>
      <c r="CY861" s="27" t="s">
        <v>166</v>
      </c>
      <c r="CZ861" s="27" t="s">
        <v>166</v>
      </c>
      <c r="DA861" s="27" t="s">
        <v>166</v>
      </c>
      <c r="DB861" s="27" t="s">
        <v>166</v>
      </c>
      <c r="DC861" s="27" t="s">
        <v>166</v>
      </c>
      <c r="DD861" s="27" t="s">
        <v>166</v>
      </c>
      <c r="DE861" s="28" t="s">
        <v>166</v>
      </c>
      <c r="DF861" s="33">
        <v>13</v>
      </c>
      <c r="DG861" s="25" t="s">
        <v>16406</v>
      </c>
      <c r="DH861" s="25" t="s">
        <v>193</v>
      </c>
      <c r="DI861" s="25" t="s">
        <v>194</v>
      </c>
      <c r="DJ861" s="25" t="s">
        <v>16407</v>
      </c>
      <c r="DK861" s="25" t="s">
        <v>7706</v>
      </c>
      <c r="DL861" s="32" t="s">
        <v>16408</v>
      </c>
      <c r="DM861" s="25" t="s">
        <v>198</v>
      </c>
      <c r="DN861" s="24" t="s">
        <v>16409</v>
      </c>
      <c r="DO861" s="31">
        <v>2020</v>
      </c>
      <c r="DP861" s="25" t="s">
        <v>166</v>
      </c>
      <c r="DQ861" s="25" t="s">
        <v>166</v>
      </c>
      <c r="DR861" s="29" t="s">
        <v>166</v>
      </c>
      <c r="DS861" s="27" t="s">
        <v>166</v>
      </c>
      <c r="DT861" s="30" t="s">
        <v>166</v>
      </c>
      <c r="DU861" s="25" t="s">
        <v>166</v>
      </c>
      <c r="DV861" s="29" t="s">
        <v>166</v>
      </c>
      <c r="DW861" s="29" t="s">
        <v>166</v>
      </c>
      <c r="DX861" s="27" t="s">
        <v>166</v>
      </c>
      <c r="DY861" s="27" t="s">
        <v>166</v>
      </c>
      <c r="DZ861" s="28" t="s">
        <v>166</v>
      </c>
      <c r="EA861" s="27" t="s">
        <v>166</v>
      </c>
      <c r="EB861" s="27" t="s">
        <v>166</v>
      </c>
      <c r="EC861" s="27" t="s">
        <v>166</v>
      </c>
      <c r="ED861" s="28" t="s">
        <v>166</v>
      </c>
      <c r="EE861" s="28" t="s">
        <v>166</v>
      </c>
      <c r="EF861" s="28" t="s">
        <v>166</v>
      </c>
      <c r="EG861" s="28" t="s">
        <v>166</v>
      </c>
      <c r="EH861" s="27" t="s">
        <v>166</v>
      </c>
      <c r="EI861" s="27" t="s">
        <v>166</v>
      </c>
      <c r="EJ861" s="27" t="s">
        <v>166</v>
      </c>
      <c r="EK861" s="27" t="s">
        <v>166</v>
      </c>
      <c r="EL861" s="27" t="s">
        <v>166</v>
      </c>
      <c r="EM861" s="27" t="s">
        <v>166</v>
      </c>
      <c r="EN861" s="27" t="s">
        <v>166</v>
      </c>
      <c r="EO861" s="27" t="s">
        <v>166</v>
      </c>
      <c r="EP861" s="27" t="s">
        <v>166</v>
      </c>
      <c r="EQ861" s="27" t="s">
        <v>166</v>
      </c>
      <c r="ER861" s="27" t="s">
        <v>166</v>
      </c>
      <c r="ES861" s="27" t="s">
        <v>166</v>
      </c>
      <c r="ET861" s="25" t="s">
        <v>166</v>
      </c>
      <c r="EU861" s="27" t="s">
        <v>166</v>
      </c>
      <c r="EV861" s="27" t="s">
        <v>166</v>
      </c>
      <c r="EW861" s="27" t="s">
        <v>166</v>
      </c>
      <c r="EX861" s="25" t="s">
        <v>190</v>
      </c>
      <c r="EY861" s="25" t="s">
        <v>166</v>
      </c>
      <c r="EZ861" s="27" t="s">
        <v>166</v>
      </c>
      <c r="FA861" s="26" t="s">
        <v>166</v>
      </c>
      <c r="FB861" s="26" t="s">
        <v>166</v>
      </c>
      <c r="FC861" s="26" t="s">
        <v>166</v>
      </c>
      <c r="FD861" s="26" t="s">
        <v>166</v>
      </c>
      <c r="FE861" s="26" t="s">
        <v>166</v>
      </c>
      <c r="FF861" s="26" t="s">
        <v>166</v>
      </c>
      <c r="FG861" s="25" t="s">
        <v>166</v>
      </c>
      <c r="FH861" s="4">
        <f>HYPERLINK("https://my.pitchbook.com?c=169439-77T","View Company Online")</f>
      </c>
    </row>
    <row r="862">
      <c r="A862" s="14" t="s">
        <v>16410</v>
      </c>
      <c r="B862" s="14" t="s">
        <v>16411</v>
      </c>
      <c r="C862" s="14" t="s">
        <v>16412</v>
      </c>
      <c r="D862" s="14" t="s">
        <v>166</v>
      </c>
      <c r="E862" s="23" t="s">
        <v>16413</v>
      </c>
      <c r="F862" s="21">
        <v>10</v>
      </c>
      <c r="G862" s="14" t="s">
        <v>16414</v>
      </c>
      <c r="H862" s="14" t="s">
        <v>166</v>
      </c>
      <c r="I862" s="14" t="s">
        <v>16415</v>
      </c>
      <c r="J862" s="14" t="s">
        <v>16416</v>
      </c>
      <c r="K862" s="14" t="s">
        <v>171</v>
      </c>
      <c r="L862" s="14" t="s">
        <v>172</v>
      </c>
      <c r="M862" s="14" t="s">
        <v>5251</v>
      </c>
      <c r="N862" s="14" t="s">
        <v>16417</v>
      </c>
      <c r="O862" s="14" t="s">
        <v>16418</v>
      </c>
      <c r="P862" s="14" t="s">
        <v>16419</v>
      </c>
      <c r="Q862" s="14" t="s">
        <v>166</v>
      </c>
      <c r="R862" s="14" t="s">
        <v>177</v>
      </c>
      <c r="S862" s="14" t="s">
        <v>178</v>
      </c>
      <c r="T862" s="14" t="s">
        <v>179</v>
      </c>
      <c r="U862" s="14" t="s">
        <v>16420</v>
      </c>
      <c r="V862" s="14" t="s">
        <v>16421</v>
      </c>
      <c r="W862" s="21" t="s">
        <v>16422</v>
      </c>
      <c r="X862" s="14" t="s">
        <v>16423</v>
      </c>
      <c r="Y862" s="14" t="s">
        <v>16424</v>
      </c>
      <c r="Z862" s="14" t="s">
        <v>166</v>
      </c>
      <c r="AA862" s="14" t="s">
        <v>242</v>
      </c>
      <c r="AB862" s="14" t="s">
        <v>243</v>
      </c>
      <c r="AC862" s="14" t="s">
        <v>244</v>
      </c>
      <c r="AD862" s="14" t="s">
        <v>243</v>
      </c>
      <c r="AE862" s="14" t="s">
        <v>243</v>
      </c>
      <c r="AF862" s="14" t="s">
        <v>166</v>
      </c>
      <c r="AG862" s="14" t="s">
        <v>246</v>
      </c>
      <c r="AH862" s="21">
        <v>1</v>
      </c>
      <c r="AI862" s="3">
        <f>HYPERLINK("https://my.pitchbook.com/?d=212393-08T","212393-08T")</f>
      </c>
      <c r="AJ862" s="19">
        <v>44922</v>
      </c>
      <c r="AK862" s="19">
        <v>45062</v>
      </c>
      <c r="AL862" s="18">
        <v>3</v>
      </c>
      <c r="AM862" s="14" t="s">
        <v>185</v>
      </c>
      <c r="AN862" s="18">
        <v>10</v>
      </c>
      <c r="AO862" s="18">
        <v>13</v>
      </c>
      <c r="AP862" s="14" t="s">
        <v>185</v>
      </c>
      <c r="AQ862" s="21" t="s">
        <v>166</v>
      </c>
      <c r="AR862" s="21" t="s">
        <v>166</v>
      </c>
      <c r="AS862" s="17">
        <v>23.96</v>
      </c>
      <c r="AT862" s="18">
        <v>3</v>
      </c>
      <c r="AU862" s="21" t="s">
        <v>186</v>
      </c>
      <c r="AV862" s="21" t="s">
        <v>166</v>
      </c>
      <c r="AW862" s="18">
        <v>1.02</v>
      </c>
      <c r="AX862" s="21" t="s">
        <v>166</v>
      </c>
      <c r="AY862" s="14" t="s">
        <v>217</v>
      </c>
      <c r="AZ862" s="14" t="s">
        <v>217</v>
      </c>
      <c r="BA862" s="14" t="s">
        <v>166</v>
      </c>
      <c r="BB862" s="21" t="s">
        <v>166</v>
      </c>
      <c r="BC862" s="14" t="s">
        <v>179</v>
      </c>
      <c r="BD862" s="14" t="s">
        <v>16425</v>
      </c>
      <c r="BE862" s="14" t="s">
        <v>189</v>
      </c>
      <c r="BF862" s="18">
        <v>3</v>
      </c>
      <c r="BG862" s="14" t="s">
        <v>190</v>
      </c>
      <c r="BH862" s="14" t="s">
        <v>166</v>
      </c>
      <c r="BI862" s="14" t="s">
        <v>166</v>
      </c>
      <c r="BJ862" s="18" t="s">
        <v>166</v>
      </c>
      <c r="BK862" s="18" t="s">
        <v>166</v>
      </c>
      <c r="BL862" s="14" t="s">
        <v>191</v>
      </c>
      <c r="BM862" s="14" t="s">
        <v>178</v>
      </c>
      <c r="BN862" s="14" t="s">
        <v>177</v>
      </c>
      <c r="BO862" s="22" t="s">
        <v>166</v>
      </c>
      <c r="BP862" s="14" t="s">
        <v>16413</v>
      </c>
      <c r="BQ862" s="21">
        <v>10</v>
      </c>
      <c r="BR862" s="14" t="s">
        <v>166</v>
      </c>
      <c r="BS862" s="21" t="s">
        <v>166</v>
      </c>
      <c r="BT862" s="14" t="s">
        <v>16426</v>
      </c>
      <c r="BU862" s="14" t="s">
        <v>166</v>
      </c>
      <c r="BV862" s="14" t="s">
        <v>16427</v>
      </c>
      <c r="BW862" s="14" t="s">
        <v>166</v>
      </c>
      <c r="BX862" s="14" t="s">
        <v>166</v>
      </c>
      <c r="BY862" s="14" t="s">
        <v>166</v>
      </c>
      <c r="BZ862" s="14" t="s">
        <v>166</v>
      </c>
      <c r="CA862" s="14" t="s">
        <v>166</v>
      </c>
      <c r="CB862" s="14" t="s">
        <v>166</v>
      </c>
      <c r="CC862" s="14" t="s">
        <v>166</v>
      </c>
      <c r="CD862" s="14" t="s">
        <v>166</v>
      </c>
      <c r="CE862" s="18" t="s">
        <v>166</v>
      </c>
      <c r="CF862" s="16" t="s">
        <v>166</v>
      </c>
      <c r="CG862" s="17" t="s">
        <v>166</v>
      </c>
      <c r="CH862" s="16" t="s">
        <v>166</v>
      </c>
      <c r="CI862" s="16" t="s">
        <v>166</v>
      </c>
      <c r="CJ862" s="16" t="s">
        <v>166</v>
      </c>
      <c r="CK862" s="16" t="s">
        <v>166</v>
      </c>
      <c r="CL862" s="16" t="s">
        <v>166</v>
      </c>
      <c r="CM862" s="20" t="s">
        <v>166</v>
      </c>
      <c r="CN862" s="16" t="s">
        <v>166</v>
      </c>
      <c r="CO862" s="16" t="s">
        <v>166</v>
      </c>
      <c r="CP862" s="16" t="s">
        <v>166</v>
      </c>
      <c r="CQ862" s="16" t="s">
        <v>166</v>
      </c>
      <c r="CR862" s="16" t="s">
        <v>166</v>
      </c>
      <c r="CS862" s="16" t="s">
        <v>166</v>
      </c>
      <c r="CT862" s="16" t="s">
        <v>166</v>
      </c>
      <c r="CU862" s="16" t="s">
        <v>166</v>
      </c>
      <c r="CV862" s="16" t="s">
        <v>166</v>
      </c>
      <c r="CW862" s="16" t="s">
        <v>166</v>
      </c>
      <c r="CX862" s="16" t="s">
        <v>166</v>
      </c>
      <c r="CY862" s="16" t="s">
        <v>166</v>
      </c>
      <c r="CZ862" s="16" t="s">
        <v>166</v>
      </c>
      <c r="DA862" s="16" t="s">
        <v>166</v>
      </c>
      <c r="DB862" s="16" t="s">
        <v>166</v>
      </c>
      <c r="DC862" s="16" t="s">
        <v>166</v>
      </c>
      <c r="DD862" s="16" t="s">
        <v>166</v>
      </c>
      <c r="DE862" s="17" t="s">
        <v>166</v>
      </c>
      <c r="DF862" s="22">
        <v>10</v>
      </c>
      <c r="DG862" s="14" t="s">
        <v>673</v>
      </c>
      <c r="DH862" s="14" t="s">
        <v>193</v>
      </c>
      <c r="DI862" s="14" t="s">
        <v>194</v>
      </c>
      <c r="DJ862" s="14" t="s">
        <v>674</v>
      </c>
      <c r="DK862" s="14" t="s">
        <v>257</v>
      </c>
      <c r="DL862" s="21" t="s">
        <v>16428</v>
      </c>
      <c r="DM862" s="14" t="s">
        <v>198</v>
      </c>
      <c r="DN862" s="13" t="s">
        <v>16429</v>
      </c>
      <c r="DO862" s="20">
        <v>2021</v>
      </c>
      <c r="DP862" s="14" t="s">
        <v>166</v>
      </c>
      <c r="DQ862" s="14" t="s">
        <v>166</v>
      </c>
      <c r="DR862" s="18" t="s">
        <v>166</v>
      </c>
      <c r="DS862" s="16" t="s">
        <v>166</v>
      </c>
      <c r="DT862" s="19" t="s">
        <v>166</v>
      </c>
      <c r="DU862" s="14" t="s">
        <v>166</v>
      </c>
      <c r="DV862" s="18" t="s">
        <v>166</v>
      </c>
      <c r="DW862" s="18" t="s">
        <v>166</v>
      </c>
      <c r="DX862" s="16" t="s">
        <v>166</v>
      </c>
      <c r="DY862" s="16" t="s">
        <v>166</v>
      </c>
      <c r="DZ862" s="17" t="s">
        <v>166</v>
      </c>
      <c r="EA862" s="16" t="s">
        <v>166</v>
      </c>
      <c r="EB862" s="16" t="s">
        <v>166</v>
      </c>
      <c r="EC862" s="16" t="s">
        <v>166</v>
      </c>
      <c r="ED862" s="17" t="s">
        <v>166</v>
      </c>
      <c r="EE862" s="17" t="s">
        <v>166</v>
      </c>
      <c r="EF862" s="17" t="s">
        <v>166</v>
      </c>
      <c r="EG862" s="17" t="s">
        <v>166</v>
      </c>
      <c r="EH862" s="16" t="s">
        <v>166</v>
      </c>
      <c r="EI862" s="16" t="s">
        <v>166</v>
      </c>
      <c r="EJ862" s="16" t="s">
        <v>166</v>
      </c>
      <c r="EK862" s="16" t="s">
        <v>166</v>
      </c>
      <c r="EL862" s="16" t="s">
        <v>166</v>
      </c>
      <c r="EM862" s="16" t="s">
        <v>166</v>
      </c>
      <c r="EN862" s="16" t="s">
        <v>166</v>
      </c>
      <c r="EO862" s="16" t="s">
        <v>166</v>
      </c>
      <c r="EP862" s="16" t="s">
        <v>166</v>
      </c>
      <c r="EQ862" s="16" t="s">
        <v>166</v>
      </c>
      <c r="ER862" s="16" t="s">
        <v>166</v>
      </c>
      <c r="ES862" s="16" t="s">
        <v>166</v>
      </c>
      <c r="ET862" s="14" t="s">
        <v>166</v>
      </c>
      <c r="EU862" s="16" t="s">
        <v>166</v>
      </c>
      <c r="EV862" s="16" t="s">
        <v>166</v>
      </c>
      <c r="EW862" s="16" t="s">
        <v>166</v>
      </c>
      <c r="EX862" s="14" t="s">
        <v>190</v>
      </c>
      <c r="EY862" s="14" t="s">
        <v>166</v>
      </c>
      <c r="EZ862" s="16" t="s">
        <v>166</v>
      </c>
      <c r="FA862" s="15" t="s">
        <v>166</v>
      </c>
      <c r="FB862" s="15" t="s">
        <v>166</v>
      </c>
      <c r="FC862" s="15" t="s">
        <v>166</v>
      </c>
      <c r="FD862" s="15" t="s">
        <v>166</v>
      </c>
      <c r="FE862" s="15" t="s">
        <v>166</v>
      </c>
      <c r="FF862" s="15" t="s">
        <v>166</v>
      </c>
      <c r="FG862" s="14" t="s">
        <v>166</v>
      </c>
      <c r="FH862" s="3">
        <f>HYPERLINK("https://my.pitchbook.com?c=212393-08T","View Company Online")</f>
      </c>
    </row>
    <row r="863">
      <c r="A863" s="25" t="s">
        <v>16430</v>
      </c>
      <c r="B863" s="25" t="s">
        <v>16431</v>
      </c>
      <c r="C863" s="25" t="s">
        <v>16432</v>
      </c>
      <c r="D863" s="25" t="s">
        <v>166</v>
      </c>
      <c r="E863" s="34" t="s">
        <v>16433</v>
      </c>
      <c r="F863" s="32">
        <v>1</v>
      </c>
      <c r="G863" s="25" t="s">
        <v>16434</v>
      </c>
      <c r="H863" s="25" t="s">
        <v>166</v>
      </c>
      <c r="I863" s="25" t="s">
        <v>16435</v>
      </c>
      <c r="J863" s="25" t="s">
        <v>16436</v>
      </c>
      <c r="K863" s="25" t="s">
        <v>207</v>
      </c>
      <c r="L863" s="25" t="s">
        <v>208</v>
      </c>
      <c r="M863" s="25" t="s">
        <v>882</v>
      </c>
      <c r="N863" s="25" t="s">
        <v>16437</v>
      </c>
      <c r="O863" s="25" t="s">
        <v>7573</v>
      </c>
      <c r="P863" s="25" t="s">
        <v>16438</v>
      </c>
      <c r="Q863" s="25" t="s">
        <v>166</v>
      </c>
      <c r="R863" s="25" t="s">
        <v>177</v>
      </c>
      <c r="S863" s="25" t="s">
        <v>178</v>
      </c>
      <c r="T863" s="25" t="s">
        <v>179</v>
      </c>
      <c r="U863" s="25" t="s">
        <v>16439</v>
      </c>
      <c r="V863" s="25" t="s">
        <v>16440</v>
      </c>
      <c r="W863" s="32" t="s">
        <v>166</v>
      </c>
      <c r="X863" s="25" t="s">
        <v>16441</v>
      </c>
      <c r="Y863" s="25" t="s">
        <v>16442</v>
      </c>
      <c r="Z863" s="25" t="s">
        <v>166</v>
      </c>
      <c r="AA863" s="25" t="s">
        <v>242</v>
      </c>
      <c r="AB863" s="25" t="s">
        <v>243</v>
      </c>
      <c r="AC863" s="25" t="s">
        <v>244</v>
      </c>
      <c r="AD863" s="25" t="s">
        <v>243</v>
      </c>
      <c r="AE863" s="25" t="s">
        <v>243</v>
      </c>
      <c r="AF863" s="25" t="s">
        <v>166</v>
      </c>
      <c r="AG863" s="25" t="s">
        <v>807</v>
      </c>
      <c r="AH863" s="32">
        <v>2</v>
      </c>
      <c r="AI863" s="4">
        <f>HYPERLINK("https://my.pitchbook.com/?d=188910-91T","188910-91T")</f>
      </c>
      <c r="AJ863" s="30" t="s">
        <v>166</v>
      </c>
      <c r="AK863" s="30">
        <v>44480</v>
      </c>
      <c r="AL863" s="29">
        <v>5.5</v>
      </c>
      <c r="AM863" s="25" t="s">
        <v>247</v>
      </c>
      <c r="AN863" s="29">
        <v>10</v>
      </c>
      <c r="AO863" s="29">
        <v>15.5</v>
      </c>
      <c r="AP863" s="25" t="s">
        <v>185</v>
      </c>
      <c r="AQ863" s="32" t="s">
        <v>166</v>
      </c>
      <c r="AR863" s="32" t="s">
        <v>166</v>
      </c>
      <c r="AS863" s="28">
        <v>35.48</v>
      </c>
      <c r="AT863" s="29">
        <v>5.52</v>
      </c>
      <c r="AU863" s="32" t="s">
        <v>186</v>
      </c>
      <c r="AV863" s="32" t="s">
        <v>166</v>
      </c>
      <c r="AW863" s="29">
        <v>3.03</v>
      </c>
      <c r="AX863" s="32" t="s">
        <v>166</v>
      </c>
      <c r="AY863" s="25" t="s">
        <v>217</v>
      </c>
      <c r="AZ863" s="25" t="s">
        <v>217</v>
      </c>
      <c r="BA863" s="25" t="s">
        <v>166</v>
      </c>
      <c r="BB863" s="32" t="s">
        <v>166</v>
      </c>
      <c r="BC863" s="25" t="s">
        <v>179</v>
      </c>
      <c r="BD863" s="25" t="s">
        <v>16436</v>
      </c>
      <c r="BE863" s="25" t="s">
        <v>189</v>
      </c>
      <c r="BF863" s="29">
        <v>5.5</v>
      </c>
      <c r="BG863" s="25" t="s">
        <v>190</v>
      </c>
      <c r="BH863" s="25" t="s">
        <v>166</v>
      </c>
      <c r="BI863" s="25" t="s">
        <v>166</v>
      </c>
      <c r="BJ863" s="29" t="s">
        <v>166</v>
      </c>
      <c r="BK863" s="29" t="s">
        <v>166</v>
      </c>
      <c r="BL863" s="25" t="s">
        <v>191</v>
      </c>
      <c r="BM863" s="25" t="s">
        <v>178</v>
      </c>
      <c r="BN863" s="25" t="s">
        <v>177</v>
      </c>
      <c r="BO863" s="33" t="s">
        <v>166</v>
      </c>
      <c r="BP863" s="25" t="s">
        <v>16433</v>
      </c>
      <c r="BQ863" s="32">
        <v>1</v>
      </c>
      <c r="BR863" s="25" t="s">
        <v>166</v>
      </c>
      <c r="BS863" s="32" t="s">
        <v>166</v>
      </c>
      <c r="BT863" s="25" t="s">
        <v>166</v>
      </c>
      <c r="BU863" s="25" t="s">
        <v>166</v>
      </c>
      <c r="BV863" s="25" t="s">
        <v>166</v>
      </c>
      <c r="BW863" s="25" t="s">
        <v>166</v>
      </c>
      <c r="BX863" s="25" t="s">
        <v>166</v>
      </c>
      <c r="BY863" s="25" t="s">
        <v>166</v>
      </c>
      <c r="BZ863" s="25" t="s">
        <v>996</v>
      </c>
      <c r="CA863" s="25" t="s">
        <v>996</v>
      </c>
      <c r="CB863" s="25" t="s">
        <v>166</v>
      </c>
      <c r="CC863" s="25" t="s">
        <v>166</v>
      </c>
      <c r="CD863" s="25" t="s">
        <v>166</v>
      </c>
      <c r="CE863" s="29" t="s">
        <v>166</v>
      </c>
      <c r="CF863" s="27" t="s">
        <v>166</v>
      </c>
      <c r="CG863" s="28" t="s">
        <v>166</v>
      </c>
      <c r="CH863" s="27" t="s">
        <v>166</v>
      </c>
      <c r="CI863" s="27" t="s">
        <v>166</v>
      </c>
      <c r="CJ863" s="27" t="s">
        <v>166</v>
      </c>
      <c r="CK863" s="27" t="s">
        <v>166</v>
      </c>
      <c r="CL863" s="27" t="s">
        <v>166</v>
      </c>
      <c r="CM863" s="31" t="s">
        <v>166</v>
      </c>
      <c r="CN863" s="27" t="s">
        <v>166</v>
      </c>
      <c r="CO863" s="27" t="s">
        <v>166</v>
      </c>
      <c r="CP863" s="27" t="s">
        <v>166</v>
      </c>
      <c r="CQ863" s="27" t="s">
        <v>166</v>
      </c>
      <c r="CR863" s="27" t="s">
        <v>166</v>
      </c>
      <c r="CS863" s="27" t="s">
        <v>166</v>
      </c>
      <c r="CT863" s="27" t="s">
        <v>166</v>
      </c>
      <c r="CU863" s="27" t="s">
        <v>166</v>
      </c>
      <c r="CV863" s="27" t="s">
        <v>166</v>
      </c>
      <c r="CW863" s="27" t="s">
        <v>166</v>
      </c>
      <c r="CX863" s="27" t="s">
        <v>166</v>
      </c>
      <c r="CY863" s="27" t="s">
        <v>166</v>
      </c>
      <c r="CZ863" s="27" t="s">
        <v>166</v>
      </c>
      <c r="DA863" s="27" t="s">
        <v>166</v>
      </c>
      <c r="DB863" s="27" t="s">
        <v>166</v>
      </c>
      <c r="DC863" s="27" t="s">
        <v>166</v>
      </c>
      <c r="DD863" s="27" t="s">
        <v>166</v>
      </c>
      <c r="DE863" s="28" t="s">
        <v>166</v>
      </c>
      <c r="DF863" s="33">
        <v>3</v>
      </c>
      <c r="DG863" s="25" t="s">
        <v>543</v>
      </c>
      <c r="DH863" s="25" t="s">
        <v>193</v>
      </c>
      <c r="DI863" s="25" t="s">
        <v>194</v>
      </c>
      <c r="DJ863" s="25" t="s">
        <v>544</v>
      </c>
      <c r="DK863" s="25" t="s">
        <v>545</v>
      </c>
      <c r="DL863" s="32" t="s">
        <v>16443</v>
      </c>
      <c r="DM863" s="25" t="s">
        <v>198</v>
      </c>
      <c r="DN863" s="24" t="s">
        <v>16444</v>
      </c>
      <c r="DO863" s="31">
        <v>2019</v>
      </c>
      <c r="DP863" s="25" t="s">
        <v>166</v>
      </c>
      <c r="DQ863" s="25" t="s">
        <v>166</v>
      </c>
      <c r="DR863" s="29" t="s">
        <v>166</v>
      </c>
      <c r="DS863" s="27" t="s">
        <v>166</v>
      </c>
      <c r="DT863" s="30" t="s">
        <v>166</v>
      </c>
      <c r="DU863" s="25" t="s">
        <v>166</v>
      </c>
      <c r="DV863" s="29" t="s">
        <v>166</v>
      </c>
      <c r="DW863" s="29" t="s">
        <v>166</v>
      </c>
      <c r="DX863" s="27" t="s">
        <v>166</v>
      </c>
      <c r="DY863" s="27" t="s">
        <v>166</v>
      </c>
      <c r="DZ863" s="28" t="s">
        <v>166</v>
      </c>
      <c r="EA863" s="27" t="s">
        <v>166</v>
      </c>
      <c r="EB863" s="27" t="s">
        <v>166</v>
      </c>
      <c r="EC863" s="27" t="s">
        <v>166</v>
      </c>
      <c r="ED863" s="28" t="s">
        <v>166</v>
      </c>
      <c r="EE863" s="28" t="s">
        <v>166</v>
      </c>
      <c r="EF863" s="28" t="s">
        <v>166</v>
      </c>
      <c r="EG863" s="28" t="s">
        <v>166</v>
      </c>
      <c r="EH863" s="27" t="s">
        <v>166</v>
      </c>
      <c r="EI863" s="27" t="s">
        <v>166</v>
      </c>
      <c r="EJ863" s="27" t="s">
        <v>166</v>
      </c>
      <c r="EK863" s="27" t="s">
        <v>166</v>
      </c>
      <c r="EL863" s="27" t="s">
        <v>166</v>
      </c>
      <c r="EM863" s="27" t="s">
        <v>166</v>
      </c>
      <c r="EN863" s="27" t="s">
        <v>166</v>
      </c>
      <c r="EO863" s="27" t="s">
        <v>166</v>
      </c>
      <c r="EP863" s="27" t="s">
        <v>166</v>
      </c>
      <c r="EQ863" s="27" t="s">
        <v>166</v>
      </c>
      <c r="ER863" s="27" t="s">
        <v>166</v>
      </c>
      <c r="ES863" s="27" t="s">
        <v>166</v>
      </c>
      <c r="ET863" s="25" t="s">
        <v>166</v>
      </c>
      <c r="EU863" s="27" t="s">
        <v>166</v>
      </c>
      <c r="EV863" s="27" t="s">
        <v>166</v>
      </c>
      <c r="EW863" s="27" t="s">
        <v>166</v>
      </c>
      <c r="EX863" s="25" t="s">
        <v>190</v>
      </c>
      <c r="EY863" s="25" t="s">
        <v>166</v>
      </c>
      <c r="EZ863" s="27" t="s">
        <v>166</v>
      </c>
      <c r="FA863" s="26" t="s">
        <v>166</v>
      </c>
      <c r="FB863" s="26" t="s">
        <v>166</v>
      </c>
      <c r="FC863" s="26" t="s">
        <v>166</v>
      </c>
      <c r="FD863" s="26" t="s">
        <v>166</v>
      </c>
      <c r="FE863" s="26" t="s">
        <v>166</v>
      </c>
      <c r="FF863" s="26" t="s">
        <v>166</v>
      </c>
      <c r="FG863" s="25" t="s">
        <v>166</v>
      </c>
      <c r="FH863" s="4">
        <f>HYPERLINK("https://my.pitchbook.com?c=188910-91T","View Company Online")</f>
      </c>
    </row>
    <row r="864">
      <c r="A864" s="14" t="s">
        <v>16445</v>
      </c>
      <c r="B864" s="14" t="s">
        <v>16446</v>
      </c>
      <c r="C864" s="14" t="s">
        <v>16447</v>
      </c>
      <c r="D864" s="14" t="s">
        <v>166</v>
      </c>
      <c r="E864" s="23" t="s">
        <v>16448</v>
      </c>
      <c r="F864" s="21">
        <v>8</v>
      </c>
      <c r="G864" s="14" t="s">
        <v>16449</v>
      </c>
      <c r="H864" s="14" t="s">
        <v>166</v>
      </c>
      <c r="I864" s="14" t="s">
        <v>16450</v>
      </c>
      <c r="J864" s="14" t="s">
        <v>16451</v>
      </c>
      <c r="K864" s="14" t="s">
        <v>207</v>
      </c>
      <c r="L864" s="14" t="s">
        <v>208</v>
      </c>
      <c r="M864" s="14" t="s">
        <v>209</v>
      </c>
      <c r="N864" s="14" t="s">
        <v>16452</v>
      </c>
      <c r="O864" s="14" t="s">
        <v>16453</v>
      </c>
      <c r="P864" s="14" t="s">
        <v>16454</v>
      </c>
      <c r="Q864" s="14" t="s">
        <v>166</v>
      </c>
      <c r="R864" s="14" t="s">
        <v>177</v>
      </c>
      <c r="S864" s="14" t="s">
        <v>178</v>
      </c>
      <c r="T864" s="14" t="s">
        <v>179</v>
      </c>
      <c r="U864" s="14" t="s">
        <v>16455</v>
      </c>
      <c r="V864" s="14" t="s">
        <v>16456</v>
      </c>
      <c r="W864" s="21" t="s">
        <v>16457</v>
      </c>
      <c r="X864" s="14" t="s">
        <v>16458</v>
      </c>
      <c r="Y864" s="14" t="s">
        <v>16459</v>
      </c>
      <c r="Z864" s="14" t="s">
        <v>16460</v>
      </c>
      <c r="AA864" s="14" t="s">
        <v>242</v>
      </c>
      <c r="AB864" s="14" t="s">
        <v>243</v>
      </c>
      <c r="AC864" s="14" t="s">
        <v>244</v>
      </c>
      <c r="AD864" s="14" t="s">
        <v>243</v>
      </c>
      <c r="AE864" s="14" t="s">
        <v>243</v>
      </c>
      <c r="AF864" s="14" t="s">
        <v>166</v>
      </c>
      <c r="AG864" s="14" t="s">
        <v>246</v>
      </c>
      <c r="AH864" s="21">
        <v>3</v>
      </c>
      <c r="AI864" s="3">
        <f>HYPERLINK("https://my.pitchbook.com/?d=254222-65T","254222-65T")</f>
      </c>
      <c r="AJ864" s="19">
        <v>45362</v>
      </c>
      <c r="AK864" s="19">
        <v>45363</v>
      </c>
      <c r="AL864" s="18">
        <v>12.38</v>
      </c>
      <c r="AM864" s="14" t="s">
        <v>185</v>
      </c>
      <c r="AN864" s="18">
        <v>102.85</v>
      </c>
      <c r="AO864" s="18">
        <v>115.23</v>
      </c>
      <c r="AP864" s="14" t="s">
        <v>185</v>
      </c>
      <c r="AQ864" s="21" t="s">
        <v>166</v>
      </c>
      <c r="AR864" s="21" t="s">
        <v>166</v>
      </c>
      <c r="AS864" s="17">
        <v>20.84</v>
      </c>
      <c r="AT864" s="18">
        <v>12.39</v>
      </c>
      <c r="AU864" s="21" t="s">
        <v>186</v>
      </c>
      <c r="AV864" s="21" t="s">
        <v>166</v>
      </c>
      <c r="AW864" s="18">
        <v>2.06</v>
      </c>
      <c r="AX864" s="21" t="s">
        <v>166</v>
      </c>
      <c r="AY864" s="14" t="s">
        <v>217</v>
      </c>
      <c r="AZ864" s="14" t="s">
        <v>217</v>
      </c>
      <c r="BA864" s="14" t="s">
        <v>166</v>
      </c>
      <c r="BB864" s="21" t="s">
        <v>166</v>
      </c>
      <c r="BC864" s="14" t="s">
        <v>179</v>
      </c>
      <c r="BD864" s="14" t="s">
        <v>16461</v>
      </c>
      <c r="BE864" s="14" t="s">
        <v>189</v>
      </c>
      <c r="BF864" s="18">
        <v>12.38</v>
      </c>
      <c r="BG864" s="14" t="s">
        <v>190</v>
      </c>
      <c r="BH864" s="14" t="s">
        <v>166</v>
      </c>
      <c r="BI864" s="14" t="s">
        <v>166</v>
      </c>
      <c r="BJ864" s="18" t="s">
        <v>166</v>
      </c>
      <c r="BK864" s="18" t="s">
        <v>166</v>
      </c>
      <c r="BL864" s="14" t="s">
        <v>191</v>
      </c>
      <c r="BM864" s="14" t="s">
        <v>178</v>
      </c>
      <c r="BN864" s="14" t="s">
        <v>177</v>
      </c>
      <c r="BO864" s="22" t="s">
        <v>166</v>
      </c>
      <c r="BP864" s="14" t="s">
        <v>16448</v>
      </c>
      <c r="BQ864" s="21">
        <v>8</v>
      </c>
      <c r="BR864" s="14" t="s">
        <v>166</v>
      </c>
      <c r="BS864" s="21" t="s">
        <v>166</v>
      </c>
      <c r="BT864" s="14" t="s">
        <v>166</v>
      </c>
      <c r="BU864" s="14" t="s">
        <v>166</v>
      </c>
      <c r="BV864" s="14" t="s">
        <v>166</v>
      </c>
      <c r="BW864" s="14" t="s">
        <v>166</v>
      </c>
      <c r="BX864" s="14" t="s">
        <v>166</v>
      </c>
      <c r="BY864" s="14" t="s">
        <v>166</v>
      </c>
      <c r="BZ864" s="14" t="s">
        <v>166</v>
      </c>
      <c r="CA864" s="14" t="s">
        <v>166</v>
      </c>
      <c r="CB864" s="14" t="s">
        <v>166</v>
      </c>
      <c r="CC864" s="14" t="s">
        <v>166</v>
      </c>
      <c r="CD864" s="14" t="s">
        <v>166</v>
      </c>
      <c r="CE864" s="18" t="s">
        <v>166</v>
      </c>
      <c r="CF864" s="16" t="s">
        <v>166</v>
      </c>
      <c r="CG864" s="17" t="s">
        <v>166</v>
      </c>
      <c r="CH864" s="16" t="s">
        <v>166</v>
      </c>
      <c r="CI864" s="16" t="s">
        <v>166</v>
      </c>
      <c r="CJ864" s="16" t="s">
        <v>166</v>
      </c>
      <c r="CK864" s="16" t="s">
        <v>166</v>
      </c>
      <c r="CL864" s="16" t="s">
        <v>166</v>
      </c>
      <c r="CM864" s="20" t="s">
        <v>166</v>
      </c>
      <c r="CN864" s="16" t="s">
        <v>166</v>
      </c>
      <c r="CO864" s="16" t="s">
        <v>166</v>
      </c>
      <c r="CP864" s="16" t="s">
        <v>166</v>
      </c>
      <c r="CQ864" s="16" t="s">
        <v>166</v>
      </c>
      <c r="CR864" s="16" t="s">
        <v>166</v>
      </c>
      <c r="CS864" s="16" t="s">
        <v>166</v>
      </c>
      <c r="CT864" s="16" t="s">
        <v>166</v>
      </c>
      <c r="CU864" s="16" t="s">
        <v>166</v>
      </c>
      <c r="CV864" s="16" t="s">
        <v>166</v>
      </c>
      <c r="CW864" s="16" t="s">
        <v>166</v>
      </c>
      <c r="CX864" s="16" t="s">
        <v>166</v>
      </c>
      <c r="CY864" s="16" t="s">
        <v>166</v>
      </c>
      <c r="CZ864" s="16" t="s">
        <v>166</v>
      </c>
      <c r="DA864" s="16" t="s">
        <v>166</v>
      </c>
      <c r="DB864" s="16" t="s">
        <v>166</v>
      </c>
      <c r="DC864" s="16" t="s">
        <v>166</v>
      </c>
      <c r="DD864" s="16" t="s">
        <v>166</v>
      </c>
      <c r="DE864" s="17" t="s">
        <v>166</v>
      </c>
      <c r="DF864" s="22">
        <v>34</v>
      </c>
      <c r="DG864" s="14" t="s">
        <v>16462</v>
      </c>
      <c r="DH864" s="14" t="s">
        <v>193</v>
      </c>
      <c r="DI864" s="14" t="s">
        <v>194</v>
      </c>
      <c r="DJ864" s="14" t="s">
        <v>16463</v>
      </c>
      <c r="DK864" s="14" t="s">
        <v>257</v>
      </c>
      <c r="DL864" s="21" t="s">
        <v>16464</v>
      </c>
      <c r="DM864" s="14" t="s">
        <v>198</v>
      </c>
      <c r="DN864" s="13" t="s">
        <v>16465</v>
      </c>
      <c r="DO864" s="20">
        <v>2014</v>
      </c>
      <c r="DP864" s="14" t="s">
        <v>166</v>
      </c>
      <c r="DQ864" s="14" t="s">
        <v>166</v>
      </c>
      <c r="DR864" s="18" t="s">
        <v>166</v>
      </c>
      <c r="DS864" s="16" t="s">
        <v>166</v>
      </c>
      <c r="DT864" s="19" t="s">
        <v>166</v>
      </c>
      <c r="DU864" s="14" t="s">
        <v>166</v>
      </c>
      <c r="DV864" s="18" t="s">
        <v>166</v>
      </c>
      <c r="DW864" s="18" t="s">
        <v>166</v>
      </c>
      <c r="DX864" s="16" t="s">
        <v>166</v>
      </c>
      <c r="DY864" s="16" t="s">
        <v>166</v>
      </c>
      <c r="DZ864" s="17" t="s">
        <v>166</v>
      </c>
      <c r="EA864" s="16" t="s">
        <v>166</v>
      </c>
      <c r="EB864" s="16" t="s">
        <v>166</v>
      </c>
      <c r="EC864" s="16" t="s">
        <v>166</v>
      </c>
      <c r="ED864" s="17" t="s">
        <v>166</v>
      </c>
      <c r="EE864" s="17" t="s">
        <v>166</v>
      </c>
      <c r="EF864" s="17" t="s">
        <v>166</v>
      </c>
      <c r="EG864" s="17" t="s">
        <v>166</v>
      </c>
      <c r="EH864" s="16" t="s">
        <v>166</v>
      </c>
      <c r="EI864" s="16" t="s">
        <v>166</v>
      </c>
      <c r="EJ864" s="16" t="s">
        <v>166</v>
      </c>
      <c r="EK864" s="16" t="s">
        <v>166</v>
      </c>
      <c r="EL864" s="16" t="s">
        <v>166</v>
      </c>
      <c r="EM864" s="16" t="s">
        <v>166</v>
      </c>
      <c r="EN864" s="16" t="s">
        <v>166</v>
      </c>
      <c r="EO864" s="16" t="s">
        <v>166</v>
      </c>
      <c r="EP864" s="16" t="s">
        <v>166</v>
      </c>
      <c r="EQ864" s="16" t="s">
        <v>166</v>
      </c>
      <c r="ER864" s="16" t="s">
        <v>166</v>
      </c>
      <c r="ES864" s="16" t="s">
        <v>166</v>
      </c>
      <c r="ET864" s="14" t="s">
        <v>166</v>
      </c>
      <c r="EU864" s="16" t="s">
        <v>166</v>
      </c>
      <c r="EV864" s="16" t="s">
        <v>166</v>
      </c>
      <c r="EW864" s="16" t="s">
        <v>166</v>
      </c>
      <c r="EX864" s="14" t="s">
        <v>190</v>
      </c>
      <c r="EY864" s="14" t="s">
        <v>166</v>
      </c>
      <c r="EZ864" s="16" t="s">
        <v>166</v>
      </c>
      <c r="FA864" s="15">
        <v>9</v>
      </c>
      <c r="FB864" s="15">
        <v>1</v>
      </c>
      <c r="FC864" s="15">
        <v>5</v>
      </c>
      <c r="FD864" s="15">
        <v>2</v>
      </c>
      <c r="FE864" s="15" t="s">
        <v>166</v>
      </c>
      <c r="FF864" s="15">
        <v>2</v>
      </c>
      <c r="FG864" s="14" t="s">
        <v>775</v>
      </c>
      <c r="FH864" s="3">
        <f>HYPERLINK("https://my.pitchbook.com?c=254222-65T","View Company Online")</f>
      </c>
    </row>
    <row r="865">
      <c r="A865" s="25" t="s">
        <v>16466</v>
      </c>
      <c r="B865" s="25" t="s">
        <v>16467</v>
      </c>
      <c r="C865" s="25" t="s">
        <v>16468</v>
      </c>
      <c r="D865" s="25" t="s">
        <v>166</v>
      </c>
      <c r="E865" s="34" t="s">
        <v>7409</v>
      </c>
      <c r="F865" s="32">
        <v>1</v>
      </c>
      <c r="G865" s="25" t="s">
        <v>3566</v>
      </c>
      <c r="H865" s="25" t="s">
        <v>166</v>
      </c>
      <c r="I865" s="25" t="s">
        <v>16469</v>
      </c>
      <c r="J865" s="25" t="s">
        <v>16470</v>
      </c>
      <c r="K865" s="25" t="s">
        <v>207</v>
      </c>
      <c r="L865" s="25" t="s">
        <v>208</v>
      </c>
      <c r="M865" s="25" t="s">
        <v>209</v>
      </c>
      <c r="N865" s="25" t="s">
        <v>684</v>
      </c>
      <c r="O865" s="25" t="s">
        <v>166</v>
      </c>
      <c r="P865" s="25" t="s">
        <v>16471</v>
      </c>
      <c r="Q865" s="25" t="s">
        <v>166</v>
      </c>
      <c r="R865" s="25" t="s">
        <v>177</v>
      </c>
      <c r="S865" s="25" t="s">
        <v>178</v>
      </c>
      <c r="T865" s="25" t="s">
        <v>179</v>
      </c>
      <c r="U865" s="25" t="s">
        <v>16472</v>
      </c>
      <c r="V865" s="25" t="s">
        <v>16473</v>
      </c>
      <c r="W865" s="32" t="s">
        <v>16474</v>
      </c>
      <c r="X865" s="25" t="s">
        <v>16475</v>
      </c>
      <c r="Y865" s="25" t="s">
        <v>16476</v>
      </c>
      <c r="Z865" s="25" t="s">
        <v>16477</v>
      </c>
      <c r="AA865" s="25" t="s">
        <v>166</v>
      </c>
      <c r="AB865" s="25" t="s">
        <v>166</v>
      </c>
      <c r="AC865" s="25" t="s">
        <v>166</v>
      </c>
      <c r="AD865" s="25" t="s">
        <v>166</v>
      </c>
      <c r="AE865" s="25" t="s">
        <v>166</v>
      </c>
      <c r="AF865" s="25" t="s">
        <v>166</v>
      </c>
      <c r="AG865" s="25" t="s">
        <v>166</v>
      </c>
      <c r="AH865" s="32">
        <v>1</v>
      </c>
      <c r="AI865" s="4">
        <f>HYPERLINK("https://my.pitchbook.com/?d=169772-86T","169772-86T")</f>
      </c>
      <c r="AJ865" s="30" t="s">
        <v>166</v>
      </c>
      <c r="AK865" s="30">
        <v>44265</v>
      </c>
      <c r="AL865" s="29">
        <v>0.02</v>
      </c>
      <c r="AM865" s="25" t="s">
        <v>185</v>
      </c>
      <c r="AN865" s="29" t="s">
        <v>166</v>
      </c>
      <c r="AO865" s="29" t="s">
        <v>166</v>
      </c>
      <c r="AP865" s="25" t="s">
        <v>166</v>
      </c>
      <c r="AQ865" s="32" t="s">
        <v>166</v>
      </c>
      <c r="AR865" s="32" t="s">
        <v>166</v>
      </c>
      <c r="AS865" s="28" t="s">
        <v>166</v>
      </c>
      <c r="AT865" s="29">
        <v>0.02</v>
      </c>
      <c r="AU865" s="32" t="s">
        <v>186</v>
      </c>
      <c r="AV865" s="32" t="s">
        <v>166</v>
      </c>
      <c r="AW865" s="29" t="s">
        <v>166</v>
      </c>
      <c r="AX865" s="32" t="s">
        <v>746</v>
      </c>
      <c r="AY865" s="25" t="s">
        <v>217</v>
      </c>
      <c r="AZ865" s="25" t="s">
        <v>746</v>
      </c>
      <c r="BA865" s="25" t="s">
        <v>166</v>
      </c>
      <c r="BB865" s="32" t="s">
        <v>166</v>
      </c>
      <c r="BC865" s="25" t="s">
        <v>179</v>
      </c>
      <c r="BD865" s="25" t="s">
        <v>16470</v>
      </c>
      <c r="BE865" s="25" t="s">
        <v>189</v>
      </c>
      <c r="BF865" s="29">
        <v>0.02</v>
      </c>
      <c r="BG865" s="25" t="s">
        <v>190</v>
      </c>
      <c r="BH865" s="25" t="s">
        <v>166</v>
      </c>
      <c r="BI865" s="25" t="s">
        <v>166</v>
      </c>
      <c r="BJ865" s="29" t="s">
        <v>166</v>
      </c>
      <c r="BK865" s="29" t="s">
        <v>166</v>
      </c>
      <c r="BL865" s="25" t="s">
        <v>191</v>
      </c>
      <c r="BM865" s="25" t="s">
        <v>358</v>
      </c>
      <c r="BN865" s="25" t="s">
        <v>177</v>
      </c>
      <c r="BO865" s="33" t="s">
        <v>166</v>
      </c>
      <c r="BP865" s="25" t="s">
        <v>3565</v>
      </c>
      <c r="BQ865" s="32">
        <v>1</v>
      </c>
      <c r="BR865" s="25" t="s">
        <v>166</v>
      </c>
      <c r="BS865" s="32" t="s">
        <v>166</v>
      </c>
      <c r="BT865" s="25" t="s">
        <v>166</v>
      </c>
      <c r="BU865" s="25" t="s">
        <v>166</v>
      </c>
      <c r="BV865" s="25" t="s">
        <v>7420</v>
      </c>
      <c r="BW865" s="25" t="s">
        <v>166</v>
      </c>
      <c r="BX865" s="25" t="s">
        <v>166</v>
      </c>
      <c r="BY865" s="25" t="s">
        <v>166</v>
      </c>
      <c r="BZ865" s="25" t="s">
        <v>166</v>
      </c>
      <c r="CA865" s="25" t="s">
        <v>166</v>
      </c>
      <c r="CB865" s="25" t="s">
        <v>166</v>
      </c>
      <c r="CC865" s="25" t="s">
        <v>166</v>
      </c>
      <c r="CD865" s="25" t="s">
        <v>166</v>
      </c>
      <c r="CE865" s="29" t="s">
        <v>166</v>
      </c>
      <c r="CF865" s="27" t="s">
        <v>166</v>
      </c>
      <c r="CG865" s="28" t="s">
        <v>166</v>
      </c>
      <c r="CH865" s="27" t="s">
        <v>166</v>
      </c>
      <c r="CI865" s="27" t="s">
        <v>166</v>
      </c>
      <c r="CJ865" s="27" t="s">
        <v>166</v>
      </c>
      <c r="CK865" s="27" t="s">
        <v>166</v>
      </c>
      <c r="CL865" s="27" t="s">
        <v>166</v>
      </c>
      <c r="CM865" s="31" t="s">
        <v>166</v>
      </c>
      <c r="CN865" s="27" t="s">
        <v>166</v>
      </c>
      <c r="CO865" s="27" t="s">
        <v>166</v>
      </c>
      <c r="CP865" s="27" t="s">
        <v>166</v>
      </c>
      <c r="CQ865" s="27" t="s">
        <v>166</v>
      </c>
      <c r="CR865" s="27" t="s">
        <v>166</v>
      </c>
      <c r="CS865" s="27" t="s">
        <v>166</v>
      </c>
      <c r="CT865" s="27" t="s">
        <v>166</v>
      </c>
      <c r="CU865" s="27" t="s">
        <v>166</v>
      </c>
      <c r="CV865" s="27" t="s">
        <v>166</v>
      </c>
      <c r="CW865" s="27" t="s">
        <v>166</v>
      </c>
      <c r="CX865" s="27" t="s">
        <v>166</v>
      </c>
      <c r="CY865" s="27" t="s">
        <v>166</v>
      </c>
      <c r="CZ865" s="27" t="s">
        <v>166</v>
      </c>
      <c r="DA865" s="27" t="s">
        <v>166</v>
      </c>
      <c r="DB865" s="27" t="s">
        <v>166</v>
      </c>
      <c r="DC865" s="27" t="s">
        <v>166</v>
      </c>
      <c r="DD865" s="27" t="s">
        <v>166</v>
      </c>
      <c r="DE865" s="28" t="s">
        <v>166</v>
      </c>
      <c r="DF865" s="33">
        <v>2</v>
      </c>
      <c r="DG865" s="25" t="s">
        <v>6825</v>
      </c>
      <c r="DH865" s="25" t="s">
        <v>193</v>
      </c>
      <c r="DI865" s="25" t="s">
        <v>194</v>
      </c>
      <c r="DJ865" s="25" t="s">
        <v>6826</v>
      </c>
      <c r="DK865" s="25" t="s">
        <v>1888</v>
      </c>
      <c r="DL865" s="32" t="s">
        <v>166</v>
      </c>
      <c r="DM865" s="25" t="s">
        <v>198</v>
      </c>
      <c r="DN865" s="24" t="s">
        <v>16478</v>
      </c>
      <c r="DO865" s="31">
        <v>2017</v>
      </c>
      <c r="DP865" s="25" t="s">
        <v>166</v>
      </c>
      <c r="DQ865" s="25" t="s">
        <v>166</v>
      </c>
      <c r="DR865" s="29" t="s">
        <v>166</v>
      </c>
      <c r="DS865" s="27" t="s">
        <v>166</v>
      </c>
      <c r="DT865" s="30" t="s">
        <v>166</v>
      </c>
      <c r="DU865" s="25" t="s">
        <v>166</v>
      </c>
      <c r="DV865" s="29" t="s">
        <v>166</v>
      </c>
      <c r="DW865" s="29" t="s">
        <v>166</v>
      </c>
      <c r="DX865" s="27" t="s">
        <v>166</v>
      </c>
      <c r="DY865" s="27" t="s">
        <v>166</v>
      </c>
      <c r="DZ865" s="28" t="s">
        <v>166</v>
      </c>
      <c r="EA865" s="27" t="s">
        <v>166</v>
      </c>
      <c r="EB865" s="27" t="s">
        <v>166</v>
      </c>
      <c r="EC865" s="27" t="s">
        <v>166</v>
      </c>
      <c r="ED865" s="28" t="s">
        <v>166</v>
      </c>
      <c r="EE865" s="28" t="s">
        <v>166</v>
      </c>
      <c r="EF865" s="28" t="s">
        <v>166</v>
      </c>
      <c r="EG865" s="28" t="s">
        <v>166</v>
      </c>
      <c r="EH865" s="27" t="s">
        <v>166</v>
      </c>
      <c r="EI865" s="27" t="s">
        <v>166</v>
      </c>
      <c r="EJ865" s="27" t="s">
        <v>166</v>
      </c>
      <c r="EK865" s="27" t="s">
        <v>166</v>
      </c>
      <c r="EL865" s="27" t="s">
        <v>166</v>
      </c>
      <c r="EM865" s="27" t="s">
        <v>166</v>
      </c>
      <c r="EN865" s="27" t="s">
        <v>166</v>
      </c>
      <c r="EO865" s="27" t="s">
        <v>166</v>
      </c>
      <c r="EP865" s="27" t="s">
        <v>166</v>
      </c>
      <c r="EQ865" s="27" t="s">
        <v>166</v>
      </c>
      <c r="ER865" s="27" t="s">
        <v>166</v>
      </c>
      <c r="ES865" s="27" t="s">
        <v>166</v>
      </c>
      <c r="ET865" s="25" t="s">
        <v>166</v>
      </c>
      <c r="EU865" s="27" t="s">
        <v>166</v>
      </c>
      <c r="EV865" s="27" t="s">
        <v>166</v>
      </c>
      <c r="EW865" s="27" t="s">
        <v>166</v>
      </c>
      <c r="EX865" s="25" t="s">
        <v>190</v>
      </c>
      <c r="EY865" s="25" t="s">
        <v>166</v>
      </c>
      <c r="EZ865" s="27" t="s">
        <v>166</v>
      </c>
      <c r="FA865" s="26">
        <v>1</v>
      </c>
      <c r="FB865" s="26">
        <v>1</v>
      </c>
      <c r="FC865" s="26" t="s">
        <v>166</v>
      </c>
      <c r="FD865" s="26">
        <v>1</v>
      </c>
      <c r="FE865" s="26" t="s">
        <v>166</v>
      </c>
      <c r="FF865" s="26" t="s">
        <v>166</v>
      </c>
      <c r="FG865" s="25" t="s">
        <v>2216</v>
      </c>
      <c r="FH865" s="4">
        <f>HYPERLINK("https://my.pitchbook.com?c=169772-86T","View Company Online")</f>
      </c>
    </row>
    <row r="866">
      <c r="A866" s="14" t="s">
        <v>16479</v>
      </c>
      <c r="B866" s="14" t="s">
        <v>16480</v>
      </c>
      <c r="C866" s="14" t="s">
        <v>16481</v>
      </c>
      <c r="D866" s="14" t="s">
        <v>166</v>
      </c>
      <c r="E866" s="23" t="s">
        <v>16482</v>
      </c>
      <c r="F866" s="21">
        <v>3</v>
      </c>
      <c r="G866" s="14" t="s">
        <v>16483</v>
      </c>
      <c r="H866" s="14" t="s">
        <v>166</v>
      </c>
      <c r="I866" s="14" t="s">
        <v>16484</v>
      </c>
      <c r="J866" s="14" t="s">
        <v>16485</v>
      </c>
      <c r="K866" s="14" t="s">
        <v>207</v>
      </c>
      <c r="L866" s="14" t="s">
        <v>208</v>
      </c>
      <c r="M866" s="14" t="s">
        <v>209</v>
      </c>
      <c r="N866" s="14" t="s">
        <v>269</v>
      </c>
      <c r="O866" s="14" t="s">
        <v>16486</v>
      </c>
      <c r="P866" s="14" t="s">
        <v>16487</v>
      </c>
      <c r="Q866" s="14" t="s">
        <v>166</v>
      </c>
      <c r="R866" s="14" t="s">
        <v>177</v>
      </c>
      <c r="S866" s="14" t="s">
        <v>178</v>
      </c>
      <c r="T866" s="14" t="s">
        <v>179</v>
      </c>
      <c r="U866" s="14" t="s">
        <v>16488</v>
      </c>
      <c r="V866" s="14" t="s">
        <v>16489</v>
      </c>
      <c r="W866" s="21" t="s">
        <v>16490</v>
      </c>
      <c r="X866" s="14" t="s">
        <v>16491</v>
      </c>
      <c r="Y866" s="14" t="s">
        <v>16492</v>
      </c>
      <c r="Z866" s="14" t="s">
        <v>16493</v>
      </c>
      <c r="AA866" s="14" t="s">
        <v>242</v>
      </c>
      <c r="AB866" s="14" t="s">
        <v>243</v>
      </c>
      <c r="AC866" s="14" t="s">
        <v>244</v>
      </c>
      <c r="AD866" s="14" t="s">
        <v>243</v>
      </c>
      <c r="AE866" s="14" t="s">
        <v>243</v>
      </c>
      <c r="AF866" s="14" t="s">
        <v>166</v>
      </c>
      <c r="AG866" s="14" t="s">
        <v>246</v>
      </c>
      <c r="AH866" s="21">
        <v>2</v>
      </c>
      <c r="AI866" s="3">
        <f>HYPERLINK("https://my.pitchbook.com/?d=199413-46T","199413-46T")</f>
      </c>
      <c r="AJ866" s="19" t="s">
        <v>166</v>
      </c>
      <c r="AK866" s="19">
        <v>44769</v>
      </c>
      <c r="AL866" s="18">
        <v>4.13</v>
      </c>
      <c r="AM866" s="14" t="s">
        <v>185</v>
      </c>
      <c r="AN866" s="18">
        <v>8</v>
      </c>
      <c r="AO866" s="18">
        <v>12.13</v>
      </c>
      <c r="AP866" s="14" t="s">
        <v>185</v>
      </c>
      <c r="AQ866" s="21" t="s">
        <v>166</v>
      </c>
      <c r="AR866" s="21" t="s">
        <v>166</v>
      </c>
      <c r="AS866" s="17">
        <v>38.4</v>
      </c>
      <c r="AT866" s="18">
        <v>4.13</v>
      </c>
      <c r="AU866" s="21" t="s">
        <v>186</v>
      </c>
      <c r="AV866" s="21" t="s">
        <v>166</v>
      </c>
      <c r="AW866" s="18">
        <v>1.05</v>
      </c>
      <c r="AX866" s="21" t="s">
        <v>166</v>
      </c>
      <c r="AY866" s="14" t="s">
        <v>217</v>
      </c>
      <c r="AZ866" s="14" t="s">
        <v>217</v>
      </c>
      <c r="BA866" s="14" t="s">
        <v>166</v>
      </c>
      <c r="BB866" s="21" t="s">
        <v>166</v>
      </c>
      <c r="BC866" s="14" t="s">
        <v>179</v>
      </c>
      <c r="BD866" s="14" t="s">
        <v>16494</v>
      </c>
      <c r="BE866" s="14" t="s">
        <v>189</v>
      </c>
      <c r="BF866" s="18">
        <v>4.13</v>
      </c>
      <c r="BG866" s="14" t="s">
        <v>190</v>
      </c>
      <c r="BH866" s="14" t="s">
        <v>166</v>
      </c>
      <c r="BI866" s="14" t="s">
        <v>166</v>
      </c>
      <c r="BJ866" s="18" t="s">
        <v>166</v>
      </c>
      <c r="BK866" s="18" t="s">
        <v>166</v>
      </c>
      <c r="BL866" s="14" t="s">
        <v>191</v>
      </c>
      <c r="BM866" s="14" t="s">
        <v>178</v>
      </c>
      <c r="BN866" s="14" t="s">
        <v>177</v>
      </c>
      <c r="BO866" s="22" t="s">
        <v>166</v>
      </c>
      <c r="BP866" s="14" t="s">
        <v>16482</v>
      </c>
      <c r="BQ866" s="21">
        <v>3</v>
      </c>
      <c r="BR866" s="14" t="s">
        <v>166</v>
      </c>
      <c r="BS866" s="21" t="s">
        <v>166</v>
      </c>
      <c r="BT866" s="14" t="s">
        <v>166</v>
      </c>
      <c r="BU866" s="14" t="s">
        <v>166</v>
      </c>
      <c r="BV866" s="14" t="s">
        <v>166</v>
      </c>
      <c r="BW866" s="14" t="s">
        <v>166</v>
      </c>
      <c r="BX866" s="14" t="s">
        <v>166</v>
      </c>
      <c r="BY866" s="14" t="s">
        <v>166</v>
      </c>
      <c r="BZ866" s="14" t="s">
        <v>1232</v>
      </c>
      <c r="CA866" s="14" t="s">
        <v>1232</v>
      </c>
      <c r="CB866" s="14" t="s">
        <v>166</v>
      </c>
      <c r="CC866" s="14" t="s">
        <v>166</v>
      </c>
      <c r="CD866" s="14" t="s">
        <v>166</v>
      </c>
      <c r="CE866" s="18" t="s">
        <v>166</v>
      </c>
      <c r="CF866" s="16" t="s">
        <v>166</v>
      </c>
      <c r="CG866" s="17" t="s">
        <v>166</v>
      </c>
      <c r="CH866" s="16" t="s">
        <v>166</v>
      </c>
      <c r="CI866" s="16" t="s">
        <v>166</v>
      </c>
      <c r="CJ866" s="16" t="s">
        <v>166</v>
      </c>
      <c r="CK866" s="16" t="s">
        <v>166</v>
      </c>
      <c r="CL866" s="16" t="s">
        <v>166</v>
      </c>
      <c r="CM866" s="20" t="s">
        <v>166</v>
      </c>
      <c r="CN866" s="16" t="s">
        <v>166</v>
      </c>
      <c r="CO866" s="16" t="s">
        <v>166</v>
      </c>
      <c r="CP866" s="16" t="s">
        <v>166</v>
      </c>
      <c r="CQ866" s="16" t="s">
        <v>166</v>
      </c>
      <c r="CR866" s="16" t="s">
        <v>166</v>
      </c>
      <c r="CS866" s="16" t="s">
        <v>166</v>
      </c>
      <c r="CT866" s="16" t="s">
        <v>166</v>
      </c>
      <c r="CU866" s="16" t="s">
        <v>166</v>
      </c>
      <c r="CV866" s="16" t="s">
        <v>166</v>
      </c>
      <c r="CW866" s="16" t="s">
        <v>166</v>
      </c>
      <c r="CX866" s="16" t="s">
        <v>166</v>
      </c>
      <c r="CY866" s="16" t="s">
        <v>166</v>
      </c>
      <c r="CZ866" s="16" t="s">
        <v>166</v>
      </c>
      <c r="DA866" s="16" t="s">
        <v>166</v>
      </c>
      <c r="DB866" s="16" t="s">
        <v>166</v>
      </c>
      <c r="DC866" s="16" t="s">
        <v>166</v>
      </c>
      <c r="DD866" s="16" t="s">
        <v>166</v>
      </c>
      <c r="DE866" s="17" t="s">
        <v>166</v>
      </c>
      <c r="DF866" s="22">
        <v>15</v>
      </c>
      <c r="DG866" s="14" t="s">
        <v>1955</v>
      </c>
      <c r="DH866" s="14" t="s">
        <v>193</v>
      </c>
      <c r="DI866" s="14" t="s">
        <v>194</v>
      </c>
      <c r="DJ866" s="14" t="s">
        <v>1956</v>
      </c>
      <c r="DK866" s="14" t="s">
        <v>257</v>
      </c>
      <c r="DL866" s="21" t="s">
        <v>16495</v>
      </c>
      <c r="DM866" s="14" t="s">
        <v>198</v>
      </c>
      <c r="DN866" s="13" t="s">
        <v>16496</v>
      </c>
      <c r="DO866" s="20">
        <v>2016</v>
      </c>
      <c r="DP866" s="14" t="s">
        <v>166</v>
      </c>
      <c r="DQ866" s="14" t="s">
        <v>166</v>
      </c>
      <c r="DR866" s="18" t="s">
        <v>166</v>
      </c>
      <c r="DS866" s="16" t="s">
        <v>166</v>
      </c>
      <c r="DT866" s="19" t="s">
        <v>166</v>
      </c>
      <c r="DU866" s="14" t="s">
        <v>166</v>
      </c>
      <c r="DV866" s="18" t="s">
        <v>166</v>
      </c>
      <c r="DW866" s="18" t="s">
        <v>166</v>
      </c>
      <c r="DX866" s="16" t="s">
        <v>166</v>
      </c>
      <c r="DY866" s="16" t="s">
        <v>166</v>
      </c>
      <c r="DZ866" s="17" t="s">
        <v>166</v>
      </c>
      <c r="EA866" s="16" t="s">
        <v>166</v>
      </c>
      <c r="EB866" s="16" t="s">
        <v>166</v>
      </c>
      <c r="EC866" s="16" t="s">
        <v>166</v>
      </c>
      <c r="ED866" s="17" t="s">
        <v>166</v>
      </c>
      <c r="EE866" s="17" t="s">
        <v>166</v>
      </c>
      <c r="EF866" s="17" t="s">
        <v>166</v>
      </c>
      <c r="EG866" s="17" t="s">
        <v>166</v>
      </c>
      <c r="EH866" s="16" t="s">
        <v>166</v>
      </c>
      <c r="EI866" s="16" t="s">
        <v>166</v>
      </c>
      <c r="EJ866" s="16" t="s">
        <v>166</v>
      </c>
      <c r="EK866" s="16" t="s">
        <v>166</v>
      </c>
      <c r="EL866" s="16" t="s">
        <v>166</v>
      </c>
      <c r="EM866" s="16" t="s">
        <v>166</v>
      </c>
      <c r="EN866" s="16" t="s">
        <v>166</v>
      </c>
      <c r="EO866" s="16" t="s">
        <v>166</v>
      </c>
      <c r="EP866" s="16" t="s">
        <v>166</v>
      </c>
      <c r="EQ866" s="16" t="s">
        <v>166</v>
      </c>
      <c r="ER866" s="16" t="s">
        <v>166</v>
      </c>
      <c r="ES866" s="16" t="s">
        <v>166</v>
      </c>
      <c r="ET866" s="14" t="s">
        <v>166</v>
      </c>
      <c r="EU866" s="16" t="s">
        <v>166</v>
      </c>
      <c r="EV866" s="16" t="s">
        <v>166</v>
      </c>
      <c r="EW866" s="16" t="s">
        <v>166</v>
      </c>
      <c r="EX866" s="14" t="s">
        <v>190</v>
      </c>
      <c r="EY866" s="14" t="s">
        <v>166</v>
      </c>
      <c r="EZ866" s="16" t="s">
        <v>166</v>
      </c>
      <c r="FA866" s="15">
        <v>1</v>
      </c>
      <c r="FB866" s="15">
        <v>1</v>
      </c>
      <c r="FC866" s="15" t="s">
        <v>166</v>
      </c>
      <c r="FD866" s="15" t="s">
        <v>166</v>
      </c>
      <c r="FE866" s="15" t="s">
        <v>166</v>
      </c>
      <c r="FF866" s="15">
        <v>1</v>
      </c>
      <c r="FG866" s="14" t="s">
        <v>166</v>
      </c>
      <c r="FH866" s="3">
        <f>HYPERLINK("https://my.pitchbook.com?c=199413-46T","View Company Online")</f>
      </c>
    </row>
    <row r="867">
      <c r="A867" s="25" t="s">
        <v>16497</v>
      </c>
      <c r="B867" s="25" t="s">
        <v>16498</v>
      </c>
      <c r="C867" s="25" t="s">
        <v>16499</v>
      </c>
      <c r="D867" s="25" t="s">
        <v>166</v>
      </c>
      <c r="E867" s="34" t="s">
        <v>16500</v>
      </c>
      <c r="F867" s="32">
        <v>27</v>
      </c>
      <c r="G867" s="25" t="s">
        <v>16501</v>
      </c>
      <c r="H867" s="25" t="s">
        <v>166</v>
      </c>
      <c r="I867" s="25" t="s">
        <v>16502</v>
      </c>
      <c r="J867" s="25" t="s">
        <v>16503</v>
      </c>
      <c r="K867" s="25" t="s">
        <v>207</v>
      </c>
      <c r="L867" s="25" t="s">
        <v>208</v>
      </c>
      <c r="M867" s="25" t="s">
        <v>296</v>
      </c>
      <c r="N867" s="25" t="s">
        <v>1052</v>
      </c>
      <c r="O867" s="25" t="s">
        <v>166</v>
      </c>
      <c r="P867" s="25" t="s">
        <v>16504</v>
      </c>
      <c r="Q867" s="25" t="s">
        <v>2555</v>
      </c>
      <c r="R867" s="25" t="s">
        <v>177</v>
      </c>
      <c r="S867" s="25" t="s">
        <v>178</v>
      </c>
      <c r="T867" s="25" t="s">
        <v>179</v>
      </c>
      <c r="U867" s="25" t="s">
        <v>16505</v>
      </c>
      <c r="V867" s="25" t="s">
        <v>16506</v>
      </c>
      <c r="W867" s="32" t="s">
        <v>166</v>
      </c>
      <c r="X867" s="25" t="s">
        <v>166</v>
      </c>
      <c r="Y867" s="25" t="s">
        <v>16507</v>
      </c>
      <c r="Z867" s="25" t="s">
        <v>16508</v>
      </c>
      <c r="AA867" s="25" t="s">
        <v>166</v>
      </c>
      <c r="AB867" s="25" t="s">
        <v>166</v>
      </c>
      <c r="AC867" s="25" t="s">
        <v>166</v>
      </c>
      <c r="AD867" s="25" t="s">
        <v>166</v>
      </c>
      <c r="AE867" s="25" t="s">
        <v>166</v>
      </c>
      <c r="AF867" s="25" t="s">
        <v>166</v>
      </c>
      <c r="AG867" s="25" t="s">
        <v>166</v>
      </c>
      <c r="AH867" s="32">
        <v>1</v>
      </c>
      <c r="AI867" s="4">
        <f>HYPERLINK("https://my.pitchbook.com/?d=195335-11T","195335-11T")</f>
      </c>
      <c r="AJ867" s="30" t="s">
        <v>166</v>
      </c>
      <c r="AK867" s="30">
        <v>44644</v>
      </c>
      <c r="AL867" s="29">
        <v>4.6</v>
      </c>
      <c r="AM867" s="25" t="s">
        <v>185</v>
      </c>
      <c r="AN867" s="29" t="s">
        <v>166</v>
      </c>
      <c r="AO867" s="29" t="s">
        <v>166</v>
      </c>
      <c r="AP867" s="25" t="s">
        <v>166</v>
      </c>
      <c r="AQ867" s="32" t="s">
        <v>166</v>
      </c>
      <c r="AR867" s="32" t="s">
        <v>166</v>
      </c>
      <c r="AS867" s="28" t="s">
        <v>166</v>
      </c>
      <c r="AT867" s="29">
        <v>4.6</v>
      </c>
      <c r="AU867" s="32" t="s">
        <v>186</v>
      </c>
      <c r="AV867" s="32" t="s">
        <v>166</v>
      </c>
      <c r="AW867" s="29" t="s">
        <v>166</v>
      </c>
      <c r="AX867" s="32" t="s">
        <v>166</v>
      </c>
      <c r="AY867" s="25" t="s">
        <v>217</v>
      </c>
      <c r="AZ867" s="25" t="s">
        <v>217</v>
      </c>
      <c r="BA867" s="25" t="s">
        <v>166</v>
      </c>
      <c r="BB867" s="32" t="s">
        <v>166</v>
      </c>
      <c r="BC867" s="25" t="s">
        <v>179</v>
      </c>
      <c r="BD867" s="25" t="s">
        <v>16509</v>
      </c>
      <c r="BE867" s="25" t="s">
        <v>189</v>
      </c>
      <c r="BF867" s="29">
        <v>4.6</v>
      </c>
      <c r="BG867" s="25" t="s">
        <v>190</v>
      </c>
      <c r="BH867" s="25" t="s">
        <v>166</v>
      </c>
      <c r="BI867" s="25" t="s">
        <v>166</v>
      </c>
      <c r="BJ867" s="29" t="s">
        <v>166</v>
      </c>
      <c r="BK867" s="29" t="s">
        <v>166</v>
      </c>
      <c r="BL867" s="25" t="s">
        <v>191</v>
      </c>
      <c r="BM867" s="25" t="s">
        <v>178</v>
      </c>
      <c r="BN867" s="25" t="s">
        <v>177</v>
      </c>
      <c r="BO867" s="33" t="s">
        <v>166</v>
      </c>
      <c r="BP867" s="25" t="s">
        <v>16500</v>
      </c>
      <c r="BQ867" s="32">
        <v>27</v>
      </c>
      <c r="BR867" s="25" t="s">
        <v>166</v>
      </c>
      <c r="BS867" s="32" t="s">
        <v>166</v>
      </c>
      <c r="BT867" s="25" t="s">
        <v>166</v>
      </c>
      <c r="BU867" s="25" t="s">
        <v>166</v>
      </c>
      <c r="BV867" s="25" t="s">
        <v>16510</v>
      </c>
      <c r="BW867" s="25" t="s">
        <v>166</v>
      </c>
      <c r="BX867" s="25" t="s">
        <v>166</v>
      </c>
      <c r="BY867" s="25" t="s">
        <v>166</v>
      </c>
      <c r="BZ867" s="25" t="s">
        <v>166</v>
      </c>
      <c r="CA867" s="25" t="s">
        <v>166</v>
      </c>
      <c r="CB867" s="25" t="s">
        <v>166</v>
      </c>
      <c r="CC867" s="25" t="s">
        <v>166</v>
      </c>
      <c r="CD867" s="25" t="s">
        <v>166</v>
      </c>
      <c r="CE867" s="29" t="s">
        <v>166</v>
      </c>
      <c r="CF867" s="27" t="s">
        <v>166</v>
      </c>
      <c r="CG867" s="28" t="s">
        <v>166</v>
      </c>
      <c r="CH867" s="27" t="s">
        <v>166</v>
      </c>
      <c r="CI867" s="27" t="s">
        <v>166</v>
      </c>
      <c r="CJ867" s="27" t="s">
        <v>166</v>
      </c>
      <c r="CK867" s="27" t="s">
        <v>166</v>
      </c>
      <c r="CL867" s="27" t="s">
        <v>166</v>
      </c>
      <c r="CM867" s="31" t="s">
        <v>166</v>
      </c>
      <c r="CN867" s="27" t="s">
        <v>166</v>
      </c>
      <c r="CO867" s="27" t="s">
        <v>166</v>
      </c>
      <c r="CP867" s="27" t="s">
        <v>166</v>
      </c>
      <c r="CQ867" s="27" t="s">
        <v>166</v>
      </c>
      <c r="CR867" s="27" t="s">
        <v>166</v>
      </c>
      <c r="CS867" s="27" t="s">
        <v>166</v>
      </c>
      <c r="CT867" s="27" t="s">
        <v>166</v>
      </c>
      <c r="CU867" s="27" t="s">
        <v>166</v>
      </c>
      <c r="CV867" s="27" t="s">
        <v>166</v>
      </c>
      <c r="CW867" s="27" t="s">
        <v>166</v>
      </c>
      <c r="CX867" s="27" t="s">
        <v>166</v>
      </c>
      <c r="CY867" s="27" t="s">
        <v>166</v>
      </c>
      <c r="CZ867" s="27" t="s">
        <v>166</v>
      </c>
      <c r="DA867" s="27" t="s">
        <v>166</v>
      </c>
      <c r="DB867" s="27" t="s">
        <v>166</v>
      </c>
      <c r="DC867" s="27" t="s">
        <v>166</v>
      </c>
      <c r="DD867" s="27" t="s">
        <v>166</v>
      </c>
      <c r="DE867" s="28" t="s">
        <v>166</v>
      </c>
      <c r="DF867" s="33" t="s">
        <v>166</v>
      </c>
      <c r="DG867" s="25" t="s">
        <v>673</v>
      </c>
      <c r="DH867" s="25" t="s">
        <v>193</v>
      </c>
      <c r="DI867" s="25" t="s">
        <v>194</v>
      </c>
      <c r="DJ867" s="25" t="s">
        <v>674</v>
      </c>
      <c r="DK867" s="25" t="s">
        <v>257</v>
      </c>
      <c r="DL867" s="32" t="s">
        <v>166</v>
      </c>
      <c r="DM867" s="25" t="s">
        <v>198</v>
      </c>
      <c r="DN867" s="24" t="s">
        <v>16511</v>
      </c>
      <c r="DO867" s="31">
        <v>2022</v>
      </c>
      <c r="DP867" s="25" t="s">
        <v>166</v>
      </c>
      <c r="DQ867" s="25" t="s">
        <v>166</v>
      </c>
      <c r="DR867" s="29" t="s">
        <v>166</v>
      </c>
      <c r="DS867" s="27" t="s">
        <v>166</v>
      </c>
      <c r="DT867" s="30" t="s">
        <v>166</v>
      </c>
      <c r="DU867" s="25" t="s">
        <v>166</v>
      </c>
      <c r="DV867" s="29" t="s">
        <v>166</v>
      </c>
      <c r="DW867" s="29" t="s">
        <v>166</v>
      </c>
      <c r="DX867" s="27" t="s">
        <v>166</v>
      </c>
      <c r="DY867" s="27" t="s">
        <v>166</v>
      </c>
      <c r="DZ867" s="28" t="s">
        <v>166</v>
      </c>
      <c r="EA867" s="27" t="s">
        <v>166</v>
      </c>
      <c r="EB867" s="27" t="s">
        <v>166</v>
      </c>
      <c r="EC867" s="27" t="s">
        <v>166</v>
      </c>
      <c r="ED867" s="28" t="s">
        <v>166</v>
      </c>
      <c r="EE867" s="28" t="s">
        <v>166</v>
      </c>
      <c r="EF867" s="28" t="s">
        <v>166</v>
      </c>
      <c r="EG867" s="28" t="s">
        <v>166</v>
      </c>
      <c r="EH867" s="27" t="s">
        <v>166</v>
      </c>
      <c r="EI867" s="27" t="s">
        <v>166</v>
      </c>
      <c r="EJ867" s="27" t="s">
        <v>166</v>
      </c>
      <c r="EK867" s="27" t="s">
        <v>166</v>
      </c>
      <c r="EL867" s="27" t="s">
        <v>166</v>
      </c>
      <c r="EM867" s="27" t="s">
        <v>166</v>
      </c>
      <c r="EN867" s="27" t="s">
        <v>166</v>
      </c>
      <c r="EO867" s="27" t="s">
        <v>166</v>
      </c>
      <c r="EP867" s="27" t="s">
        <v>166</v>
      </c>
      <c r="EQ867" s="27" t="s">
        <v>166</v>
      </c>
      <c r="ER867" s="27" t="s">
        <v>166</v>
      </c>
      <c r="ES867" s="27" t="s">
        <v>166</v>
      </c>
      <c r="ET867" s="25" t="s">
        <v>166</v>
      </c>
      <c r="EU867" s="27" t="s">
        <v>166</v>
      </c>
      <c r="EV867" s="27" t="s">
        <v>166</v>
      </c>
      <c r="EW867" s="27" t="s">
        <v>166</v>
      </c>
      <c r="EX867" s="25" t="s">
        <v>190</v>
      </c>
      <c r="EY867" s="25" t="s">
        <v>166</v>
      </c>
      <c r="EZ867" s="27" t="s">
        <v>166</v>
      </c>
      <c r="FA867" s="26" t="s">
        <v>166</v>
      </c>
      <c r="FB867" s="26" t="s">
        <v>166</v>
      </c>
      <c r="FC867" s="26" t="s">
        <v>166</v>
      </c>
      <c r="FD867" s="26" t="s">
        <v>166</v>
      </c>
      <c r="FE867" s="26" t="s">
        <v>166</v>
      </c>
      <c r="FF867" s="26" t="s">
        <v>166</v>
      </c>
      <c r="FG867" s="25" t="s">
        <v>166</v>
      </c>
      <c r="FH867" s="4">
        <f>HYPERLINK("https://my.pitchbook.com?c=195335-11T","View Company Online")</f>
      </c>
    </row>
    <row r="868">
      <c r="A868" s="14" t="s">
        <v>16512</v>
      </c>
      <c r="B868" s="14" t="s">
        <v>16513</v>
      </c>
      <c r="C868" s="14" t="s">
        <v>16514</v>
      </c>
      <c r="D868" s="14" t="s">
        <v>166</v>
      </c>
      <c r="E868" s="23" t="s">
        <v>16515</v>
      </c>
      <c r="F868" s="21">
        <v>10</v>
      </c>
      <c r="G868" s="14" t="s">
        <v>16516</v>
      </c>
      <c r="H868" s="14" t="s">
        <v>166</v>
      </c>
      <c r="I868" s="14" t="s">
        <v>16517</v>
      </c>
      <c r="J868" s="14" t="s">
        <v>16518</v>
      </c>
      <c r="K868" s="14" t="s">
        <v>207</v>
      </c>
      <c r="L868" s="14" t="s">
        <v>208</v>
      </c>
      <c r="M868" s="14" t="s">
        <v>839</v>
      </c>
      <c r="N868" s="14" t="s">
        <v>16519</v>
      </c>
      <c r="O868" s="14" t="s">
        <v>1295</v>
      </c>
      <c r="P868" s="14" t="s">
        <v>16520</v>
      </c>
      <c r="Q868" s="14" t="s">
        <v>166</v>
      </c>
      <c r="R868" s="14" t="s">
        <v>177</v>
      </c>
      <c r="S868" s="14" t="s">
        <v>178</v>
      </c>
      <c r="T868" s="14" t="s">
        <v>179</v>
      </c>
      <c r="U868" s="14" t="s">
        <v>16521</v>
      </c>
      <c r="V868" s="14" t="s">
        <v>16522</v>
      </c>
      <c r="W868" s="21" t="s">
        <v>16523</v>
      </c>
      <c r="X868" s="14" t="s">
        <v>166</v>
      </c>
      <c r="Y868" s="14" t="s">
        <v>16524</v>
      </c>
      <c r="Z868" s="14" t="s">
        <v>16525</v>
      </c>
      <c r="AA868" s="14" t="s">
        <v>242</v>
      </c>
      <c r="AB868" s="14" t="s">
        <v>243</v>
      </c>
      <c r="AC868" s="14" t="s">
        <v>244</v>
      </c>
      <c r="AD868" s="14" t="s">
        <v>243</v>
      </c>
      <c r="AE868" s="14" t="s">
        <v>243</v>
      </c>
      <c r="AF868" s="14" t="s">
        <v>166</v>
      </c>
      <c r="AG868" s="14" t="s">
        <v>246</v>
      </c>
      <c r="AH868" s="21">
        <v>1</v>
      </c>
      <c r="AI868" s="3">
        <f>HYPERLINK("https://my.pitchbook.com/?d=228300-67T","228300-67T")</f>
      </c>
      <c r="AJ868" s="19">
        <v>45120</v>
      </c>
      <c r="AK868" s="19">
        <v>45412</v>
      </c>
      <c r="AL868" s="18">
        <v>7.2</v>
      </c>
      <c r="AM868" s="14" t="s">
        <v>185</v>
      </c>
      <c r="AN868" s="18">
        <v>10</v>
      </c>
      <c r="AO868" s="18">
        <v>17.2</v>
      </c>
      <c r="AP868" s="14" t="s">
        <v>185</v>
      </c>
      <c r="AQ868" s="21" t="s">
        <v>166</v>
      </c>
      <c r="AR868" s="21" t="s">
        <v>166</v>
      </c>
      <c r="AS868" s="17">
        <v>42.8</v>
      </c>
      <c r="AT868" s="18">
        <v>7.2</v>
      </c>
      <c r="AU868" s="21" t="s">
        <v>186</v>
      </c>
      <c r="AV868" s="21" t="s">
        <v>166</v>
      </c>
      <c r="AW868" s="18">
        <v>1.25</v>
      </c>
      <c r="AX868" s="21" t="s">
        <v>166</v>
      </c>
      <c r="AY868" s="14" t="s">
        <v>217</v>
      </c>
      <c r="AZ868" s="14" t="s">
        <v>217</v>
      </c>
      <c r="BA868" s="14" t="s">
        <v>166</v>
      </c>
      <c r="BB868" s="21" t="s">
        <v>166</v>
      </c>
      <c r="BC868" s="14" t="s">
        <v>179</v>
      </c>
      <c r="BD868" s="14" t="s">
        <v>16518</v>
      </c>
      <c r="BE868" s="14" t="s">
        <v>189</v>
      </c>
      <c r="BF868" s="18">
        <v>7.2</v>
      </c>
      <c r="BG868" s="14" t="s">
        <v>190</v>
      </c>
      <c r="BH868" s="14" t="s">
        <v>166</v>
      </c>
      <c r="BI868" s="14" t="s">
        <v>166</v>
      </c>
      <c r="BJ868" s="18" t="s">
        <v>166</v>
      </c>
      <c r="BK868" s="18" t="s">
        <v>166</v>
      </c>
      <c r="BL868" s="14" t="s">
        <v>191</v>
      </c>
      <c r="BM868" s="14" t="s">
        <v>178</v>
      </c>
      <c r="BN868" s="14" t="s">
        <v>177</v>
      </c>
      <c r="BO868" s="22" t="s">
        <v>166</v>
      </c>
      <c r="BP868" s="14" t="s">
        <v>16526</v>
      </c>
      <c r="BQ868" s="21">
        <v>10</v>
      </c>
      <c r="BR868" s="14" t="s">
        <v>166</v>
      </c>
      <c r="BS868" s="21" t="s">
        <v>166</v>
      </c>
      <c r="BT868" s="14" t="s">
        <v>16527</v>
      </c>
      <c r="BU868" s="14" t="s">
        <v>166</v>
      </c>
      <c r="BV868" s="14" t="s">
        <v>166</v>
      </c>
      <c r="BW868" s="14" t="s">
        <v>166</v>
      </c>
      <c r="BX868" s="14" t="s">
        <v>166</v>
      </c>
      <c r="BY868" s="14" t="s">
        <v>166</v>
      </c>
      <c r="BZ868" s="14" t="s">
        <v>16528</v>
      </c>
      <c r="CA868" s="14" t="s">
        <v>16529</v>
      </c>
      <c r="CB868" s="14" t="s">
        <v>166</v>
      </c>
      <c r="CC868" s="14" t="s">
        <v>14149</v>
      </c>
      <c r="CD868" s="14" t="s">
        <v>166</v>
      </c>
      <c r="CE868" s="18" t="s">
        <v>166</v>
      </c>
      <c r="CF868" s="16" t="s">
        <v>166</v>
      </c>
      <c r="CG868" s="17" t="s">
        <v>166</v>
      </c>
      <c r="CH868" s="16" t="s">
        <v>166</v>
      </c>
      <c r="CI868" s="16" t="s">
        <v>166</v>
      </c>
      <c r="CJ868" s="16" t="s">
        <v>166</v>
      </c>
      <c r="CK868" s="16" t="s">
        <v>166</v>
      </c>
      <c r="CL868" s="16" t="s">
        <v>166</v>
      </c>
      <c r="CM868" s="20" t="s">
        <v>166</v>
      </c>
      <c r="CN868" s="16" t="s">
        <v>166</v>
      </c>
      <c r="CO868" s="16" t="s">
        <v>166</v>
      </c>
      <c r="CP868" s="16" t="s">
        <v>166</v>
      </c>
      <c r="CQ868" s="16" t="s">
        <v>166</v>
      </c>
      <c r="CR868" s="16" t="s">
        <v>166</v>
      </c>
      <c r="CS868" s="16" t="s">
        <v>166</v>
      </c>
      <c r="CT868" s="16" t="s">
        <v>166</v>
      </c>
      <c r="CU868" s="16" t="s">
        <v>166</v>
      </c>
      <c r="CV868" s="16" t="s">
        <v>166</v>
      </c>
      <c r="CW868" s="16" t="s">
        <v>166</v>
      </c>
      <c r="CX868" s="16" t="s">
        <v>166</v>
      </c>
      <c r="CY868" s="16" t="s">
        <v>166</v>
      </c>
      <c r="CZ868" s="16" t="s">
        <v>166</v>
      </c>
      <c r="DA868" s="16" t="s">
        <v>166</v>
      </c>
      <c r="DB868" s="16" t="s">
        <v>166</v>
      </c>
      <c r="DC868" s="16" t="s">
        <v>166</v>
      </c>
      <c r="DD868" s="16" t="s">
        <v>166</v>
      </c>
      <c r="DE868" s="17" t="s">
        <v>166</v>
      </c>
      <c r="DF868" s="22">
        <v>14</v>
      </c>
      <c r="DG868" s="14" t="s">
        <v>309</v>
      </c>
      <c r="DH868" s="14" t="s">
        <v>193</v>
      </c>
      <c r="DI868" s="14" t="s">
        <v>194</v>
      </c>
      <c r="DJ868" s="14" t="s">
        <v>310</v>
      </c>
      <c r="DK868" s="14" t="s">
        <v>310</v>
      </c>
      <c r="DL868" s="21" t="s">
        <v>3037</v>
      </c>
      <c r="DM868" s="14" t="s">
        <v>198</v>
      </c>
      <c r="DN868" s="13" t="s">
        <v>16530</v>
      </c>
      <c r="DO868" s="20">
        <v>2022</v>
      </c>
      <c r="DP868" s="14" t="s">
        <v>166</v>
      </c>
      <c r="DQ868" s="14" t="s">
        <v>166</v>
      </c>
      <c r="DR868" s="18" t="s">
        <v>166</v>
      </c>
      <c r="DS868" s="16" t="s">
        <v>166</v>
      </c>
      <c r="DT868" s="19" t="s">
        <v>166</v>
      </c>
      <c r="DU868" s="14" t="s">
        <v>166</v>
      </c>
      <c r="DV868" s="18" t="s">
        <v>166</v>
      </c>
      <c r="DW868" s="18" t="s">
        <v>166</v>
      </c>
      <c r="DX868" s="16" t="s">
        <v>166</v>
      </c>
      <c r="DY868" s="16" t="s">
        <v>166</v>
      </c>
      <c r="DZ868" s="17" t="s">
        <v>166</v>
      </c>
      <c r="EA868" s="16" t="s">
        <v>166</v>
      </c>
      <c r="EB868" s="16" t="s">
        <v>166</v>
      </c>
      <c r="EC868" s="16" t="s">
        <v>166</v>
      </c>
      <c r="ED868" s="17" t="s">
        <v>166</v>
      </c>
      <c r="EE868" s="17" t="s">
        <v>166</v>
      </c>
      <c r="EF868" s="17" t="s">
        <v>166</v>
      </c>
      <c r="EG868" s="17" t="s">
        <v>166</v>
      </c>
      <c r="EH868" s="16" t="s">
        <v>166</v>
      </c>
      <c r="EI868" s="16" t="s">
        <v>166</v>
      </c>
      <c r="EJ868" s="16" t="s">
        <v>166</v>
      </c>
      <c r="EK868" s="16" t="s">
        <v>166</v>
      </c>
      <c r="EL868" s="16" t="s">
        <v>166</v>
      </c>
      <c r="EM868" s="16" t="s">
        <v>166</v>
      </c>
      <c r="EN868" s="16" t="s">
        <v>166</v>
      </c>
      <c r="EO868" s="16" t="s">
        <v>166</v>
      </c>
      <c r="EP868" s="16" t="s">
        <v>166</v>
      </c>
      <c r="EQ868" s="16" t="s">
        <v>166</v>
      </c>
      <c r="ER868" s="16" t="s">
        <v>166</v>
      </c>
      <c r="ES868" s="16" t="s">
        <v>166</v>
      </c>
      <c r="ET868" s="14" t="s">
        <v>166</v>
      </c>
      <c r="EU868" s="16" t="s">
        <v>166</v>
      </c>
      <c r="EV868" s="16" t="s">
        <v>166</v>
      </c>
      <c r="EW868" s="16" t="s">
        <v>166</v>
      </c>
      <c r="EX868" s="14" t="s">
        <v>190</v>
      </c>
      <c r="EY868" s="14" t="s">
        <v>166</v>
      </c>
      <c r="EZ868" s="16" t="s">
        <v>166</v>
      </c>
      <c r="FA868" s="15" t="s">
        <v>166</v>
      </c>
      <c r="FB868" s="15" t="s">
        <v>166</v>
      </c>
      <c r="FC868" s="15" t="s">
        <v>166</v>
      </c>
      <c r="FD868" s="15" t="s">
        <v>166</v>
      </c>
      <c r="FE868" s="15" t="s">
        <v>166</v>
      </c>
      <c r="FF868" s="15" t="s">
        <v>166</v>
      </c>
      <c r="FG868" s="14" t="s">
        <v>166</v>
      </c>
      <c r="FH868" s="3">
        <f>HYPERLINK("https://my.pitchbook.com?c=228300-67T","View Company Online")</f>
      </c>
    </row>
    <row r="869">
      <c r="A869" s="25" t="s">
        <v>16531</v>
      </c>
      <c r="B869" s="25" t="s">
        <v>16532</v>
      </c>
      <c r="C869" s="25" t="s">
        <v>16533</v>
      </c>
      <c r="D869" s="25" t="s">
        <v>166</v>
      </c>
      <c r="E869" s="34" t="s">
        <v>16534</v>
      </c>
      <c r="F869" s="32">
        <v>10</v>
      </c>
      <c r="G869" s="25" t="s">
        <v>16535</v>
      </c>
      <c r="H869" s="25" t="s">
        <v>166</v>
      </c>
      <c r="I869" s="25" t="s">
        <v>16536</v>
      </c>
      <c r="J869" s="25" t="s">
        <v>16537</v>
      </c>
      <c r="K869" s="25" t="s">
        <v>1455</v>
      </c>
      <c r="L869" s="25" t="s">
        <v>1456</v>
      </c>
      <c r="M869" s="25" t="s">
        <v>1457</v>
      </c>
      <c r="N869" s="25" t="s">
        <v>16538</v>
      </c>
      <c r="O869" s="25" t="s">
        <v>16539</v>
      </c>
      <c r="P869" s="25" t="s">
        <v>16540</v>
      </c>
      <c r="Q869" s="25" t="s">
        <v>166</v>
      </c>
      <c r="R869" s="25" t="s">
        <v>177</v>
      </c>
      <c r="S869" s="25" t="s">
        <v>178</v>
      </c>
      <c r="T869" s="25" t="s">
        <v>179</v>
      </c>
      <c r="U869" s="25" t="s">
        <v>16541</v>
      </c>
      <c r="V869" s="25" t="s">
        <v>16542</v>
      </c>
      <c r="W869" s="32" t="s">
        <v>16543</v>
      </c>
      <c r="X869" s="25" t="s">
        <v>16544</v>
      </c>
      <c r="Y869" s="25" t="s">
        <v>16545</v>
      </c>
      <c r="Z869" s="25" t="s">
        <v>166</v>
      </c>
      <c r="AA869" s="25" t="s">
        <v>166</v>
      </c>
      <c r="AB869" s="25" t="s">
        <v>166</v>
      </c>
      <c r="AC869" s="25" t="s">
        <v>166</v>
      </c>
      <c r="AD869" s="25" t="s">
        <v>166</v>
      </c>
      <c r="AE869" s="25" t="s">
        <v>166</v>
      </c>
      <c r="AF869" s="25" t="s">
        <v>166</v>
      </c>
      <c r="AG869" s="25" t="s">
        <v>166</v>
      </c>
      <c r="AH869" s="32">
        <v>1</v>
      </c>
      <c r="AI869" s="4">
        <f>HYPERLINK("https://my.pitchbook.com/?d=192561-49T","192561-49T")</f>
      </c>
      <c r="AJ869" s="30" t="s">
        <v>166</v>
      </c>
      <c r="AK869" s="30">
        <v>44662</v>
      </c>
      <c r="AL869" s="29">
        <v>3.4</v>
      </c>
      <c r="AM869" s="25" t="s">
        <v>185</v>
      </c>
      <c r="AN869" s="29" t="s">
        <v>166</v>
      </c>
      <c r="AO869" s="29" t="s">
        <v>166</v>
      </c>
      <c r="AP869" s="25" t="s">
        <v>166</v>
      </c>
      <c r="AQ869" s="32" t="s">
        <v>166</v>
      </c>
      <c r="AR869" s="32" t="s">
        <v>166</v>
      </c>
      <c r="AS869" s="28" t="s">
        <v>166</v>
      </c>
      <c r="AT869" s="29">
        <v>3.4</v>
      </c>
      <c r="AU869" s="32" t="s">
        <v>186</v>
      </c>
      <c r="AV869" s="32" t="s">
        <v>166</v>
      </c>
      <c r="AW869" s="29" t="s">
        <v>166</v>
      </c>
      <c r="AX869" s="32" t="s">
        <v>166</v>
      </c>
      <c r="AY869" s="25" t="s">
        <v>217</v>
      </c>
      <c r="AZ869" s="25" t="s">
        <v>217</v>
      </c>
      <c r="BA869" s="25" t="s">
        <v>166</v>
      </c>
      <c r="BB869" s="32" t="s">
        <v>166</v>
      </c>
      <c r="BC869" s="25" t="s">
        <v>179</v>
      </c>
      <c r="BD869" s="25" t="s">
        <v>16546</v>
      </c>
      <c r="BE869" s="25" t="s">
        <v>189</v>
      </c>
      <c r="BF869" s="29">
        <v>3.4</v>
      </c>
      <c r="BG869" s="25" t="s">
        <v>190</v>
      </c>
      <c r="BH869" s="25" t="s">
        <v>166</v>
      </c>
      <c r="BI869" s="25" t="s">
        <v>166</v>
      </c>
      <c r="BJ869" s="29" t="s">
        <v>166</v>
      </c>
      <c r="BK869" s="29" t="s">
        <v>166</v>
      </c>
      <c r="BL869" s="25" t="s">
        <v>191</v>
      </c>
      <c r="BM869" s="25" t="s">
        <v>178</v>
      </c>
      <c r="BN869" s="25" t="s">
        <v>177</v>
      </c>
      <c r="BO869" s="33" t="s">
        <v>166</v>
      </c>
      <c r="BP869" s="25" t="s">
        <v>16547</v>
      </c>
      <c r="BQ869" s="32">
        <v>10</v>
      </c>
      <c r="BR869" s="25" t="s">
        <v>166</v>
      </c>
      <c r="BS869" s="32" t="s">
        <v>166</v>
      </c>
      <c r="BT869" s="25" t="s">
        <v>16548</v>
      </c>
      <c r="BU869" s="25" t="s">
        <v>166</v>
      </c>
      <c r="BV869" s="25" t="s">
        <v>16549</v>
      </c>
      <c r="BW869" s="25" t="s">
        <v>166</v>
      </c>
      <c r="BX869" s="25" t="s">
        <v>166</v>
      </c>
      <c r="BY869" s="25" t="s">
        <v>166</v>
      </c>
      <c r="BZ869" s="25" t="s">
        <v>16550</v>
      </c>
      <c r="CA869" s="25" t="s">
        <v>166</v>
      </c>
      <c r="CB869" s="25" t="s">
        <v>166</v>
      </c>
      <c r="CC869" s="25" t="s">
        <v>16550</v>
      </c>
      <c r="CD869" s="25" t="s">
        <v>166</v>
      </c>
      <c r="CE869" s="29" t="s">
        <v>166</v>
      </c>
      <c r="CF869" s="27" t="s">
        <v>166</v>
      </c>
      <c r="CG869" s="28" t="s">
        <v>166</v>
      </c>
      <c r="CH869" s="27" t="s">
        <v>166</v>
      </c>
      <c r="CI869" s="27" t="s">
        <v>166</v>
      </c>
      <c r="CJ869" s="27" t="s">
        <v>166</v>
      </c>
      <c r="CK869" s="27" t="s">
        <v>166</v>
      </c>
      <c r="CL869" s="27" t="s">
        <v>166</v>
      </c>
      <c r="CM869" s="31" t="s">
        <v>166</v>
      </c>
      <c r="CN869" s="27" t="s">
        <v>166</v>
      </c>
      <c r="CO869" s="27" t="s">
        <v>166</v>
      </c>
      <c r="CP869" s="27" t="s">
        <v>166</v>
      </c>
      <c r="CQ869" s="27" t="s">
        <v>166</v>
      </c>
      <c r="CR869" s="27" t="s">
        <v>166</v>
      </c>
      <c r="CS869" s="27" t="s">
        <v>166</v>
      </c>
      <c r="CT869" s="27" t="s">
        <v>166</v>
      </c>
      <c r="CU869" s="27" t="s">
        <v>166</v>
      </c>
      <c r="CV869" s="27" t="s">
        <v>166</v>
      </c>
      <c r="CW869" s="27" t="s">
        <v>166</v>
      </c>
      <c r="CX869" s="27" t="s">
        <v>166</v>
      </c>
      <c r="CY869" s="27" t="s">
        <v>166</v>
      </c>
      <c r="CZ869" s="27" t="s">
        <v>166</v>
      </c>
      <c r="DA869" s="27" t="s">
        <v>166</v>
      </c>
      <c r="DB869" s="27" t="s">
        <v>166</v>
      </c>
      <c r="DC869" s="27" t="s">
        <v>166</v>
      </c>
      <c r="DD869" s="27" t="s">
        <v>166</v>
      </c>
      <c r="DE869" s="28" t="s">
        <v>166</v>
      </c>
      <c r="DF869" s="33">
        <v>8</v>
      </c>
      <c r="DG869" s="25" t="s">
        <v>518</v>
      </c>
      <c r="DH869" s="25" t="s">
        <v>193</v>
      </c>
      <c r="DI869" s="25" t="s">
        <v>194</v>
      </c>
      <c r="DJ869" s="25" t="s">
        <v>519</v>
      </c>
      <c r="DK869" s="25" t="s">
        <v>257</v>
      </c>
      <c r="DL869" s="32" t="s">
        <v>6109</v>
      </c>
      <c r="DM869" s="25" t="s">
        <v>198</v>
      </c>
      <c r="DN869" s="24" t="s">
        <v>16551</v>
      </c>
      <c r="DO869" s="31" t="s">
        <v>166</v>
      </c>
      <c r="DP869" s="25" t="s">
        <v>166</v>
      </c>
      <c r="DQ869" s="25" t="s">
        <v>166</v>
      </c>
      <c r="DR869" s="29" t="s">
        <v>166</v>
      </c>
      <c r="DS869" s="27" t="s">
        <v>166</v>
      </c>
      <c r="DT869" s="30" t="s">
        <v>166</v>
      </c>
      <c r="DU869" s="25" t="s">
        <v>166</v>
      </c>
      <c r="DV869" s="29" t="s">
        <v>166</v>
      </c>
      <c r="DW869" s="29" t="s">
        <v>166</v>
      </c>
      <c r="DX869" s="27" t="s">
        <v>166</v>
      </c>
      <c r="DY869" s="27" t="s">
        <v>166</v>
      </c>
      <c r="DZ869" s="28" t="s">
        <v>166</v>
      </c>
      <c r="EA869" s="27" t="s">
        <v>166</v>
      </c>
      <c r="EB869" s="27" t="s">
        <v>166</v>
      </c>
      <c r="EC869" s="27" t="s">
        <v>166</v>
      </c>
      <c r="ED869" s="28" t="s">
        <v>166</v>
      </c>
      <c r="EE869" s="28" t="s">
        <v>166</v>
      </c>
      <c r="EF869" s="28" t="s">
        <v>166</v>
      </c>
      <c r="EG869" s="28" t="s">
        <v>166</v>
      </c>
      <c r="EH869" s="27" t="s">
        <v>166</v>
      </c>
      <c r="EI869" s="27" t="s">
        <v>166</v>
      </c>
      <c r="EJ869" s="27" t="s">
        <v>166</v>
      </c>
      <c r="EK869" s="27" t="s">
        <v>166</v>
      </c>
      <c r="EL869" s="27" t="s">
        <v>166</v>
      </c>
      <c r="EM869" s="27" t="s">
        <v>166</v>
      </c>
      <c r="EN869" s="27" t="s">
        <v>166</v>
      </c>
      <c r="EO869" s="27" t="s">
        <v>166</v>
      </c>
      <c r="EP869" s="27" t="s">
        <v>166</v>
      </c>
      <c r="EQ869" s="27" t="s">
        <v>166</v>
      </c>
      <c r="ER869" s="27" t="s">
        <v>166</v>
      </c>
      <c r="ES869" s="27" t="s">
        <v>166</v>
      </c>
      <c r="ET869" s="25" t="s">
        <v>166</v>
      </c>
      <c r="EU869" s="27" t="s">
        <v>166</v>
      </c>
      <c r="EV869" s="27" t="s">
        <v>166</v>
      </c>
      <c r="EW869" s="27" t="s">
        <v>166</v>
      </c>
      <c r="EX869" s="25" t="s">
        <v>190</v>
      </c>
      <c r="EY869" s="25" t="s">
        <v>166</v>
      </c>
      <c r="EZ869" s="27" t="s">
        <v>166</v>
      </c>
      <c r="FA869" s="26" t="s">
        <v>166</v>
      </c>
      <c r="FB869" s="26" t="s">
        <v>166</v>
      </c>
      <c r="FC869" s="26" t="s">
        <v>166</v>
      </c>
      <c r="FD869" s="26" t="s">
        <v>166</v>
      </c>
      <c r="FE869" s="26" t="s">
        <v>166</v>
      </c>
      <c r="FF869" s="26" t="s">
        <v>166</v>
      </c>
      <c r="FG869" s="25" t="s">
        <v>166</v>
      </c>
      <c r="FH869" s="4">
        <f>HYPERLINK("https://my.pitchbook.com?c=192561-49T","View Company Online")</f>
      </c>
    </row>
    <row r="870">
      <c r="A870" s="14" t="s">
        <v>16552</v>
      </c>
      <c r="B870" s="14" t="s">
        <v>16553</v>
      </c>
      <c r="C870" s="14" t="s">
        <v>16554</v>
      </c>
      <c r="D870" s="14" t="s">
        <v>166</v>
      </c>
      <c r="E870" s="23" t="s">
        <v>16555</v>
      </c>
      <c r="F870" s="21">
        <v>7</v>
      </c>
      <c r="G870" s="14" t="s">
        <v>16556</v>
      </c>
      <c r="H870" s="14" t="s">
        <v>166</v>
      </c>
      <c r="I870" s="14" t="s">
        <v>16557</v>
      </c>
      <c r="J870" s="14" t="s">
        <v>16558</v>
      </c>
      <c r="K870" s="14" t="s">
        <v>207</v>
      </c>
      <c r="L870" s="14" t="s">
        <v>208</v>
      </c>
      <c r="M870" s="14" t="s">
        <v>209</v>
      </c>
      <c r="N870" s="14" t="s">
        <v>2471</v>
      </c>
      <c r="O870" s="14" t="s">
        <v>665</v>
      </c>
      <c r="P870" s="14" t="s">
        <v>16559</v>
      </c>
      <c r="Q870" s="14" t="s">
        <v>166</v>
      </c>
      <c r="R870" s="14" t="s">
        <v>177</v>
      </c>
      <c r="S870" s="14" t="s">
        <v>178</v>
      </c>
      <c r="T870" s="14" t="s">
        <v>179</v>
      </c>
      <c r="U870" s="14" t="s">
        <v>16560</v>
      </c>
      <c r="V870" s="14" t="s">
        <v>16561</v>
      </c>
      <c r="W870" s="21" t="s">
        <v>16562</v>
      </c>
      <c r="X870" s="14" t="s">
        <v>16563</v>
      </c>
      <c r="Y870" s="14" t="s">
        <v>16564</v>
      </c>
      <c r="Z870" s="14" t="s">
        <v>166</v>
      </c>
      <c r="AA870" s="14" t="s">
        <v>242</v>
      </c>
      <c r="AB870" s="14" t="s">
        <v>243</v>
      </c>
      <c r="AC870" s="14" t="s">
        <v>244</v>
      </c>
      <c r="AD870" s="14" t="s">
        <v>243</v>
      </c>
      <c r="AE870" s="14" t="s">
        <v>243</v>
      </c>
      <c r="AF870" s="14" t="s">
        <v>166</v>
      </c>
      <c r="AG870" s="14" t="s">
        <v>246</v>
      </c>
      <c r="AH870" s="21">
        <v>2</v>
      </c>
      <c r="AI870" s="3">
        <f>HYPERLINK("https://my.pitchbook.com/?d=224068-87T","224068-87T")</f>
      </c>
      <c r="AJ870" s="19" t="s">
        <v>166</v>
      </c>
      <c r="AK870" s="19">
        <v>45092</v>
      </c>
      <c r="AL870" s="18">
        <v>8.46</v>
      </c>
      <c r="AM870" s="14" t="s">
        <v>185</v>
      </c>
      <c r="AN870" s="18">
        <v>10</v>
      </c>
      <c r="AO870" s="18">
        <v>18.46</v>
      </c>
      <c r="AP870" s="14" t="s">
        <v>185</v>
      </c>
      <c r="AQ870" s="21" t="s">
        <v>166</v>
      </c>
      <c r="AR870" s="21" t="s">
        <v>166</v>
      </c>
      <c r="AS870" s="17">
        <v>52.15</v>
      </c>
      <c r="AT870" s="18">
        <v>8.59</v>
      </c>
      <c r="AU870" s="21" t="s">
        <v>186</v>
      </c>
      <c r="AV870" s="21" t="s">
        <v>166</v>
      </c>
      <c r="AW870" s="18">
        <v>0.9</v>
      </c>
      <c r="AX870" s="21" t="s">
        <v>166</v>
      </c>
      <c r="AY870" s="14" t="s">
        <v>217</v>
      </c>
      <c r="AZ870" s="14" t="s">
        <v>217</v>
      </c>
      <c r="BA870" s="14" t="s">
        <v>166</v>
      </c>
      <c r="BB870" s="21" t="s">
        <v>166</v>
      </c>
      <c r="BC870" s="14" t="s">
        <v>179</v>
      </c>
      <c r="BD870" s="14" t="s">
        <v>16558</v>
      </c>
      <c r="BE870" s="14" t="s">
        <v>189</v>
      </c>
      <c r="BF870" s="18">
        <v>8.46</v>
      </c>
      <c r="BG870" s="14" t="s">
        <v>190</v>
      </c>
      <c r="BH870" s="14" t="s">
        <v>166</v>
      </c>
      <c r="BI870" s="14" t="s">
        <v>166</v>
      </c>
      <c r="BJ870" s="18" t="s">
        <v>166</v>
      </c>
      <c r="BK870" s="18" t="s">
        <v>166</v>
      </c>
      <c r="BL870" s="14" t="s">
        <v>191</v>
      </c>
      <c r="BM870" s="14" t="s">
        <v>178</v>
      </c>
      <c r="BN870" s="14" t="s">
        <v>177</v>
      </c>
      <c r="BO870" s="22" t="s">
        <v>166</v>
      </c>
      <c r="BP870" s="14" t="s">
        <v>16565</v>
      </c>
      <c r="BQ870" s="21">
        <v>6</v>
      </c>
      <c r="BR870" s="14" t="s">
        <v>914</v>
      </c>
      <c r="BS870" s="21">
        <v>1</v>
      </c>
      <c r="BT870" s="14" t="s">
        <v>16566</v>
      </c>
      <c r="BU870" s="14" t="s">
        <v>166</v>
      </c>
      <c r="BV870" s="14" t="s">
        <v>16567</v>
      </c>
      <c r="BW870" s="14" t="s">
        <v>166</v>
      </c>
      <c r="BX870" s="14" t="s">
        <v>166</v>
      </c>
      <c r="BY870" s="14" t="s">
        <v>166</v>
      </c>
      <c r="BZ870" s="14" t="s">
        <v>16568</v>
      </c>
      <c r="CA870" s="14" t="s">
        <v>16569</v>
      </c>
      <c r="CB870" s="14" t="s">
        <v>16570</v>
      </c>
      <c r="CC870" s="14" t="s">
        <v>16571</v>
      </c>
      <c r="CD870" s="14" t="s">
        <v>166</v>
      </c>
      <c r="CE870" s="18" t="s">
        <v>166</v>
      </c>
      <c r="CF870" s="16" t="s">
        <v>166</v>
      </c>
      <c r="CG870" s="17" t="s">
        <v>166</v>
      </c>
      <c r="CH870" s="16" t="s">
        <v>166</v>
      </c>
      <c r="CI870" s="16" t="s">
        <v>166</v>
      </c>
      <c r="CJ870" s="16" t="s">
        <v>166</v>
      </c>
      <c r="CK870" s="16" t="s">
        <v>166</v>
      </c>
      <c r="CL870" s="16" t="s">
        <v>166</v>
      </c>
      <c r="CM870" s="20" t="s">
        <v>166</v>
      </c>
      <c r="CN870" s="16" t="s">
        <v>166</v>
      </c>
      <c r="CO870" s="16" t="s">
        <v>166</v>
      </c>
      <c r="CP870" s="16" t="s">
        <v>166</v>
      </c>
      <c r="CQ870" s="16" t="s">
        <v>166</v>
      </c>
      <c r="CR870" s="16" t="s">
        <v>166</v>
      </c>
      <c r="CS870" s="16" t="s">
        <v>166</v>
      </c>
      <c r="CT870" s="16" t="s">
        <v>166</v>
      </c>
      <c r="CU870" s="16" t="s">
        <v>166</v>
      </c>
      <c r="CV870" s="16" t="s">
        <v>166</v>
      </c>
      <c r="CW870" s="16" t="s">
        <v>166</v>
      </c>
      <c r="CX870" s="16" t="s">
        <v>166</v>
      </c>
      <c r="CY870" s="16" t="s">
        <v>166</v>
      </c>
      <c r="CZ870" s="16" t="s">
        <v>166</v>
      </c>
      <c r="DA870" s="16" t="s">
        <v>166</v>
      </c>
      <c r="DB870" s="16" t="s">
        <v>166</v>
      </c>
      <c r="DC870" s="16" t="s">
        <v>166</v>
      </c>
      <c r="DD870" s="16" t="s">
        <v>166</v>
      </c>
      <c r="DE870" s="17" t="s">
        <v>166</v>
      </c>
      <c r="DF870" s="22">
        <v>15</v>
      </c>
      <c r="DG870" s="14" t="s">
        <v>673</v>
      </c>
      <c r="DH870" s="14" t="s">
        <v>193</v>
      </c>
      <c r="DI870" s="14" t="s">
        <v>194</v>
      </c>
      <c r="DJ870" s="14" t="s">
        <v>674</v>
      </c>
      <c r="DK870" s="14" t="s">
        <v>257</v>
      </c>
      <c r="DL870" s="21" t="s">
        <v>675</v>
      </c>
      <c r="DM870" s="14" t="s">
        <v>198</v>
      </c>
      <c r="DN870" s="13" t="s">
        <v>16572</v>
      </c>
      <c r="DO870" s="20">
        <v>2020</v>
      </c>
      <c r="DP870" s="14" t="s">
        <v>166</v>
      </c>
      <c r="DQ870" s="14" t="s">
        <v>166</v>
      </c>
      <c r="DR870" s="18" t="s">
        <v>166</v>
      </c>
      <c r="DS870" s="16" t="s">
        <v>166</v>
      </c>
      <c r="DT870" s="19" t="s">
        <v>166</v>
      </c>
      <c r="DU870" s="14" t="s">
        <v>166</v>
      </c>
      <c r="DV870" s="18" t="s">
        <v>166</v>
      </c>
      <c r="DW870" s="18" t="s">
        <v>166</v>
      </c>
      <c r="DX870" s="16" t="s">
        <v>166</v>
      </c>
      <c r="DY870" s="16" t="s">
        <v>166</v>
      </c>
      <c r="DZ870" s="17" t="s">
        <v>166</v>
      </c>
      <c r="EA870" s="16" t="s">
        <v>166</v>
      </c>
      <c r="EB870" s="16" t="s">
        <v>166</v>
      </c>
      <c r="EC870" s="16" t="s">
        <v>166</v>
      </c>
      <c r="ED870" s="17" t="s">
        <v>166</v>
      </c>
      <c r="EE870" s="17" t="s">
        <v>166</v>
      </c>
      <c r="EF870" s="17" t="s">
        <v>166</v>
      </c>
      <c r="EG870" s="17" t="s">
        <v>166</v>
      </c>
      <c r="EH870" s="16" t="s">
        <v>166</v>
      </c>
      <c r="EI870" s="16" t="s">
        <v>166</v>
      </c>
      <c r="EJ870" s="16" t="s">
        <v>166</v>
      </c>
      <c r="EK870" s="16" t="s">
        <v>166</v>
      </c>
      <c r="EL870" s="16" t="s">
        <v>166</v>
      </c>
      <c r="EM870" s="16" t="s">
        <v>166</v>
      </c>
      <c r="EN870" s="16" t="s">
        <v>166</v>
      </c>
      <c r="EO870" s="16" t="s">
        <v>166</v>
      </c>
      <c r="EP870" s="16" t="s">
        <v>166</v>
      </c>
      <c r="EQ870" s="16" t="s">
        <v>166</v>
      </c>
      <c r="ER870" s="16" t="s">
        <v>166</v>
      </c>
      <c r="ES870" s="16" t="s">
        <v>166</v>
      </c>
      <c r="ET870" s="14" t="s">
        <v>166</v>
      </c>
      <c r="EU870" s="16" t="s">
        <v>166</v>
      </c>
      <c r="EV870" s="16" t="s">
        <v>166</v>
      </c>
      <c r="EW870" s="16" t="s">
        <v>166</v>
      </c>
      <c r="EX870" s="14" t="s">
        <v>190</v>
      </c>
      <c r="EY870" s="14" t="s">
        <v>166</v>
      </c>
      <c r="EZ870" s="16" t="s">
        <v>166</v>
      </c>
      <c r="FA870" s="15" t="s">
        <v>166</v>
      </c>
      <c r="FB870" s="15" t="s">
        <v>166</v>
      </c>
      <c r="FC870" s="15" t="s">
        <v>166</v>
      </c>
      <c r="FD870" s="15" t="s">
        <v>166</v>
      </c>
      <c r="FE870" s="15" t="s">
        <v>166</v>
      </c>
      <c r="FF870" s="15" t="s">
        <v>166</v>
      </c>
      <c r="FG870" s="14" t="s">
        <v>166</v>
      </c>
      <c r="FH870" s="3">
        <f>HYPERLINK("https://my.pitchbook.com?c=224068-87T","View Company Online")</f>
      </c>
    </row>
    <row r="871">
      <c r="A871" s="25" t="s">
        <v>16573</v>
      </c>
      <c r="B871" s="25" t="s">
        <v>16574</v>
      </c>
      <c r="C871" s="25" t="s">
        <v>16575</v>
      </c>
      <c r="D871" s="25" t="s">
        <v>166</v>
      </c>
      <c r="E871" s="34" t="s">
        <v>16576</v>
      </c>
      <c r="F871" s="32">
        <v>2</v>
      </c>
      <c r="G871" s="25" t="s">
        <v>16577</v>
      </c>
      <c r="H871" s="25" t="s">
        <v>166</v>
      </c>
      <c r="I871" s="25" t="s">
        <v>16578</v>
      </c>
      <c r="J871" s="25" t="s">
        <v>16579</v>
      </c>
      <c r="K871" s="25" t="s">
        <v>207</v>
      </c>
      <c r="L871" s="25" t="s">
        <v>418</v>
      </c>
      <c r="M871" s="25" t="s">
        <v>419</v>
      </c>
      <c r="N871" s="25" t="s">
        <v>16580</v>
      </c>
      <c r="O871" s="25" t="s">
        <v>5972</v>
      </c>
      <c r="P871" s="25" t="s">
        <v>16581</v>
      </c>
      <c r="Q871" s="25" t="s">
        <v>166</v>
      </c>
      <c r="R871" s="25" t="s">
        <v>177</v>
      </c>
      <c r="S871" s="25" t="s">
        <v>178</v>
      </c>
      <c r="T871" s="25" t="s">
        <v>179</v>
      </c>
      <c r="U871" s="25" t="s">
        <v>16582</v>
      </c>
      <c r="V871" s="25" t="s">
        <v>16583</v>
      </c>
      <c r="W871" s="32" t="s">
        <v>16584</v>
      </c>
      <c r="X871" s="25" t="s">
        <v>16585</v>
      </c>
      <c r="Y871" s="25" t="s">
        <v>16586</v>
      </c>
      <c r="Z871" s="25" t="s">
        <v>16587</v>
      </c>
      <c r="AA871" s="25" t="s">
        <v>242</v>
      </c>
      <c r="AB871" s="25" t="s">
        <v>243</v>
      </c>
      <c r="AC871" s="25" t="s">
        <v>244</v>
      </c>
      <c r="AD871" s="25" t="s">
        <v>243</v>
      </c>
      <c r="AE871" s="25" t="s">
        <v>243</v>
      </c>
      <c r="AF871" s="25" t="s">
        <v>306</v>
      </c>
      <c r="AG871" s="25" t="s">
        <v>5628</v>
      </c>
      <c r="AH871" s="32">
        <v>4</v>
      </c>
      <c r="AI871" s="4">
        <f>HYPERLINK("https://my.pitchbook.com/?d=209026-72T","209026-72T")</f>
      </c>
      <c r="AJ871" s="30" t="s">
        <v>166</v>
      </c>
      <c r="AK871" s="30">
        <v>44662</v>
      </c>
      <c r="AL871" s="29">
        <v>1.4</v>
      </c>
      <c r="AM871" s="25" t="s">
        <v>247</v>
      </c>
      <c r="AN871" s="29">
        <v>4</v>
      </c>
      <c r="AO871" s="29">
        <v>5.4</v>
      </c>
      <c r="AP871" s="25" t="s">
        <v>247</v>
      </c>
      <c r="AQ871" s="32" t="s">
        <v>166</v>
      </c>
      <c r="AR871" s="32" t="s">
        <v>166</v>
      </c>
      <c r="AS871" s="28">
        <v>25.93</v>
      </c>
      <c r="AT871" s="29">
        <v>1.4</v>
      </c>
      <c r="AU871" s="32" t="s">
        <v>186</v>
      </c>
      <c r="AV871" s="32" t="s">
        <v>166</v>
      </c>
      <c r="AW871" s="29">
        <v>1.32</v>
      </c>
      <c r="AX871" s="32" t="s">
        <v>166</v>
      </c>
      <c r="AY871" s="25" t="s">
        <v>217</v>
      </c>
      <c r="AZ871" s="25" t="s">
        <v>217</v>
      </c>
      <c r="BA871" s="25" t="s">
        <v>166</v>
      </c>
      <c r="BB871" s="32" t="s">
        <v>166</v>
      </c>
      <c r="BC871" s="25" t="s">
        <v>179</v>
      </c>
      <c r="BD871" s="25" t="s">
        <v>16588</v>
      </c>
      <c r="BE871" s="25" t="s">
        <v>189</v>
      </c>
      <c r="BF871" s="29">
        <v>1.4</v>
      </c>
      <c r="BG871" s="25" t="s">
        <v>190</v>
      </c>
      <c r="BH871" s="25" t="s">
        <v>166</v>
      </c>
      <c r="BI871" s="25" t="s">
        <v>166</v>
      </c>
      <c r="BJ871" s="29" t="s">
        <v>166</v>
      </c>
      <c r="BK871" s="29" t="s">
        <v>166</v>
      </c>
      <c r="BL871" s="25" t="s">
        <v>191</v>
      </c>
      <c r="BM871" s="25" t="s">
        <v>178</v>
      </c>
      <c r="BN871" s="25" t="s">
        <v>177</v>
      </c>
      <c r="BO871" s="33" t="s">
        <v>166</v>
      </c>
      <c r="BP871" s="25" t="s">
        <v>16576</v>
      </c>
      <c r="BQ871" s="32">
        <v>2</v>
      </c>
      <c r="BR871" s="25" t="s">
        <v>166</v>
      </c>
      <c r="BS871" s="32" t="s">
        <v>166</v>
      </c>
      <c r="BT871" s="25" t="s">
        <v>166</v>
      </c>
      <c r="BU871" s="25" t="s">
        <v>166</v>
      </c>
      <c r="BV871" s="25" t="s">
        <v>16589</v>
      </c>
      <c r="BW871" s="25" t="s">
        <v>166</v>
      </c>
      <c r="BX871" s="25" t="s">
        <v>166</v>
      </c>
      <c r="BY871" s="25" t="s">
        <v>166</v>
      </c>
      <c r="BZ871" s="25" t="s">
        <v>166</v>
      </c>
      <c r="CA871" s="25" t="s">
        <v>166</v>
      </c>
      <c r="CB871" s="25" t="s">
        <v>166</v>
      </c>
      <c r="CC871" s="25" t="s">
        <v>166</v>
      </c>
      <c r="CD871" s="25" t="s">
        <v>166</v>
      </c>
      <c r="CE871" s="29" t="s">
        <v>166</v>
      </c>
      <c r="CF871" s="27" t="s">
        <v>166</v>
      </c>
      <c r="CG871" s="28" t="s">
        <v>166</v>
      </c>
      <c r="CH871" s="27" t="s">
        <v>166</v>
      </c>
      <c r="CI871" s="27" t="s">
        <v>166</v>
      </c>
      <c r="CJ871" s="27" t="s">
        <v>166</v>
      </c>
      <c r="CK871" s="27" t="s">
        <v>166</v>
      </c>
      <c r="CL871" s="27" t="s">
        <v>166</v>
      </c>
      <c r="CM871" s="31" t="s">
        <v>166</v>
      </c>
      <c r="CN871" s="27" t="s">
        <v>166</v>
      </c>
      <c r="CO871" s="27" t="s">
        <v>166</v>
      </c>
      <c r="CP871" s="27" t="s">
        <v>166</v>
      </c>
      <c r="CQ871" s="27" t="s">
        <v>166</v>
      </c>
      <c r="CR871" s="27" t="s">
        <v>166</v>
      </c>
      <c r="CS871" s="27" t="s">
        <v>166</v>
      </c>
      <c r="CT871" s="27" t="s">
        <v>166</v>
      </c>
      <c r="CU871" s="27" t="s">
        <v>166</v>
      </c>
      <c r="CV871" s="27" t="s">
        <v>166</v>
      </c>
      <c r="CW871" s="27" t="s">
        <v>166</v>
      </c>
      <c r="CX871" s="27" t="s">
        <v>166</v>
      </c>
      <c r="CY871" s="27" t="s">
        <v>166</v>
      </c>
      <c r="CZ871" s="27" t="s">
        <v>166</v>
      </c>
      <c r="DA871" s="27" t="s">
        <v>166</v>
      </c>
      <c r="DB871" s="27" t="s">
        <v>166</v>
      </c>
      <c r="DC871" s="27" t="s">
        <v>166</v>
      </c>
      <c r="DD871" s="27" t="s">
        <v>166</v>
      </c>
      <c r="DE871" s="28" t="s">
        <v>166</v>
      </c>
      <c r="DF871" s="33">
        <v>11</v>
      </c>
      <c r="DG871" s="25" t="s">
        <v>2212</v>
      </c>
      <c r="DH871" s="25" t="s">
        <v>193</v>
      </c>
      <c r="DI871" s="25" t="s">
        <v>194</v>
      </c>
      <c r="DJ871" s="25" t="s">
        <v>2213</v>
      </c>
      <c r="DK871" s="25" t="s">
        <v>1000</v>
      </c>
      <c r="DL871" s="32" t="s">
        <v>2214</v>
      </c>
      <c r="DM871" s="25" t="s">
        <v>198</v>
      </c>
      <c r="DN871" s="24" t="s">
        <v>16590</v>
      </c>
      <c r="DO871" s="31">
        <v>2016</v>
      </c>
      <c r="DP871" s="25" t="s">
        <v>166</v>
      </c>
      <c r="DQ871" s="25" t="s">
        <v>166</v>
      </c>
      <c r="DR871" s="29" t="s">
        <v>166</v>
      </c>
      <c r="DS871" s="27" t="s">
        <v>166</v>
      </c>
      <c r="DT871" s="30" t="s">
        <v>166</v>
      </c>
      <c r="DU871" s="25" t="s">
        <v>166</v>
      </c>
      <c r="DV871" s="29" t="s">
        <v>166</v>
      </c>
      <c r="DW871" s="29" t="s">
        <v>166</v>
      </c>
      <c r="DX871" s="27" t="s">
        <v>166</v>
      </c>
      <c r="DY871" s="27" t="s">
        <v>166</v>
      </c>
      <c r="DZ871" s="28" t="s">
        <v>166</v>
      </c>
      <c r="EA871" s="27" t="s">
        <v>166</v>
      </c>
      <c r="EB871" s="27" t="s">
        <v>166</v>
      </c>
      <c r="EC871" s="27" t="s">
        <v>166</v>
      </c>
      <c r="ED871" s="28" t="s">
        <v>166</v>
      </c>
      <c r="EE871" s="28" t="s">
        <v>166</v>
      </c>
      <c r="EF871" s="28" t="s">
        <v>166</v>
      </c>
      <c r="EG871" s="28" t="s">
        <v>166</v>
      </c>
      <c r="EH871" s="27" t="s">
        <v>166</v>
      </c>
      <c r="EI871" s="27" t="s">
        <v>166</v>
      </c>
      <c r="EJ871" s="27" t="s">
        <v>166</v>
      </c>
      <c r="EK871" s="27" t="s">
        <v>166</v>
      </c>
      <c r="EL871" s="27" t="s">
        <v>166</v>
      </c>
      <c r="EM871" s="27" t="s">
        <v>166</v>
      </c>
      <c r="EN871" s="27" t="s">
        <v>166</v>
      </c>
      <c r="EO871" s="27" t="s">
        <v>166</v>
      </c>
      <c r="EP871" s="27" t="s">
        <v>166</v>
      </c>
      <c r="EQ871" s="27" t="s">
        <v>166</v>
      </c>
      <c r="ER871" s="27" t="s">
        <v>166</v>
      </c>
      <c r="ES871" s="27" t="s">
        <v>166</v>
      </c>
      <c r="ET871" s="25" t="s">
        <v>166</v>
      </c>
      <c r="EU871" s="27" t="s">
        <v>166</v>
      </c>
      <c r="EV871" s="27" t="s">
        <v>166</v>
      </c>
      <c r="EW871" s="27" t="s">
        <v>166</v>
      </c>
      <c r="EX871" s="25" t="s">
        <v>190</v>
      </c>
      <c r="EY871" s="25" t="s">
        <v>166</v>
      </c>
      <c r="EZ871" s="27" t="s">
        <v>166</v>
      </c>
      <c r="FA871" s="26">
        <v>1</v>
      </c>
      <c r="FB871" s="26">
        <v>1</v>
      </c>
      <c r="FC871" s="26" t="s">
        <v>166</v>
      </c>
      <c r="FD871" s="26">
        <v>1</v>
      </c>
      <c r="FE871" s="26" t="s">
        <v>166</v>
      </c>
      <c r="FF871" s="26" t="s">
        <v>166</v>
      </c>
      <c r="FG871" s="25" t="s">
        <v>16591</v>
      </c>
      <c r="FH871" s="4">
        <f>HYPERLINK("https://my.pitchbook.com?c=209026-72T","View Company Online")</f>
      </c>
    </row>
    <row r="872">
      <c r="A872" s="14" t="s">
        <v>16592</v>
      </c>
      <c r="B872" s="14" t="s">
        <v>16593</v>
      </c>
      <c r="C872" s="14" t="s">
        <v>16594</v>
      </c>
      <c r="D872" s="14" t="s">
        <v>166</v>
      </c>
      <c r="E872" s="23" t="s">
        <v>16595</v>
      </c>
      <c r="F872" s="21">
        <v>4</v>
      </c>
      <c r="G872" s="14" t="s">
        <v>16596</v>
      </c>
      <c r="H872" s="14" t="s">
        <v>166</v>
      </c>
      <c r="I872" s="14" t="s">
        <v>16597</v>
      </c>
      <c r="J872" s="14" t="s">
        <v>16598</v>
      </c>
      <c r="K872" s="14" t="s">
        <v>207</v>
      </c>
      <c r="L872" s="14" t="s">
        <v>208</v>
      </c>
      <c r="M872" s="14" t="s">
        <v>209</v>
      </c>
      <c r="N872" s="14" t="s">
        <v>3089</v>
      </c>
      <c r="O872" s="14" t="s">
        <v>2931</v>
      </c>
      <c r="P872" s="14" t="s">
        <v>16599</v>
      </c>
      <c r="Q872" s="14" t="s">
        <v>166</v>
      </c>
      <c r="R872" s="14" t="s">
        <v>177</v>
      </c>
      <c r="S872" s="14" t="s">
        <v>178</v>
      </c>
      <c r="T872" s="14" t="s">
        <v>179</v>
      </c>
      <c r="U872" s="14" t="s">
        <v>16600</v>
      </c>
      <c r="V872" s="14" t="s">
        <v>16601</v>
      </c>
      <c r="W872" s="21" t="s">
        <v>166</v>
      </c>
      <c r="X872" s="14" t="s">
        <v>166</v>
      </c>
      <c r="Y872" s="14" t="s">
        <v>16602</v>
      </c>
      <c r="Z872" s="14" t="s">
        <v>16603</v>
      </c>
      <c r="AA872" s="14" t="s">
        <v>166</v>
      </c>
      <c r="AB872" s="14" t="s">
        <v>166</v>
      </c>
      <c r="AC872" s="14" t="s">
        <v>166</v>
      </c>
      <c r="AD872" s="14" t="s">
        <v>166</v>
      </c>
      <c r="AE872" s="14" t="s">
        <v>166</v>
      </c>
      <c r="AF872" s="14" t="s">
        <v>166</v>
      </c>
      <c r="AG872" s="14" t="s">
        <v>166</v>
      </c>
      <c r="AH872" s="21">
        <v>1</v>
      </c>
      <c r="AI872" s="3">
        <f>HYPERLINK("https://my.pitchbook.com/?d=208052-38T","208052-38T")</f>
      </c>
      <c r="AJ872" s="19" t="s">
        <v>166</v>
      </c>
      <c r="AK872" s="19">
        <v>44774</v>
      </c>
      <c r="AL872" s="18">
        <v>6.5</v>
      </c>
      <c r="AM872" s="14" t="s">
        <v>185</v>
      </c>
      <c r="AN872" s="18" t="s">
        <v>166</v>
      </c>
      <c r="AO872" s="18" t="s">
        <v>166</v>
      </c>
      <c r="AP872" s="14" t="s">
        <v>166</v>
      </c>
      <c r="AQ872" s="21" t="s">
        <v>166</v>
      </c>
      <c r="AR872" s="21" t="s">
        <v>166</v>
      </c>
      <c r="AS872" s="17" t="s">
        <v>166</v>
      </c>
      <c r="AT872" s="18">
        <v>6.5</v>
      </c>
      <c r="AU872" s="21" t="s">
        <v>186</v>
      </c>
      <c r="AV872" s="21" t="s">
        <v>166</v>
      </c>
      <c r="AW872" s="18" t="s">
        <v>166</v>
      </c>
      <c r="AX872" s="21" t="s">
        <v>166</v>
      </c>
      <c r="AY872" s="14" t="s">
        <v>217</v>
      </c>
      <c r="AZ872" s="14" t="s">
        <v>217</v>
      </c>
      <c r="BA872" s="14" t="s">
        <v>166</v>
      </c>
      <c r="BB872" s="21" t="s">
        <v>166</v>
      </c>
      <c r="BC872" s="14" t="s">
        <v>179</v>
      </c>
      <c r="BD872" s="14" t="s">
        <v>16598</v>
      </c>
      <c r="BE872" s="14" t="s">
        <v>189</v>
      </c>
      <c r="BF872" s="18">
        <v>6.5</v>
      </c>
      <c r="BG872" s="14" t="s">
        <v>190</v>
      </c>
      <c r="BH872" s="14" t="s">
        <v>166</v>
      </c>
      <c r="BI872" s="14" t="s">
        <v>166</v>
      </c>
      <c r="BJ872" s="18" t="s">
        <v>166</v>
      </c>
      <c r="BK872" s="18" t="s">
        <v>166</v>
      </c>
      <c r="BL872" s="14" t="s">
        <v>191</v>
      </c>
      <c r="BM872" s="14" t="s">
        <v>178</v>
      </c>
      <c r="BN872" s="14" t="s">
        <v>177</v>
      </c>
      <c r="BO872" s="22" t="s">
        <v>166</v>
      </c>
      <c r="BP872" s="14" t="s">
        <v>16595</v>
      </c>
      <c r="BQ872" s="21">
        <v>4</v>
      </c>
      <c r="BR872" s="14" t="s">
        <v>166</v>
      </c>
      <c r="BS872" s="21" t="s">
        <v>166</v>
      </c>
      <c r="BT872" s="14" t="s">
        <v>166</v>
      </c>
      <c r="BU872" s="14" t="s">
        <v>166</v>
      </c>
      <c r="BV872" s="14" t="s">
        <v>16604</v>
      </c>
      <c r="BW872" s="14" t="s">
        <v>166</v>
      </c>
      <c r="BX872" s="14" t="s">
        <v>166</v>
      </c>
      <c r="BY872" s="14" t="s">
        <v>166</v>
      </c>
      <c r="BZ872" s="14" t="s">
        <v>166</v>
      </c>
      <c r="CA872" s="14" t="s">
        <v>166</v>
      </c>
      <c r="CB872" s="14" t="s">
        <v>166</v>
      </c>
      <c r="CC872" s="14" t="s">
        <v>166</v>
      </c>
      <c r="CD872" s="14" t="s">
        <v>166</v>
      </c>
      <c r="CE872" s="18" t="s">
        <v>166</v>
      </c>
      <c r="CF872" s="16" t="s">
        <v>166</v>
      </c>
      <c r="CG872" s="17" t="s">
        <v>166</v>
      </c>
      <c r="CH872" s="16" t="s">
        <v>166</v>
      </c>
      <c r="CI872" s="16" t="s">
        <v>166</v>
      </c>
      <c r="CJ872" s="16" t="s">
        <v>166</v>
      </c>
      <c r="CK872" s="16" t="s">
        <v>166</v>
      </c>
      <c r="CL872" s="16" t="s">
        <v>166</v>
      </c>
      <c r="CM872" s="20" t="s">
        <v>166</v>
      </c>
      <c r="CN872" s="16" t="s">
        <v>166</v>
      </c>
      <c r="CO872" s="16" t="s">
        <v>166</v>
      </c>
      <c r="CP872" s="16" t="s">
        <v>166</v>
      </c>
      <c r="CQ872" s="16" t="s">
        <v>166</v>
      </c>
      <c r="CR872" s="16" t="s">
        <v>166</v>
      </c>
      <c r="CS872" s="16" t="s">
        <v>166</v>
      </c>
      <c r="CT872" s="16" t="s">
        <v>166</v>
      </c>
      <c r="CU872" s="16" t="s">
        <v>166</v>
      </c>
      <c r="CV872" s="16" t="s">
        <v>166</v>
      </c>
      <c r="CW872" s="16" t="s">
        <v>166</v>
      </c>
      <c r="CX872" s="16" t="s">
        <v>166</v>
      </c>
      <c r="CY872" s="16" t="s">
        <v>166</v>
      </c>
      <c r="CZ872" s="16" t="s">
        <v>166</v>
      </c>
      <c r="DA872" s="16" t="s">
        <v>166</v>
      </c>
      <c r="DB872" s="16" t="s">
        <v>166</v>
      </c>
      <c r="DC872" s="16" t="s">
        <v>166</v>
      </c>
      <c r="DD872" s="16" t="s">
        <v>166</v>
      </c>
      <c r="DE872" s="17" t="s">
        <v>166</v>
      </c>
      <c r="DF872" s="22">
        <v>5</v>
      </c>
      <c r="DG872" s="14" t="s">
        <v>309</v>
      </c>
      <c r="DH872" s="14" t="s">
        <v>193</v>
      </c>
      <c r="DI872" s="14" t="s">
        <v>194</v>
      </c>
      <c r="DJ872" s="14" t="s">
        <v>310</v>
      </c>
      <c r="DK872" s="14" t="s">
        <v>310</v>
      </c>
      <c r="DL872" s="21" t="s">
        <v>16605</v>
      </c>
      <c r="DM872" s="14" t="s">
        <v>198</v>
      </c>
      <c r="DN872" s="13" t="s">
        <v>16606</v>
      </c>
      <c r="DO872" s="20">
        <v>2022</v>
      </c>
      <c r="DP872" s="14" t="s">
        <v>166</v>
      </c>
      <c r="DQ872" s="14" t="s">
        <v>166</v>
      </c>
      <c r="DR872" s="18" t="s">
        <v>166</v>
      </c>
      <c r="DS872" s="16" t="s">
        <v>166</v>
      </c>
      <c r="DT872" s="19" t="s">
        <v>166</v>
      </c>
      <c r="DU872" s="14" t="s">
        <v>166</v>
      </c>
      <c r="DV872" s="18" t="s">
        <v>166</v>
      </c>
      <c r="DW872" s="18" t="s">
        <v>166</v>
      </c>
      <c r="DX872" s="16" t="s">
        <v>166</v>
      </c>
      <c r="DY872" s="16" t="s">
        <v>166</v>
      </c>
      <c r="DZ872" s="17" t="s">
        <v>166</v>
      </c>
      <c r="EA872" s="16" t="s">
        <v>166</v>
      </c>
      <c r="EB872" s="16" t="s">
        <v>166</v>
      </c>
      <c r="EC872" s="16" t="s">
        <v>166</v>
      </c>
      <c r="ED872" s="17" t="s">
        <v>166</v>
      </c>
      <c r="EE872" s="17" t="s">
        <v>166</v>
      </c>
      <c r="EF872" s="17" t="s">
        <v>166</v>
      </c>
      <c r="EG872" s="17" t="s">
        <v>166</v>
      </c>
      <c r="EH872" s="16" t="s">
        <v>166</v>
      </c>
      <c r="EI872" s="16" t="s">
        <v>166</v>
      </c>
      <c r="EJ872" s="16" t="s">
        <v>166</v>
      </c>
      <c r="EK872" s="16" t="s">
        <v>166</v>
      </c>
      <c r="EL872" s="16" t="s">
        <v>166</v>
      </c>
      <c r="EM872" s="16" t="s">
        <v>166</v>
      </c>
      <c r="EN872" s="16" t="s">
        <v>166</v>
      </c>
      <c r="EO872" s="16" t="s">
        <v>166</v>
      </c>
      <c r="EP872" s="16" t="s">
        <v>166</v>
      </c>
      <c r="EQ872" s="16" t="s">
        <v>166</v>
      </c>
      <c r="ER872" s="16" t="s">
        <v>166</v>
      </c>
      <c r="ES872" s="16" t="s">
        <v>166</v>
      </c>
      <c r="ET872" s="14" t="s">
        <v>166</v>
      </c>
      <c r="EU872" s="16" t="s">
        <v>166</v>
      </c>
      <c r="EV872" s="16" t="s">
        <v>166</v>
      </c>
      <c r="EW872" s="16" t="s">
        <v>166</v>
      </c>
      <c r="EX872" s="14" t="s">
        <v>190</v>
      </c>
      <c r="EY872" s="14" t="s">
        <v>166</v>
      </c>
      <c r="EZ872" s="16" t="s">
        <v>166</v>
      </c>
      <c r="FA872" s="15" t="s">
        <v>166</v>
      </c>
      <c r="FB872" s="15" t="s">
        <v>166</v>
      </c>
      <c r="FC872" s="15" t="s">
        <v>166</v>
      </c>
      <c r="FD872" s="15" t="s">
        <v>166</v>
      </c>
      <c r="FE872" s="15" t="s">
        <v>166</v>
      </c>
      <c r="FF872" s="15" t="s">
        <v>166</v>
      </c>
      <c r="FG872" s="14" t="s">
        <v>166</v>
      </c>
      <c r="FH872" s="3">
        <f>HYPERLINK("https://my.pitchbook.com?c=208052-38T","View Company Online")</f>
      </c>
    </row>
    <row r="873">
      <c r="A873" s="25" t="s">
        <v>16607</v>
      </c>
      <c r="B873" s="25" t="s">
        <v>16608</v>
      </c>
      <c r="C873" s="25" t="s">
        <v>16609</v>
      </c>
      <c r="D873" s="25" t="s">
        <v>166</v>
      </c>
      <c r="E873" s="34" t="s">
        <v>16610</v>
      </c>
      <c r="F873" s="32">
        <v>7</v>
      </c>
      <c r="G873" s="25" t="s">
        <v>16611</v>
      </c>
      <c r="H873" s="25" t="s">
        <v>166</v>
      </c>
      <c r="I873" s="25" t="s">
        <v>16612</v>
      </c>
      <c r="J873" s="25" t="s">
        <v>16613</v>
      </c>
      <c r="K873" s="25" t="s">
        <v>207</v>
      </c>
      <c r="L873" s="25" t="s">
        <v>208</v>
      </c>
      <c r="M873" s="25" t="s">
        <v>882</v>
      </c>
      <c r="N873" s="25" t="s">
        <v>16614</v>
      </c>
      <c r="O873" s="25" t="s">
        <v>16615</v>
      </c>
      <c r="P873" s="25" t="s">
        <v>16616</v>
      </c>
      <c r="Q873" s="25" t="s">
        <v>166</v>
      </c>
      <c r="R873" s="25" t="s">
        <v>177</v>
      </c>
      <c r="S873" s="25" t="s">
        <v>178</v>
      </c>
      <c r="T873" s="25" t="s">
        <v>179</v>
      </c>
      <c r="U873" s="25" t="s">
        <v>16617</v>
      </c>
      <c r="V873" s="25" t="s">
        <v>16618</v>
      </c>
      <c r="W873" s="32" t="s">
        <v>166</v>
      </c>
      <c r="X873" s="25" t="s">
        <v>16619</v>
      </c>
      <c r="Y873" s="25" t="s">
        <v>16620</v>
      </c>
      <c r="Z873" s="25" t="s">
        <v>166</v>
      </c>
      <c r="AA873" s="25" t="s">
        <v>166</v>
      </c>
      <c r="AB873" s="25" t="s">
        <v>166</v>
      </c>
      <c r="AC873" s="25" t="s">
        <v>166</v>
      </c>
      <c r="AD873" s="25" t="s">
        <v>166</v>
      </c>
      <c r="AE873" s="25" t="s">
        <v>166</v>
      </c>
      <c r="AF873" s="25" t="s">
        <v>166</v>
      </c>
      <c r="AG873" s="25" t="s">
        <v>166</v>
      </c>
      <c r="AH873" s="32">
        <v>2</v>
      </c>
      <c r="AI873" s="4">
        <f>HYPERLINK("https://my.pitchbook.com/?d=256818-79T","256818-79T")</f>
      </c>
      <c r="AJ873" s="30">
        <v>45383</v>
      </c>
      <c r="AK873" s="30">
        <v>45595</v>
      </c>
      <c r="AL873" s="29">
        <v>4</v>
      </c>
      <c r="AM873" s="25" t="s">
        <v>185</v>
      </c>
      <c r="AN873" s="29" t="s">
        <v>166</v>
      </c>
      <c r="AO873" s="29" t="s">
        <v>166</v>
      </c>
      <c r="AP873" s="25" t="s">
        <v>166</v>
      </c>
      <c r="AQ873" s="32" t="s">
        <v>166</v>
      </c>
      <c r="AR873" s="32" t="s">
        <v>166</v>
      </c>
      <c r="AS873" s="28" t="s">
        <v>166</v>
      </c>
      <c r="AT873" s="29">
        <v>4</v>
      </c>
      <c r="AU873" s="32" t="s">
        <v>186</v>
      </c>
      <c r="AV873" s="32" t="s">
        <v>166</v>
      </c>
      <c r="AW873" s="29" t="s">
        <v>166</v>
      </c>
      <c r="AX873" s="32" t="s">
        <v>166</v>
      </c>
      <c r="AY873" s="25" t="s">
        <v>217</v>
      </c>
      <c r="AZ873" s="25" t="s">
        <v>217</v>
      </c>
      <c r="BA873" s="25" t="s">
        <v>166</v>
      </c>
      <c r="BB873" s="32" t="s">
        <v>166</v>
      </c>
      <c r="BC873" s="25" t="s">
        <v>179</v>
      </c>
      <c r="BD873" s="25" t="s">
        <v>16621</v>
      </c>
      <c r="BE873" s="25" t="s">
        <v>189</v>
      </c>
      <c r="BF873" s="29">
        <v>4</v>
      </c>
      <c r="BG873" s="25" t="s">
        <v>190</v>
      </c>
      <c r="BH873" s="25" t="s">
        <v>166</v>
      </c>
      <c r="BI873" s="25" t="s">
        <v>166</v>
      </c>
      <c r="BJ873" s="29" t="s">
        <v>166</v>
      </c>
      <c r="BK873" s="29" t="s">
        <v>166</v>
      </c>
      <c r="BL873" s="25" t="s">
        <v>191</v>
      </c>
      <c r="BM873" s="25" t="s">
        <v>178</v>
      </c>
      <c r="BN873" s="25" t="s">
        <v>177</v>
      </c>
      <c r="BO873" s="33" t="s">
        <v>166</v>
      </c>
      <c r="BP873" s="25" t="s">
        <v>16622</v>
      </c>
      <c r="BQ873" s="32">
        <v>7</v>
      </c>
      <c r="BR873" s="25" t="s">
        <v>166</v>
      </c>
      <c r="BS873" s="32" t="s">
        <v>166</v>
      </c>
      <c r="BT873" s="25" t="s">
        <v>16623</v>
      </c>
      <c r="BU873" s="25" t="s">
        <v>166</v>
      </c>
      <c r="BV873" s="25" t="s">
        <v>166</v>
      </c>
      <c r="BW873" s="25" t="s">
        <v>166</v>
      </c>
      <c r="BX873" s="25" t="s">
        <v>166</v>
      </c>
      <c r="BY873" s="25" t="s">
        <v>166</v>
      </c>
      <c r="BZ873" s="25" t="s">
        <v>166</v>
      </c>
      <c r="CA873" s="25" t="s">
        <v>166</v>
      </c>
      <c r="CB873" s="25" t="s">
        <v>166</v>
      </c>
      <c r="CC873" s="25" t="s">
        <v>166</v>
      </c>
      <c r="CD873" s="25" t="s">
        <v>166</v>
      </c>
      <c r="CE873" s="29" t="s">
        <v>166</v>
      </c>
      <c r="CF873" s="27" t="s">
        <v>166</v>
      </c>
      <c r="CG873" s="28" t="s">
        <v>166</v>
      </c>
      <c r="CH873" s="27" t="s">
        <v>166</v>
      </c>
      <c r="CI873" s="27" t="s">
        <v>166</v>
      </c>
      <c r="CJ873" s="27" t="s">
        <v>166</v>
      </c>
      <c r="CK873" s="27" t="s">
        <v>166</v>
      </c>
      <c r="CL873" s="27" t="s">
        <v>166</v>
      </c>
      <c r="CM873" s="31" t="s">
        <v>166</v>
      </c>
      <c r="CN873" s="27" t="s">
        <v>166</v>
      </c>
      <c r="CO873" s="27" t="s">
        <v>166</v>
      </c>
      <c r="CP873" s="27" t="s">
        <v>166</v>
      </c>
      <c r="CQ873" s="27" t="s">
        <v>166</v>
      </c>
      <c r="CR873" s="27" t="s">
        <v>166</v>
      </c>
      <c r="CS873" s="27" t="s">
        <v>166</v>
      </c>
      <c r="CT873" s="27" t="s">
        <v>166</v>
      </c>
      <c r="CU873" s="27" t="s">
        <v>166</v>
      </c>
      <c r="CV873" s="27" t="s">
        <v>166</v>
      </c>
      <c r="CW873" s="27" t="s">
        <v>166</v>
      </c>
      <c r="CX873" s="27" t="s">
        <v>166</v>
      </c>
      <c r="CY873" s="27" t="s">
        <v>166</v>
      </c>
      <c r="CZ873" s="27" t="s">
        <v>166</v>
      </c>
      <c r="DA873" s="27" t="s">
        <v>166</v>
      </c>
      <c r="DB873" s="27" t="s">
        <v>166</v>
      </c>
      <c r="DC873" s="27" t="s">
        <v>166</v>
      </c>
      <c r="DD873" s="27" t="s">
        <v>166</v>
      </c>
      <c r="DE873" s="28" t="s">
        <v>166</v>
      </c>
      <c r="DF873" s="33" t="s">
        <v>166</v>
      </c>
      <c r="DG873" s="25" t="s">
        <v>673</v>
      </c>
      <c r="DH873" s="25" t="s">
        <v>193</v>
      </c>
      <c r="DI873" s="25" t="s">
        <v>194</v>
      </c>
      <c r="DJ873" s="25" t="s">
        <v>674</v>
      </c>
      <c r="DK873" s="25" t="s">
        <v>257</v>
      </c>
      <c r="DL873" s="32" t="s">
        <v>7048</v>
      </c>
      <c r="DM873" s="25" t="s">
        <v>198</v>
      </c>
      <c r="DN873" s="24" t="s">
        <v>16624</v>
      </c>
      <c r="DO873" s="31">
        <v>2023</v>
      </c>
      <c r="DP873" s="25" t="s">
        <v>166</v>
      </c>
      <c r="DQ873" s="25" t="s">
        <v>166</v>
      </c>
      <c r="DR873" s="29" t="s">
        <v>166</v>
      </c>
      <c r="DS873" s="27" t="s">
        <v>166</v>
      </c>
      <c r="DT873" s="30" t="s">
        <v>166</v>
      </c>
      <c r="DU873" s="25" t="s">
        <v>166</v>
      </c>
      <c r="DV873" s="29" t="s">
        <v>166</v>
      </c>
      <c r="DW873" s="29" t="s">
        <v>166</v>
      </c>
      <c r="DX873" s="27" t="s">
        <v>166</v>
      </c>
      <c r="DY873" s="27" t="s">
        <v>166</v>
      </c>
      <c r="DZ873" s="28" t="s">
        <v>166</v>
      </c>
      <c r="EA873" s="27" t="s">
        <v>166</v>
      </c>
      <c r="EB873" s="27" t="s">
        <v>166</v>
      </c>
      <c r="EC873" s="27" t="s">
        <v>166</v>
      </c>
      <c r="ED873" s="28" t="s">
        <v>166</v>
      </c>
      <c r="EE873" s="28" t="s">
        <v>166</v>
      </c>
      <c r="EF873" s="28" t="s">
        <v>166</v>
      </c>
      <c r="EG873" s="28" t="s">
        <v>166</v>
      </c>
      <c r="EH873" s="27" t="s">
        <v>166</v>
      </c>
      <c r="EI873" s="27" t="s">
        <v>166</v>
      </c>
      <c r="EJ873" s="27" t="s">
        <v>166</v>
      </c>
      <c r="EK873" s="27" t="s">
        <v>166</v>
      </c>
      <c r="EL873" s="27" t="s">
        <v>166</v>
      </c>
      <c r="EM873" s="27" t="s">
        <v>166</v>
      </c>
      <c r="EN873" s="27" t="s">
        <v>166</v>
      </c>
      <c r="EO873" s="27" t="s">
        <v>166</v>
      </c>
      <c r="EP873" s="27" t="s">
        <v>166</v>
      </c>
      <c r="EQ873" s="27" t="s">
        <v>166</v>
      </c>
      <c r="ER873" s="27" t="s">
        <v>166</v>
      </c>
      <c r="ES873" s="27" t="s">
        <v>166</v>
      </c>
      <c r="ET873" s="25" t="s">
        <v>166</v>
      </c>
      <c r="EU873" s="27" t="s">
        <v>166</v>
      </c>
      <c r="EV873" s="27" t="s">
        <v>166</v>
      </c>
      <c r="EW873" s="27" t="s">
        <v>166</v>
      </c>
      <c r="EX873" s="25" t="s">
        <v>190</v>
      </c>
      <c r="EY873" s="25" t="s">
        <v>166</v>
      </c>
      <c r="EZ873" s="27" t="s">
        <v>166</v>
      </c>
      <c r="FA873" s="26" t="s">
        <v>166</v>
      </c>
      <c r="FB873" s="26" t="s">
        <v>166</v>
      </c>
      <c r="FC873" s="26" t="s">
        <v>166</v>
      </c>
      <c r="FD873" s="26" t="s">
        <v>166</v>
      </c>
      <c r="FE873" s="26" t="s">
        <v>166</v>
      </c>
      <c r="FF873" s="26" t="s">
        <v>166</v>
      </c>
      <c r="FG873" s="25" t="s">
        <v>166</v>
      </c>
      <c r="FH873" s="4">
        <f>HYPERLINK("https://my.pitchbook.com?c=256818-79T","View Company Online")</f>
      </c>
    </row>
    <row r="874">
      <c r="A874" s="14" t="s">
        <v>16625</v>
      </c>
      <c r="B874" s="14" t="s">
        <v>16626</v>
      </c>
      <c r="C874" s="14" t="s">
        <v>16627</v>
      </c>
      <c r="D874" s="14" t="s">
        <v>166</v>
      </c>
      <c r="E874" s="23" t="s">
        <v>16628</v>
      </c>
      <c r="F874" s="21">
        <v>2</v>
      </c>
      <c r="G874" s="14" t="s">
        <v>16629</v>
      </c>
      <c r="H874" s="14" t="s">
        <v>166</v>
      </c>
      <c r="I874" s="14" t="s">
        <v>16630</v>
      </c>
      <c r="J874" s="14" t="s">
        <v>16631</v>
      </c>
      <c r="K874" s="14" t="s">
        <v>207</v>
      </c>
      <c r="L874" s="14" t="s">
        <v>208</v>
      </c>
      <c r="M874" s="14" t="s">
        <v>209</v>
      </c>
      <c r="N874" s="14" t="s">
        <v>16632</v>
      </c>
      <c r="O874" s="14" t="s">
        <v>11647</v>
      </c>
      <c r="P874" s="14" t="s">
        <v>16633</v>
      </c>
      <c r="Q874" s="14" t="s">
        <v>166</v>
      </c>
      <c r="R874" s="14" t="s">
        <v>177</v>
      </c>
      <c r="S874" s="14" t="s">
        <v>358</v>
      </c>
      <c r="T874" s="14" t="s">
        <v>179</v>
      </c>
      <c r="U874" s="14" t="s">
        <v>16634</v>
      </c>
      <c r="V874" s="14" t="s">
        <v>16635</v>
      </c>
      <c r="W874" s="21" t="s">
        <v>166</v>
      </c>
      <c r="X874" s="14" t="s">
        <v>166</v>
      </c>
      <c r="Y874" s="14" t="s">
        <v>16636</v>
      </c>
      <c r="Z874" s="14" t="s">
        <v>16637</v>
      </c>
      <c r="AA874" s="14" t="s">
        <v>242</v>
      </c>
      <c r="AB874" s="14" t="s">
        <v>243</v>
      </c>
      <c r="AC874" s="14" t="s">
        <v>244</v>
      </c>
      <c r="AD874" s="14" t="s">
        <v>243</v>
      </c>
      <c r="AE874" s="14" t="s">
        <v>243</v>
      </c>
      <c r="AF874" s="14" t="s">
        <v>166</v>
      </c>
      <c r="AG874" s="14" t="s">
        <v>246</v>
      </c>
      <c r="AH874" s="21">
        <v>1</v>
      </c>
      <c r="AI874" s="3">
        <f>HYPERLINK("https://my.pitchbook.com/?d=257246-56T","257246-56T")</f>
      </c>
      <c r="AJ874" s="19" t="s">
        <v>166</v>
      </c>
      <c r="AK874" s="19">
        <v>45383</v>
      </c>
      <c r="AL874" s="18">
        <v>0.2</v>
      </c>
      <c r="AM874" s="14" t="s">
        <v>247</v>
      </c>
      <c r="AN874" s="18">
        <v>0.6</v>
      </c>
      <c r="AO874" s="18">
        <v>0.8</v>
      </c>
      <c r="AP874" s="14" t="s">
        <v>247</v>
      </c>
      <c r="AQ874" s="21" t="s">
        <v>166</v>
      </c>
      <c r="AR874" s="21" t="s">
        <v>166</v>
      </c>
      <c r="AS874" s="17">
        <v>25</v>
      </c>
      <c r="AT874" s="18">
        <v>0.2</v>
      </c>
      <c r="AU874" s="21" t="s">
        <v>186</v>
      </c>
      <c r="AV874" s="21" t="s">
        <v>166</v>
      </c>
      <c r="AW874" s="18">
        <v>0.08</v>
      </c>
      <c r="AX874" s="21" t="s">
        <v>746</v>
      </c>
      <c r="AY874" s="14" t="s">
        <v>217</v>
      </c>
      <c r="AZ874" s="14" t="s">
        <v>746</v>
      </c>
      <c r="BA874" s="14" t="s">
        <v>166</v>
      </c>
      <c r="BB874" s="21" t="s">
        <v>166</v>
      </c>
      <c r="BC874" s="14" t="s">
        <v>179</v>
      </c>
      <c r="BD874" s="14" t="s">
        <v>16631</v>
      </c>
      <c r="BE874" s="14" t="s">
        <v>189</v>
      </c>
      <c r="BF874" s="18">
        <v>0.2</v>
      </c>
      <c r="BG874" s="14" t="s">
        <v>190</v>
      </c>
      <c r="BH874" s="14" t="s">
        <v>166</v>
      </c>
      <c r="BI874" s="14" t="s">
        <v>166</v>
      </c>
      <c r="BJ874" s="18" t="s">
        <v>166</v>
      </c>
      <c r="BK874" s="18" t="s">
        <v>166</v>
      </c>
      <c r="BL874" s="14" t="s">
        <v>191</v>
      </c>
      <c r="BM874" s="14" t="s">
        <v>358</v>
      </c>
      <c r="BN874" s="14" t="s">
        <v>177</v>
      </c>
      <c r="BO874" s="22" t="s">
        <v>166</v>
      </c>
      <c r="BP874" s="14" t="s">
        <v>16628</v>
      </c>
      <c r="BQ874" s="21">
        <v>2</v>
      </c>
      <c r="BR874" s="14" t="s">
        <v>166</v>
      </c>
      <c r="BS874" s="21" t="s">
        <v>166</v>
      </c>
      <c r="BT874" s="14" t="s">
        <v>166</v>
      </c>
      <c r="BU874" s="14" t="s">
        <v>166</v>
      </c>
      <c r="BV874" s="14" t="s">
        <v>166</v>
      </c>
      <c r="BW874" s="14" t="s">
        <v>166</v>
      </c>
      <c r="BX874" s="14" t="s">
        <v>166</v>
      </c>
      <c r="BY874" s="14" t="s">
        <v>166</v>
      </c>
      <c r="BZ874" s="14" t="s">
        <v>166</v>
      </c>
      <c r="CA874" s="14" t="s">
        <v>166</v>
      </c>
      <c r="CB874" s="14" t="s">
        <v>166</v>
      </c>
      <c r="CC874" s="14" t="s">
        <v>166</v>
      </c>
      <c r="CD874" s="14" t="s">
        <v>166</v>
      </c>
      <c r="CE874" s="18" t="s">
        <v>166</v>
      </c>
      <c r="CF874" s="16" t="s">
        <v>166</v>
      </c>
      <c r="CG874" s="17" t="s">
        <v>166</v>
      </c>
      <c r="CH874" s="16" t="s">
        <v>166</v>
      </c>
      <c r="CI874" s="16" t="s">
        <v>166</v>
      </c>
      <c r="CJ874" s="16" t="s">
        <v>166</v>
      </c>
      <c r="CK874" s="16" t="s">
        <v>166</v>
      </c>
      <c r="CL874" s="16" t="s">
        <v>166</v>
      </c>
      <c r="CM874" s="20" t="s">
        <v>166</v>
      </c>
      <c r="CN874" s="16" t="s">
        <v>166</v>
      </c>
      <c r="CO874" s="16" t="s">
        <v>166</v>
      </c>
      <c r="CP874" s="16" t="s">
        <v>166</v>
      </c>
      <c r="CQ874" s="16" t="s">
        <v>166</v>
      </c>
      <c r="CR874" s="16" t="s">
        <v>166</v>
      </c>
      <c r="CS874" s="16" t="s">
        <v>166</v>
      </c>
      <c r="CT874" s="16" t="s">
        <v>166</v>
      </c>
      <c r="CU874" s="16" t="s">
        <v>166</v>
      </c>
      <c r="CV874" s="16" t="s">
        <v>166</v>
      </c>
      <c r="CW874" s="16" t="s">
        <v>166</v>
      </c>
      <c r="CX874" s="16" t="s">
        <v>166</v>
      </c>
      <c r="CY874" s="16" t="s">
        <v>166</v>
      </c>
      <c r="CZ874" s="16" t="s">
        <v>166</v>
      </c>
      <c r="DA874" s="16" t="s">
        <v>166</v>
      </c>
      <c r="DB874" s="16" t="s">
        <v>166</v>
      </c>
      <c r="DC874" s="16" t="s">
        <v>166</v>
      </c>
      <c r="DD874" s="16" t="s">
        <v>166</v>
      </c>
      <c r="DE874" s="17" t="s">
        <v>166</v>
      </c>
      <c r="DF874" s="22" t="s">
        <v>166</v>
      </c>
      <c r="DG874" s="14" t="s">
        <v>4632</v>
      </c>
      <c r="DH874" s="14" t="s">
        <v>193</v>
      </c>
      <c r="DI874" s="14" t="s">
        <v>194</v>
      </c>
      <c r="DJ874" s="14" t="s">
        <v>4633</v>
      </c>
      <c r="DK874" s="14" t="s">
        <v>257</v>
      </c>
      <c r="DL874" s="21" t="s">
        <v>16638</v>
      </c>
      <c r="DM874" s="14" t="s">
        <v>198</v>
      </c>
      <c r="DN874" s="13" t="s">
        <v>16639</v>
      </c>
      <c r="DO874" s="20">
        <v>2024</v>
      </c>
      <c r="DP874" s="14" t="s">
        <v>166</v>
      </c>
      <c r="DQ874" s="14" t="s">
        <v>166</v>
      </c>
      <c r="DR874" s="18" t="s">
        <v>166</v>
      </c>
      <c r="DS874" s="16" t="s">
        <v>166</v>
      </c>
      <c r="DT874" s="19" t="s">
        <v>166</v>
      </c>
      <c r="DU874" s="14" t="s">
        <v>166</v>
      </c>
      <c r="DV874" s="18" t="s">
        <v>166</v>
      </c>
      <c r="DW874" s="18" t="s">
        <v>166</v>
      </c>
      <c r="DX874" s="16" t="s">
        <v>166</v>
      </c>
      <c r="DY874" s="16" t="s">
        <v>166</v>
      </c>
      <c r="DZ874" s="17" t="s">
        <v>166</v>
      </c>
      <c r="EA874" s="16" t="s">
        <v>166</v>
      </c>
      <c r="EB874" s="16" t="s">
        <v>166</v>
      </c>
      <c r="EC874" s="16" t="s">
        <v>166</v>
      </c>
      <c r="ED874" s="17" t="s">
        <v>166</v>
      </c>
      <c r="EE874" s="17" t="s">
        <v>166</v>
      </c>
      <c r="EF874" s="17" t="s">
        <v>166</v>
      </c>
      <c r="EG874" s="17" t="s">
        <v>166</v>
      </c>
      <c r="EH874" s="16" t="s">
        <v>166</v>
      </c>
      <c r="EI874" s="16" t="s">
        <v>166</v>
      </c>
      <c r="EJ874" s="16" t="s">
        <v>166</v>
      </c>
      <c r="EK874" s="16" t="s">
        <v>166</v>
      </c>
      <c r="EL874" s="16" t="s">
        <v>166</v>
      </c>
      <c r="EM874" s="16" t="s">
        <v>166</v>
      </c>
      <c r="EN874" s="16" t="s">
        <v>166</v>
      </c>
      <c r="EO874" s="16" t="s">
        <v>166</v>
      </c>
      <c r="EP874" s="16" t="s">
        <v>166</v>
      </c>
      <c r="EQ874" s="16" t="s">
        <v>166</v>
      </c>
      <c r="ER874" s="16" t="s">
        <v>166</v>
      </c>
      <c r="ES874" s="16" t="s">
        <v>166</v>
      </c>
      <c r="ET874" s="14" t="s">
        <v>166</v>
      </c>
      <c r="EU874" s="16" t="s">
        <v>166</v>
      </c>
      <c r="EV874" s="16" t="s">
        <v>166</v>
      </c>
      <c r="EW874" s="16" t="s">
        <v>166</v>
      </c>
      <c r="EX874" s="14" t="s">
        <v>190</v>
      </c>
      <c r="EY874" s="14" t="s">
        <v>166</v>
      </c>
      <c r="EZ874" s="16" t="s">
        <v>166</v>
      </c>
      <c r="FA874" s="15" t="s">
        <v>166</v>
      </c>
      <c r="FB874" s="15" t="s">
        <v>166</v>
      </c>
      <c r="FC874" s="15" t="s">
        <v>166</v>
      </c>
      <c r="FD874" s="15" t="s">
        <v>166</v>
      </c>
      <c r="FE874" s="15" t="s">
        <v>166</v>
      </c>
      <c r="FF874" s="15" t="s">
        <v>166</v>
      </c>
      <c r="FG874" s="14" t="s">
        <v>166</v>
      </c>
      <c r="FH874" s="3">
        <f>HYPERLINK("https://my.pitchbook.com?c=257246-56T","View Company Online")</f>
      </c>
    </row>
    <row r="875">
      <c r="A875" s="25" t="s">
        <v>16640</v>
      </c>
      <c r="B875" s="25" t="s">
        <v>16641</v>
      </c>
      <c r="C875" s="25" t="s">
        <v>16642</v>
      </c>
      <c r="D875" s="25" t="s">
        <v>166</v>
      </c>
      <c r="E875" s="34" t="s">
        <v>16643</v>
      </c>
      <c r="F875" s="32">
        <v>2</v>
      </c>
      <c r="G875" s="25" t="s">
        <v>166</v>
      </c>
      <c r="H875" s="25" t="s">
        <v>166</v>
      </c>
      <c r="I875" s="25" t="s">
        <v>16644</v>
      </c>
      <c r="J875" s="25" t="s">
        <v>16645</v>
      </c>
      <c r="K875" s="25" t="s">
        <v>171</v>
      </c>
      <c r="L875" s="25" t="s">
        <v>172</v>
      </c>
      <c r="M875" s="25" t="s">
        <v>173</v>
      </c>
      <c r="N875" s="25" t="s">
        <v>16646</v>
      </c>
      <c r="O875" s="25" t="s">
        <v>14049</v>
      </c>
      <c r="P875" s="25" t="s">
        <v>16647</v>
      </c>
      <c r="Q875" s="25" t="s">
        <v>166</v>
      </c>
      <c r="R875" s="25" t="s">
        <v>177</v>
      </c>
      <c r="S875" s="25" t="s">
        <v>178</v>
      </c>
      <c r="T875" s="25" t="s">
        <v>179</v>
      </c>
      <c r="U875" s="25" t="s">
        <v>16648</v>
      </c>
      <c r="V875" s="25" t="s">
        <v>16649</v>
      </c>
      <c r="W875" s="32" t="s">
        <v>16650</v>
      </c>
      <c r="X875" s="25" t="s">
        <v>166</v>
      </c>
      <c r="Y875" s="25" t="s">
        <v>16651</v>
      </c>
      <c r="Z875" s="25" t="s">
        <v>166</v>
      </c>
      <c r="AA875" s="25" t="s">
        <v>242</v>
      </c>
      <c r="AB875" s="25" t="s">
        <v>243</v>
      </c>
      <c r="AC875" s="25" t="s">
        <v>244</v>
      </c>
      <c r="AD875" s="25" t="s">
        <v>166</v>
      </c>
      <c r="AE875" s="25" t="s">
        <v>166</v>
      </c>
      <c r="AF875" s="25" t="s">
        <v>166</v>
      </c>
      <c r="AG875" s="25" t="s">
        <v>246</v>
      </c>
      <c r="AH875" s="32">
        <v>1</v>
      </c>
      <c r="AI875" s="4">
        <f>HYPERLINK("https://my.pitchbook.com/?d=171832-06T","171832-06T")</f>
      </c>
      <c r="AJ875" s="30">
        <v>44151</v>
      </c>
      <c r="AK875" s="30">
        <v>44323</v>
      </c>
      <c r="AL875" s="29">
        <v>2</v>
      </c>
      <c r="AM875" s="25" t="s">
        <v>185</v>
      </c>
      <c r="AN875" s="29">
        <v>4</v>
      </c>
      <c r="AO875" s="29">
        <v>6</v>
      </c>
      <c r="AP875" s="25" t="s">
        <v>185</v>
      </c>
      <c r="AQ875" s="32" t="s">
        <v>166</v>
      </c>
      <c r="AR875" s="32" t="s">
        <v>166</v>
      </c>
      <c r="AS875" s="28">
        <v>33.33</v>
      </c>
      <c r="AT875" s="29">
        <v>2</v>
      </c>
      <c r="AU875" s="32" t="s">
        <v>186</v>
      </c>
      <c r="AV875" s="32" t="s">
        <v>166</v>
      </c>
      <c r="AW875" s="29">
        <v>0.4</v>
      </c>
      <c r="AX875" s="32" t="s">
        <v>166</v>
      </c>
      <c r="AY875" s="25" t="s">
        <v>217</v>
      </c>
      <c r="AZ875" s="25" t="s">
        <v>217</v>
      </c>
      <c r="BA875" s="25" t="s">
        <v>166</v>
      </c>
      <c r="BB875" s="32" t="s">
        <v>166</v>
      </c>
      <c r="BC875" s="25" t="s">
        <v>179</v>
      </c>
      <c r="BD875" s="25" t="s">
        <v>16652</v>
      </c>
      <c r="BE875" s="25" t="s">
        <v>189</v>
      </c>
      <c r="BF875" s="29">
        <v>2</v>
      </c>
      <c r="BG875" s="25" t="s">
        <v>190</v>
      </c>
      <c r="BH875" s="25" t="s">
        <v>166</v>
      </c>
      <c r="BI875" s="25" t="s">
        <v>166</v>
      </c>
      <c r="BJ875" s="29" t="s">
        <v>166</v>
      </c>
      <c r="BK875" s="29" t="s">
        <v>166</v>
      </c>
      <c r="BL875" s="25" t="s">
        <v>191</v>
      </c>
      <c r="BM875" s="25" t="s">
        <v>178</v>
      </c>
      <c r="BN875" s="25" t="s">
        <v>177</v>
      </c>
      <c r="BO875" s="33" t="s">
        <v>166</v>
      </c>
      <c r="BP875" s="25" t="s">
        <v>16653</v>
      </c>
      <c r="BQ875" s="32">
        <v>2</v>
      </c>
      <c r="BR875" s="25" t="s">
        <v>166</v>
      </c>
      <c r="BS875" s="32" t="s">
        <v>166</v>
      </c>
      <c r="BT875" s="25" t="s">
        <v>166</v>
      </c>
      <c r="BU875" s="25" t="s">
        <v>166</v>
      </c>
      <c r="BV875" s="25" t="s">
        <v>166</v>
      </c>
      <c r="BW875" s="25" t="s">
        <v>166</v>
      </c>
      <c r="BX875" s="25" t="s">
        <v>166</v>
      </c>
      <c r="BY875" s="25" t="s">
        <v>166</v>
      </c>
      <c r="BZ875" s="25" t="s">
        <v>166</v>
      </c>
      <c r="CA875" s="25" t="s">
        <v>166</v>
      </c>
      <c r="CB875" s="25" t="s">
        <v>166</v>
      </c>
      <c r="CC875" s="25" t="s">
        <v>166</v>
      </c>
      <c r="CD875" s="25" t="s">
        <v>166</v>
      </c>
      <c r="CE875" s="29" t="s">
        <v>166</v>
      </c>
      <c r="CF875" s="27" t="s">
        <v>166</v>
      </c>
      <c r="CG875" s="28" t="s">
        <v>166</v>
      </c>
      <c r="CH875" s="27" t="s">
        <v>166</v>
      </c>
      <c r="CI875" s="27" t="s">
        <v>166</v>
      </c>
      <c r="CJ875" s="27" t="s">
        <v>166</v>
      </c>
      <c r="CK875" s="27" t="s">
        <v>166</v>
      </c>
      <c r="CL875" s="27" t="s">
        <v>166</v>
      </c>
      <c r="CM875" s="31" t="s">
        <v>166</v>
      </c>
      <c r="CN875" s="27" t="s">
        <v>166</v>
      </c>
      <c r="CO875" s="27" t="s">
        <v>166</v>
      </c>
      <c r="CP875" s="27" t="s">
        <v>166</v>
      </c>
      <c r="CQ875" s="27" t="s">
        <v>166</v>
      </c>
      <c r="CR875" s="27" t="s">
        <v>166</v>
      </c>
      <c r="CS875" s="27" t="s">
        <v>166</v>
      </c>
      <c r="CT875" s="27" t="s">
        <v>166</v>
      </c>
      <c r="CU875" s="27" t="s">
        <v>166</v>
      </c>
      <c r="CV875" s="27" t="s">
        <v>166</v>
      </c>
      <c r="CW875" s="27" t="s">
        <v>166</v>
      </c>
      <c r="CX875" s="27" t="s">
        <v>166</v>
      </c>
      <c r="CY875" s="27" t="s">
        <v>166</v>
      </c>
      <c r="CZ875" s="27" t="s">
        <v>166</v>
      </c>
      <c r="DA875" s="27" t="s">
        <v>166</v>
      </c>
      <c r="DB875" s="27" t="s">
        <v>166</v>
      </c>
      <c r="DC875" s="27" t="s">
        <v>166</v>
      </c>
      <c r="DD875" s="27" t="s">
        <v>166</v>
      </c>
      <c r="DE875" s="28" t="s">
        <v>166</v>
      </c>
      <c r="DF875" s="33" t="s">
        <v>166</v>
      </c>
      <c r="DG875" s="25" t="s">
        <v>1540</v>
      </c>
      <c r="DH875" s="25" t="s">
        <v>193</v>
      </c>
      <c r="DI875" s="25" t="s">
        <v>194</v>
      </c>
      <c r="DJ875" s="25" t="s">
        <v>1541</v>
      </c>
      <c r="DK875" s="25" t="s">
        <v>257</v>
      </c>
      <c r="DL875" s="32" t="s">
        <v>2503</v>
      </c>
      <c r="DM875" s="25" t="s">
        <v>198</v>
      </c>
      <c r="DN875" s="24" t="s">
        <v>16654</v>
      </c>
      <c r="DO875" s="31">
        <v>2019</v>
      </c>
      <c r="DP875" s="25" t="s">
        <v>166</v>
      </c>
      <c r="DQ875" s="25" t="s">
        <v>166</v>
      </c>
      <c r="DR875" s="29" t="s">
        <v>166</v>
      </c>
      <c r="DS875" s="27" t="s">
        <v>166</v>
      </c>
      <c r="DT875" s="30" t="s">
        <v>166</v>
      </c>
      <c r="DU875" s="25" t="s">
        <v>166</v>
      </c>
      <c r="DV875" s="29" t="s">
        <v>166</v>
      </c>
      <c r="DW875" s="29" t="s">
        <v>166</v>
      </c>
      <c r="DX875" s="27" t="s">
        <v>166</v>
      </c>
      <c r="DY875" s="27" t="s">
        <v>166</v>
      </c>
      <c r="DZ875" s="28" t="s">
        <v>166</v>
      </c>
      <c r="EA875" s="27" t="s">
        <v>166</v>
      </c>
      <c r="EB875" s="27" t="s">
        <v>166</v>
      </c>
      <c r="EC875" s="27" t="s">
        <v>166</v>
      </c>
      <c r="ED875" s="28" t="s">
        <v>166</v>
      </c>
      <c r="EE875" s="28" t="s">
        <v>166</v>
      </c>
      <c r="EF875" s="28" t="s">
        <v>166</v>
      </c>
      <c r="EG875" s="28" t="s">
        <v>166</v>
      </c>
      <c r="EH875" s="27" t="s">
        <v>166</v>
      </c>
      <c r="EI875" s="27" t="s">
        <v>166</v>
      </c>
      <c r="EJ875" s="27" t="s">
        <v>166</v>
      </c>
      <c r="EK875" s="27" t="s">
        <v>166</v>
      </c>
      <c r="EL875" s="27" t="s">
        <v>166</v>
      </c>
      <c r="EM875" s="27" t="s">
        <v>166</v>
      </c>
      <c r="EN875" s="27" t="s">
        <v>166</v>
      </c>
      <c r="EO875" s="27" t="s">
        <v>166</v>
      </c>
      <c r="EP875" s="27" t="s">
        <v>166</v>
      </c>
      <c r="EQ875" s="27" t="s">
        <v>166</v>
      </c>
      <c r="ER875" s="27" t="s">
        <v>166</v>
      </c>
      <c r="ES875" s="27" t="s">
        <v>166</v>
      </c>
      <c r="ET875" s="25" t="s">
        <v>166</v>
      </c>
      <c r="EU875" s="27" t="s">
        <v>166</v>
      </c>
      <c r="EV875" s="27" t="s">
        <v>166</v>
      </c>
      <c r="EW875" s="27" t="s">
        <v>166</v>
      </c>
      <c r="EX875" s="25" t="s">
        <v>190</v>
      </c>
      <c r="EY875" s="25" t="s">
        <v>166</v>
      </c>
      <c r="EZ875" s="27" t="s">
        <v>166</v>
      </c>
      <c r="FA875" s="26" t="s">
        <v>166</v>
      </c>
      <c r="FB875" s="26" t="s">
        <v>166</v>
      </c>
      <c r="FC875" s="26" t="s">
        <v>166</v>
      </c>
      <c r="FD875" s="26" t="s">
        <v>166</v>
      </c>
      <c r="FE875" s="26" t="s">
        <v>166</v>
      </c>
      <c r="FF875" s="26" t="s">
        <v>166</v>
      </c>
      <c r="FG875" s="25" t="s">
        <v>166</v>
      </c>
      <c r="FH875" s="4">
        <f>HYPERLINK("https://my.pitchbook.com?c=171832-06T","View Company Online")</f>
      </c>
    </row>
    <row r="876">
      <c r="A876" s="14" t="s">
        <v>16655</v>
      </c>
      <c r="B876" s="14" t="s">
        <v>16656</v>
      </c>
      <c r="C876" s="14" t="s">
        <v>16657</v>
      </c>
      <c r="D876" s="14" t="s">
        <v>166</v>
      </c>
      <c r="E876" s="23" t="s">
        <v>16658</v>
      </c>
      <c r="F876" s="21">
        <v>1</v>
      </c>
      <c r="G876" s="14" t="s">
        <v>16659</v>
      </c>
      <c r="H876" s="14" t="s">
        <v>166</v>
      </c>
      <c r="I876" s="14" t="s">
        <v>16660</v>
      </c>
      <c r="J876" s="14" t="s">
        <v>16661</v>
      </c>
      <c r="K876" s="14" t="s">
        <v>171</v>
      </c>
      <c r="L876" s="14" t="s">
        <v>172</v>
      </c>
      <c r="M876" s="14" t="s">
        <v>173</v>
      </c>
      <c r="N876" s="14" t="s">
        <v>16662</v>
      </c>
      <c r="O876" s="14" t="s">
        <v>16663</v>
      </c>
      <c r="P876" s="14" t="s">
        <v>16664</v>
      </c>
      <c r="Q876" s="14" t="s">
        <v>2555</v>
      </c>
      <c r="R876" s="14" t="s">
        <v>177</v>
      </c>
      <c r="S876" s="14" t="s">
        <v>178</v>
      </c>
      <c r="T876" s="14" t="s">
        <v>179</v>
      </c>
      <c r="U876" s="14" t="s">
        <v>16665</v>
      </c>
      <c r="V876" s="14" t="s">
        <v>16666</v>
      </c>
      <c r="W876" s="21" t="s">
        <v>16667</v>
      </c>
      <c r="X876" s="14" t="s">
        <v>166</v>
      </c>
      <c r="Y876" s="14" t="s">
        <v>16668</v>
      </c>
      <c r="Z876" s="14" t="s">
        <v>166</v>
      </c>
      <c r="AA876" s="14" t="s">
        <v>166</v>
      </c>
      <c r="AB876" s="14" t="s">
        <v>166</v>
      </c>
      <c r="AC876" s="14" t="s">
        <v>166</v>
      </c>
      <c r="AD876" s="14" t="s">
        <v>166</v>
      </c>
      <c r="AE876" s="14" t="s">
        <v>166</v>
      </c>
      <c r="AF876" s="14" t="s">
        <v>166</v>
      </c>
      <c r="AG876" s="14" t="s">
        <v>166</v>
      </c>
      <c r="AH876" s="21">
        <v>1</v>
      </c>
      <c r="AI876" s="3">
        <f>HYPERLINK("https://my.pitchbook.com/?d=178322-77T","178322-77T")</f>
      </c>
      <c r="AJ876" s="19" t="s">
        <v>166</v>
      </c>
      <c r="AK876" s="19">
        <v>44377</v>
      </c>
      <c r="AL876" s="18">
        <v>13.44</v>
      </c>
      <c r="AM876" s="14" t="s">
        <v>185</v>
      </c>
      <c r="AN876" s="18" t="s">
        <v>166</v>
      </c>
      <c r="AO876" s="18" t="s">
        <v>166</v>
      </c>
      <c r="AP876" s="14" t="s">
        <v>166</v>
      </c>
      <c r="AQ876" s="21" t="s">
        <v>166</v>
      </c>
      <c r="AR876" s="21" t="s">
        <v>166</v>
      </c>
      <c r="AS876" s="17" t="s">
        <v>166</v>
      </c>
      <c r="AT876" s="18">
        <v>13.44</v>
      </c>
      <c r="AU876" s="21" t="s">
        <v>186</v>
      </c>
      <c r="AV876" s="21" t="s">
        <v>166</v>
      </c>
      <c r="AW876" s="18" t="s">
        <v>166</v>
      </c>
      <c r="AX876" s="21" t="s">
        <v>166</v>
      </c>
      <c r="AY876" s="14" t="s">
        <v>217</v>
      </c>
      <c r="AZ876" s="14" t="s">
        <v>217</v>
      </c>
      <c r="BA876" s="14" t="s">
        <v>166</v>
      </c>
      <c r="BB876" s="21" t="s">
        <v>166</v>
      </c>
      <c r="BC876" s="14" t="s">
        <v>179</v>
      </c>
      <c r="BD876" s="14" t="s">
        <v>16669</v>
      </c>
      <c r="BE876" s="14" t="s">
        <v>189</v>
      </c>
      <c r="BF876" s="18">
        <v>13.44</v>
      </c>
      <c r="BG876" s="14" t="s">
        <v>190</v>
      </c>
      <c r="BH876" s="14" t="s">
        <v>166</v>
      </c>
      <c r="BI876" s="14" t="s">
        <v>166</v>
      </c>
      <c r="BJ876" s="18" t="s">
        <v>166</v>
      </c>
      <c r="BK876" s="18" t="s">
        <v>166</v>
      </c>
      <c r="BL876" s="14" t="s">
        <v>191</v>
      </c>
      <c r="BM876" s="14" t="s">
        <v>178</v>
      </c>
      <c r="BN876" s="14" t="s">
        <v>177</v>
      </c>
      <c r="BO876" s="22" t="s">
        <v>166</v>
      </c>
      <c r="BP876" s="14" t="s">
        <v>16658</v>
      </c>
      <c r="BQ876" s="21">
        <v>1</v>
      </c>
      <c r="BR876" s="14" t="s">
        <v>166</v>
      </c>
      <c r="BS876" s="21" t="s">
        <v>166</v>
      </c>
      <c r="BT876" s="14" t="s">
        <v>166</v>
      </c>
      <c r="BU876" s="14" t="s">
        <v>166</v>
      </c>
      <c r="BV876" s="14" t="s">
        <v>16670</v>
      </c>
      <c r="BW876" s="14" t="s">
        <v>166</v>
      </c>
      <c r="BX876" s="14" t="s">
        <v>166</v>
      </c>
      <c r="BY876" s="14" t="s">
        <v>166</v>
      </c>
      <c r="BZ876" s="14" t="s">
        <v>166</v>
      </c>
      <c r="CA876" s="14" t="s">
        <v>166</v>
      </c>
      <c r="CB876" s="14" t="s">
        <v>166</v>
      </c>
      <c r="CC876" s="14" t="s">
        <v>166</v>
      </c>
      <c r="CD876" s="14" t="s">
        <v>166</v>
      </c>
      <c r="CE876" s="18" t="s">
        <v>166</v>
      </c>
      <c r="CF876" s="16" t="s">
        <v>166</v>
      </c>
      <c r="CG876" s="17" t="s">
        <v>166</v>
      </c>
      <c r="CH876" s="16" t="s">
        <v>166</v>
      </c>
      <c r="CI876" s="16" t="s">
        <v>166</v>
      </c>
      <c r="CJ876" s="16" t="s">
        <v>166</v>
      </c>
      <c r="CK876" s="16" t="s">
        <v>166</v>
      </c>
      <c r="CL876" s="16" t="s">
        <v>166</v>
      </c>
      <c r="CM876" s="20" t="s">
        <v>166</v>
      </c>
      <c r="CN876" s="16" t="s">
        <v>166</v>
      </c>
      <c r="CO876" s="16" t="s">
        <v>166</v>
      </c>
      <c r="CP876" s="16" t="s">
        <v>166</v>
      </c>
      <c r="CQ876" s="16" t="s">
        <v>166</v>
      </c>
      <c r="CR876" s="16" t="s">
        <v>166</v>
      </c>
      <c r="CS876" s="16" t="s">
        <v>166</v>
      </c>
      <c r="CT876" s="16" t="s">
        <v>166</v>
      </c>
      <c r="CU876" s="16" t="s">
        <v>166</v>
      </c>
      <c r="CV876" s="16" t="s">
        <v>166</v>
      </c>
      <c r="CW876" s="16" t="s">
        <v>166</v>
      </c>
      <c r="CX876" s="16" t="s">
        <v>166</v>
      </c>
      <c r="CY876" s="16" t="s">
        <v>166</v>
      </c>
      <c r="CZ876" s="16" t="s">
        <v>166</v>
      </c>
      <c r="DA876" s="16" t="s">
        <v>166</v>
      </c>
      <c r="DB876" s="16" t="s">
        <v>166</v>
      </c>
      <c r="DC876" s="16" t="s">
        <v>166</v>
      </c>
      <c r="DD876" s="16" t="s">
        <v>166</v>
      </c>
      <c r="DE876" s="17" t="s">
        <v>166</v>
      </c>
      <c r="DF876" s="22">
        <v>16</v>
      </c>
      <c r="DG876" s="14" t="s">
        <v>1540</v>
      </c>
      <c r="DH876" s="14" t="s">
        <v>193</v>
      </c>
      <c r="DI876" s="14" t="s">
        <v>194</v>
      </c>
      <c r="DJ876" s="14" t="s">
        <v>1541</v>
      </c>
      <c r="DK876" s="14" t="s">
        <v>257</v>
      </c>
      <c r="DL876" s="21" t="s">
        <v>16671</v>
      </c>
      <c r="DM876" s="14" t="s">
        <v>198</v>
      </c>
      <c r="DN876" s="13" t="s">
        <v>16672</v>
      </c>
      <c r="DO876" s="20">
        <v>2018</v>
      </c>
      <c r="DP876" s="14" t="s">
        <v>166</v>
      </c>
      <c r="DQ876" s="14" t="s">
        <v>166</v>
      </c>
      <c r="DR876" s="18" t="s">
        <v>166</v>
      </c>
      <c r="DS876" s="16" t="s">
        <v>166</v>
      </c>
      <c r="DT876" s="19" t="s">
        <v>166</v>
      </c>
      <c r="DU876" s="14" t="s">
        <v>166</v>
      </c>
      <c r="DV876" s="18" t="s">
        <v>166</v>
      </c>
      <c r="DW876" s="18" t="s">
        <v>166</v>
      </c>
      <c r="DX876" s="16" t="s">
        <v>166</v>
      </c>
      <c r="DY876" s="16" t="s">
        <v>166</v>
      </c>
      <c r="DZ876" s="17" t="s">
        <v>166</v>
      </c>
      <c r="EA876" s="16" t="s">
        <v>166</v>
      </c>
      <c r="EB876" s="16" t="s">
        <v>166</v>
      </c>
      <c r="EC876" s="16" t="s">
        <v>166</v>
      </c>
      <c r="ED876" s="17" t="s">
        <v>166</v>
      </c>
      <c r="EE876" s="17" t="s">
        <v>166</v>
      </c>
      <c r="EF876" s="17" t="s">
        <v>166</v>
      </c>
      <c r="EG876" s="17" t="s">
        <v>166</v>
      </c>
      <c r="EH876" s="16" t="s">
        <v>166</v>
      </c>
      <c r="EI876" s="16" t="s">
        <v>166</v>
      </c>
      <c r="EJ876" s="16" t="s">
        <v>166</v>
      </c>
      <c r="EK876" s="16" t="s">
        <v>166</v>
      </c>
      <c r="EL876" s="16" t="s">
        <v>166</v>
      </c>
      <c r="EM876" s="16" t="s">
        <v>166</v>
      </c>
      <c r="EN876" s="16" t="s">
        <v>166</v>
      </c>
      <c r="EO876" s="16" t="s">
        <v>166</v>
      </c>
      <c r="EP876" s="16" t="s">
        <v>166</v>
      </c>
      <c r="EQ876" s="16" t="s">
        <v>166</v>
      </c>
      <c r="ER876" s="16" t="s">
        <v>166</v>
      </c>
      <c r="ES876" s="16" t="s">
        <v>166</v>
      </c>
      <c r="ET876" s="14" t="s">
        <v>166</v>
      </c>
      <c r="EU876" s="16" t="s">
        <v>166</v>
      </c>
      <c r="EV876" s="16" t="s">
        <v>166</v>
      </c>
      <c r="EW876" s="16" t="s">
        <v>166</v>
      </c>
      <c r="EX876" s="14" t="s">
        <v>190</v>
      </c>
      <c r="EY876" s="14" t="s">
        <v>166</v>
      </c>
      <c r="EZ876" s="16" t="s">
        <v>166</v>
      </c>
      <c r="FA876" s="15">
        <v>4</v>
      </c>
      <c r="FB876" s="15">
        <v>1</v>
      </c>
      <c r="FC876" s="15">
        <v>4</v>
      </c>
      <c r="FD876" s="15" t="s">
        <v>166</v>
      </c>
      <c r="FE876" s="15" t="s">
        <v>166</v>
      </c>
      <c r="FF876" s="15" t="s">
        <v>166</v>
      </c>
      <c r="FG876" s="14" t="s">
        <v>775</v>
      </c>
      <c r="FH876" s="3">
        <f>HYPERLINK("https://my.pitchbook.com?c=178322-77T","View Company Online")</f>
      </c>
    </row>
    <row r="877">
      <c r="A877" s="25" t="s">
        <v>16673</v>
      </c>
      <c r="B877" s="25" t="s">
        <v>16674</v>
      </c>
      <c r="C877" s="25" t="s">
        <v>16675</v>
      </c>
      <c r="D877" s="25" t="s">
        <v>166</v>
      </c>
      <c r="E877" s="34" t="s">
        <v>16676</v>
      </c>
      <c r="F877" s="32">
        <v>2</v>
      </c>
      <c r="G877" s="25" t="s">
        <v>16677</v>
      </c>
      <c r="H877" s="25" t="s">
        <v>166</v>
      </c>
      <c r="I877" s="25" t="s">
        <v>16678</v>
      </c>
      <c r="J877" s="25" t="s">
        <v>16679</v>
      </c>
      <c r="K877" s="25" t="s">
        <v>207</v>
      </c>
      <c r="L877" s="25" t="s">
        <v>208</v>
      </c>
      <c r="M877" s="25" t="s">
        <v>965</v>
      </c>
      <c r="N877" s="25" t="s">
        <v>966</v>
      </c>
      <c r="O877" s="25" t="s">
        <v>211</v>
      </c>
      <c r="P877" s="25" t="s">
        <v>16680</v>
      </c>
      <c r="Q877" s="25" t="s">
        <v>166</v>
      </c>
      <c r="R877" s="25" t="s">
        <v>177</v>
      </c>
      <c r="S877" s="25" t="s">
        <v>785</v>
      </c>
      <c r="T877" s="25" t="s">
        <v>179</v>
      </c>
      <c r="U877" s="25" t="s">
        <v>16681</v>
      </c>
      <c r="V877" s="25" t="s">
        <v>16682</v>
      </c>
      <c r="W877" s="32" t="s">
        <v>16683</v>
      </c>
      <c r="X877" s="25" t="s">
        <v>166</v>
      </c>
      <c r="Y877" s="25" t="s">
        <v>16684</v>
      </c>
      <c r="Z877" s="25" t="s">
        <v>16685</v>
      </c>
      <c r="AA877" s="25" t="s">
        <v>166</v>
      </c>
      <c r="AB877" s="25" t="s">
        <v>166</v>
      </c>
      <c r="AC877" s="25" t="s">
        <v>166</v>
      </c>
      <c r="AD877" s="25" t="s">
        <v>166</v>
      </c>
      <c r="AE877" s="25" t="s">
        <v>166</v>
      </c>
      <c r="AF877" s="25" t="s">
        <v>166</v>
      </c>
      <c r="AG877" s="25" t="s">
        <v>166</v>
      </c>
      <c r="AH877" s="32">
        <v>3</v>
      </c>
      <c r="AI877" s="4">
        <f>HYPERLINK("https://my.pitchbook.com/?d=254500-48T","254500-48T")</f>
      </c>
      <c r="AJ877" s="30">
        <v>45216</v>
      </c>
      <c r="AK877" s="30">
        <v>45292</v>
      </c>
      <c r="AL877" s="29">
        <v>0.85</v>
      </c>
      <c r="AM877" s="25" t="s">
        <v>185</v>
      </c>
      <c r="AN877" s="29">
        <v>6.15</v>
      </c>
      <c r="AO877" s="29">
        <v>7</v>
      </c>
      <c r="AP877" s="25" t="s">
        <v>185</v>
      </c>
      <c r="AQ877" s="32" t="s">
        <v>166</v>
      </c>
      <c r="AR877" s="32" t="s">
        <v>166</v>
      </c>
      <c r="AS877" s="28" t="s">
        <v>166</v>
      </c>
      <c r="AT877" s="29">
        <v>1.65</v>
      </c>
      <c r="AU877" s="32" t="s">
        <v>186</v>
      </c>
      <c r="AV877" s="32" t="s">
        <v>166</v>
      </c>
      <c r="AW877" s="29" t="s">
        <v>166</v>
      </c>
      <c r="AX877" s="32" t="s">
        <v>166</v>
      </c>
      <c r="AY877" s="25" t="s">
        <v>217</v>
      </c>
      <c r="AZ877" s="25" t="s">
        <v>217</v>
      </c>
      <c r="BA877" s="25" t="s">
        <v>166</v>
      </c>
      <c r="BB877" s="32" t="s">
        <v>166</v>
      </c>
      <c r="BC877" s="25" t="s">
        <v>179</v>
      </c>
      <c r="BD877" s="25" t="s">
        <v>16679</v>
      </c>
      <c r="BE877" s="25" t="s">
        <v>189</v>
      </c>
      <c r="BF877" s="29">
        <v>0.85</v>
      </c>
      <c r="BG877" s="25" t="s">
        <v>190</v>
      </c>
      <c r="BH877" s="25" t="s">
        <v>166</v>
      </c>
      <c r="BI877" s="25" t="s">
        <v>166</v>
      </c>
      <c r="BJ877" s="29" t="s">
        <v>166</v>
      </c>
      <c r="BK877" s="29" t="s">
        <v>166</v>
      </c>
      <c r="BL877" s="25" t="s">
        <v>191</v>
      </c>
      <c r="BM877" s="25" t="s">
        <v>785</v>
      </c>
      <c r="BN877" s="25" t="s">
        <v>177</v>
      </c>
      <c r="BO877" s="33" t="s">
        <v>166</v>
      </c>
      <c r="BP877" s="25" t="s">
        <v>16676</v>
      </c>
      <c r="BQ877" s="32">
        <v>2</v>
      </c>
      <c r="BR877" s="25" t="s">
        <v>166</v>
      </c>
      <c r="BS877" s="32" t="s">
        <v>166</v>
      </c>
      <c r="BT877" s="25" t="s">
        <v>1812</v>
      </c>
      <c r="BU877" s="25" t="s">
        <v>166</v>
      </c>
      <c r="BV877" s="25" t="s">
        <v>498</v>
      </c>
      <c r="BW877" s="25" t="s">
        <v>166</v>
      </c>
      <c r="BX877" s="25" t="s">
        <v>166</v>
      </c>
      <c r="BY877" s="25" t="s">
        <v>166</v>
      </c>
      <c r="BZ877" s="25" t="s">
        <v>166</v>
      </c>
      <c r="CA877" s="25" t="s">
        <v>166</v>
      </c>
      <c r="CB877" s="25" t="s">
        <v>166</v>
      </c>
      <c r="CC877" s="25" t="s">
        <v>166</v>
      </c>
      <c r="CD877" s="25" t="s">
        <v>166</v>
      </c>
      <c r="CE877" s="29" t="s">
        <v>166</v>
      </c>
      <c r="CF877" s="27" t="s">
        <v>166</v>
      </c>
      <c r="CG877" s="28" t="s">
        <v>166</v>
      </c>
      <c r="CH877" s="27" t="s">
        <v>166</v>
      </c>
      <c r="CI877" s="27" t="s">
        <v>166</v>
      </c>
      <c r="CJ877" s="27" t="s">
        <v>166</v>
      </c>
      <c r="CK877" s="27" t="s">
        <v>166</v>
      </c>
      <c r="CL877" s="27" t="s">
        <v>166</v>
      </c>
      <c r="CM877" s="31" t="s">
        <v>166</v>
      </c>
      <c r="CN877" s="27" t="s">
        <v>166</v>
      </c>
      <c r="CO877" s="27" t="s">
        <v>166</v>
      </c>
      <c r="CP877" s="27" t="s">
        <v>166</v>
      </c>
      <c r="CQ877" s="27" t="s">
        <v>166</v>
      </c>
      <c r="CR877" s="27" t="s">
        <v>166</v>
      </c>
      <c r="CS877" s="27" t="s">
        <v>166</v>
      </c>
      <c r="CT877" s="27" t="s">
        <v>166</v>
      </c>
      <c r="CU877" s="27" t="s">
        <v>166</v>
      </c>
      <c r="CV877" s="27" t="s">
        <v>166</v>
      </c>
      <c r="CW877" s="27" t="s">
        <v>166</v>
      </c>
      <c r="CX877" s="27" t="s">
        <v>166</v>
      </c>
      <c r="CY877" s="27" t="s">
        <v>166</v>
      </c>
      <c r="CZ877" s="27" t="s">
        <v>166</v>
      </c>
      <c r="DA877" s="27" t="s">
        <v>166</v>
      </c>
      <c r="DB877" s="27" t="s">
        <v>166</v>
      </c>
      <c r="DC877" s="27" t="s">
        <v>166</v>
      </c>
      <c r="DD877" s="27" t="s">
        <v>166</v>
      </c>
      <c r="DE877" s="28" t="s">
        <v>166</v>
      </c>
      <c r="DF877" s="33">
        <v>10</v>
      </c>
      <c r="DG877" s="25" t="s">
        <v>673</v>
      </c>
      <c r="DH877" s="25" t="s">
        <v>193</v>
      </c>
      <c r="DI877" s="25" t="s">
        <v>194</v>
      </c>
      <c r="DJ877" s="25" t="s">
        <v>674</v>
      </c>
      <c r="DK877" s="25" t="s">
        <v>257</v>
      </c>
      <c r="DL877" s="32" t="s">
        <v>1599</v>
      </c>
      <c r="DM877" s="25" t="s">
        <v>198</v>
      </c>
      <c r="DN877" s="24" t="s">
        <v>16686</v>
      </c>
      <c r="DO877" s="31">
        <v>2022</v>
      </c>
      <c r="DP877" s="25" t="s">
        <v>166</v>
      </c>
      <c r="DQ877" s="25" t="s">
        <v>166</v>
      </c>
      <c r="DR877" s="29" t="s">
        <v>166</v>
      </c>
      <c r="DS877" s="27" t="s">
        <v>166</v>
      </c>
      <c r="DT877" s="30" t="s">
        <v>166</v>
      </c>
      <c r="DU877" s="25" t="s">
        <v>166</v>
      </c>
      <c r="DV877" s="29" t="s">
        <v>166</v>
      </c>
      <c r="DW877" s="29" t="s">
        <v>166</v>
      </c>
      <c r="DX877" s="27" t="s">
        <v>166</v>
      </c>
      <c r="DY877" s="27" t="s">
        <v>166</v>
      </c>
      <c r="DZ877" s="28" t="s">
        <v>166</v>
      </c>
      <c r="EA877" s="27" t="s">
        <v>166</v>
      </c>
      <c r="EB877" s="27" t="s">
        <v>166</v>
      </c>
      <c r="EC877" s="27" t="s">
        <v>166</v>
      </c>
      <c r="ED877" s="28" t="s">
        <v>166</v>
      </c>
      <c r="EE877" s="28" t="s">
        <v>166</v>
      </c>
      <c r="EF877" s="28" t="s">
        <v>166</v>
      </c>
      <c r="EG877" s="28" t="s">
        <v>166</v>
      </c>
      <c r="EH877" s="27" t="s">
        <v>166</v>
      </c>
      <c r="EI877" s="27" t="s">
        <v>166</v>
      </c>
      <c r="EJ877" s="27" t="s">
        <v>166</v>
      </c>
      <c r="EK877" s="27" t="s">
        <v>166</v>
      </c>
      <c r="EL877" s="27" t="s">
        <v>166</v>
      </c>
      <c r="EM877" s="27" t="s">
        <v>166</v>
      </c>
      <c r="EN877" s="27" t="s">
        <v>166</v>
      </c>
      <c r="EO877" s="27" t="s">
        <v>166</v>
      </c>
      <c r="EP877" s="27" t="s">
        <v>166</v>
      </c>
      <c r="EQ877" s="27" t="s">
        <v>166</v>
      </c>
      <c r="ER877" s="27" t="s">
        <v>166</v>
      </c>
      <c r="ES877" s="27" t="s">
        <v>166</v>
      </c>
      <c r="ET877" s="25" t="s">
        <v>166</v>
      </c>
      <c r="EU877" s="27" t="s">
        <v>166</v>
      </c>
      <c r="EV877" s="27" t="s">
        <v>166</v>
      </c>
      <c r="EW877" s="27" t="s">
        <v>166</v>
      </c>
      <c r="EX877" s="25" t="s">
        <v>190</v>
      </c>
      <c r="EY877" s="25" t="s">
        <v>166</v>
      </c>
      <c r="EZ877" s="27" t="s">
        <v>166</v>
      </c>
      <c r="FA877" s="26" t="s">
        <v>166</v>
      </c>
      <c r="FB877" s="26" t="s">
        <v>166</v>
      </c>
      <c r="FC877" s="26" t="s">
        <v>166</v>
      </c>
      <c r="FD877" s="26" t="s">
        <v>166</v>
      </c>
      <c r="FE877" s="26" t="s">
        <v>166</v>
      </c>
      <c r="FF877" s="26" t="s">
        <v>166</v>
      </c>
      <c r="FG877" s="25" t="s">
        <v>166</v>
      </c>
      <c r="FH877" s="4">
        <f>HYPERLINK("https://my.pitchbook.com?c=254500-48T","View Company Online")</f>
      </c>
    </row>
    <row r="878">
      <c r="A878" s="14" t="s">
        <v>16687</v>
      </c>
      <c r="B878" s="14" t="s">
        <v>16688</v>
      </c>
      <c r="C878" s="14" t="s">
        <v>16689</v>
      </c>
      <c r="D878" s="14" t="s">
        <v>166</v>
      </c>
      <c r="E878" s="23" t="s">
        <v>16690</v>
      </c>
      <c r="F878" s="21">
        <v>3</v>
      </c>
      <c r="G878" s="14" t="s">
        <v>16691</v>
      </c>
      <c r="H878" s="14" t="s">
        <v>166</v>
      </c>
      <c r="I878" s="14" t="s">
        <v>16692</v>
      </c>
      <c r="J878" s="14" t="s">
        <v>16693</v>
      </c>
      <c r="K878" s="14" t="s">
        <v>207</v>
      </c>
      <c r="L878" s="14" t="s">
        <v>208</v>
      </c>
      <c r="M878" s="14" t="s">
        <v>639</v>
      </c>
      <c r="N878" s="14" t="s">
        <v>8769</v>
      </c>
      <c r="O878" s="14" t="s">
        <v>166</v>
      </c>
      <c r="P878" s="14" t="s">
        <v>16694</v>
      </c>
      <c r="Q878" s="14" t="s">
        <v>166</v>
      </c>
      <c r="R878" s="14" t="s">
        <v>177</v>
      </c>
      <c r="S878" s="14" t="s">
        <v>178</v>
      </c>
      <c r="T878" s="14" t="s">
        <v>179</v>
      </c>
      <c r="U878" s="14" t="s">
        <v>16695</v>
      </c>
      <c r="V878" s="14" t="s">
        <v>16696</v>
      </c>
      <c r="W878" s="21" t="s">
        <v>16697</v>
      </c>
      <c r="X878" s="14" t="s">
        <v>16698</v>
      </c>
      <c r="Y878" s="14" t="s">
        <v>16699</v>
      </c>
      <c r="Z878" s="14" t="s">
        <v>16700</v>
      </c>
      <c r="AA878" s="14" t="s">
        <v>242</v>
      </c>
      <c r="AB878" s="14" t="s">
        <v>243</v>
      </c>
      <c r="AC878" s="14" t="s">
        <v>244</v>
      </c>
      <c r="AD878" s="14" t="s">
        <v>243</v>
      </c>
      <c r="AE878" s="14" t="s">
        <v>243</v>
      </c>
      <c r="AF878" s="14" t="s">
        <v>245</v>
      </c>
      <c r="AG878" s="14" t="s">
        <v>807</v>
      </c>
      <c r="AH878" s="21">
        <v>1</v>
      </c>
      <c r="AI878" s="3">
        <f>HYPERLINK("https://my.pitchbook.com/?d=135532-18T","135532-18T")</f>
      </c>
      <c r="AJ878" s="19" t="s">
        <v>166</v>
      </c>
      <c r="AK878" s="19">
        <v>43943</v>
      </c>
      <c r="AL878" s="18">
        <v>2.5</v>
      </c>
      <c r="AM878" s="14" t="s">
        <v>185</v>
      </c>
      <c r="AN878" s="18">
        <v>5.5</v>
      </c>
      <c r="AO878" s="18">
        <v>8</v>
      </c>
      <c r="AP878" s="14" t="s">
        <v>185</v>
      </c>
      <c r="AQ878" s="21" t="s">
        <v>166</v>
      </c>
      <c r="AR878" s="21" t="s">
        <v>166</v>
      </c>
      <c r="AS878" s="17">
        <v>31.25</v>
      </c>
      <c r="AT878" s="18">
        <v>2.5</v>
      </c>
      <c r="AU878" s="21" t="s">
        <v>186</v>
      </c>
      <c r="AV878" s="21" t="s">
        <v>166</v>
      </c>
      <c r="AW878" s="18">
        <v>0.59</v>
      </c>
      <c r="AX878" s="21" t="s">
        <v>166</v>
      </c>
      <c r="AY878" s="14" t="s">
        <v>217</v>
      </c>
      <c r="AZ878" s="14" t="s">
        <v>217</v>
      </c>
      <c r="BA878" s="14" t="s">
        <v>166</v>
      </c>
      <c r="BB878" s="21" t="s">
        <v>166</v>
      </c>
      <c r="BC878" s="14" t="s">
        <v>179</v>
      </c>
      <c r="BD878" s="14" t="s">
        <v>16701</v>
      </c>
      <c r="BE878" s="14" t="s">
        <v>189</v>
      </c>
      <c r="BF878" s="18">
        <v>2.5</v>
      </c>
      <c r="BG878" s="14" t="s">
        <v>190</v>
      </c>
      <c r="BH878" s="14" t="s">
        <v>166</v>
      </c>
      <c r="BI878" s="14" t="s">
        <v>166</v>
      </c>
      <c r="BJ878" s="18" t="s">
        <v>166</v>
      </c>
      <c r="BK878" s="18" t="s">
        <v>166</v>
      </c>
      <c r="BL878" s="14" t="s">
        <v>191</v>
      </c>
      <c r="BM878" s="14" t="s">
        <v>358</v>
      </c>
      <c r="BN878" s="14" t="s">
        <v>177</v>
      </c>
      <c r="BO878" s="22">
        <v>2</v>
      </c>
      <c r="BP878" s="14" t="s">
        <v>16690</v>
      </c>
      <c r="BQ878" s="21">
        <v>3</v>
      </c>
      <c r="BR878" s="14" t="s">
        <v>166</v>
      </c>
      <c r="BS878" s="21" t="s">
        <v>166</v>
      </c>
      <c r="BT878" s="14" t="s">
        <v>16702</v>
      </c>
      <c r="BU878" s="14" t="s">
        <v>166</v>
      </c>
      <c r="BV878" s="14" t="s">
        <v>16703</v>
      </c>
      <c r="BW878" s="14" t="s">
        <v>166</v>
      </c>
      <c r="BX878" s="14" t="s">
        <v>166</v>
      </c>
      <c r="BY878" s="14" t="s">
        <v>166</v>
      </c>
      <c r="BZ878" s="14" t="s">
        <v>166</v>
      </c>
      <c r="CA878" s="14" t="s">
        <v>166</v>
      </c>
      <c r="CB878" s="14" t="s">
        <v>166</v>
      </c>
      <c r="CC878" s="14" t="s">
        <v>166</v>
      </c>
      <c r="CD878" s="14" t="s">
        <v>166</v>
      </c>
      <c r="CE878" s="18" t="s">
        <v>166</v>
      </c>
      <c r="CF878" s="16" t="s">
        <v>166</v>
      </c>
      <c r="CG878" s="17" t="s">
        <v>166</v>
      </c>
      <c r="CH878" s="16" t="s">
        <v>166</v>
      </c>
      <c r="CI878" s="16" t="s">
        <v>166</v>
      </c>
      <c r="CJ878" s="16" t="s">
        <v>166</v>
      </c>
      <c r="CK878" s="16" t="s">
        <v>166</v>
      </c>
      <c r="CL878" s="16" t="s">
        <v>166</v>
      </c>
      <c r="CM878" s="20" t="s">
        <v>166</v>
      </c>
      <c r="CN878" s="16" t="s">
        <v>166</v>
      </c>
      <c r="CO878" s="16" t="s">
        <v>166</v>
      </c>
      <c r="CP878" s="16" t="s">
        <v>166</v>
      </c>
      <c r="CQ878" s="16" t="s">
        <v>166</v>
      </c>
      <c r="CR878" s="16" t="s">
        <v>166</v>
      </c>
      <c r="CS878" s="16" t="s">
        <v>166</v>
      </c>
      <c r="CT878" s="16" t="s">
        <v>166</v>
      </c>
      <c r="CU878" s="16" t="s">
        <v>166</v>
      </c>
      <c r="CV878" s="16" t="s">
        <v>166</v>
      </c>
      <c r="CW878" s="16" t="s">
        <v>166</v>
      </c>
      <c r="CX878" s="16" t="s">
        <v>166</v>
      </c>
      <c r="CY878" s="16" t="s">
        <v>166</v>
      </c>
      <c r="CZ878" s="16" t="s">
        <v>166</v>
      </c>
      <c r="DA878" s="16" t="s">
        <v>166</v>
      </c>
      <c r="DB878" s="16" t="s">
        <v>166</v>
      </c>
      <c r="DC878" s="16" t="s">
        <v>166</v>
      </c>
      <c r="DD878" s="16" t="s">
        <v>166</v>
      </c>
      <c r="DE878" s="17" t="s">
        <v>166</v>
      </c>
      <c r="DF878" s="22">
        <v>3</v>
      </c>
      <c r="DG878" s="14" t="s">
        <v>309</v>
      </c>
      <c r="DH878" s="14" t="s">
        <v>193</v>
      </c>
      <c r="DI878" s="14" t="s">
        <v>194</v>
      </c>
      <c r="DJ878" s="14" t="s">
        <v>310</v>
      </c>
      <c r="DK878" s="14" t="s">
        <v>310</v>
      </c>
      <c r="DL878" s="21" t="s">
        <v>16704</v>
      </c>
      <c r="DM878" s="14" t="s">
        <v>198</v>
      </c>
      <c r="DN878" s="13" t="s">
        <v>16705</v>
      </c>
      <c r="DO878" s="20">
        <v>2020</v>
      </c>
      <c r="DP878" s="14" t="s">
        <v>166</v>
      </c>
      <c r="DQ878" s="14" t="s">
        <v>166</v>
      </c>
      <c r="DR878" s="18" t="s">
        <v>166</v>
      </c>
      <c r="DS878" s="16" t="s">
        <v>166</v>
      </c>
      <c r="DT878" s="19" t="s">
        <v>166</v>
      </c>
      <c r="DU878" s="14" t="s">
        <v>166</v>
      </c>
      <c r="DV878" s="18" t="s">
        <v>166</v>
      </c>
      <c r="DW878" s="18" t="s">
        <v>166</v>
      </c>
      <c r="DX878" s="16" t="s">
        <v>166</v>
      </c>
      <c r="DY878" s="16" t="s">
        <v>166</v>
      </c>
      <c r="DZ878" s="17" t="s">
        <v>166</v>
      </c>
      <c r="EA878" s="16" t="s">
        <v>166</v>
      </c>
      <c r="EB878" s="16" t="s">
        <v>166</v>
      </c>
      <c r="EC878" s="16" t="s">
        <v>166</v>
      </c>
      <c r="ED878" s="17" t="s">
        <v>166</v>
      </c>
      <c r="EE878" s="17" t="s">
        <v>166</v>
      </c>
      <c r="EF878" s="17" t="s">
        <v>166</v>
      </c>
      <c r="EG878" s="17" t="s">
        <v>166</v>
      </c>
      <c r="EH878" s="16" t="s">
        <v>166</v>
      </c>
      <c r="EI878" s="16" t="s">
        <v>166</v>
      </c>
      <c r="EJ878" s="16" t="s">
        <v>166</v>
      </c>
      <c r="EK878" s="16" t="s">
        <v>166</v>
      </c>
      <c r="EL878" s="16" t="s">
        <v>166</v>
      </c>
      <c r="EM878" s="16" t="s">
        <v>166</v>
      </c>
      <c r="EN878" s="16" t="s">
        <v>166</v>
      </c>
      <c r="EO878" s="16" t="s">
        <v>166</v>
      </c>
      <c r="EP878" s="16" t="s">
        <v>166</v>
      </c>
      <c r="EQ878" s="16" t="s">
        <v>166</v>
      </c>
      <c r="ER878" s="16" t="s">
        <v>166</v>
      </c>
      <c r="ES878" s="16" t="s">
        <v>166</v>
      </c>
      <c r="ET878" s="14" t="s">
        <v>166</v>
      </c>
      <c r="EU878" s="16" t="s">
        <v>166</v>
      </c>
      <c r="EV878" s="16" t="s">
        <v>166</v>
      </c>
      <c r="EW878" s="16" t="s">
        <v>166</v>
      </c>
      <c r="EX878" s="14" t="s">
        <v>190</v>
      </c>
      <c r="EY878" s="14" t="s">
        <v>166</v>
      </c>
      <c r="EZ878" s="16" t="s">
        <v>166</v>
      </c>
      <c r="FA878" s="15" t="s">
        <v>166</v>
      </c>
      <c r="FB878" s="15" t="s">
        <v>166</v>
      </c>
      <c r="FC878" s="15" t="s">
        <v>166</v>
      </c>
      <c r="FD878" s="15" t="s">
        <v>166</v>
      </c>
      <c r="FE878" s="15" t="s">
        <v>166</v>
      </c>
      <c r="FF878" s="15" t="s">
        <v>166</v>
      </c>
      <c r="FG878" s="14" t="s">
        <v>166</v>
      </c>
      <c r="FH878" s="3">
        <f>HYPERLINK("https://my.pitchbook.com?c=135532-18T","View Company Online")</f>
      </c>
    </row>
    <row r="879">
      <c r="A879" s="25" t="s">
        <v>16706</v>
      </c>
      <c r="B879" s="25" t="s">
        <v>16707</v>
      </c>
      <c r="C879" s="25" t="s">
        <v>16708</v>
      </c>
      <c r="D879" s="25" t="s">
        <v>166</v>
      </c>
      <c r="E879" s="34" t="s">
        <v>16709</v>
      </c>
      <c r="F879" s="32">
        <v>2</v>
      </c>
      <c r="G879" s="25" t="s">
        <v>16710</v>
      </c>
      <c r="H879" s="25" t="s">
        <v>166</v>
      </c>
      <c r="I879" s="25" t="s">
        <v>16711</v>
      </c>
      <c r="J879" s="25" t="s">
        <v>16712</v>
      </c>
      <c r="K879" s="25" t="s">
        <v>207</v>
      </c>
      <c r="L879" s="25" t="s">
        <v>208</v>
      </c>
      <c r="M879" s="25" t="s">
        <v>209</v>
      </c>
      <c r="N879" s="25" t="s">
        <v>269</v>
      </c>
      <c r="O879" s="25" t="s">
        <v>166</v>
      </c>
      <c r="P879" s="25" t="s">
        <v>16713</v>
      </c>
      <c r="Q879" s="25" t="s">
        <v>166</v>
      </c>
      <c r="R879" s="25" t="s">
        <v>177</v>
      </c>
      <c r="S879" s="25" t="s">
        <v>178</v>
      </c>
      <c r="T879" s="25" t="s">
        <v>179</v>
      </c>
      <c r="U879" s="25" t="s">
        <v>16714</v>
      </c>
      <c r="V879" s="25" t="s">
        <v>16715</v>
      </c>
      <c r="W879" s="32" t="s">
        <v>166</v>
      </c>
      <c r="X879" s="25" t="s">
        <v>16716</v>
      </c>
      <c r="Y879" s="25" t="s">
        <v>16717</v>
      </c>
      <c r="Z879" s="25" t="s">
        <v>166</v>
      </c>
      <c r="AA879" s="25" t="s">
        <v>166</v>
      </c>
      <c r="AB879" s="25" t="s">
        <v>166</v>
      </c>
      <c r="AC879" s="25" t="s">
        <v>166</v>
      </c>
      <c r="AD879" s="25" t="s">
        <v>166</v>
      </c>
      <c r="AE879" s="25" t="s">
        <v>166</v>
      </c>
      <c r="AF879" s="25" t="s">
        <v>166</v>
      </c>
      <c r="AG879" s="25" t="s">
        <v>166</v>
      </c>
      <c r="AH879" s="32">
        <v>2</v>
      </c>
      <c r="AI879" s="4">
        <f>HYPERLINK("https://my.pitchbook.com/?d=175345-12T","175345-12T")</f>
      </c>
      <c r="AJ879" s="30" t="s">
        <v>166</v>
      </c>
      <c r="AK879" s="30">
        <v>44375</v>
      </c>
      <c r="AL879" s="29">
        <v>0.15</v>
      </c>
      <c r="AM879" s="25" t="s">
        <v>185</v>
      </c>
      <c r="AN879" s="29" t="s">
        <v>166</v>
      </c>
      <c r="AO879" s="29" t="s">
        <v>166</v>
      </c>
      <c r="AP879" s="25" t="s">
        <v>166</v>
      </c>
      <c r="AQ879" s="32" t="s">
        <v>166</v>
      </c>
      <c r="AR879" s="32" t="s">
        <v>166</v>
      </c>
      <c r="AS879" s="28" t="s">
        <v>166</v>
      </c>
      <c r="AT879" s="29">
        <v>0.2</v>
      </c>
      <c r="AU879" s="32" t="s">
        <v>186</v>
      </c>
      <c r="AV879" s="32" t="s">
        <v>166</v>
      </c>
      <c r="AW879" s="29" t="s">
        <v>166</v>
      </c>
      <c r="AX879" s="32" t="s">
        <v>166</v>
      </c>
      <c r="AY879" s="25" t="s">
        <v>217</v>
      </c>
      <c r="AZ879" s="25" t="s">
        <v>217</v>
      </c>
      <c r="BA879" s="25" t="s">
        <v>166</v>
      </c>
      <c r="BB879" s="32" t="s">
        <v>166</v>
      </c>
      <c r="BC879" s="25" t="s">
        <v>179</v>
      </c>
      <c r="BD879" s="25" t="s">
        <v>16718</v>
      </c>
      <c r="BE879" s="25" t="s">
        <v>189</v>
      </c>
      <c r="BF879" s="29">
        <v>0.15</v>
      </c>
      <c r="BG879" s="25" t="s">
        <v>190</v>
      </c>
      <c r="BH879" s="25" t="s">
        <v>166</v>
      </c>
      <c r="BI879" s="25" t="s">
        <v>166</v>
      </c>
      <c r="BJ879" s="29" t="s">
        <v>166</v>
      </c>
      <c r="BK879" s="29" t="s">
        <v>166</v>
      </c>
      <c r="BL879" s="25" t="s">
        <v>191</v>
      </c>
      <c r="BM879" s="25" t="s">
        <v>178</v>
      </c>
      <c r="BN879" s="25" t="s">
        <v>177</v>
      </c>
      <c r="BO879" s="33" t="s">
        <v>166</v>
      </c>
      <c r="BP879" s="25" t="s">
        <v>16719</v>
      </c>
      <c r="BQ879" s="32">
        <v>2</v>
      </c>
      <c r="BR879" s="25" t="s">
        <v>166</v>
      </c>
      <c r="BS879" s="32" t="s">
        <v>166</v>
      </c>
      <c r="BT879" s="25" t="s">
        <v>166</v>
      </c>
      <c r="BU879" s="25" t="s">
        <v>166</v>
      </c>
      <c r="BV879" s="25" t="s">
        <v>166</v>
      </c>
      <c r="BW879" s="25" t="s">
        <v>166</v>
      </c>
      <c r="BX879" s="25" t="s">
        <v>166</v>
      </c>
      <c r="BY879" s="25" t="s">
        <v>166</v>
      </c>
      <c r="BZ879" s="25" t="s">
        <v>166</v>
      </c>
      <c r="CA879" s="25" t="s">
        <v>166</v>
      </c>
      <c r="CB879" s="25" t="s">
        <v>166</v>
      </c>
      <c r="CC879" s="25" t="s">
        <v>166</v>
      </c>
      <c r="CD879" s="25" t="s">
        <v>166</v>
      </c>
      <c r="CE879" s="29" t="s">
        <v>166</v>
      </c>
      <c r="CF879" s="27" t="s">
        <v>166</v>
      </c>
      <c r="CG879" s="28" t="s">
        <v>166</v>
      </c>
      <c r="CH879" s="27" t="s">
        <v>166</v>
      </c>
      <c r="CI879" s="27" t="s">
        <v>166</v>
      </c>
      <c r="CJ879" s="27" t="s">
        <v>166</v>
      </c>
      <c r="CK879" s="27" t="s">
        <v>166</v>
      </c>
      <c r="CL879" s="27" t="s">
        <v>166</v>
      </c>
      <c r="CM879" s="31" t="s">
        <v>166</v>
      </c>
      <c r="CN879" s="27" t="s">
        <v>166</v>
      </c>
      <c r="CO879" s="27" t="s">
        <v>166</v>
      </c>
      <c r="CP879" s="27" t="s">
        <v>166</v>
      </c>
      <c r="CQ879" s="27" t="s">
        <v>166</v>
      </c>
      <c r="CR879" s="27" t="s">
        <v>166</v>
      </c>
      <c r="CS879" s="27" t="s">
        <v>166</v>
      </c>
      <c r="CT879" s="27" t="s">
        <v>166</v>
      </c>
      <c r="CU879" s="27" t="s">
        <v>166</v>
      </c>
      <c r="CV879" s="27" t="s">
        <v>166</v>
      </c>
      <c r="CW879" s="27" t="s">
        <v>166</v>
      </c>
      <c r="CX879" s="27" t="s">
        <v>166</v>
      </c>
      <c r="CY879" s="27" t="s">
        <v>166</v>
      </c>
      <c r="CZ879" s="27" t="s">
        <v>166</v>
      </c>
      <c r="DA879" s="27" t="s">
        <v>166</v>
      </c>
      <c r="DB879" s="27" t="s">
        <v>166</v>
      </c>
      <c r="DC879" s="27" t="s">
        <v>166</v>
      </c>
      <c r="DD879" s="27" t="s">
        <v>166</v>
      </c>
      <c r="DE879" s="28" t="s">
        <v>166</v>
      </c>
      <c r="DF879" s="33">
        <v>5</v>
      </c>
      <c r="DG879" s="25" t="s">
        <v>4224</v>
      </c>
      <c r="DH879" s="25" t="s">
        <v>193</v>
      </c>
      <c r="DI879" s="25" t="s">
        <v>194</v>
      </c>
      <c r="DJ879" s="25" t="s">
        <v>4225</v>
      </c>
      <c r="DK879" s="25" t="s">
        <v>4226</v>
      </c>
      <c r="DL879" s="32" t="s">
        <v>16720</v>
      </c>
      <c r="DM879" s="25" t="s">
        <v>198</v>
      </c>
      <c r="DN879" s="24" t="s">
        <v>16721</v>
      </c>
      <c r="DO879" s="31">
        <v>2020</v>
      </c>
      <c r="DP879" s="25" t="s">
        <v>166</v>
      </c>
      <c r="DQ879" s="25" t="s">
        <v>166</v>
      </c>
      <c r="DR879" s="29" t="s">
        <v>166</v>
      </c>
      <c r="DS879" s="27" t="s">
        <v>166</v>
      </c>
      <c r="DT879" s="30" t="s">
        <v>166</v>
      </c>
      <c r="DU879" s="25" t="s">
        <v>166</v>
      </c>
      <c r="DV879" s="29" t="s">
        <v>166</v>
      </c>
      <c r="DW879" s="29" t="s">
        <v>166</v>
      </c>
      <c r="DX879" s="27" t="s">
        <v>166</v>
      </c>
      <c r="DY879" s="27" t="s">
        <v>166</v>
      </c>
      <c r="DZ879" s="28" t="s">
        <v>166</v>
      </c>
      <c r="EA879" s="27" t="s">
        <v>166</v>
      </c>
      <c r="EB879" s="27" t="s">
        <v>166</v>
      </c>
      <c r="EC879" s="27" t="s">
        <v>166</v>
      </c>
      <c r="ED879" s="28" t="s">
        <v>166</v>
      </c>
      <c r="EE879" s="28" t="s">
        <v>166</v>
      </c>
      <c r="EF879" s="28" t="s">
        <v>166</v>
      </c>
      <c r="EG879" s="28" t="s">
        <v>166</v>
      </c>
      <c r="EH879" s="27" t="s">
        <v>166</v>
      </c>
      <c r="EI879" s="27" t="s">
        <v>166</v>
      </c>
      <c r="EJ879" s="27" t="s">
        <v>166</v>
      </c>
      <c r="EK879" s="27" t="s">
        <v>166</v>
      </c>
      <c r="EL879" s="27" t="s">
        <v>166</v>
      </c>
      <c r="EM879" s="27" t="s">
        <v>166</v>
      </c>
      <c r="EN879" s="27" t="s">
        <v>166</v>
      </c>
      <c r="EO879" s="27" t="s">
        <v>166</v>
      </c>
      <c r="EP879" s="27" t="s">
        <v>166</v>
      </c>
      <c r="EQ879" s="27" t="s">
        <v>166</v>
      </c>
      <c r="ER879" s="27" t="s">
        <v>166</v>
      </c>
      <c r="ES879" s="27" t="s">
        <v>166</v>
      </c>
      <c r="ET879" s="25" t="s">
        <v>166</v>
      </c>
      <c r="EU879" s="27" t="s">
        <v>166</v>
      </c>
      <c r="EV879" s="27" t="s">
        <v>166</v>
      </c>
      <c r="EW879" s="27" t="s">
        <v>166</v>
      </c>
      <c r="EX879" s="25" t="s">
        <v>190</v>
      </c>
      <c r="EY879" s="25" t="s">
        <v>166</v>
      </c>
      <c r="EZ879" s="27" t="s">
        <v>166</v>
      </c>
      <c r="FA879" s="26" t="s">
        <v>166</v>
      </c>
      <c r="FB879" s="26" t="s">
        <v>166</v>
      </c>
      <c r="FC879" s="26" t="s">
        <v>166</v>
      </c>
      <c r="FD879" s="26" t="s">
        <v>166</v>
      </c>
      <c r="FE879" s="26" t="s">
        <v>166</v>
      </c>
      <c r="FF879" s="26" t="s">
        <v>166</v>
      </c>
      <c r="FG879" s="25" t="s">
        <v>166</v>
      </c>
      <c r="FH879" s="4">
        <f>HYPERLINK("https://my.pitchbook.com?c=175345-12T","View Company Online")</f>
      </c>
    </row>
    <row r="880">
      <c r="A880" s="14" t="s">
        <v>16722</v>
      </c>
      <c r="B880" s="14" t="s">
        <v>16723</v>
      </c>
      <c r="C880" s="14" t="s">
        <v>16724</v>
      </c>
      <c r="D880" s="14" t="s">
        <v>166</v>
      </c>
      <c r="E880" s="23" t="s">
        <v>16725</v>
      </c>
      <c r="F880" s="21">
        <v>3</v>
      </c>
      <c r="G880" s="14" t="s">
        <v>16726</v>
      </c>
      <c r="H880" s="14" t="s">
        <v>166</v>
      </c>
      <c r="I880" s="14" t="s">
        <v>16727</v>
      </c>
      <c r="J880" s="14" t="s">
        <v>16728</v>
      </c>
      <c r="K880" s="14" t="s">
        <v>1455</v>
      </c>
      <c r="L880" s="14" t="s">
        <v>4659</v>
      </c>
      <c r="M880" s="14" t="s">
        <v>4660</v>
      </c>
      <c r="N880" s="14" t="s">
        <v>16729</v>
      </c>
      <c r="O880" s="14" t="s">
        <v>16730</v>
      </c>
      <c r="P880" s="14" t="s">
        <v>16731</v>
      </c>
      <c r="Q880" s="14" t="s">
        <v>166</v>
      </c>
      <c r="R880" s="14" t="s">
        <v>177</v>
      </c>
      <c r="S880" s="14" t="s">
        <v>178</v>
      </c>
      <c r="T880" s="14" t="s">
        <v>179</v>
      </c>
      <c r="U880" s="14" t="s">
        <v>16732</v>
      </c>
      <c r="V880" s="14" t="s">
        <v>16733</v>
      </c>
      <c r="W880" s="21" t="s">
        <v>166</v>
      </c>
      <c r="X880" s="14" t="s">
        <v>16734</v>
      </c>
      <c r="Y880" s="14" t="s">
        <v>16735</v>
      </c>
      <c r="Z880" s="14" t="s">
        <v>166</v>
      </c>
      <c r="AA880" s="14" t="s">
        <v>166</v>
      </c>
      <c r="AB880" s="14" t="s">
        <v>166</v>
      </c>
      <c r="AC880" s="14" t="s">
        <v>166</v>
      </c>
      <c r="AD880" s="14" t="s">
        <v>166</v>
      </c>
      <c r="AE880" s="14" t="s">
        <v>166</v>
      </c>
      <c r="AF880" s="14" t="s">
        <v>166</v>
      </c>
      <c r="AG880" s="14" t="s">
        <v>166</v>
      </c>
      <c r="AH880" s="21">
        <v>1</v>
      </c>
      <c r="AI880" s="3">
        <f>HYPERLINK("https://my.pitchbook.com/?d=189508-78T","189508-78T")</f>
      </c>
      <c r="AJ880" s="19" t="s">
        <v>166</v>
      </c>
      <c r="AK880" s="19">
        <v>44622</v>
      </c>
      <c r="AL880" s="18">
        <v>1.85</v>
      </c>
      <c r="AM880" s="14" t="s">
        <v>185</v>
      </c>
      <c r="AN880" s="18" t="s">
        <v>166</v>
      </c>
      <c r="AO880" s="18" t="s">
        <v>166</v>
      </c>
      <c r="AP880" s="14" t="s">
        <v>166</v>
      </c>
      <c r="AQ880" s="21" t="s">
        <v>166</v>
      </c>
      <c r="AR880" s="21" t="s">
        <v>166</v>
      </c>
      <c r="AS880" s="17" t="s">
        <v>166</v>
      </c>
      <c r="AT880" s="18">
        <v>1.85</v>
      </c>
      <c r="AU880" s="21" t="s">
        <v>186</v>
      </c>
      <c r="AV880" s="21" t="s">
        <v>166</v>
      </c>
      <c r="AW880" s="18" t="s">
        <v>166</v>
      </c>
      <c r="AX880" s="21" t="s">
        <v>166</v>
      </c>
      <c r="AY880" s="14" t="s">
        <v>217</v>
      </c>
      <c r="AZ880" s="14" t="s">
        <v>217</v>
      </c>
      <c r="BA880" s="14" t="s">
        <v>166</v>
      </c>
      <c r="BB880" s="21" t="s">
        <v>166</v>
      </c>
      <c r="BC880" s="14" t="s">
        <v>179</v>
      </c>
      <c r="BD880" s="14" t="s">
        <v>16736</v>
      </c>
      <c r="BE880" s="14" t="s">
        <v>189</v>
      </c>
      <c r="BF880" s="18">
        <v>1.85</v>
      </c>
      <c r="BG880" s="14" t="s">
        <v>190</v>
      </c>
      <c r="BH880" s="14" t="s">
        <v>166</v>
      </c>
      <c r="BI880" s="14" t="s">
        <v>166</v>
      </c>
      <c r="BJ880" s="18" t="s">
        <v>166</v>
      </c>
      <c r="BK880" s="18" t="s">
        <v>166</v>
      </c>
      <c r="BL880" s="14" t="s">
        <v>191</v>
      </c>
      <c r="BM880" s="14" t="s">
        <v>178</v>
      </c>
      <c r="BN880" s="14" t="s">
        <v>177</v>
      </c>
      <c r="BO880" s="22" t="s">
        <v>166</v>
      </c>
      <c r="BP880" s="14" t="s">
        <v>16737</v>
      </c>
      <c r="BQ880" s="21">
        <v>3</v>
      </c>
      <c r="BR880" s="14" t="s">
        <v>166</v>
      </c>
      <c r="BS880" s="21" t="s">
        <v>166</v>
      </c>
      <c r="BT880" s="14" t="s">
        <v>16738</v>
      </c>
      <c r="BU880" s="14" t="s">
        <v>166</v>
      </c>
      <c r="BV880" s="14" t="s">
        <v>7499</v>
      </c>
      <c r="BW880" s="14" t="s">
        <v>166</v>
      </c>
      <c r="BX880" s="14" t="s">
        <v>166</v>
      </c>
      <c r="BY880" s="14" t="s">
        <v>166</v>
      </c>
      <c r="BZ880" s="14" t="s">
        <v>166</v>
      </c>
      <c r="CA880" s="14" t="s">
        <v>166</v>
      </c>
      <c r="CB880" s="14" t="s">
        <v>166</v>
      </c>
      <c r="CC880" s="14" t="s">
        <v>166</v>
      </c>
      <c r="CD880" s="14" t="s">
        <v>166</v>
      </c>
      <c r="CE880" s="18" t="s">
        <v>166</v>
      </c>
      <c r="CF880" s="16" t="s">
        <v>166</v>
      </c>
      <c r="CG880" s="17" t="s">
        <v>166</v>
      </c>
      <c r="CH880" s="16" t="s">
        <v>166</v>
      </c>
      <c r="CI880" s="16" t="s">
        <v>166</v>
      </c>
      <c r="CJ880" s="16" t="s">
        <v>166</v>
      </c>
      <c r="CK880" s="16" t="s">
        <v>166</v>
      </c>
      <c r="CL880" s="16" t="s">
        <v>166</v>
      </c>
      <c r="CM880" s="20" t="s">
        <v>166</v>
      </c>
      <c r="CN880" s="16" t="s">
        <v>166</v>
      </c>
      <c r="CO880" s="16" t="s">
        <v>166</v>
      </c>
      <c r="CP880" s="16" t="s">
        <v>166</v>
      </c>
      <c r="CQ880" s="16" t="s">
        <v>166</v>
      </c>
      <c r="CR880" s="16" t="s">
        <v>166</v>
      </c>
      <c r="CS880" s="16" t="s">
        <v>166</v>
      </c>
      <c r="CT880" s="16" t="s">
        <v>166</v>
      </c>
      <c r="CU880" s="16" t="s">
        <v>166</v>
      </c>
      <c r="CV880" s="16" t="s">
        <v>166</v>
      </c>
      <c r="CW880" s="16" t="s">
        <v>166</v>
      </c>
      <c r="CX880" s="16" t="s">
        <v>166</v>
      </c>
      <c r="CY880" s="16" t="s">
        <v>166</v>
      </c>
      <c r="CZ880" s="16" t="s">
        <v>166</v>
      </c>
      <c r="DA880" s="16" t="s">
        <v>166</v>
      </c>
      <c r="DB880" s="16" t="s">
        <v>166</v>
      </c>
      <c r="DC880" s="16" t="s">
        <v>166</v>
      </c>
      <c r="DD880" s="16" t="s">
        <v>166</v>
      </c>
      <c r="DE880" s="17" t="s">
        <v>166</v>
      </c>
      <c r="DF880" s="22">
        <v>14</v>
      </c>
      <c r="DG880" s="14" t="s">
        <v>3157</v>
      </c>
      <c r="DH880" s="14" t="s">
        <v>193</v>
      </c>
      <c r="DI880" s="14" t="s">
        <v>194</v>
      </c>
      <c r="DJ880" s="14" t="s">
        <v>3158</v>
      </c>
      <c r="DK880" s="14" t="s">
        <v>257</v>
      </c>
      <c r="DL880" s="21" t="s">
        <v>16739</v>
      </c>
      <c r="DM880" s="14" t="s">
        <v>198</v>
      </c>
      <c r="DN880" s="13" t="s">
        <v>16740</v>
      </c>
      <c r="DO880" s="20">
        <v>2019</v>
      </c>
      <c r="DP880" s="14" t="s">
        <v>166</v>
      </c>
      <c r="DQ880" s="14" t="s">
        <v>166</v>
      </c>
      <c r="DR880" s="18" t="s">
        <v>166</v>
      </c>
      <c r="DS880" s="16" t="s">
        <v>166</v>
      </c>
      <c r="DT880" s="19" t="s">
        <v>166</v>
      </c>
      <c r="DU880" s="14" t="s">
        <v>166</v>
      </c>
      <c r="DV880" s="18" t="s">
        <v>166</v>
      </c>
      <c r="DW880" s="18" t="s">
        <v>166</v>
      </c>
      <c r="DX880" s="16" t="s">
        <v>166</v>
      </c>
      <c r="DY880" s="16" t="s">
        <v>166</v>
      </c>
      <c r="DZ880" s="17" t="s">
        <v>166</v>
      </c>
      <c r="EA880" s="16" t="s">
        <v>166</v>
      </c>
      <c r="EB880" s="16" t="s">
        <v>166</v>
      </c>
      <c r="EC880" s="16" t="s">
        <v>166</v>
      </c>
      <c r="ED880" s="17" t="s">
        <v>166</v>
      </c>
      <c r="EE880" s="17" t="s">
        <v>166</v>
      </c>
      <c r="EF880" s="17" t="s">
        <v>166</v>
      </c>
      <c r="EG880" s="17" t="s">
        <v>166</v>
      </c>
      <c r="EH880" s="16" t="s">
        <v>166</v>
      </c>
      <c r="EI880" s="16" t="s">
        <v>166</v>
      </c>
      <c r="EJ880" s="16" t="s">
        <v>166</v>
      </c>
      <c r="EK880" s="16" t="s">
        <v>166</v>
      </c>
      <c r="EL880" s="16" t="s">
        <v>166</v>
      </c>
      <c r="EM880" s="16" t="s">
        <v>166</v>
      </c>
      <c r="EN880" s="16" t="s">
        <v>166</v>
      </c>
      <c r="EO880" s="16" t="s">
        <v>166</v>
      </c>
      <c r="EP880" s="16" t="s">
        <v>166</v>
      </c>
      <c r="EQ880" s="16" t="s">
        <v>166</v>
      </c>
      <c r="ER880" s="16" t="s">
        <v>166</v>
      </c>
      <c r="ES880" s="16" t="s">
        <v>166</v>
      </c>
      <c r="ET880" s="14" t="s">
        <v>166</v>
      </c>
      <c r="EU880" s="16" t="s">
        <v>166</v>
      </c>
      <c r="EV880" s="16" t="s">
        <v>166</v>
      </c>
      <c r="EW880" s="16" t="s">
        <v>166</v>
      </c>
      <c r="EX880" s="14" t="s">
        <v>190</v>
      </c>
      <c r="EY880" s="14" t="s">
        <v>166</v>
      </c>
      <c r="EZ880" s="16" t="s">
        <v>166</v>
      </c>
      <c r="FA880" s="15" t="s">
        <v>166</v>
      </c>
      <c r="FB880" s="15" t="s">
        <v>166</v>
      </c>
      <c r="FC880" s="15" t="s">
        <v>166</v>
      </c>
      <c r="FD880" s="15" t="s">
        <v>166</v>
      </c>
      <c r="FE880" s="15" t="s">
        <v>166</v>
      </c>
      <c r="FF880" s="15" t="s">
        <v>166</v>
      </c>
      <c r="FG880" s="14" t="s">
        <v>166</v>
      </c>
      <c r="FH880" s="3">
        <f>HYPERLINK("https://my.pitchbook.com?c=189508-78T","View Company Online")</f>
      </c>
    </row>
    <row r="881">
      <c r="A881" s="25" t="s">
        <v>16741</v>
      </c>
      <c r="B881" s="25" t="s">
        <v>16742</v>
      </c>
      <c r="C881" s="25" t="s">
        <v>16743</v>
      </c>
      <c r="D881" s="25" t="s">
        <v>166</v>
      </c>
      <c r="E881" s="34" t="s">
        <v>16744</v>
      </c>
      <c r="F881" s="32">
        <v>2</v>
      </c>
      <c r="G881" s="25" t="s">
        <v>16745</v>
      </c>
      <c r="H881" s="25" t="s">
        <v>166</v>
      </c>
      <c r="I881" s="25" t="s">
        <v>16746</v>
      </c>
      <c r="J881" s="25" t="s">
        <v>16747</v>
      </c>
      <c r="K881" s="25" t="s">
        <v>1455</v>
      </c>
      <c r="L881" s="25" t="s">
        <v>1456</v>
      </c>
      <c r="M881" s="25" t="s">
        <v>1457</v>
      </c>
      <c r="N881" s="25" t="s">
        <v>1841</v>
      </c>
      <c r="O881" s="25" t="s">
        <v>3447</v>
      </c>
      <c r="P881" s="25" t="s">
        <v>16748</v>
      </c>
      <c r="Q881" s="25" t="s">
        <v>166</v>
      </c>
      <c r="R881" s="25" t="s">
        <v>177</v>
      </c>
      <c r="S881" s="25" t="s">
        <v>785</v>
      </c>
      <c r="T881" s="25" t="s">
        <v>179</v>
      </c>
      <c r="U881" s="25" t="s">
        <v>16749</v>
      </c>
      <c r="V881" s="25" t="s">
        <v>16750</v>
      </c>
      <c r="W881" s="32" t="s">
        <v>166</v>
      </c>
      <c r="X881" s="25" t="s">
        <v>16751</v>
      </c>
      <c r="Y881" s="25" t="s">
        <v>16752</v>
      </c>
      <c r="Z881" s="25" t="s">
        <v>166</v>
      </c>
      <c r="AA881" s="25" t="s">
        <v>166</v>
      </c>
      <c r="AB881" s="25" t="s">
        <v>166</v>
      </c>
      <c r="AC881" s="25" t="s">
        <v>166</v>
      </c>
      <c r="AD881" s="25" t="s">
        <v>166</v>
      </c>
      <c r="AE881" s="25" t="s">
        <v>166</v>
      </c>
      <c r="AF881" s="25" t="s">
        <v>166</v>
      </c>
      <c r="AG881" s="25" t="s">
        <v>166</v>
      </c>
      <c r="AH881" s="32">
        <v>1</v>
      </c>
      <c r="AI881" s="4">
        <f>HYPERLINK("https://my.pitchbook.com/?d=211412-26T","211412-26T")</f>
      </c>
      <c r="AJ881" s="30" t="s">
        <v>166</v>
      </c>
      <c r="AK881" s="30">
        <v>44958</v>
      </c>
      <c r="AL881" s="29">
        <v>0.75</v>
      </c>
      <c r="AM881" s="25" t="s">
        <v>185</v>
      </c>
      <c r="AN881" s="29" t="s">
        <v>166</v>
      </c>
      <c r="AO881" s="29" t="s">
        <v>166</v>
      </c>
      <c r="AP881" s="25" t="s">
        <v>166</v>
      </c>
      <c r="AQ881" s="32" t="s">
        <v>166</v>
      </c>
      <c r="AR881" s="32" t="s">
        <v>166</v>
      </c>
      <c r="AS881" s="28" t="s">
        <v>166</v>
      </c>
      <c r="AT881" s="29">
        <v>0.75</v>
      </c>
      <c r="AU881" s="32" t="s">
        <v>186</v>
      </c>
      <c r="AV881" s="32" t="s">
        <v>166</v>
      </c>
      <c r="AW881" s="29" t="s">
        <v>166</v>
      </c>
      <c r="AX881" s="32" t="s">
        <v>166</v>
      </c>
      <c r="AY881" s="25" t="s">
        <v>217</v>
      </c>
      <c r="AZ881" s="25" t="s">
        <v>217</v>
      </c>
      <c r="BA881" s="25" t="s">
        <v>166</v>
      </c>
      <c r="BB881" s="32" t="s">
        <v>166</v>
      </c>
      <c r="BC881" s="25" t="s">
        <v>179</v>
      </c>
      <c r="BD881" s="25" t="s">
        <v>16747</v>
      </c>
      <c r="BE881" s="25" t="s">
        <v>189</v>
      </c>
      <c r="BF881" s="29">
        <v>0.75</v>
      </c>
      <c r="BG881" s="25" t="s">
        <v>190</v>
      </c>
      <c r="BH881" s="25" t="s">
        <v>166</v>
      </c>
      <c r="BI881" s="25" t="s">
        <v>166</v>
      </c>
      <c r="BJ881" s="29" t="s">
        <v>166</v>
      </c>
      <c r="BK881" s="29" t="s">
        <v>166</v>
      </c>
      <c r="BL881" s="25" t="s">
        <v>191</v>
      </c>
      <c r="BM881" s="25" t="s">
        <v>785</v>
      </c>
      <c r="BN881" s="25" t="s">
        <v>177</v>
      </c>
      <c r="BO881" s="33" t="s">
        <v>166</v>
      </c>
      <c r="BP881" s="25" t="s">
        <v>16744</v>
      </c>
      <c r="BQ881" s="32">
        <v>2</v>
      </c>
      <c r="BR881" s="25" t="s">
        <v>166</v>
      </c>
      <c r="BS881" s="32" t="s">
        <v>166</v>
      </c>
      <c r="BT881" s="25" t="s">
        <v>166</v>
      </c>
      <c r="BU881" s="25" t="s">
        <v>166</v>
      </c>
      <c r="BV881" s="25" t="s">
        <v>166</v>
      </c>
      <c r="BW881" s="25" t="s">
        <v>166</v>
      </c>
      <c r="BX881" s="25" t="s">
        <v>166</v>
      </c>
      <c r="BY881" s="25" t="s">
        <v>166</v>
      </c>
      <c r="BZ881" s="25" t="s">
        <v>166</v>
      </c>
      <c r="CA881" s="25" t="s">
        <v>166</v>
      </c>
      <c r="CB881" s="25" t="s">
        <v>166</v>
      </c>
      <c r="CC881" s="25" t="s">
        <v>166</v>
      </c>
      <c r="CD881" s="25" t="s">
        <v>166</v>
      </c>
      <c r="CE881" s="29" t="s">
        <v>166</v>
      </c>
      <c r="CF881" s="27" t="s">
        <v>166</v>
      </c>
      <c r="CG881" s="28" t="s">
        <v>166</v>
      </c>
      <c r="CH881" s="27" t="s">
        <v>166</v>
      </c>
      <c r="CI881" s="27" t="s">
        <v>166</v>
      </c>
      <c r="CJ881" s="27" t="s">
        <v>166</v>
      </c>
      <c r="CK881" s="27" t="s">
        <v>166</v>
      </c>
      <c r="CL881" s="27" t="s">
        <v>166</v>
      </c>
      <c r="CM881" s="31" t="s">
        <v>166</v>
      </c>
      <c r="CN881" s="27" t="s">
        <v>166</v>
      </c>
      <c r="CO881" s="27" t="s">
        <v>166</v>
      </c>
      <c r="CP881" s="27" t="s">
        <v>166</v>
      </c>
      <c r="CQ881" s="27" t="s">
        <v>166</v>
      </c>
      <c r="CR881" s="27" t="s">
        <v>166</v>
      </c>
      <c r="CS881" s="27" t="s">
        <v>166</v>
      </c>
      <c r="CT881" s="27" t="s">
        <v>166</v>
      </c>
      <c r="CU881" s="27" t="s">
        <v>166</v>
      </c>
      <c r="CV881" s="27" t="s">
        <v>166</v>
      </c>
      <c r="CW881" s="27" t="s">
        <v>166</v>
      </c>
      <c r="CX881" s="27" t="s">
        <v>166</v>
      </c>
      <c r="CY881" s="27" t="s">
        <v>166</v>
      </c>
      <c r="CZ881" s="27" t="s">
        <v>166</v>
      </c>
      <c r="DA881" s="27" t="s">
        <v>166</v>
      </c>
      <c r="DB881" s="27" t="s">
        <v>166</v>
      </c>
      <c r="DC881" s="27" t="s">
        <v>166</v>
      </c>
      <c r="DD881" s="27" t="s">
        <v>166</v>
      </c>
      <c r="DE881" s="28" t="s">
        <v>166</v>
      </c>
      <c r="DF881" s="33">
        <v>10</v>
      </c>
      <c r="DG881" s="25" t="s">
        <v>16753</v>
      </c>
      <c r="DH881" s="25" t="s">
        <v>193</v>
      </c>
      <c r="DI881" s="25" t="s">
        <v>194</v>
      </c>
      <c r="DJ881" s="25" t="s">
        <v>16754</v>
      </c>
      <c r="DK881" s="25" t="s">
        <v>2731</v>
      </c>
      <c r="DL881" s="32" t="s">
        <v>16755</v>
      </c>
      <c r="DM881" s="25" t="s">
        <v>198</v>
      </c>
      <c r="DN881" s="24" t="s">
        <v>16756</v>
      </c>
      <c r="DO881" s="31">
        <v>2021</v>
      </c>
      <c r="DP881" s="25" t="s">
        <v>166</v>
      </c>
      <c r="DQ881" s="25" t="s">
        <v>166</v>
      </c>
      <c r="DR881" s="29" t="s">
        <v>166</v>
      </c>
      <c r="DS881" s="27" t="s">
        <v>166</v>
      </c>
      <c r="DT881" s="30" t="s">
        <v>166</v>
      </c>
      <c r="DU881" s="25" t="s">
        <v>166</v>
      </c>
      <c r="DV881" s="29" t="s">
        <v>166</v>
      </c>
      <c r="DW881" s="29" t="s">
        <v>166</v>
      </c>
      <c r="DX881" s="27" t="s">
        <v>166</v>
      </c>
      <c r="DY881" s="27" t="s">
        <v>166</v>
      </c>
      <c r="DZ881" s="28" t="s">
        <v>166</v>
      </c>
      <c r="EA881" s="27" t="s">
        <v>166</v>
      </c>
      <c r="EB881" s="27" t="s">
        <v>166</v>
      </c>
      <c r="EC881" s="27" t="s">
        <v>166</v>
      </c>
      <c r="ED881" s="28" t="s">
        <v>166</v>
      </c>
      <c r="EE881" s="28" t="s">
        <v>166</v>
      </c>
      <c r="EF881" s="28" t="s">
        <v>166</v>
      </c>
      <c r="EG881" s="28" t="s">
        <v>166</v>
      </c>
      <c r="EH881" s="27" t="s">
        <v>166</v>
      </c>
      <c r="EI881" s="27" t="s">
        <v>166</v>
      </c>
      <c r="EJ881" s="27" t="s">
        <v>166</v>
      </c>
      <c r="EK881" s="27" t="s">
        <v>166</v>
      </c>
      <c r="EL881" s="27" t="s">
        <v>166</v>
      </c>
      <c r="EM881" s="27" t="s">
        <v>166</v>
      </c>
      <c r="EN881" s="27" t="s">
        <v>166</v>
      </c>
      <c r="EO881" s="27" t="s">
        <v>166</v>
      </c>
      <c r="EP881" s="27" t="s">
        <v>166</v>
      </c>
      <c r="EQ881" s="27" t="s">
        <v>166</v>
      </c>
      <c r="ER881" s="27" t="s">
        <v>166</v>
      </c>
      <c r="ES881" s="27" t="s">
        <v>166</v>
      </c>
      <c r="ET881" s="25" t="s">
        <v>166</v>
      </c>
      <c r="EU881" s="27" t="s">
        <v>166</v>
      </c>
      <c r="EV881" s="27" t="s">
        <v>166</v>
      </c>
      <c r="EW881" s="27" t="s">
        <v>166</v>
      </c>
      <c r="EX881" s="25" t="s">
        <v>190</v>
      </c>
      <c r="EY881" s="25" t="s">
        <v>166</v>
      </c>
      <c r="EZ881" s="27" t="s">
        <v>166</v>
      </c>
      <c r="FA881" s="26" t="s">
        <v>166</v>
      </c>
      <c r="FB881" s="26" t="s">
        <v>166</v>
      </c>
      <c r="FC881" s="26" t="s">
        <v>166</v>
      </c>
      <c r="FD881" s="26" t="s">
        <v>166</v>
      </c>
      <c r="FE881" s="26" t="s">
        <v>166</v>
      </c>
      <c r="FF881" s="26" t="s">
        <v>166</v>
      </c>
      <c r="FG881" s="25" t="s">
        <v>166</v>
      </c>
      <c r="FH881" s="4">
        <f>HYPERLINK("https://my.pitchbook.com?c=211412-26T","View Company Online")</f>
      </c>
    </row>
    <row r="882">
      <c r="A882" s="14" t="s">
        <v>16757</v>
      </c>
      <c r="B882" s="14" t="s">
        <v>16758</v>
      </c>
      <c r="C882" s="14" t="s">
        <v>16759</v>
      </c>
      <c r="D882" s="14" t="s">
        <v>166</v>
      </c>
      <c r="E882" s="23" t="s">
        <v>16760</v>
      </c>
      <c r="F882" s="21">
        <v>5</v>
      </c>
      <c r="G882" s="14" t="s">
        <v>16761</v>
      </c>
      <c r="H882" s="14" t="s">
        <v>166</v>
      </c>
      <c r="I882" s="14" t="s">
        <v>16762</v>
      </c>
      <c r="J882" s="14" t="s">
        <v>16763</v>
      </c>
      <c r="K882" s="14" t="s">
        <v>207</v>
      </c>
      <c r="L882" s="14" t="s">
        <v>208</v>
      </c>
      <c r="M882" s="14" t="s">
        <v>1766</v>
      </c>
      <c r="N882" s="14" t="s">
        <v>3782</v>
      </c>
      <c r="O882" s="14" t="s">
        <v>1035</v>
      </c>
      <c r="P882" s="14" t="s">
        <v>16764</v>
      </c>
      <c r="Q882" s="14" t="s">
        <v>166</v>
      </c>
      <c r="R882" s="14" t="s">
        <v>177</v>
      </c>
      <c r="S882" s="14" t="s">
        <v>178</v>
      </c>
      <c r="T882" s="14" t="s">
        <v>179</v>
      </c>
      <c r="U882" s="14" t="s">
        <v>16765</v>
      </c>
      <c r="V882" s="14" t="s">
        <v>16766</v>
      </c>
      <c r="W882" s="21" t="s">
        <v>16767</v>
      </c>
      <c r="X882" s="14" t="s">
        <v>16768</v>
      </c>
      <c r="Y882" s="14" t="s">
        <v>16769</v>
      </c>
      <c r="Z882" s="14" t="s">
        <v>166</v>
      </c>
      <c r="AA882" s="14" t="s">
        <v>166</v>
      </c>
      <c r="AB882" s="14" t="s">
        <v>166</v>
      </c>
      <c r="AC882" s="14" t="s">
        <v>166</v>
      </c>
      <c r="AD882" s="14" t="s">
        <v>166</v>
      </c>
      <c r="AE882" s="14" t="s">
        <v>166</v>
      </c>
      <c r="AF882" s="14" t="s">
        <v>166</v>
      </c>
      <c r="AG882" s="14" t="s">
        <v>166</v>
      </c>
      <c r="AH882" s="21">
        <v>1</v>
      </c>
      <c r="AI882" s="3">
        <f>HYPERLINK("https://my.pitchbook.com/?d=195758-92T","195758-92T")</f>
      </c>
      <c r="AJ882" s="19" t="s">
        <v>166</v>
      </c>
      <c r="AK882" s="19">
        <v>44197</v>
      </c>
      <c r="AL882" s="18">
        <v>1.3</v>
      </c>
      <c r="AM882" s="14" t="s">
        <v>185</v>
      </c>
      <c r="AN882" s="18" t="s">
        <v>166</v>
      </c>
      <c r="AO882" s="18" t="s">
        <v>166</v>
      </c>
      <c r="AP882" s="14" t="s">
        <v>166</v>
      </c>
      <c r="AQ882" s="21" t="s">
        <v>166</v>
      </c>
      <c r="AR882" s="21" t="s">
        <v>166</v>
      </c>
      <c r="AS882" s="17" t="s">
        <v>166</v>
      </c>
      <c r="AT882" s="18">
        <v>1.3</v>
      </c>
      <c r="AU882" s="21" t="s">
        <v>186</v>
      </c>
      <c r="AV882" s="21" t="s">
        <v>166</v>
      </c>
      <c r="AW882" s="18" t="s">
        <v>166</v>
      </c>
      <c r="AX882" s="21" t="s">
        <v>166</v>
      </c>
      <c r="AY882" s="14" t="s">
        <v>217</v>
      </c>
      <c r="AZ882" s="14" t="s">
        <v>217</v>
      </c>
      <c r="BA882" s="14" t="s">
        <v>166</v>
      </c>
      <c r="BB882" s="21" t="s">
        <v>166</v>
      </c>
      <c r="BC882" s="14" t="s">
        <v>179</v>
      </c>
      <c r="BD882" s="14" t="s">
        <v>16770</v>
      </c>
      <c r="BE882" s="14" t="s">
        <v>189</v>
      </c>
      <c r="BF882" s="18">
        <v>1.3</v>
      </c>
      <c r="BG882" s="14" t="s">
        <v>190</v>
      </c>
      <c r="BH882" s="14" t="s">
        <v>166</v>
      </c>
      <c r="BI882" s="14" t="s">
        <v>166</v>
      </c>
      <c r="BJ882" s="18" t="s">
        <v>166</v>
      </c>
      <c r="BK882" s="18" t="s">
        <v>166</v>
      </c>
      <c r="BL882" s="14" t="s">
        <v>191</v>
      </c>
      <c r="BM882" s="14" t="s">
        <v>178</v>
      </c>
      <c r="BN882" s="14" t="s">
        <v>177</v>
      </c>
      <c r="BO882" s="22" t="s">
        <v>166</v>
      </c>
      <c r="BP882" s="14" t="s">
        <v>16771</v>
      </c>
      <c r="BQ882" s="21">
        <v>5</v>
      </c>
      <c r="BR882" s="14" t="s">
        <v>166</v>
      </c>
      <c r="BS882" s="21" t="s">
        <v>166</v>
      </c>
      <c r="BT882" s="14" t="s">
        <v>166</v>
      </c>
      <c r="BU882" s="14" t="s">
        <v>166</v>
      </c>
      <c r="BV882" s="14" t="s">
        <v>16772</v>
      </c>
      <c r="BW882" s="14" t="s">
        <v>166</v>
      </c>
      <c r="BX882" s="14" t="s">
        <v>166</v>
      </c>
      <c r="BY882" s="14" t="s">
        <v>166</v>
      </c>
      <c r="BZ882" s="14" t="s">
        <v>166</v>
      </c>
      <c r="CA882" s="14" t="s">
        <v>166</v>
      </c>
      <c r="CB882" s="14" t="s">
        <v>166</v>
      </c>
      <c r="CC882" s="14" t="s">
        <v>166</v>
      </c>
      <c r="CD882" s="14" t="s">
        <v>166</v>
      </c>
      <c r="CE882" s="18" t="s">
        <v>166</v>
      </c>
      <c r="CF882" s="16" t="s">
        <v>166</v>
      </c>
      <c r="CG882" s="17" t="s">
        <v>166</v>
      </c>
      <c r="CH882" s="16" t="s">
        <v>166</v>
      </c>
      <c r="CI882" s="16" t="s">
        <v>166</v>
      </c>
      <c r="CJ882" s="16" t="s">
        <v>166</v>
      </c>
      <c r="CK882" s="16" t="s">
        <v>166</v>
      </c>
      <c r="CL882" s="16" t="s">
        <v>166</v>
      </c>
      <c r="CM882" s="20" t="s">
        <v>166</v>
      </c>
      <c r="CN882" s="16" t="s">
        <v>166</v>
      </c>
      <c r="CO882" s="16" t="s">
        <v>166</v>
      </c>
      <c r="CP882" s="16" t="s">
        <v>166</v>
      </c>
      <c r="CQ882" s="16" t="s">
        <v>166</v>
      </c>
      <c r="CR882" s="16" t="s">
        <v>166</v>
      </c>
      <c r="CS882" s="16" t="s">
        <v>166</v>
      </c>
      <c r="CT882" s="16" t="s">
        <v>166</v>
      </c>
      <c r="CU882" s="16" t="s">
        <v>166</v>
      </c>
      <c r="CV882" s="16" t="s">
        <v>166</v>
      </c>
      <c r="CW882" s="16" t="s">
        <v>166</v>
      </c>
      <c r="CX882" s="16" t="s">
        <v>166</v>
      </c>
      <c r="CY882" s="16" t="s">
        <v>166</v>
      </c>
      <c r="CZ882" s="16" t="s">
        <v>166</v>
      </c>
      <c r="DA882" s="16" t="s">
        <v>166</v>
      </c>
      <c r="DB882" s="16" t="s">
        <v>166</v>
      </c>
      <c r="DC882" s="16" t="s">
        <v>166</v>
      </c>
      <c r="DD882" s="16" t="s">
        <v>166</v>
      </c>
      <c r="DE882" s="17" t="s">
        <v>166</v>
      </c>
      <c r="DF882" s="22">
        <v>10</v>
      </c>
      <c r="DG882" s="14" t="s">
        <v>16773</v>
      </c>
      <c r="DH882" s="14" t="s">
        <v>193</v>
      </c>
      <c r="DI882" s="14" t="s">
        <v>194</v>
      </c>
      <c r="DJ882" s="14" t="s">
        <v>16774</v>
      </c>
      <c r="DK882" s="14" t="s">
        <v>454</v>
      </c>
      <c r="DL882" s="21" t="s">
        <v>16775</v>
      </c>
      <c r="DM882" s="14" t="s">
        <v>198</v>
      </c>
      <c r="DN882" s="13" t="s">
        <v>16776</v>
      </c>
      <c r="DO882" s="20">
        <v>2021</v>
      </c>
      <c r="DP882" s="14" t="s">
        <v>166</v>
      </c>
      <c r="DQ882" s="14" t="s">
        <v>166</v>
      </c>
      <c r="DR882" s="18" t="s">
        <v>166</v>
      </c>
      <c r="DS882" s="16" t="s">
        <v>166</v>
      </c>
      <c r="DT882" s="19" t="s">
        <v>166</v>
      </c>
      <c r="DU882" s="14" t="s">
        <v>166</v>
      </c>
      <c r="DV882" s="18" t="s">
        <v>166</v>
      </c>
      <c r="DW882" s="18" t="s">
        <v>166</v>
      </c>
      <c r="DX882" s="16" t="s">
        <v>166</v>
      </c>
      <c r="DY882" s="16" t="s">
        <v>166</v>
      </c>
      <c r="DZ882" s="17" t="s">
        <v>166</v>
      </c>
      <c r="EA882" s="16" t="s">
        <v>166</v>
      </c>
      <c r="EB882" s="16" t="s">
        <v>166</v>
      </c>
      <c r="EC882" s="16" t="s">
        <v>166</v>
      </c>
      <c r="ED882" s="17" t="s">
        <v>166</v>
      </c>
      <c r="EE882" s="17" t="s">
        <v>166</v>
      </c>
      <c r="EF882" s="17" t="s">
        <v>166</v>
      </c>
      <c r="EG882" s="17" t="s">
        <v>166</v>
      </c>
      <c r="EH882" s="16" t="s">
        <v>166</v>
      </c>
      <c r="EI882" s="16" t="s">
        <v>166</v>
      </c>
      <c r="EJ882" s="16" t="s">
        <v>166</v>
      </c>
      <c r="EK882" s="16" t="s">
        <v>166</v>
      </c>
      <c r="EL882" s="16" t="s">
        <v>166</v>
      </c>
      <c r="EM882" s="16" t="s">
        <v>166</v>
      </c>
      <c r="EN882" s="16" t="s">
        <v>166</v>
      </c>
      <c r="EO882" s="16" t="s">
        <v>166</v>
      </c>
      <c r="EP882" s="16" t="s">
        <v>166</v>
      </c>
      <c r="EQ882" s="16" t="s">
        <v>166</v>
      </c>
      <c r="ER882" s="16" t="s">
        <v>166</v>
      </c>
      <c r="ES882" s="16" t="s">
        <v>166</v>
      </c>
      <c r="ET882" s="14" t="s">
        <v>166</v>
      </c>
      <c r="EU882" s="16" t="s">
        <v>166</v>
      </c>
      <c r="EV882" s="16" t="s">
        <v>166</v>
      </c>
      <c r="EW882" s="16" t="s">
        <v>166</v>
      </c>
      <c r="EX882" s="14" t="s">
        <v>190</v>
      </c>
      <c r="EY882" s="14" t="s">
        <v>166</v>
      </c>
      <c r="EZ882" s="16" t="s">
        <v>166</v>
      </c>
      <c r="FA882" s="15" t="s">
        <v>166</v>
      </c>
      <c r="FB882" s="15" t="s">
        <v>166</v>
      </c>
      <c r="FC882" s="15" t="s">
        <v>166</v>
      </c>
      <c r="FD882" s="15" t="s">
        <v>166</v>
      </c>
      <c r="FE882" s="15" t="s">
        <v>166</v>
      </c>
      <c r="FF882" s="15" t="s">
        <v>166</v>
      </c>
      <c r="FG882" s="14" t="s">
        <v>166</v>
      </c>
      <c r="FH882" s="3">
        <f>HYPERLINK("https://my.pitchbook.com?c=195758-92T","View Company Online")</f>
      </c>
    </row>
    <row r="883">
      <c r="A883" s="25" t="s">
        <v>16777</v>
      </c>
      <c r="B883" s="25" t="s">
        <v>16778</v>
      </c>
      <c r="C883" s="25" t="s">
        <v>16779</v>
      </c>
      <c r="D883" s="25" t="s">
        <v>166</v>
      </c>
      <c r="E883" s="34" t="s">
        <v>16780</v>
      </c>
      <c r="F883" s="32">
        <v>2</v>
      </c>
      <c r="G883" s="25" t="s">
        <v>16781</v>
      </c>
      <c r="H883" s="25" t="s">
        <v>166</v>
      </c>
      <c r="I883" s="25" t="s">
        <v>16782</v>
      </c>
      <c r="J883" s="25" t="s">
        <v>16783</v>
      </c>
      <c r="K883" s="25" t="s">
        <v>1455</v>
      </c>
      <c r="L883" s="25" t="s">
        <v>1984</v>
      </c>
      <c r="M883" s="25" t="s">
        <v>2112</v>
      </c>
      <c r="N883" s="25" t="s">
        <v>3046</v>
      </c>
      <c r="O883" s="25" t="s">
        <v>166</v>
      </c>
      <c r="P883" s="25" t="s">
        <v>16784</v>
      </c>
      <c r="Q883" s="25" t="s">
        <v>166</v>
      </c>
      <c r="R883" s="25" t="s">
        <v>177</v>
      </c>
      <c r="S883" s="25" t="s">
        <v>178</v>
      </c>
      <c r="T883" s="25" t="s">
        <v>179</v>
      </c>
      <c r="U883" s="25" t="s">
        <v>16785</v>
      </c>
      <c r="V883" s="25" t="s">
        <v>16786</v>
      </c>
      <c r="W883" s="32" t="s">
        <v>16787</v>
      </c>
      <c r="X883" s="25" t="s">
        <v>16788</v>
      </c>
      <c r="Y883" s="25" t="s">
        <v>16789</v>
      </c>
      <c r="Z883" s="25" t="s">
        <v>16790</v>
      </c>
      <c r="AA883" s="25" t="s">
        <v>166</v>
      </c>
      <c r="AB883" s="25" t="s">
        <v>166</v>
      </c>
      <c r="AC883" s="25" t="s">
        <v>166</v>
      </c>
      <c r="AD883" s="25" t="s">
        <v>166</v>
      </c>
      <c r="AE883" s="25" t="s">
        <v>166</v>
      </c>
      <c r="AF883" s="25" t="s">
        <v>166</v>
      </c>
      <c r="AG883" s="25" t="s">
        <v>166</v>
      </c>
      <c r="AH883" s="32">
        <v>2</v>
      </c>
      <c r="AI883" s="4">
        <f>HYPERLINK("https://my.pitchbook.com/?d=182990-62T","182990-62T")</f>
      </c>
      <c r="AJ883" s="30">
        <v>43961</v>
      </c>
      <c r="AK883" s="30">
        <v>44490</v>
      </c>
      <c r="AL883" s="29">
        <v>1.31</v>
      </c>
      <c r="AM883" s="25" t="s">
        <v>185</v>
      </c>
      <c r="AN883" s="29" t="s">
        <v>166</v>
      </c>
      <c r="AO883" s="29" t="s">
        <v>166</v>
      </c>
      <c r="AP883" s="25" t="s">
        <v>166</v>
      </c>
      <c r="AQ883" s="32" t="s">
        <v>166</v>
      </c>
      <c r="AR883" s="32" t="s">
        <v>166</v>
      </c>
      <c r="AS883" s="28" t="s">
        <v>166</v>
      </c>
      <c r="AT883" s="29">
        <v>2.23</v>
      </c>
      <c r="AU883" s="32" t="s">
        <v>186</v>
      </c>
      <c r="AV883" s="32" t="s">
        <v>166</v>
      </c>
      <c r="AW883" s="29" t="s">
        <v>166</v>
      </c>
      <c r="AX883" s="32" t="s">
        <v>166</v>
      </c>
      <c r="AY883" s="25" t="s">
        <v>187</v>
      </c>
      <c r="AZ883" s="25" t="s">
        <v>166</v>
      </c>
      <c r="BA883" s="25" t="s">
        <v>166</v>
      </c>
      <c r="BB883" s="32" t="s">
        <v>166</v>
      </c>
      <c r="BC883" s="25" t="s">
        <v>179</v>
      </c>
      <c r="BD883" s="25" t="s">
        <v>16791</v>
      </c>
      <c r="BE883" s="25" t="s">
        <v>189</v>
      </c>
      <c r="BF883" s="29" t="s">
        <v>166</v>
      </c>
      <c r="BG883" s="25" t="s">
        <v>190</v>
      </c>
      <c r="BH883" s="25" t="s">
        <v>166</v>
      </c>
      <c r="BI883" s="25" t="s">
        <v>166</v>
      </c>
      <c r="BJ883" s="29">
        <v>1.31</v>
      </c>
      <c r="BK883" s="29" t="s">
        <v>166</v>
      </c>
      <c r="BL883" s="25" t="s">
        <v>191</v>
      </c>
      <c r="BM883" s="25" t="s">
        <v>178</v>
      </c>
      <c r="BN883" s="25" t="s">
        <v>177</v>
      </c>
      <c r="BO883" s="33" t="s">
        <v>166</v>
      </c>
      <c r="BP883" s="25" t="s">
        <v>16780</v>
      </c>
      <c r="BQ883" s="32">
        <v>2</v>
      </c>
      <c r="BR883" s="25" t="s">
        <v>166</v>
      </c>
      <c r="BS883" s="32" t="s">
        <v>166</v>
      </c>
      <c r="BT883" s="25" t="s">
        <v>166</v>
      </c>
      <c r="BU883" s="25" t="s">
        <v>166</v>
      </c>
      <c r="BV883" s="25" t="s">
        <v>166</v>
      </c>
      <c r="BW883" s="25" t="s">
        <v>166</v>
      </c>
      <c r="BX883" s="25" t="s">
        <v>166</v>
      </c>
      <c r="BY883" s="25" t="s">
        <v>166</v>
      </c>
      <c r="BZ883" s="25" t="s">
        <v>166</v>
      </c>
      <c r="CA883" s="25" t="s">
        <v>166</v>
      </c>
      <c r="CB883" s="25" t="s">
        <v>166</v>
      </c>
      <c r="CC883" s="25" t="s">
        <v>166</v>
      </c>
      <c r="CD883" s="25" t="s">
        <v>166</v>
      </c>
      <c r="CE883" s="29" t="s">
        <v>166</v>
      </c>
      <c r="CF883" s="27" t="s">
        <v>166</v>
      </c>
      <c r="CG883" s="28" t="s">
        <v>166</v>
      </c>
      <c r="CH883" s="27" t="s">
        <v>166</v>
      </c>
      <c r="CI883" s="27" t="s">
        <v>166</v>
      </c>
      <c r="CJ883" s="27" t="s">
        <v>166</v>
      </c>
      <c r="CK883" s="27" t="s">
        <v>166</v>
      </c>
      <c r="CL883" s="27" t="s">
        <v>166</v>
      </c>
      <c r="CM883" s="31" t="s">
        <v>166</v>
      </c>
      <c r="CN883" s="27" t="s">
        <v>166</v>
      </c>
      <c r="CO883" s="27" t="s">
        <v>166</v>
      </c>
      <c r="CP883" s="27" t="s">
        <v>166</v>
      </c>
      <c r="CQ883" s="27" t="s">
        <v>166</v>
      </c>
      <c r="CR883" s="27" t="s">
        <v>166</v>
      </c>
      <c r="CS883" s="27" t="s">
        <v>166</v>
      </c>
      <c r="CT883" s="27" t="s">
        <v>166</v>
      </c>
      <c r="CU883" s="27" t="s">
        <v>166</v>
      </c>
      <c r="CV883" s="27" t="s">
        <v>166</v>
      </c>
      <c r="CW883" s="27" t="s">
        <v>166</v>
      </c>
      <c r="CX883" s="27" t="s">
        <v>166</v>
      </c>
      <c r="CY883" s="27" t="s">
        <v>166</v>
      </c>
      <c r="CZ883" s="27" t="s">
        <v>166</v>
      </c>
      <c r="DA883" s="27" t="s">
        <v>166</v>
      </c>
      <c r="DB883" s="27" t="s">
        <v>166</v>
      </c>
      <c r="DC883" s="27" t="s">
        <v>166</v>
      </c>
      <c r="DD883" s="27" t="s">
        <v>166</v>
      </c>
      <c r="DE883" s="28" t="s">
        <v>166</v>
      </c>
      <c r="DF883" s="33">
        <v>10</v>
      </c>
      <c r="DG883" s="25" t="s">
        <v>706</v>
      </c>
      <c r="DH883" s="25" t="s">
        <v>193</v>
      </c>
      <c r="DI883" s="25" t="s">
        <v>194</v>
      </c>
      <c r="DJ883" s="25" t="s">
        <v>707</v>
      </c>
      <c r="DK883" s="25" t="s">
        <v>386</v>
      </c>
      <c r="DL883" s="32" t="s">
        <v>708</v>
      </c>
      <c r="DM883" s="25" t="s">
        <v>198</v>
      </c>
      <c r="DN883" s="24" t="s">
        <v>16792</v>
      </c>
      <c r="DO883" s="31">
        <v>2019</v>
      </c>
      <c r="DP883" s="25" t="s">
        <v>166</v>
      </c>
      <c r="DQ883" s="25" t="s">
        <v>16793</v>
      </c>
      <c r="DR883" s="29">
        <v>1.31</v>
      </c>
      <c r="DS883" s="27" t="s">
        <v>166</v>
      </c>
      <c r="DT883" s="30" t="s">
        <v>166</v>
      </c>
      <c r="DU883" s="25" t="s">
        <v>166</v>
      </c>
      <c r="DV883" s="29" t="s">
        <v>166</v>
      </c>
      <c r="DW883" s="29" t="s">
        <v>166</v>
      </c>
      <c r="DX883" s="27" t="s">
        <v>166</v>
      </c>
      <c r="DY883" s="27" t="s">
        <v>166</v>
      </c>
      <c r="DZ883" s="28" t="s">
        <v>166</v>
      </c>
      <c r="EA883" s="27" t="s">
        <v>166</v>
      </c>
      <c r="EB883" s="27" t="s">
        <v>166</v>
      </c>
      <c r="EC883" s="27" t="s">
        <v>166</v>
      </c>
      <c r="ED883" s="28" t="s">
        <v>166</v>
      </c>
      <c r="EE883" s="28" t="s">
        <v>166</v>
      </c>
      <c r="EF883" s="28" t="s">
        <v>166</v>
      </c>
      <c r="EG883" s="28" t="s">
        <v>166</v>
      </c>
      <c r="EH883" s="27" t="s">
        <v>166</v>
      </c>
      <c r="EI883" s="27" t="s">
        <v>166</v>
      </c>
      <c r="EJ883" s="27" t="s">
        <v>166</v>
      </c>
      <c r="EK883" s="27" t="s">
        <v>166</v>
      </c>
      <c r="EL883" s="27" t="s">
        <v>166</v>
      </c>
      <c r="EM883" s="27" t="s">
        <v>166</v>
      </c>
      <c r="EN883" s="27" t="s">
        <v>166</v>
      </c>
      <c r="EO883" s="27" t="s">
        <v>166</v>
      </c>
      <c r="EP883" s="27" t="s">
        <v>166</v>
      </c>
      <c r="EQ883" s="27" t="s">
        <v>166</v>
      </c>
      <c r="ER883" s="27" t="s">
        <v>166</v>
      </c>
      <c r="ES883" s="27" t="s">
        <v>166</v>
      </c>
      <c r="ET883" s="25" t="s">
        <v>166</v>
      </c>
      <c r="EU883" s="27" t="s">
        <v>166</v>
      </c>
      <c r="EV883" s="27" t="s">
        <v>166</v>
      </c>
      <c r="EW883" s="27" t="s">
        <v>166</v>
      </c>
      <c r="EX883" s="25" t="s">
        <v>190</v>
      </c>
      <c r="EY883" s="25" t="s">
        <v>190</v>
      </c>
      <c r="EZ883" s="27" t="s">
        <v>166</v>
      </c>
      <c r="FA883" s="26" t="s">
        <v>166</v>
      </c>
      <c r="FB883" s="26" t="s">
        <v>166</v>
      </c>
      <c r="FC883" s="26" t="s">
        <v>166</v>
      </c>
      <c r="FD883" s="26" t="s">
        <v>166</v>
      </c>
      <c r="FE883" s="26" t="s">
        <v>166</v>
      </c>
      <c r="FF883" s="26" t="s">
        <v>166</v>
      </c>
      <c r="FG883" s="25" t="s">
        <v>166</v>
      </c>
      <c r="FH883" s="4">
        <f>HYPERLINK("https://my.pitchbook.com?c=182990-62T","View Company Online")</f>
      </c>
    </row>
    <row r="884">
      <c r="A884" s="14" t="s">
        <v>16794</v>
      </c>
      <c r="B884" s="14" t="s">
        <v>16795</v>
      </c>
      <c r="C884" s="14" t="s">
        <v>16796</v>
      </c>
      <c r="D884" s="14" t="s">
        <v>166</v>
      </c>
      <c r="E884" s="23" t="s">
        <v>16797</v>
      </c>
      <c r="F884" s="21">
        <v>1</v>
      </c>
      <c r="G884" s="14" t="s">
        <v>16798</v>
      </c>
      <c r="H884" s="14" t="s">
        <v>166</v>
      </c>
      <c r="I884" s="14" t="s">
        <v>16799</v>
      </c>
      <c r="J884" s="14" t="s">
        <v>16800</v>
      </c>
      <c r="K884" s="14" t="s">
        <v>1455</v>
      </c>
      <c r="L884" s="14" t="s">
        <v>1456</v>
      </c>
      <c r="M884" s="14" t="s">
        <v>2760</v>
      </c>
      <c r="N884" s="14" t="s">
        <v>16801</v>
      </c>
      <c r="O884" s="14" t="s">
        <v>5659</v>
      </c>
      <c r="P884" s="14" t="s">
        <v>16802</v>
      </c>
      <c r="Q884" s="14" t="s">
        <v>166</v>
      </c>
      <c r="R884" s="14" t="s">
        <v>177</v>
      </c>
      <c r="S884" s="14" t="s">
        <v>178</v>
      </c>
      <c r="T884" s="14" t="s">
        <v>179</v>
      </c>
      <c r="U884" s="14" t="s">
        <v>16803</v>
      </c>
      <c r="V884" s="14" t="s">
        <v>16804</v>
      </c>
      <c r="W884" s="21" t="s">
        <v>16805</v>
      </c>
      <c r="X884" s="14" t="s">
        <v>16806</v>
      </c>
      <c r="Y884" s="14" t="s">
        <v>16807</v>
      </c>
      <c r="Z884" s="14" t="s">
        <v>16808</v>
      </c>
      <c r="AA884" s="14" t="s">
        <v>166</v>
      </c>
      <c r="AB884" s="14" t="s">
        <v>166</v>
      </c>
      <c r="AC884" s="14" t="s">
        <v>166</v>
      </c>
      <c r="AD884" s="14" t="s">
        <v>166</v>
      </c>
      <c r="AE884" s="14" t="s">
        <v>166</v>
      </c>
      <c r="AF884" s="14" t="s">
        <v>166</v>
      </c>
      <c r="AG884" s="14" t="s">
        <v>166</v>
      </c>
      <c r="AH884" s="21">
        <v>1</v>
      </c>
      <c r="AI884" s="3">
        <f>HYPERLINK("https://my.pitchbook.com/?d=168680-89T","168680-89T")</f>
      </c>
      <c r="AJ884" s="19" t="s">
        <v>166</v>
      </c>
      <c r="AK884" s="19">
        <v>43891</v>
      </c>
      <c r="AL884" s="18">
        <v>1.2</v>
      </c>
      <c r="AM884" s="14" t="s">
        <v>185</v>
      </c>
      <c r="AN884" s="18" t="s">
        <v>166</v>
      </c>
      <c r="AO884" s="18" t="s">
        <v>166</v>
      </c>
      <c r="AP884" s="14" t="s">
        <v>166</v>
      </c>
      <c r="AQ884" s="21" t="s">
        <v>166</v>
      </c>
      <c r="AR884" s="21" t="s">
        <v>166</v>
      </c>
      <c r="AS884" s="17" t="s">
        <v>166</v>
      </c>
      <c r="AT884" s="18">
        <v>1.2</v>
      </c>
      <c r="AU884" s="21" t="s">
        <v>186</v>
      </c>
      <c r="AV884" s="21" t="s">
        <v>166</v>
      </c>
      <c r="AW884" s="18" t="s">
        <v>166</v>
      </c>
      <c r="AX884" s="21" t="s">
        <v>166</v>
      </c>
      <c r="AY884" s="14" t="s">
        <v>217</v>
      </c>
      <c r="AZ884" s="14" t="s">
        <v>217</v>
      </c>
      <c r="BA884" s="14" t="s">
        <v>166</v>
      </c>
      <c r="BB884" s="21" t="s">
        <v>166</v>
      </c>
      <c r="BC884" s="14" t="s">
        <v>179</v>
      </c>
      <c r="BD884" s="14" t="s">
        <v>16809</v>
      </c>
      <c r="BE884" s="14" t="s">
        <v>189</v>
      </c>
      <c r="BF884" s="18">
        <v>1.2</v>
      </c>
      <c r="BG884" s="14" t="s">
        <v>190</v>
      </c>
      <c r="BH884" s="14" t="s">
        <v>166</v>
      </c>
      <c r="BI884" s="14" t="s">
        <v>166</v>
      </c>
      <c r="BJ884" s="18" t="s">
        <v>166</v>
      </c>
      <c r="BK884" s="18" t="s">
        <v>166</v>
      </c>
      <c r="BL884" s="14" t="s">
        <v>191</v>
      </c>
      <c r="BM884" s="14" t="s">
        <v>358</v>
      </c>
      <c r="BN884" s="14" t="s">
        <v>177</v>
      </c>
      <c r="BO884" s="22">
        <v>15</v>
      </c>
      <c r="BP884" s="14" t="s">
        <v>16797</v>
      </c>
      <c r="BQ884" s="21">
        <v>1</v>
      </c>
      <c r="BR884" s="14" t="s">
        <v>166</v>
      </c>
      <c r="BS884" s="21" t="s">
        <v>166</v>
      </c>
      <c r="BT884" s="14" t="s">
        <v>166</v>
      </c>
      <c r="BU884" s="14" t="s">
        <v>166</v>
      </c>
      <c r="BV884" s="14" t="s">
        <v>166</v>
      </c>
      <c r="BW884" s="14" t="s">
        <v>166</v>
      </c>
      <c r="BX884" s="14" t="s">
        <v>166</v>
      </c>
      <c r="BY884" s="14" t="s">
        <v>166</v>
      </c>
      <c r="BZ884" s="14" t="s">
        <v>166</v>
      </c>
      <c r="CA884" s="14" t="s">
        <v>166</v>
      </c>
      <c r="CB884" s="14" t="s">
        <v>166</v>
      </c>
      <c r="CC884" s="14" t="s">
        <v>166</v>
      </c>
      <c r="CD884" s="14" t="s">
        <v>166</v>
      </c>
      <c r="CE884" s="18" t="s">
        <v>166</v>
      </c>
      <c r="CF884" s="16" t="s">
        <v>166</v>
      </c>
      <c r="CG884" s="17" t="s">
        <v>166</v>
      </c>
      <c r="CH884" s="16" t="s">
        <v>166</v>
      </c>
      <c r="CI884" s="16" t="s">
        <v>166</v>
      </c>
      <c r="CJ884" s="16" t="s">
        <v>166</v>
      </c>
      <c r="CK884" s="16" t="s">
        <v>166</v>
      </c>
      <c r="CL884" s="16" t="s">
        <v>166</v>
      </c>
      <c r="CM884" s="20" t="s">
        <v>166</v>
      </c>
      <c r="CN884" s="16" t="s">
        <v>166</v>
      </c>
      <c r="CO884" s="16" t="s">
        <v>166</v>
      </c>
      <c r="CP884" s="16" t="s">
        <v>166</v>
      </c>
      <c r="CQ884" s="16" t="s">
        <v>166</v>
      </c>
      <c r="CR884" s="16" t="s">
        <v>166</v>
      </c>
      <c r="CS884" s="16" t="s">
        <v>166</v>
      </c>
      <c r="CT884" s="16" t="s">
        <v>166</v>
      </c>
      <c r="CU884" s="16" t="s">
        <v>166</v>
      </c>
      <c r="CV884" s="16" t="s">
        <v>166</v>
      </c>
      <c r="CW884" s="16" t="s">
        <v>166</v>
      </c>
      <c r="CX884" s="16" t="s">
        <v>166</v>
      </c>
      <c r="CY884" s="16" t="s">
        <v>166</v>
      </c>
      <c r="CZ884" s="16" t="s">
        <v>166</v>
      </c>
      <c r="DA884" s="16" t="s">
        <v>166</v>
      </c>
      <c r="DB884" s="16" t="s">
        <v>166</v>
      </c>
      <c r="DC884" s="16" t="s">
        <v>166</v>
      </c>
      <c r="DD884" s="16" t="s">
        <v>166</v>
      </c>
      <c r="DE884" s="17" t="s">
        <v>166</v>
      </c>
      <c r="DF884" s="22">
        <v>35</v>
      </c>
      <c r="DG884" s="14" t="s">
        <v>2015</v>
      </c>
      <c r="DH884" s="14" t="s">
        <v>193</v>
      </c>
      <c r="DI884" s="14" t="s">
        <v>194</v>
      </c>
      <c r="DJ884" s="14" t="s">
        <v>2016</v>
      </c>
      <c r="DK884" s="14" t="s">
        <v>310</v>
      </c>
      <c r="DL884" s="21" t="s">
        <v>3037</v>
      </c>
      <c r="DM884" s="14" t="s">
        <v>198</v>
      </c>
      <c r="DN884" s="13" t="s">
        <v>16810</v>
      </c>
      <c r="DO884" s="20">
        <v>2020</v>
      </c>
      <c r="DP884" s="14" t="s">
        <v>166</v>
      </c>
      <c r="DQ884" s="14" t="s">
        <v>166</v>
      </c>
      <c r="DR884" s="18" t="s">
        <v>166</v>
      </c>
      <c r="DS884" s="16" t="s">
        <v>166</v>
      </c>
      <c r="DT884" s="19" t="s">
        <v>166</v>
      </c>
      <c r="DU884" s="14" t="s">
        <v>166</v>
      </c>
      <c r="DV884" s="18" t="s">
        <v>166</v>
      </c>
      <c r="DW884" s="18" t="s">
        <v>166</v>
      </c>
      <c r="DX884" s="16" t="s">
        <v>166</v>
      </c>
      <c r="DY884" s="16" t="s">
        <v>166</v>
      </c>
      <c r="DZ884" s="17" t="s">
        <v>166</v>
      </c>
      <c r="EA884" s="16" t="s">
        <v>166</v>
      </c>
      <c r="EB884" s="16" t="s">
        <v>166</v>
      </c>
      <c r="EC884" s="16" t="s">
        <v>166</v>
      </c>
      <c r="ED884" s="17" t="s">
        <v>166</v>
      </c>
      <c r="EE884" s="17" t="s">
        <v>166</v>
      </c>
      <c r="EF884" s="17" t="s">
        <v>166</v>
      </c>
      <c r="EG884" s="17" t="s">
        <v>166</v>
      </c>
      <c r="EH884" s="16" t="s">
        <v>166</v>
      </c>
      <c r="EI884" s="16" t="s">
        <v>166</v>
      </c>
      <c r="EJ884" s="16" t="s">
        <v>166</v>
      </c>
      <c r="EK884" s="16" t="s">
        <v>166</v>
      </c>
      <c r="EL884" s="16" t="s">
        <v>166</v>
      </c>
      <c r="EM884" s="16" t="s">
        <v>166</v>
      </c>
      <c r="EN884" s="16" t="s">
        <v>166</v>
      </c>
      <c r="EO884" s="16" t="s">
        <v>166</v>
      </c>
      <c r="EP884" s="16" t="s">
        <v>166</v>
      </c>
      <c r="EQ884" s="16" t="s">
        <v>166</v>
      </c>
      <c r="ER884" s="16" t="s">
        <v>166</v>
      </c>
      <c r="ES884" s="16" t="s">
        <v>166</v>
      </c>
      <c r="ET884" s="14" t="s">
        <v>166</v>
      </c>
      <c r="EU884" s="16" t="s">
        <v>166</v>
      </c>
      <c r="EV884" s="16" t="s">
        <v>166</v>
      </c>
      <c r="EW884" s="16" t="s">
        <v>166</v>
      </c>
      <c r="EX884" s="14" t="s">
        <v>190</v>
      </c>
      <c r="EY884" s="14" t="s">
        <v>166</v>
      </c>
      <c r="EZ884" s="16" t="s">
        <v>166</v>
      </c>
      <c r="FA884" s="15" t="s">
        <v>166</v>
      </c>
      <c r="FB884" s="15" t="s">
        <v>166</v>
      </c>
      <c r="FC884" s="15" t="s">
        <v>166</v>
      </c>
      <c r="FD884" s="15" t="s">
        <v>166</v>
      </c>
      <c r="FE884" s="15" t="s">
        <v>166</v>
      </c>
      <c r="FF884" s="15" t="s">
        <v>166</v>
      </c>
      <c r="FG884" s="14" t="s">
        <v>166</v>
      </c>
      <c r="FH884" s="3">
        <f>HYPERLINK("https://my.pitchbook.com?c=168680-89T","View Company Online")</f>
      </c>
    </row>
    <row r="885">
      <c r="A885" s="25" t="s">
        <v>16811</v>
      </c>
      <c r="B885" s="25" t="s">
        <v>16812</v>
      </c>
      <c r="C885" s="25" t="s">
        <v>16813</v>
      </c>
      <c r="D885" s="25" t="s">
        <v>166</v>
      </c>
      <c r="E885" s="34" t="s">
        <v>16814</v>
      </c>
      <c r="F885" s="32">
        <v>2</v>
      </c>
      <c r="G885" s="25" t="s">
        <v>16815</v>
      </c>
      <c r="H885" s="25" t="s">
        <v>166</v>
      </c>
      <c r="I885" s="25" t="s">
        <v>16816</v>
      </c>
      <c r="J885" s="25" t="s">
        <v>16817</v>
      </c>
      <c r="K885" s="25" t="s">
        <v>207</v>
      </c>
      <c r="L885" s="25" t="s">
        <v>208</v>
      </c>
      <c r="M885" s="25" t="s">
        <v>209</v>
      </c>
      <c r="N885" s="25" t="s">
        <v>269</v>
      </c>
      <c r="O885" s="25" t="s">
        <v>3447</v>
      </c>
      <c r="P885" s="25" t="s">
        <v>16818</v>
      </c>
      <c r="Q885" s="25" t="s">
        <v>166</v>
      </c>
      <c r="R885" s="25" t="s">
        <v>177</v>
      </c>
      <c r="S885" s="25" t="s">
        <v>178</v>
      </c>
      <c r="T885" s="25" t="s">
        <v>179</v>
      </c>
      <c r="U885" s="25" t="s">
        <v>16819</v>
      </c>
      <c r="V885" s="25" t="s">
        <v>16820</v>
      </c>
      <c r="W885" s="32" t="s">
        <v>166</v>
      </c>
      <c r="X885" s="25" t="s">
        <v>16821</v>
      </c>
      <c r="Y885" s="25" t="s">
        <v>16822</v>
      </c>
      <c r="Z885" s="25" t="s">
        <v>166</v>
      </c>
      <c r="AA885" s="25" t="s">
        <v>242</v>
      </c>
      <c r="AB885" s="25" t="s">
        <v>243</v>
      </c>
      <c r="AC885" s="25" t="s">
        <v>244</v>
      </c>
      <c r="AD885" s="25" t="s">
        <v>166</v>
      </c>
      <c r="AE885" s="25" t="s">
        <v>243</v>
      </c>
      <c r="AF885" s="25" t="s">
        <v>245</v>
      </c>
      <c r="AG885" s="25" t="s">
        <v>807</v>
      </c>
      <c r="AH885" s="32">
        <v>1</v>
      </c>
      <c r="AI885" s="4">
        <f>HYPERLINK("https://my.pitchbook.com/?d=179350-21T","179350-21T")</f>
      </c>
      <c r="AJ885" s="30" t="s">
        <v>166</v>
      </c>
      <c r="AK885" s="30">
        <v>44064</v>
      </c>
      <c r="AL885" s="29">
        <v>3</v>
      </c>
      <c r="AM885" s="25" t="s">
        <v>185</v>
      </c>
      <c r="AN885" s="29">
        <v>7</v>
      </c>
      <c r="AO885" s="29">
        <v>10</v>
      </c>
      <c r="AP885" s="25" t="s">
        <v>185</v>
      </c>
      <c r="AQ885" s="32" t="s">
        <v>166</v>
      </c>
      <c r="AR885" s="32" t="s">
        <v>166</v>
      </c>
      <c r="AS885" s="28">
        <v>30</v>
      </c>
      <c r="AT885" s="29">
        <v>3</v>
      </c>
      <c r="AU885" s="32" t="s">
        <v>186</v>
      </c>
      <c r="AV885" s="32" t="s">
        <v>166</v>
      </c>
      <c r="AW885" s="29">
        <v>0.61</v>
      </c>
      <c r="AX885" s="32" t="s">
        <v>166</v>
      </c>
      <c r="AY885" s="25" t="s">
        <v>217</v>
      </c>
      <c r="AZ885" s="25" t="s">
        <v>217</v>
      </c>
      <c r="BA885" s="25" t="s">
        <v>166</v>
      </c>
      <c r="BB885" s="32" t="s">
        <v>166</v>
      </c>
      <c r="BC885" s="25" t="s">
        <v>179</v>
      </c>
      <c r="BD885" s="25" t="s">
        <v>16823</v>
      </c>
      <c r="BE885" s="25" t="s">
        <v>189</v>
      </c>
      <c r="BF885" s="29">
        <v>3</v>
      </c>
      <c r="BG885" s="25" t="s">
        <v>190</v>
      </c>
      <c r="BH885" s="25" t="s">
        <v>166</v>
      </c>
      <c r="BI885" s="25" t="s">
        <v>166</v>
      </c>
      <c r="BJ885" s="29" t="s">
        <v>166</v>
      </c>
      <c r="BK885" s="29" t="s">
        <v>166</v>
      </c>
      <c r="BL885" s="25" t="s">
        <v>191</v>
      </c>
      <c r="BM885" s="25" t="s">
        <v>358</v>
      </c>
      <c r="BN885" s="25" t="s">
        <v>177</v>
      </c>
      <c r="BO885" s="33" t="s">
        <v>166</v>
      </c>
      <c r="BP885" s="25" t="s">
        <v>16814</v>
      </c>
      <c r="BQ885" s="32">
        <v>2</v>
      </c>
      <c r="BR885" s="25" t="s">
        <v>166</v>
      </c>
      <c r="BS885" s="32" t="s">
        <v>166</v>
      </c>
      <c r="BT885" s="25" t="s">
        <v>166</v>
      </c>
      <c r="BU885" s="25" t="s">
        <v>166</v>
      </c>
      <c r="BV885" s="25" t="s">
        <v>166</v>
      </c>
      <c r="BW885" s="25" t="s">
        <v>166</v>
      </c>
      <c r="BX885" s="25" t="s">
        <v>166</v>
      </c>
      <c r="BY885" s="25" t="s">
        <v>166</v>
      </c>
      <c r="BZ885" s="25" t="s">
        <v>166</v>
      </c>
      <c r="CA885" s="25" t="s">
        <v>166</v>
      </c>
      <c r="CB885" s="25" t="s">
        <v>166</v>
      </c>
      <c r="CC885" s="25" t="s">
        <v>166</v>
      </c>
      <c r="CD885" s="25" t="s">
        <v>166</v>
      </c>
      <c r="CE885" s="29" t="s">
        <v>166</v>
      </c>
      <c r="CF885" s="27" t="s">
        <v>166</v>
      </c>
      <c r="CG885" s="28" t="s">
        <v>166</v>
      </c>
      <c r="CH885" s="27" t="s">
        <v>166</v>
      </c>
      <c r="CI885" s="27" t="s">
        <v>166</v>
      </c>
      <c r="CJ885" s="27" t="s">
        <v>166</v>
      </c>
      <c r="CK885" s="27" t="s">
        <v>166</v>
      </c>
      <c r="CL885" s="27" t="s">
        <v>166</v>
      </c>
      <c r="CM885" s="31" t="s">
        <v>166</v>
      </c>
      <c r="CN885" s="27" t="s">
        <v>166</v>
      </c>
      <c r="CO885" s="27" t="s">
        <v>166</v>
      </c>
      <c r="CP885" s="27" t="s">
        <v>166</v>
      </c>
      <c r="CQ885" s="27" t="s">
        <v>166</v>
      </c>
      <c r="CR885" s="27" t="s">
        <v>166</v>
      </c>
      <c r="CS885" s="27" t="s">
        <v>166</v>
      </c>
      <c r="CT885" s="27" t="s">
        <v>166</v>
      </c>
      <c r="CU885" s="27" t="s">
        <v>166</v>
      </c>
      <c r="CV885" s="27" t="s">
        <v>166</v>
      </c>
      <c r="CW885" s="27" t="s">
        <v>166</v>
      </c>
      <c r="CX885" s="27" t="s">
        <v>166</v>
      </c>
      <c r="CY885" s="27" t="s">
        <v>166</v>
      </c>
      <c r="CZ885" s="27" t="s">
        <v>166</v>
      </c>
      <c r="DA885" s="27" t="s">
        <v>166</v>
      </c>
      <c r="DB885" s="27" t="s">
        <v>166</v>
      </c>
      <c r="DC885" s="27" t="s">
        <v>166</v>
      </c>
      <c r="DD885" s="27" t="s">
        <v>166</v>
      </c>
      <c r="DE885" s="28" t="s">
        <v>166</v>
      </c>
      <c r="DF885" s="33">
        <v>26</v>
      </c>
      <c r="DG885" s="25" t="s">
        <v>1955</v>
      </c>
      <c r="DH885" s="25" t="s">
        <v>193</v>
      </c>
      <c r="DI885" s="25" t="s">
        <v>194</v>
      </c>
      <c r="DJ885" s="25" t="s">
        <v>1956</v>
      </c>
      <c r="DK885" s="25" t="s">
        <v>257</v>
      </c>
      <c r="DL885" s="32" t="s">
        <v>16495</v>
      </c>
      <c r="DM885" s="25" t="s">
        <v>198</v>
      </c>
      <c r="DN885" s="24" t="s">
        <v>16824</v>
      </c>
      <c r="DO885" s="31">
        <v>2020</v>
      </c>
      <c r="DP885" s="25" t="s">
        <v>166</v>
      </c>
      <c r="DQ885" s="25" t="s">
        <v>166</v>
      </c>
      <c r="DR885" s="29" t="s">
        <v>166</v>
      </c>
      <c r="DS885" s="27" t="s">
        <v>166</v>
      </c>
      <c r="DT885" s="30" t="s">
        <v>166</v>
      </c>
      <c r="DU885" s="25" t="s">
        <v>166</v>
      </c>
      <c r="DV885" s="29" t="s">
        <v>166</v>
      </c>
      <c r="DW885" s="29" t="s">
        <v>166</v>
      </c>
      <c r="DX885" s="27" t="s">
        <v>166</v>
      </c>
      <c r="DY885" s="27" t="s">
        <v>166</v>
      </c>
      <c r="DZ885" s="28" t="s">
        <v>166</v>
      </c>
      <c r="EA885" s="27" t="s">
        <v>166</v>
      </c>
      <c r="EB885" s="27" t="s">
        <v>166</v>
      </c>
      <c r="EC885" s="27" t="s">
        <v>166</v>
      </c>
      <c r="ED885" s="28" t="s">
        <v>166</v>
      </c>
      <c r="EE885" s="28" t="s">
        <v>166</v>
      </c>
      <c r="EF885" s="28" t="s">
        <v>166</v>
      </c>
      <c r="EG885" s="28" t="s">
        <v>166</v>
      </c>
      <c r="EH885" s="27" t="s">
        <v>166</v>
      </c>
      <c r="EI885" s="27" t="s">
        <v>166</v>
      </c>
      <c r="EJ885" s="27" t="s">
        <v>166</v>
      </c>
      <c r="EK885" s="27" t="s">
        <v>166</v>
      </c>
      <c r="EL885" s="27" t="s">
        <v>166</v>
      </c>
      <c r="EM885" s="27" t="s">
        <v>166</v>
      </c>
      <c r="EN885" s="27" t="s">
        <v>166</v>
      </c>
      <c r="EO885" s="27" t="s">
        <v>166</v>
      </c>
      <c r="EP885" s="27" t="s">
        <v>166</v>
      </c>
      <c r="EQ885" s="27" t="s">
        <v>166</v>
      </c>
      <c r="ER885" s="27" t="s">
        <v>166</v>
      </c>
      <c r="ES885" s="27" t="s">
        <v>166</v>
      </c>
      <c r="ET885" s="25" t="s">
        <v>166</v>
      </c>
      <c r="EU885" s="27" t="s">
        <v>166</v>
      </c>
      <c r="EV885" s="27" t="s">
        <v>166</v>
      </c>
      <c r="EW885" s="27" t="s">
        <v>166</v>
      </c>
      <c r="EX885" s="25" t="s">
        <v>190</v>
      </c>
      <c r="EY885" s="25" t="s">
        <v>166</v>
      </c>
      <c r="EZ885" s="27" t="s">
        <v>166</v>
      </c>
      <c r="FA885" s="26" t="s">
        <v>166</v>
      </c>
      <c r="FB885" s="26" t="s">
        <v>166</v>
      </c>
      <c r="FC885" s="26" t="s">
        <v>166</v>
      </c>
      <c r="FD885" s="26" t="s">
        <v>166</v>
      </c>
      <c r="FE885" s="26" t="s">
        <v>166</v>
      </c>
      <c r="FF885" s="26" t="s">
        <v>166</v>
      </c>
      <c r="FG885" s="25" t="s">
        <v>166</v>
      </c>
      <c r="FH885" s="4">
        <f>HYPERLINK("https://my.pitchbook.com?c=179350-21T","View Company Online")</f>
      </c>
    </row>
    <row r="886">
      <c r="A886" s="14" t="s">
        <v>16825</v>
      </c>
      <c r="B886" s="14" t="s">
        <v>16826</v>
      </c>
      <c r="C886" s="14" t="s">
        <v>16827</v>
      </c>
      <c r="D886" s="14" t="s">
        <v>166</v>
      </c>
      <c r="E886" s="23" t="s">
        <v>16828</v>
      </c>
      <c r="F886" s="21">
        <v>4</v>
      </c>
      <c r="G886" s="14" t="s">
        <v>16829</v>
      </c>
      <c r="H886" s="14" t="s">
        <v>166</v>
      </c>
      <c r="I886" s="14" t="s">
        <v>16830</v>
      </c>
      <c r="J886" s="14" t="s">
        <v>16831</v>
      </c>
      <c r="K886" s="14" t="s">
        <v>207</v>
      </c>
      <c r="L886" s="14" t="s">
        <v>208</v>
      </c>
      <c r="M886" s="14" t="s">
        <v>209</v>
      </c>
      <c r="N886" s="14" t="s">
        <v>3089</v>
      </c>
      <c r="O886" s="14" t="s">
        <v>1318</v>
      </c>
      <c r="P886" s="14" t="s">
        <v>16832</v>
      </c>
      <c r="Q886" s="14" t="s">
        <v>166</v>
      </c>
      <c r="R886" s="14" t="s">
        <v>177</v>
      </c>
      <c r="S886" s="14" t="s">
        <v>178</v>
      </c>
      <c r="T886" s="14" t="s">
        <v>179</v>
      </c>
      <c r="U886" s="14" t="s">
        <v>16833</v>
      </c>
      <c r="V886" s="14" t="s">
        <v>16834</v>
      </c>
      <c r="W886" s="21" t="s">
        <v>166</v>
      </c>
      <c r="X886" s="14" t="s">
        <v>16835</v>
      </c>
      <c r="Y886" s="14" t="s">
        <v>16836</v>
      </c>
      <c r="Z886" s="14" t="s">
        <v>166</v>
      </c>
      <c r="AA886" s="14" t="s">
        <v>242</v>
      </c>
      <c r="AB886" s="14" t="s">
        <v>243</v>
      </c>
      <c r="AC886" s="14" t="s">
        <v>244</v>
      </c>
      <c r="AD886" s="14" t="s">
        <v>243</v>
      </c>
      <c r="AE886" s="14" t="s">
        <v>243</v>
      </c>
      <c r="AF886" s="14" t="s">
        <v>166</v>
      </c>
      <c r="AG886" s="14" t="s">
        <v>246</v>
      </c>
      <c r="AH886" s="21">
        <v>1</v>
      </c>
      <c r="AI886" s="3">
        <f>HYPERLINK("https://my.pitchbook.com/?d=192479-68T","192479-68T")</f>
      </c>
      <c r="AJ886" s="19" t="s">
        <v>166</v>
      </c>
      <c r="AK886" s="19">
        <v>44670</v>
      </c>
      <c r="AL886" s="18">
        <v>9</v>
      </c>
      <c r="AM886" s="14" t="s">
        <v>185</v>
      </c>
      <c r="AN886" s="18">
        <v>29</v>
      </c>
      <c r="AO886" s="18">
        <v>38</v>
      </c>
      <c r="AP886" s="14" t="s">
        <v>185</v>
      </c>
      <c r="AQ886" s="21" t="s">
        <v>166</v>
      </c>
      <c r="AR886" s="21" t="s">
        <v>166</v>
      </c>
      <c r="AS886" s="17">
        <v>33.24</v>
      </c>
      <c r="AT886" s="18">
        <v>9</v>
      </c>
      <c r="AU886" s="21" t="s">
        <v>186</v>
      </c>
      <c r="AV886" s="21" t="s">
        <v>166</v>
      </c>
      <c r="AW886" s="18">
        <v>2.13</v>
      </c>
      <c r="AX886" s="21" t="s">
        <v>166</v>
      </c>
      <c r="AY886" s="14" t="s">
        <v>217</v>
      </c>
      <c r="AZ886" s="14" t="s">
        <v>217</v>
      </c>
      <c r="BA886" s="14" t="s">
        <v>166</v>
      </c>
      <c r="BB886" s="21" t="s">
        <v>166</v>
      </c>
      <c r="BC886" s="14" t="s">
        <v>179</v>
      </c>
      <c r="BD886" s="14" t="s">
        <v>16837</v>
      </c>
      <c r="BE886" s="14" t="s">
        <v>189</v>
      </c>
      <c r="BF886" s="18">
        <v>9</v>
      </c>
      <c r="BG886" s="14" t="s">
        <v>190</v>
      </c>
      <c r="BH886" s="14" t="s">
        <v>166</v>
      </c>
      <c r="BI886" s="14" t="s">
        <v>166</v>
      </c>
      <c r="BJ886" s="18" t="s">
        <v>166</v>
      </c>
      <c r="BK886" s="18" t="s">
        <v>166</v>
      </c>
      <c r="BL886" s="14" t="s">
        <v>191</v>
      </c>
      <c r="BM886" s="14" t="s">
        <v>178</v>
      </c>
      <c r="BN886" s="14" t="s">
        <v>177</v>
      </c>
      <c r="BO886" s="22" t="s">
        <v>166</v>
      </c>
      <c r="BP886" s="14" t="s">
        <v>16838</v>
      </c>
      <c r="BQ886" s="21">
        <v>4</v>
      </c>
      <c r="BR886" s="14" t="s">
        <v>166</v>
      </c>
      <c r="BS886" s="21" t="s">
        <v>166</v>
      </c>
      <c r="BT886" s="14" t="s">
        <v>16839</v>
      </c>
      <c r="BU886" s="14" t="s">
        <v>166</v>
      </c>
      <c r="BV886" s="14" t="s">
        <v>16840</v>
      </c>
      <c r="BW886" s="14" t="s">
        <v>166</v>
      </c>
      <c r="BX886" s="14" t="s">
        <v>166</v>
      </c>
      <c r="BY886" s="14" t="s">
        <v>166</v>
      </c>
      <c r="BZ886" s="14" t="s">
        <v>16841</v>
      </c>
      <c r="CA886" s="14" t="s">
        <v>16842</v>
      </c>
      <c r="CB886" s="14" t="s">
        <v>166</v>
      </c>
      <c r="CC886" s="14" t="s">
        <v>16003</v>
      </c>
      <c r="CD886" s="14" t="s">
        <v>166</v>
      </c>
      <c r="CE886" s="18" t="s">
        <v>166</v>
      </c>
      <c r="CF886" s="16" t="s">
        <v>166</v>
      </c>
      <c r="CG886" s="17" t="s">
        <v>166</v>
      </c>
      <c r="CH886" s="16" t="s">
        <v>166</v>
      </c>
      <c r="CI886" s="16" t="s">
        <v>166</v>
      </c>
      <c r="CJ886" s="16" t="s">
        <v>166</v>
      </c>
      <c r="CK886" s="16" t="s">
        <v>166</v>
      </c>
      <c r="CL886" s="16" t="s">
        <v>166</v>
      </c>
      <c r="CM886" s="20" t="s">
        <v>166</v>
      </c>
      <c r="CN886" s="16" t="s">
        <v>166</v>
      </c>
      <c r="CO886" s="16" t="s">
        <v>166</v>
      </c>
      <c r="CP886" s="16" t="s">
        <v>166</v>
      </c>
      <c r="CQ886" s="16" t="s">
        <v>166</v>
      </c>
      <c r="CR886" s="16" t="s">
        <v>166</v>
      </c>
      <c r="CS886" s="16" t="s">
        <v>166</v>
      </c>
      <c r="CT886" s="16" t="s">
        <v>166</v>
      </c>
      <c r="CU886" s="16" t="s">
        <v>166</v>
      </c>
      <c r="CV886" s="16" t="s">
        <v>166</v>
      </c>
      <c r="CW886" s="16" t="s">
        <v>166</v>
      </c>
      <c r="CX886" s="16" t="s">
        <v>166</v>
      </c>
      <c r="CY886" s="16" t="s">
        <v>166</v>
      </c>
      <c r="CZ886" s="16" t="s">
        <v>166</v>
      </c>
      <c r="DA886" s="16" t="s">
        <v>166</v>
      </c>
      <c r="DB886" s="16" t="s">
        <v>166</v>
      </c>
      <c r="DC886" s="16" t="s">
        <v>166</v>
      </c>
      <c r="DD886" s="16" t="s">
        <v>166</v>
      </c>
      <c r="DE886" s="17" t="s">
        <v>166</v>
      </c>
      <c r="DF886" s="22">
        <v>36</v>
      </c>
      <c r="DG886" s="14" t="s">
        <v>2367</v>
      </c>
      <c r="DH886" s="14" t="s">
        <v>193</v>
      </c>
      <c r="DI886" s="14" t="s">
        <v>194</v>
      </c>
      <c r="DJ886" s="14" t="s">
        <v>2368</v>
      </c>
      <c r="DK886" s="14" t="s">
        <v>2369</v>
      </c>
      <c r="DL886" s="21" t="s">
        <v>166</v>
      </c>
      <c r="DM886" s="14" t="s">
        <v>198</v>
      </c>
      <c r="DN886" s="13" t="s">
        <v>16843</v>
      </c>
      <c r="DO886" s="20">
        <v>2020</v>
      </c>
      <c r="DP886" s="14" t="s">
        <v>166</v>
      </c>
      <c r="DQ886" s="14" t="s">
        <v>166</v>
      </c>
      <c r="DR886" s="18" t="s">
        <v>166</v>
      </c>
      <c r="DS886" s="16" t="s">
        <v>166</v>
      </c>
      <c r="DT886" s="19" t="s">
        <v>166</v>
      </c>
      <c r="DU886" s="14" t="s">
        <v>166</v>
      </c>
      <c r="DV886" s="18" t="s">
        <v>166</v>
      </c>
      <c r="DW886" s="18" t="s">
        <v>166</v>
      </c>
      <c r="DX886" s="16" t="s">
        <v>166</v>
      </c>
      <c r="DY886" s="16" t="s">
        <v>166</v>
      </c>
      <c r="DZ886" s="17" t="s">
        <v>166</v>
      </c>
      <c r="EA886" s="16" t="s">
        <v>166</v>
      </c>
      <c r="EB886" s="16" t="s">
        <v>166</v>
      </c>
      <c r="EC886" s="16" t="s">
        <v>166</v>
      </c>
      <c r="ED886" s="17" t="s">
        <v>166</v>
      </c>
      <c r="EE886" s="17" t="s">
        <v>166</v>
      </c>
      <c r="EF886" s="17" t="s">
        <v>166</v>
      </c>
      <c r="EG886" s="17" t="s">
        <v>166</v>
      </c>
      <c r="EH886" s="16" t="s">
        <v>166</v>
      </c>
      <c r="EI886" s="16" t="s">
        <v>166</v>
      </c>
      <c r="EJ886" s="16" t="s">
        <v>166</v>
      </c>
      <c r="EK886" s="16" t="s">
        <v>166</v>
      </c>
      <c r="EL886" s="16" t="s">
        <v>166</v>
      </c>
      <c r="EM886" s="16" t="s">
        <v>166</v>
      </c>
      <c r="EN886" s="16" t="s">
        <v>166</v>
      </c>
      <c r="EO886" s="16" t="s">
        <v>166</v>
      </c>
      <c r="EP886" s="16" t="s">
        <v>166</v>
      </c>
      <c r="EQ886" s="16" t="s">
        <v>166</v>
      </c>
      <c r="ER886" s="16" t="s">
        <v>166</v>
      </c>
      <c r="ES886" s="16" t="s">
        <v>166</v>
      </c>
      <c r="ET886" s="14" t="s">
        <v>166</v>
      </c>
      <c r="EU886" s="16" t="s">
        <v>166</v>
      </c>
      <c r="EV886" s="16" t="s">
        <v>166</v>
      </c>
      <c r="EW886" s="16" t="s">
        <v>166</v>
      </c>
      <c r="EX886" s="14" t="s">
        <v>190</v>
      </c>
      <c r="EY886" s="14" t="s">
        <v>166</v>
      </c>
      <c r="EZ886" s="16" t="s">
        <v>166</v>
      </c>
      <c r="FA886" s="15" t="s">
        <v>166</v>
      </c>
      <c r="FB886" s="15" t="s">
        <v>166</v>
      </c>
      <c r="FC886" s="15" t="s">
        <v>166</v>
      </c>
      <c r="FD886" s="15" t="s">
        <v>166</v>
      </c>
      <c r="FE886" s="15" t="s">
        <v>166</v>
      </c>
      <c r="FF886" s="15" t="s">
        <v>166</v>
      </c>
      <c r="FG886" s="14" t="s">
        <v>166</v>
      </c>
      <c r="FH886" s="3">
        <f>HYPERLINK("https://my.pitchbook.com?c=192479-68T","View Company Online")</f>
      </c>
    </row>
    <row r="887">
      <c r="A887" s="25" t="s">
        <v>16844</v>
      </c>
      <c r="B887" s="25" t="s">
        <v>16845</v>
      </c>
      <c r="C887" s="25" t="s">
        <v>16846</v>
      </c>
      <c r="D887" s="25" t="s">
        <v>166</v>
      </c>
      <c r="E887" s="34" t="s">
        <v>16847</v>
      </c>
      <c r="F887" s="32">
        <v>2</v>
      </c>
      <c r="G887" s="25" t="s">
        <v>16848</v>
      </c>
      <c r="H887" s="25" t="s">
        <v>166</v>
      </c>
      <c r="I887" s="25" t="s">
        <v>16849</v>
      </c>
      <c r="J887" s="25" t="s">
        <v>16850</v>
      </c>
      <c r="K887" s="25" t="s">
        <v>207</v>
      </c>
      <c r="L887" s="25" t="s">
        <v>208</v>
      </c>
      <c r="M887" s="25" t="s">
        <v>209</v>
      </c>
      <c r="N887" s="25" t="s">
        <v>1875</v>
      </c>
      <c r="O887" s="25" t="s">
        <v>16851</v>
      </c>
      <c r="P887" s="25" t="s">
        <v>16852</v>
      </c>
      <c r="Q887" s="25" t="s">
        <v>166</v>
      </c>
      <c r="R887" s="25" t="s">
        <v>177</v>
      </c>
      <c r="S887" s="25" t="s">
        <v>178</v>
      </c>
      <c r="T887" s="25" t="s">
        <v>179</v>
      </c>
      <c r="U887" s="25" t="s">
        <v>16853</v>
      </c>
      <c r="V887" s="25" t="s">
        <v>16854</v>
      </c>
      <c r="W887" s="32" t="s">
        <v>16855</v>
      </c>
      <c r="X887" s="25" t="s">
        <v>16856</v>
      </c>
      <c r="Y887" s="25" t="s">
        <v>16857</v>
      </c>
      <c r="Z887" s="25" t="s">
        <v>166</v>
      </c>
      <c r="AA887" s="25" t="s">
        <v>166</v>
      </c>
      <c r="AB887" s="25" t="s">
        <v>166</v>
      </c>
      <c r="AC887" s="25" t="s">
        <v>166</v>
      </c>
      <c r="AD887" s="25" t="s">
        <v>166</v>
      </c>
      <c r="AE887" s="25" t="s">
        <v>166</v>
      </c>
      <c r="AF887" s="25" t="s">
        <v>166</v>
      </c>
      <c r="AG887" s="25" t="s">
        <v>166</v>
      </c>
      <c r="AH887" s="32">
        <v>1</v>
      </c>
      <c r="AI887" s="4">
        <f>HYPERLINK("https://my.pitchbook.com/?d=243951-04T","243951-04T")</f>
      </c>
      <c r="AJ887" s="30" t="s">
        <v>166</v>
      </c>
      <c r="AK887" s="30">
        <v>45159</v>
      </c>
      <c r="AL887" s="29">
        <v>1.78</v>
      </c>
      <c r="AM887" s="25" t="s">
        <v>185</v>
      </c>
      <c r="AN887" s="29" t="s">
        <v>166</v>
      </c>
      <c r="AO887" s="29" t="s">
        <v>166</v>
      </c>
      <c r="AP887" s="25" t="s">
        <v>166</v>
      </c>
      <c r="AQ887" s="32" t="s">
        <v>166</v>
      </c>
      <c r="AR887" s="32" t="s">
        <v>166</v>
      </c>
      <c r="AS887" s="28" t="s">
        <v>166</v>
      </c>
      <c r="AT887" s="29">
        <v>1.78</v>
      </c>
      <c r="AU887" s="32" t="s">
        <v>186</v>
      </c>
      <c r="AV887" s="32" t="s">
        <v>166</v>
      </c>
      <c r="AW887" s="29" t="s">
        <v>166</v>
      </c>
      <c r="AX887" s="32" t="s">
        <v>166</v>
      </c>
      <c r="AY887" s="25" t="s">
        <v>187</v>
      </c>
      <c r="AZ887" s="25" t="s">
        <v>166</v>
      </c>
      <c r="BA887" s="25" t="s">
        <v>166</v>
      </c>
      <c r="BB887" s="32" t="s">
        <v>166</v>
      </c>
      <c r="BC887" s="25" t="s">
        <v>179</v>
      </c>
      <c r="BD887" s="25" t="s">
        <v>16850</v>
      </c>
      <c r="BE887" s="25" t="s">
        <v>189</v>
      </c>
      <c r="BF887" s="29">
        <v>1.78</v>
      </c>
      <c r="BG887" s="25" t="s">
        <v>190</v>
      </c>
      <c r="BH887" s="25" t="s">
        <v>166</v>
      </c>
      <c r="BI887" s="25" t="s">
        <v>166</v>
      </c>
      <c r="BJ887" s="29" t="s">
        <v>166</v>
      </c>
      <c r="BK887" s="29" t="s">
        <v>166</v>
      </c>
      <c r="BL887" s="25" t="s">
        <v>191</v>
      </c>
      <c r="BM887" s="25" t="s">
        <v>178</v>
      </c>
      <c r="BN887" s="25" t="s">
        <v>177</v>
      </c>
      <c r="BO887" s="33" t="s">
        <v>166</v>
      </c>
      <c r="BP887" s="25" t="s">
        <v>16858</v>
      </c>
      <c r="BQ887" s="32">
        <v>2</v>
      </c>
      <c r="BR887" s="25" t="s">
        <v>166</v>
      </c>
      <c r="BS887" s="32" t="s">
        <v>166</v>
      </c>
      <c r="BT887" s="25" t="s">
        <v>166</v>
      </c>
      <c r="BU887" s="25" t="s">
        <v>166</v>
      </c>
      <c r="BV887" s="25" t="s">
        <v>166</v>
      </c>
      <c r="BW887" s="25" t="s">
        <v>166</v>
      </c>
      <c r="BX887" s="25" t="s">
        <v>166</v>
      </c>
      <c r="BY887" s="25" t="s">
        <v>166</v>
      </c>
      <c r="BZ887" s="25" t="s">
        <v>16859</v>
      </c>
      <c r="CA887" s="25" t="s">
        <v>166</v>
      </c>
      <c r="CB887" s="25" t="s">
        <v>166</v>
      </c>
      <c r="CC887" s="25" t="s">
        <v>16859</v>
      </c>
      <c r="CD887" s="25" t="s">
        <v>166</v>
      </c>
      <c r="CE887" s="29" t="s">
        <v>166</v>
      </c>
      <c r="CF887" s="27" t="s">
        <v>166</v>
      </c>
      <c r="CG887" s="28" t="s">
        <v>166</v>
      </c>
      <c r="CH887" s="27" t="s">
        <v>166</v>
      </c>
      <c r="CI887" s="27" t="s">
        <v>166</v>
      </c>
      <c r="CJ887" s="27" t="s">
        <v>166</v>
      </c>
      <c r="CK887" s="27" t="s">
        <v>166</v>
      </c>
      <c r="CL887" s="27" t="s">
        <v>166</v>
      </c>
      <c r="CM887" s="31" t="s">
        <v>166</v>
      </c>
      <c r="CN887" s="27" t="s">
        <v>166</v>
      </c>
      <c r="CO887" s="27" t="s">
        <v>166</v>
      </c>
      <c r="CP887" s="27" t="s">
        <v>166</v>
      </c>
      <c r="CQ887" s="27" t="s">
        <v>166</v>
      </c>
      <c r="CR887" s="27" t="s">
        <v>166</v>
      </c>
      <c r="CS887" s="27" t="s">
        <v>166</v>
      </c>
      <c r="CT887" s="27" t="s">
        <v>166</v>
      </c>
      <c r="CU887" s="27" t="s">
        <v>166</v>
      </c>
      <c r="CV887" s="27" t="s">
        <v>166</v>
      </c>
      <c r="CW887" s="27" t="s">
        <v>166</v>
      </c>
      <c r="CX887" s="27" t="s">
        <v>166</v>
      </c>
      <c r="CY887" s="27" t="s">
        <v>166</v>
      </c>
      <c r="CZ887" s="27" t="s">
        <v>166</v>
      </c>
      <c r="DA887" s="27" t="s">
        <v>166</v>
      </c>
      <c r="DB887" s="27" t="s">
        <v>166</v>
      </c>
      <c r="DC887" s="27" t="s">
        <v>166</v>
      </c>
      <c r="DD887" s="27" t="s">
        <v>166</v>
      </c>
      <c r="DE887" s="28" t="s">
        <v>166</v>
      </c>
      <c r="DF887" s="33">
        <v>8</v>
      </c>
      <c r="DG887" s="25" t="s">
        <v>673</v>
      </c>
      <c r="DH887" s="25" t="s">
        <v>193</v>
      </c>
      <c r="DI887" s="25" t="s">
        <v>194</v>
      </c>
      <c r="DJ887" s="25" t="s">
        <v>674</v>
      </c>
      <c r="DK887" s="25" t="s">
        <v>257</v>
      </c>
      <c r="DL887" s="32" t="s">
        <v>1599</v>
      </c>
      <c r="DM887" s="25" t="s">
        <v>198</v>
      </c>
      <c r="DN887" s="24" t="s">
        <v>16860</v>
      </c>
      <c r="DO887" s="31">
        <v>2023</v>
      </c>
      <c r="DP887" s="25" t="s">
        <v>166</v>
      </c>
      <c r="DQ887" s="25" t="s">
        <v>166</v>
      </c>
      <c r="DR887" s="29" t="s">
        <v>166</v>
      </c>
      <c r="DS887" s="27" t="s">
        <v>166</v>
      </c>
      <c r="DT887" s="30" t="s">
        <v>166</v>
      </c>
      <c r="DU887" s="25" t="s">
        <v>166</v>
      </c>
      <c r="DV887" s="29" t="s">
        <v>166</v>
      </c>
      <c r="DW887" s="29" t="s">
        <v>166</v>
      </c>
      <c r="DX887" s="27" t="s">
        <v>166</v>
      </c>
      <c r="DY887" s="27" t="s">
        <v>166</v>
      </c>
      <c r="DZ887" s="28" t="s">
        <v>166</v>
      </c>
      <c r="EA887" s="27" t="s">
        <v>166</v>
      </c>
      <c r="EB887" s="27" t="s">
        <v>166</v>
      </c>
      <c r="EC887" s="27" t="s">
        <v>166</v>
      </c>
      <c r="ED887" s="28" t="s">
        <v>166</v>
      </c>
      <c r="EE887" s="28" t="s">
        <v>166</v>
      </c>
      <c r="EF887" s="28" t="s">
        <v>166</v>
      </c>
      <c r="EG887" s="28" t="s">
        <v>166</v>
      </c>
      <c r="EH887" s="27" t="s">
        <v>166</v>
      </c>
      <c r="EI887" s="27" t="s">
        <v>166</v>
      </c>
      <c r="EJ887" s="27" t="s">
        <v>166</v>
      </c>
      <c r="EK887" s="27" t="s">
        <v>166</v>
      </c>
      <c r="EL887" s="27" t="s">
        <v>166</v>
      </c>
      <c r="EM887" s="27" t="s">
        <v>166</v>
      </c>
      <c r="EN887" s="27" t="s">
        <v>166</v>
      </c>
      <c r="EO887" s="27" t="s">
        <v>166</v>
      </c>
      <c r="EP887" s="27" t="s">
        <v>166</v>
      </c>
      <c r="EQ887" s="27" t="s">
        <v>166</v>
      </c>
      <c r="ER887" s="27" t="s">
        <v>166</v>
      </c>
      <c r="ES887" s="27" t="s">
        <v>166</v>
      </c>
      <c r="ET887" s="25" t="s">
        <v>166</v>
      </c>
      <c r="EU887" s="27" t="s">
        <v>166</v>
      </c>
      <c r="EV887" s="27" t="s">
        <v>166</v>
      </c>
      <c r="EW887" s="27" t="s">
        <v>166</v>
      </c>
      <c r="EX887" s="25" t="s">
        <v>190</v>
      </c>
      <c r="EY887" s="25" t="s">
        <v>166</v>
      </c>
      <c r="EZ887" s="27" t="s">
        <v>166</v>
      </c>
      <c r="FA887" s="26" t="s">
        <v>166</v>
      </c>
      <c r="FB887" s="26" t="s">
        <v>166</v>
      </c>
      <c r="FC887" s="26" t="s">
        <v>166</v>
      </c>
      <c r="FD887" s="26" t="s">
        <v>166</v>
      </c>
      <c r="FE887" s="26" t="s">
        <v>166</v>
      </c>
      <c r="FF887" s="26" t="s">
        <v>166</v>
      </c>
      <c r="FG887" s="25" t="s">
        <v>166</v>
      </c>
      <c r="FH887" s="4">
        <f>HYPERLINK("https://my.pitchbook.com?c=243951-04T","View Company Online")</f>
      </c>
    </row>
    <row r="888">
      <c r="A888" s="14" t="s">
        <v>16861</v>
      </c>
      <c r="B888" s="14" t="s">
        <v>16862</v>
      </c>
      <c r="C888" s="14" t="s">
        <v>16863</v>
      </c>
      <c r="D888" s="14" t="s">
        <v>166</v>
      </c>
      <c r="E888" s="23" t="s">
        <v>16864</v>
      </c>
      <c r="F888" s="21">
        <v>2</v>
      </c>
      <c r="G888" s="14" t="s">
        <v>16865</v>
      </c>
      <c r="H888" s="14" t="s">
        <v>166</v>
      </c>
      <c r="I888" s="14" t="s">
        <v>16866</v>
      </c>
      <c r="J888" s="14" t="s">
        <v>16867</v>
      </c>
      <c r="K888" s="14" t="s">
        <v>171</v>
      </c>
      <c r="L888" s="14" t="s">
        <v>172</v>
      </c>
      <c r="M888" s="14" t="s">
        <v>1689</v>
      </c>
      <c r="N888" s="14" t="s">
        <v>16868</v>
      </c>
      <c r="O888" s="14" t="s">
        <v>16869</v>
      </c>
      <c r="P888" s="14" t="s">
        <v>16870</v>
      </c>
      <c r="Q888" s="14" t="s">
        <v>166</v>
      </c>
      <c r="R888" s="14" t="s">
        <v>177</v>
      </c>
      <c r="S888" s="14" t="s">
        <v>178</v>
      </c>
      <c r="T888" s="14" t="s">
        <v>179</v>
      </c>
      <c r="U888" s="14" t="s">
        <v>16871</v>
      </c>
      <c r="V888" s="14" t="s">
        <v>16872</v>
      </c>
      <c r="W888" s="21" t="s">
        <v>166</v>
      </c>
      <c r="X888" s="14" t="s">
        <v>16873</v>
      </c>
      <c r="Y888" s="14" t="s">
        <v>16874</v>
      </c>
      <c r="Z888" s="14" t="s">
        <v>14844</v>
      </c>
      <c r="AA888" s="14" t="s">
        <v>166</v>
      </c>
      <c r="AB888" s="14" t="s">
        <v>166</v>
      </c>
      <c r="AC888" s="14" t="s">
        <v>166</v>
      </c>
      <c r="AD888" s="14" t="s">
        <v>166</v>
      </c>
      <c r="AE888" s="14" t="s">
        <v>166</v>
      </c>
      <c r="AF888" s="14" t="s">
        <v>166</v>
      </c>
      <c r="AG888" s="14" t="s">
        <v>166</v>
      </c>
      <c r="AH888" s="21">
        <v>1</v>
      </c>
      <c r="AI888" s="3">
        <f>HYPERLINK("https://my.pitchbook.com/?d=164136-79T","164136-79T")</f>
      </c>
      <c r="AJ888" s="19" t="s">
        <v>166</v>
      </c>
      <c r="AK888" s="19">
        <v>44133</v>
      </c>
      <c r="AL888" s="18">
        <v>0.5</v>
      </c>
      <c r="AM888" s="14" t="s">
        <v>185</v>
      </c>
      <c r="AN888" s="18" t="s">
        <v>166</v>
      </c>
      <c r="AO888" s="18" t="s">
        <v>166</v>
      </c>
      <c r="AP888" s="14" t="s">
        <v>166</v>
      </c>
      <c r="AQ888" s="21" t="s">
        <v>166</v>
      </c>
      <c r="AR888" s="21" t="s">
        <v>166</v>
      </c>
      <c r="AS888" s="17" t="s">
        <v>166</v>
      </c>
      <c r="AT888" s="18">
        <v>0.5</v>
      </c>
      <c r="AU888" s="21" t="s">
        <v>186</v>
      </c>
      <c r="AV888" s="21" t="s">
        <v>166</v>
      </c>
      <c r="AW888" s="18" t="s">
        <v>166</v>
      </c>
      <c r="AX888" s="21" t="s">
        <v>166</v>
      </c>
      <c r="AY888" s="14" t="s">
        <v>217</v>
      </c>
      <c r="AZ888" s="14" t="s">
        <v>217</v>
      </c>
      <c r="BA888" s="14" t="s">
        <v>166</v>
      </c>
      <c r="BB888" s="21" t="s">
        <v>166</v>
      </c>
      <c r="BC888" s="14" t="s">
        <v>179</v>
      </c>
      <c r="BD888" s="14" t="s">
        <v>16875</v>
      </c>
      <c r="BE888" s="14" t="s">
        <v>189</v>
      </c>
      <c r="BF888" s="18">
        <v>0.5</v>
      </c>
      <c r="BG888" s="14" t="s">
        <v>190</v>
      </c>
      <c r="BH888" s="14" t="s">
        <v>166</v>
      </c>
      <c r="BI888" s="14" t="s">
        <v>166</v>
      </c>
      <c r="BJ888" s="18" t="s">
        <v>166</v>
      </c>
      <c r="BK888" s="18" t="s">
        <v>166</v>
      </c>
      <c r="BL888" s="14" t="s">
        <v>191</v>
      </c>
      <c r="BM888" s="14" t="s">
        <v>178</v>
      </c>
      <c r="BN888" s="14" t="s">
        <v>177</v>
      </c>
      <c r="BO888" s="22" t="s">
        <v>166</v>
      </c>
      <c r="BP888" s="14" t="s">
        <v>16864</v>
      </c>
      <c r="BQ888" s="21">
        <v>2</v>
      </c>
      <c r="BR888" s="14" t="s">
        <v>166</v>
      </c>
      <c r="BS888" s="21" t="s">
        <v>166</v>
      </c>
      <c r="BT888" s="14" t="s">
        <v>166</v>
      </c>
      <c r="BU888" s="14" t="s">
        <v>166</v>
      </c>
      <c r="BV888" s="14" t="s">
        <v>16876</v>
      </c>
      <c r="BW888" s="14" t="s">
        <v>166</v>
      </c>
      <c r="BX888" s="14" t="s">
        <v>166</v>
      </c>
      <c r="BY888" s="14" t="s">
        <v>166</v>
      </c>
      <c r="BZ888" s="14" t="s">
        <v>166</v>
      </c>
      <c r="CA888" s="14" t="s">
        <v>166</v>
      </c>
      <c r="CB888" s="14" t="s">
        <v>166</v>
      </c>
      <c r="CC888" s="14" t="s">
        <v>166</v>
      </c>
      <c r="CD888" s="14" t="s">
        <v>166</v>
      </c>
      <c r="CE888" s="18" t="s">
        <v>166</v>
      </c>
      <c r="CF888" s="16">
        <v>3650</v>
      </c>
      <c r="CG888" s="17" t="s">
        <v>166</v>
      </c>
      <c r="CH888" s="16" t="s">
        <v>166</v>
      </c>
      <c r="CI888" s="16" t="s">
        <v>166</v>
      </c>
      <c r="CJ888" s="16" t="s">
        <v>166</v>
      </c>
      <c r="CK888" s="16" t="s">
        <v>166</v>
      </c>
      <c r="CL888" s="16" t="s">
        <v>166</v>
      </c>
      <c r="CM888" s="20">
        <v>2020</v>
      </c>
      <c r="CN888" s="16" t="s">
        <v>166</v>
      </c>
      <c r="CO888" s="16" t="s">
        <v>166</v>
      </c>
      <c r="CP888" s="16" t="s">
        <v>166</v>
      </c>
      <c r="CQ888" s="16" t="s">
        <v>166</v>
      </c>
      <c r="CR888" s="16" t="s">
        <v>166</v>
      </c>
      <c r="CS888" s="16" t="s">
        <v>166</v>
      </c>
      <c r="CT888" s="16" t="s">
        <v>166</v>
      </c>
      <c r="CU888" s="16" t="s">
        <v>166</v>
      </c>
      <c r="CV888" s="16">
        <v>0.01</v>
      </c>
      <c r="CW888" s="16" t="s">
        <v>166</v>
      </c>
      <c r="CX888" s="16" t="s">
        <v>166</v>
      </c>
      <c r="CY888" s="16" t="s">
        <v>166</v>
      </c>
      <c r="CZ888" s="16" t="s">
        <v>166</v>
      </c>
      <c r="DA888" s="16" t="s">
        <v>166</v>
      </c>
      <c r="DB888" s="16" t="s">
        <v>166</v>
      </c>
      <c r="DC888" s="16" t="s">
        <v>166</v>
      </c>
      <c r="DD888" s="16" t="s">
        <v>166</v>
      </c>
      <c r="DE888" s="17" t="s">
        <v>166</v>
      </c>
      <c r="DF888" s="22">
        <v>12</v>
      </c>
      <c r="DG888" s="14" t="s">
        <v>893</v>
      </c>
      <c r="DH888" s="14" t="s">
        <v>193</v>
      </c>
      <c r="DI888" s="14" t="s">
        <v>194</v>
      </c>
      <c r="DJ888" s="14" t="s">
        <v>894</v>
      </c>
      <c r="DK888" s="14" t="s">
        <v>257</v>
      </c>
      <c r="DL888" s="21" t="s">
        <v>895</v>
      </c>
      <c r="DM888" s="14" t="s">
        <v>198</v>
      </c>
      <c r="DN888" s="13" t="s">
        <v>16877</v>
      </c>
      <c r="DO888" s="20">
        <v>2020</v>
      </c>
      <c r="DP888" s="14" t="s">
        <v>166</v>
      </c>
      <c r="DQ888" s="14" t="s">
        <v>166</v>
      </c>
      <c r="DR888" s="18" t="s">
        <v>166</v>
      </c>
      <c r="DS888" s="16" t="s">
        <v>166</v>
      </c>
      <c r="DT888" s="19" t="s">
        <v>166</v>
      </c>
      <c r="DU888" s="14" t="s">
        <v>166</v>
      </c>
      <c r="DV888" s="18" t="s">
        <v>166</v>
      </c>
      <c r="DW888" s="18" t="s">
        <v>166</v>
      </c>
      <c r="DX888" s="16" t="s">
        <v>166</v>
      </c>
      <c r="DY888" s="16" t="s">
        <v>166</v>
      </c>
      <c r="DZ888" s="17" t="s">
        <v>166</v>
      </c>
      <c r="EA888" s="16" t="s">
        <v>166</v>
      </c>
      <c r="EB888" s="16" t="s">
        <v>166</v>
      </c>
      <c r="EC888" s="16" t="s">
        <v>166</v>
      </c>
      <c r="ED888" s="17" t="s">
        <v>166</v>
      </c>
      <c r="EE888" s="17" t="s">
        <v>166</v>
      </c>
      <c r="EF888" s="17" t="s">
        <v>166</v>
      </c>
      <c r="EG888" s="17" t="s">
        <v>166</v>
      </c>
      <c r="EH888" s="16" t="s">
        <v>166</v>
      </c>
      <c r="EI888" s="16" t="s">
        <v>166</v>
      </c>
      <c r="EJ888" s="16" t="s">
        <v>166</v>
      </c>
      <c r="EK888" s="16" t="s">
        <v>166</v>
      </c>
      <c r="EL888" s="16" t="s">
        <v>166</v>
      </c>
      <c r="EM888" s="16" t="s">
        <v>166</v>
      </c>
      <c r="EN888" s="16" t="s">
        <v>166</v>
      </c>
      <c r="EO888" s="16" t="s">
        <v>166</v>
      </c>
      <c r="EP888" s="16" t="s">
        <v>166</v>
      </c>
      <c r="EQ888" s="16" t="s">
        <v>166</v>
      </c>
      <c r="ER888" s="16" t="s">
        <v>166</v>
      </c>
      <c r="ES888" s="16" t="s">
        <v>166</v>
      </c>
      <c r="ET888" s="14" t="s">
        <v>166</v>
      </c>
      <c r="EU888" s="16" t="s">
        <v>166</v>
      </c>
      <c r="EV888" s="16" t="s">
        <v>166</v>
      </c>
      <c r="EW888" s="16" t="s">
        <v>166</v>
      </c>
      <c r="EX888" s="14" t="s">
        <v>190</v>
      </c>
      <c r="EY888" s="14" t="s">
        <v>166</v>
      </c>
      <c r="EZ888" s="16" t="s">
        <v>166</v>
      </c>
      <c r="FA888" s="15" t="s">
        <v>166</v>
      </c>
      <c r="FB888" s="15" t="s">
        <v>166</v>
      </c>
      <c r="FC888" s="15" t="s">
        <v>166</v>
      </c>
      <c r="FD888" s="15" t="s">
        <v>166</v>
      </c>
      <c r="FE888" s="15" t="s">
        <v>166</v>
      </c>
      <c r="FF888" s="15" t="s">
        <v>166</v>
      </c>
      <c r="FG888" s="14" t="s">
        <v>166</v>
      </c>
      <c r="FH888" s="3">
        <f>HYPERLINK("https://my.pitchbook.com?c=164136-79T","View Company Online")</f>
      </c>
    </row>
    <row r="889">
      <c r="A889" s="25" t="s">
        <v>16878</v>
      </c>
      <c r="B889" s="25" t="s">
        <v>16879</v>
      </c>
      <c r="C889" s="25" t="s">
        <v>16880</v>
      </c>
      <c r="D889" s="25" t="s">
        <v>166</v>
      </c>
      <c r="E889" s="34" t="s">
        <v>16881</v>
      </c>
      <c r="F889" s="32">
        <v>3</v>
      </c>
      <c r="G889" s="25" t="s">
        <v>16882</v>
      </c>
      <c r="H889" s="25" t="s">
        <v>166</v>
      </c>
      <c r="I889" s="25" t="s">
        <v>16883</v>
      </c>
      <c r="J889" s="25" t="s">
        <v>16884</v>
      </c>
      <c r="K889" s="25" t="s">
        <v>207</v>
      </c>
      <c r="L889" s="25" t="s">
        <v>208</v>
      </c>
      <c r="M889" s="25" t="s">
        <v>839</v>
      </c>
      <c r="N889" s="25" t="s">
        <v>840</v>
      </c>
      <c r="O889" s="25" t="s">
        <v>2046</v>
      </c>
      <c r="P889" s="25" t="s">
        <v>16885</v>
      </c>
      <c r="Q889" s="25" t="s">
        <v>4762</v>
      </c>
      <c r="R889" s="25" t="s">
        <v>177</v>
      </c>
      <c r="S889" s="25" t="s">
        <v>785</v>
      </c>
      <c r="T889" s="25" t="s">
        <v>179</v>
      </c>
      <c r="U889" s="25" t="s">
        <v>16886</v>
      </c>
      <c r="V889" s="25" t="s">
        <v>16887</v>
      </c>
      <c r="W889" s="32" t="s">
        <v>166</v>
      </c>
      <c r="X889" s="25" t="s">
        <v>16888</v>
      </c>
      <c r="Y889" s="25" t="s">
        <v>16889</v>
      </c>
      <c r="Z889" s="25" t="s">
        <v>166</v>
      </c>
      <c r="AA889" s="25" t="s">
        <v>166</v>
      </c>
      <c r="AB889" s="25" t="s">
        <v>166</v>
      </c>
      <c r="AC889" s="25" t="s">
        <v>166</v>
      </c>
      <c r="AD889" s="25" t="s">
        <v>166</v>
      </c>
      <c r="AE889" s="25" t="s">
        <v>166</v>
      </c>
      <c r="AF889" s="25" t="s">
        <v>166</v>
      </c>
      <c r="AG889" s="25" t="s">
        <v>166</v>
      </c>
      <c r="AH889" s="32">
        <v>1</v>
      </c>
      <c r="AI889" s="4">
        <f>HYPERLINK("https://my.pitchbook.com/?d=170902-18T","170902-18T")</f>
      </c>
      <c r="AJ889" s="30" t="s">
        <v>166</v>
      </c>
      <c r="AK889" s="30">
        <v>44308</v>
      </c>
      <c r="AL889" s="29">
        <v>2.5</v>
      </c>
      <c r="AM889" s="25" t="s">
        <v>185</v>
      </c>
      <c r="AN889" s="29" t="s">
        <v>166</v>
      </c>
      <c r="AO889" s="29" t="s">
        <v>166</v>
      </c>
      <c r="AP889" s="25" t="s">
        <v>166</v>
      </c>
      <c r="AQ889" s="32" t="s">
        <v>166</v>
      </c>
      <c r="AR889" s="32" t="s">
        <v>166</v>
      </c>
      <c r="AS889" s="28" t="s">
        <v>166</v>
      </c>
      <c r="AT889" s="29">
        <v>2.5</v>
      </c>
      <c r="AU889" s="32" t="s">
        <v>186</v>
      </c>
      <c r="AV889" s="32" t="s">
        <v>166</v>
      </c>
      <c r="AW889" s="29" t="s">
        <v>166</v>
      </c>
      <c r="AX889" s="32" t="s">
        <v>166</v>
      </c>
      <c r="AY889" s="25" t="s">
        <v>217</v>
      </c>
      <c r="AZ889" s="25" t="s">
        <v>217</v>
      </c>
      <c r="BA889" s="25" t="s">
        <v>166</v>
      </c>
      <c r="BB889" s="32" t="s">
        <v>166</v>
      </c>
      <c r="BC889" s="25" t="s">
        <v>179</v>
      </c>
      <c r="BD889" s="25" t="s">
        <v>16890</v>
      </c>
      <c r="BE889" s="25" t="s">
        <v>189</v>
      </c>
      <c r="BF889" s="29">
        <v>2.5</v>
      </c>
      <c r="BG889" s="25" t="s">
        <v>190</v>
      </c>
      <c r="BH889" s="25" t="s">
        <v>166</v>
      </c>
      <c r="BI889" s="25" t="s">
        <v>166</v>
      </c>
      <c r="BJ889" s="29" t="s">
        <v>166</v>
      </c>
      <c r="BK889" s="29" t="s">
        <v>166</v>
      </c>
      <c r="BL889" s="25" t="s">
        <v>191</v>
      </c>
      <c r="BM889" s="25" t="s">
        <v>785</v>
      </c>
      <c r="BN889" s="25" t="s">
        <v>177</v>
      </c>
      <c r="BO889" s="33" t="s">
        <v>166</v>
      </c>
      <c r="BP889" s="25" t="s">
        <v>16891</v>
      </c>
      <c r="BQ889" s="32">
        <v>3</v>
      </c>
      <c r="BR889" s="25" t="s">
        <v>166</v>
      </c>
      <c r="BS889" s="32" t="s">
        <v>166</v>
      </c>
      <c r="BT889" s="25" t="s">
        <v>166</v>
      </c>
      <c r="BU889" s="25" t="s">
        <v>166</v>
      </c>
      <c r="BV889" s="25" t="s">
        <v>16892</v>
      </c>
      <c r="BW889" s="25" t="s">
        <v>166</v>
      </c>
      <c r="BX889" s="25" t="s">
        <v>166</v>
      </c>
      <c r="BY889" s="25" t="s">
        <v>166</v>
      </c>
      <c r="BZ889" s="25" t="s">
        <v>16893</v>
      </c>
      <c r="CA889" s="25" t="s">
        <v>166</v>
      </c>
      <c r="CB889" s="25" t="s">
        <v>166</v>
      </c>
      <c r="CC889" s="25" t="s">
        <v>16893</v>
      </c>
      <c r="CD889" s="25" t="s">
        <v>166</v>
      </c>
      <c r="CE889" s="29" t="s">
        <v>166</v>
      </c>
      <c r="CF889" s="27" t="s">
        <v>166</v>
      </c>
      <c r="CG889" s="28" t="s">
        <v>166</v>
      </c>
      <c r="CH889" s="27" t="s">
        <v>166</v>
      </c>
      <c r="CI889" s="27" t="s">
        <v>166</v>
      </c>
      <c r="CJ889" s="27" t="s">
        <v>166</v>
      </c>
      <c r="CK889" s="27" t="s">
        <v>166</v>
      </c>
      <c r="CL889" s="27" t="s">
        <v>166</v>
      </c>
      <c r="CM889" s="31" t="s">
        <v>166</v>
      </c>
      <c r="CN889" s="27" t="s">
        <v>166</v>
      </c>
      <c r="CO889" s="27" t="s">
        <v>166</v>
      </c>
      <c r="CP889" s="27" t="s">
        <v>166</v>
      </c>
      <c r="CQ889" s="27" t="s">
        <v>166</v>
      </c>
      <c r="CR889" s="27" t="s">
        <v>166</v>
      </c>
      <c r="CS889" s="27" t="s">
        <v>166</v>
      </c>
      <c r="CT889" s="27" t="s">
        <v>166</v>
      </c>
      <c r="CU889" s="27" t="s">
        <v>166</v>
      </c>
      <c r="CV889" s="27" t="s">
        <v>166</v>
      </c>
      <c r="CW889" s="27" t="s">
        <v>166</v>
      </c>
      <c r="CX889" s="27" t="s">
        <v>166</v>
      </c>
      <c r="CY889" s="27" t="s">
        <v>166</v>
      </c>
      <c r="CZ889" s="27" t="s">
        <v>166</v>
      </c>
      <c r="DA889" s="27" t="s">
        <v>166</v>
      </c>
      <c r="DB889" s="27" t="s">
        <v>166</v>
      </c>
      <c r="DC889" s="27" t="s">
        <v>166</v>
      </c>
      <c r="DD889" s="27" t="s">
        <v>166</v>
      </c>
      <c r="DE889" s="28" t="s">
        <v>166</v>
      </c>
      <c r="DF889" s="33">
        <v>8</v>
      </c>
      <c r="DG889" s="25" t="s">
        <v>673</v>
      </c>
      <c r="DH889" s="25" t="s">
        <v>193</v>
      </c>
      <c r="DI889" s="25" t="s">
        <v>194</v>
      </c>
      <c r="DJ889" s="25" t="s">
        <v>674</v>
      </c>
      <c r="DK889" s="25" t="s">
        <v>257</v>
      </c>
      <c r="DL889" s="32" t="s">
        <v>1599</v>
      </c>
      <c r="DM889" s="25" t="s">
        <v>198</v>
      </c>
      <c r="DN889" s="24" t="s">
        <v>16894</v>
      </c>
      <c r="DO889" s="31">
        <v>2020</v>
      </c>
      <c r="DP889" s="25" t="s">
        <v>166</v>
      </c>
      <c r="DQ889" s="25" t="s">
        <v>166</v>
      </c>
      <c r="DR889" s="29" t="s">
        <v>166</v>
      </c>
      <c r="DS889" s="27" t="s">
        <v>166</v>
      </c>
      <c r="DT889" s="30" t="s">
        <v>166</v>
      </c>
      <c r="DU889" s="25" t="s">
        <v>166</v>
      </c>
      <c r="DV889" s="29" t="s">
        <v>166</v>
      </c>
      <c r="DW889" s="29" t="s">
        <v>166</v>
      </c>
      <c r="DX889" s="27" t="s">
        <v>166</v>
      </c>
      <c r="DY889" s="27" t="s">
        <v>166</v>
      </c>
      <c r="DZ889" s="28" t="s">
        <v>166</v>
      </c>
      <c r="EA889" s="27" t="s">
        <v>166</v>
      </c>
      <c r="EB889" s="27" t="s">
        <v>166</v>
      </c>
      <c r="EC889" s="27" t="s">
        <v>166</v>
      </c>
      <c r="ED889" s="28" t="s">
        <v>166</v>
      </c>
      <c r="EE889" s="28" t="s">
        <v>166</v>
      </c>
      <c r="EF889" s="28" t="s">
        <v>166</v>
      </c>
      <c r="EG889" s="28" t="s">
        <v>166</v>
      </c>
      <c r="EH889" s="27" t="s">
        <v>166</v>
      </c>
      <c r="EI889" s="27" t="s">
        <v>166</v>
      </c>
      <c r="EJ889" s="27" t="s">
        <v>166</v>
      </c>
      <c r="EK889" s="27" t="s">
        <v>166</v>
      </c>
      <c r="EL889" s="27" t="s">
        <v>166</v>
      </c>
      <c r="EM889" s="27" t="s">
        <v>166</v>
      </c>
      <c r="EN889" s="27" t="s">
        <v>166</v>
      </c>
      <c r="EO889" s="27" t="s">
        <v>166</v>
      </c>
      <c r="EP889" s="27" t="s">
        <v>166</v>
      </c>
      <c r="EQ889" s="27" t="s">
        <v>166</v>
      </c>
      <c r="ER889" s="27" t="s">
        <v>166</v>
      </c>
      <c r="ES889" s="27" t="s">
        <v>166</v>
      </c>
      <c r="ET889" s="25" t="s">
        <v>166</v>
      </c>
      <c r="EU889" s="27" t="s">
        <v>166</v>
      </c>
      <c r="EV889" s="27" t="s">
        <v>166</v>
      </c>
      <c r="EW889" s="27" t="s">
        <v>166</v>
      </c>
      <c r="EX889" s="25" t="s">
        <v>190</v>
      </c>
      <c r="EY889" s="25" t="s">
        <v>166</v>
      </c>
      <c r="EZ889" s="27" t="s">
        <v>166</v>
      </c>
      <c r="FA889" s="26" t="s">
        <v>166</v>
      </c>
      <c r="FB889" s="26" t="s">
        <v>166</v>
      </c>
      <c r="FC889" s="26" t="s">
        <v>166</v>
      </c>
      <c r="FD889" s="26" t="s">
        <v>166</v>
      </c>
      <c r="FE889" s="26" t="s">
        <v>166</v>
      </c>
      <c r="FF889" s="26" t="s">
        <v>166</v>
      </c>
      <c r="FG889" s="25" t="s">
        <v>166</v>
      </c>
      <c r="FH889" s="4">
        <f>HYPERLINK("https://my.pitchbook.com?c=170902-18T","View Company Online")</f>
      </c>
    </row>
    <row r="890">
      <c r="A890" s="14" t="s">
        <v>16895</v>
      </c>
      <c r="B890" s="14" t="s">
        <v>16896</v>
      </c>
      <c r="C890" s="14" t="s">
        <v>16897</v>
      </c>
      <c r="D890" s="14" t="s">
        <v>166</v>
      </c>
      <c r="E890" s="23" t="s">
        <v>16898</v>
      </c>
      <c r="F890" s="21">
        <v>2</v>
      </c>
      <c r="G890" s="14" t="s">
        <v>16899</v>
      </c>
      <c r="H890" s="14" t="s">
        <v>166</v>
      </c>
      <c r="I890" s="14" t="s">
        <v>16900</v>
      </c>
      <c r="J890" s="14" t="s">
        <v>16901</v>
      </c>
      <c r="K890" s="14" t="s">
        <v>207</v>
      </c>
      <c r="L890" s="14" t="s">
        <v>208</v>
      </c>
      <c r="M890" s="14" t="s">
        <v>296</v>
      </c>
      <c r="N890" s="14" t="s">
        <v>1052</v>
      </c>
      <c r="O890" s="14" t="s">
        <v>325</v>
      </c>
      <c r="P890" s="14" t="s">
        <v>16902</v>
      </c>
      <c r="Q890" s="14" t="s">
        <v>166</v>
      </c>
      <c r="R890" s="14" t="s">
        <v>177</v>
      </c>
      <c r="S890" s="14" t="s">
        <v>178</v>
      </c>
      <c r="T890" s="14" t="s">
        <v>179</v>
      </c>
      <c r="U890" s="14" t="s">
        <v>16903</v>
      </c>
      <c r="V890" s="14" t="s">
        <v>16904</v>
      </c>
      <c r="W890" s="21" t="s">
        <v>16905</v>
      </c>
      <c r="X890" s="14" t="s">
        <v>16906</v>
      </c>
      <c r="Y890" s="14" t="s">
        <v>16907</v>
      </c>
      <c r="Z890" s="14" t="s">
        <v>16908</v>
      </c>
      <c r="AA890" s="14" t="s">
        <v>166</v>
      </c>
      <c r="AB890" s="14" t="s">
        <v>166</v>
      </c>
      <c r="AC890" s="14" t="s">
        <v>166</v>
      </c>
      <c r="AD890" s="14" t="s">
        <v>166</v>
      </c>
      <c r="AE890" s="14" t="s">
        <v>166</v>
      </c>
      <c r="AF890" s="14" t="s">
        <v>166</v>
      </c>
      <c r="AG890" s="14" t="s">
        <v>166</v>
      </c>
      <c r="AH890" s="21">
        <v>4</v>
      </c>
      <c r="AI890" s="3">
        <f>HYPERLINK("https://my.pitchbook.com/?d=206226-91T","206226-91T")</f>
      </c>
      <c r="AJ890" s="19" t="s">
        <v>166</v>
      </c>
      <c r="AK890" s="19">
        <v>44835</v>
      </c>
      <c r="AL890" s="18">
        <v>0.23</v>
      </c>
      <c r="AM890" s="14" t="s">
        <v>247</v>
      </c>
      <c r="AN890" s="18">
        <v>3.77</v>
      </c>
      <c r="AO890" s="18">
        <v>4</v>
      </c>
      <c r="AP890" s="14" t="s">
        <v>185</v>
      </c>
      <c r="AQ890" s="21" t="s">
        <v>166</v>
      </c>
      <c r="AR890" s="21" t="s">
        <v>166</v>
      </c>
      <c r="AS890" s="17" t="s">
        <v>166</v>
      </c>
      <c r="AT890" s="18">
        <v>0.4</v>
      </c>
      <c r="AU890" s="21" t="s">
        <v>186</v>
      </c>
      <c r="AV890" s="21" t="s">
        <v>166</v>
      </c>
      <c r="AW890" s="18" t="s">
        <v>166</v>
      </c>
      <c r="AX890" s="21" t="s">
        <v>166</v>
      </c>
      <c r="AY890" s="14" t="s">
        <v>187</v>
      </c>
      <c r="AZ890" s="14" t="s">
        <v>166</v>
      </c>
      <c r="BA890" s="14" t="s">
        <v>166</v>
      </c>
      <c r="BB890" s="21" t="s">
        <v>166</v>
      </c>
      <c r="BC890" s="14" t="s">
        <v>179</v>
      </c>
      <c r="BD890" s="14" t="s">
        <v>16909</v>
      </c>
      <c r="BE890" s="14" t="s">
        <v>189</v>
      </c>
      <c r="BF890" s="18">
        <v>0.23</v>
      </c>
      <c r="BG890" s="14" t="s">
        <v>190</v>
      </c>
      <c r="BH890" s="14" t="s">
        <v>166</v>
      </c>
      <c r="BI890" s="14" t="s">
        <v>166</v>
      </c>
      <c r="BJ890" s="18" t="s">
        <v>166</v>
      </c>
      <c r="BK890" s="18" t="s">
        <v>166</v>
      </c>
      <c r="BL890" s="14" t="s">
        <v>191</v>
      </c>
      <c r="BM890" s="14" t="s">
        <v>178</v>
      </c>
      <c r="BN890" s="14" t="s">
        <v>177</v>
      </c>
      <c r="BO890" s="22">
        <v>6</v>
      </c>
      <c r="BP890" s="14" t="s">
        <v>16898</v>
      </c>
      <c r="BQ890" s="21">
        <v>2</v>
      </c>
      <c r="BR890" s="14" t="s">
        <v>166</v>
      </c>
      <c r="BS890" s="21" t="s">
        <v>166</v>
      </c>
      <c r="BT890" s="14" t="s">
        <v>166</v>
      </c>
      <c r="BU890" s="14" t="s">
        <v>166</v>
      </c>
      <c r="BV890" s="14" t="s">
        <v>16910</v>
      </c>
      <c r="BW890" s="14" t="s">
        <v>166</v>
      </c>
      <c r="BX890" s="14" t="s">
        <v>166</v>
      </c>
      <c r="BY890" s="14" t="s">
        <v>166</v>
      </c>
      <c r="BZ890" s="14" t="s">
        <v>166</v>
      </c>
      <c r="CA890" s="14" t="s">
        <v>166</v>
      </c>
      <c r="CB890" s="14" t="s">
        <v>166</v>
      </c>
      <c r="CC890" s="14" t="s">
        <v>166</v>
      </c>
      <c r="CD890" s="14" t="s">
        <v>166</v>
      </c>
      <c r="CE890" s="18" t="s">
        <v>166</v>
      </c>
      <c r="CF890" s="16">
        <v>0.05</v>
      </c>
      <c r="CG890" s="17">
        <v>66.67</v>
      </c>
      <c r="CH890" s="16" t="s">
        <v>166</v>
      </c>
      <c r="CI890" s="16" t="s">
        <v>166</v>
      </c>
      <c r="CJ890" s="16" t="s">
        <v>166</v>
      </c>
      <c r="CK890" s="16" t="s">
        <v>166</v>
      </c>
      <c r="CL890" s="16" t="s">
        <v>166</v>
      </c>
      <c r="CM890" s="20">
        <v>2022</v>
      </c>
      <c r="CN890" s="16" t="s">
        <v>166</v>
      </c>
      <c r="CO890" s="16" t="s">
        <v>166</v>
      </c>
      <c r="CP890" s="16" t="s">
        <v>166</v>
      </c>
      <c r="CQ890" s="16">
        <v>80</v>
      </c>
      <c r="CR890" s="16" t="s">
        <v>166</v>
      </c>
      <c r="CS890" s="16" t="s">
        <v>166</v>
      </c>
      <c r="CT890" s="16" t="s">
        <v>166</v>
      </c>
      <c r="CU890" s="16" t="s">
        <v>166</v>
      </c>
      <c r="CV890" s="16">
        <v>4.54</v>
      </c>
      <c r="CW890" s="16" t="s">
        <v>166</v>
      </c>
      <c r="CX890" s="16" t="s">
        <v>166</v>
      </c>
      <c r="CY890" s="16" t="s">
        <v>166</v>
      </c>
      <c r="CZ890" s="16" t="s">
        <v>166</v>
      </c>
      <c r="DA890" s="16" t="s">
        <v>166</v>
      </c>
      <c r="DB890" s="16" t="s">
        <v>166</v>
      </c>
      <c r="DC890" s="16" t="s">
        <v>166</v>
      </c>
      <c r="DD890" s="16" t="s">
        <v>166</v>
      </c>
      <c r="DE890" s="17" t="s">
        <v>166</v>
      </c>
      <c r="DF890" s="22">
        <v>6</v>
      </c>
      <c r="DG890" s="14" t="s">
        <v>673</v>
      </c>
      <c r="DH890" s="14" t="s">
        <v>193</v>
      </c>
      <c r="DI890" s="14" t="s">
        <v>194</v>
      </c>
      <c r="DJ890" s="14" t="s">
        <v>674</v>
      </c>
      <c r="DK890" s="14" t="s">
        <v>257</v>
      </c>
      <c r="DL890" s="21" t="s">
        <v>1329</v>
      </c>
      <c r="DM890" s="14" t="s">
        <v>198</v>
      </c>
      <c r="DN890" s="13" t="s">
        <v>16911</v>
      </c>
      <c r="DO890" s="20" t="s">
        <v>166</v>
      </c>
      <c r="DP890" s="14" t="s">
        <v>166</v>
      </c>
      <c r="DQ890" s="14" t="s">
        <v>166</v>
      </c>
      <c r="DR890" s="18" t="s">
        <v>166</v>
      </c>
      <c r="DS890" s="16" t="s">
        <v>166</v>
      </c>
      <c r="DT890" s="19" t="s">
        <v>166</v>
      </c>
      <c r="DU890" s="14" t="s">
        <v>166</v>
      </c>
      <c r="DV890" s="18" t="s">
        <v>166</v>
      </c>
      <c r="DW890" s="18" t="s">
        <v>166</v>
      </c>
      <c r="DX890" s="16" t="s">
        <v>166</v>
      </c>
      <c r="DY890" s="16" t="s">
        <v>166</v>
      </c>
      <c r="DZ890" s="17" t="s">
        <v>166</v>
      </c>
      <c r="EA890" s="16" t="s">
        <v>166</v>
      </c>
      <c r="EB890" s="16" t="s">
        <v>166</v>
      </c>
      <c r="EC890" s="16" t="s">
        <v>166</v>
      </c>
      <c r="ED890" s="17" t="s">
        <v>166</v>
      </c>
      <c r="EE890" s="17" t="s">
        <v>166</v>
      </c>
      <c r="EF890" s="17" t="s">
        <v>166</v>
      </c>
      <c r="EG890" s="17" t="s">
        <v>166</v>
      </c>
      <c r="EH890" s="16" t="s">
        <v>166</v>
      </c>
      <c r="EI890" s="16" t="s">
        <v>166</v>
      </c>
      <c r="EJ890" s="16" t="s">
        <v>166</v>
      </c>
      <c r="EK890" s="16" t="s">
        <v>166</v>
      </c>
      <c r="EL890" s="16" t="s">
        <v>166</v>
      </c>
      <c r="EM890" s="16" t="s">
        <v>166</v>
      </c>
      <c r="EN890" s="16" t="s">
        <v>166</v>
      </c>
      <c r="EO890" s="16" t="s">
        <v>166</v>
      </c>
      <c r="EP890" s="16" t="s">
        <v>166</v>
      </c>
      <c r="EQ890" s="16" t="s">
        <v>166</v>
      </c>
      <c r="ER890" s="16" t="s">
        <v>166</v>
      </c>
      <c r="ES890" s="16" t="s">
        <v>166</v>
      </c>
      <c r="ET890" s="14" t="s">
        <v>166</v>
      </c>
      <c r="EU890" s="16" t="s">
        <v>166</v>
      </c>
      <c r="EV890" s="16" t="s">
        <v>166</v>
      </c>
      <c r="EW890" s="16" t="s">
        <v>166</v>
      </c>
      <c r="EX890" s="14" t="s">
        <v>190</v>
      </c>
      <c r="EY890" s="14" t="s">
        <v>166</v>
      </c>
      <c r="EZ890" s="16" t="s">
        <v>166</v>
      </c>
      <c r="FA890" s="15" t="s">
        <v>166</v>
      </c>
      <c r="FB890" s="15" t="s">
        <v>166</v>
      </c>
      <c r="FC890" s="15" t="s">
        <v>166</v>
      </c>
      <c r="FD890" s="15" t="s">
        <v>166</v>
      </c>
      <c r="FE890" s="15" t="s">
        <v>166</v>
      </c>
      <c r="FF890" s="15" t="s">
        <v>166</v>
      </c>
      <c r="FG890" s="14" t="s">
        <v>166</v>
      </c>
      <c r="FH890" s="3">
        <f>HYPERLINK("https://my.pitchbook.com?c=206226-91T","View Company Online")</f>
      </c>
    </row>
    <row r="891">
      <c r="A891" s="25" t="s">
        <v>16912</v>
      </c>
      <c r="B891" s="25" t="s">
        <v>16913</v>
      </c>
      <c r="C891" s="25" t="s">
        <v>16914</v>
      </c>
      <c r="D891" s="25" t="s">
        <v>166</v>
      </c>
      <c r="E891" s="34" t="s">
        <v>16915</v>
      </c>
      <c r="F891" s="32">
        <v>7</v>
      </c>
      <c r="G891" s="25" t="s">
        <v>16916</v>
      </c>
      <c r="H891" s="25" t="s">
        <v>166</v>
      </c>
      <c r="I891" s="25" t="s">
        <v>16917</v>
      </c>
      <c r="J891" s="25" t="s">
        <v>16918</v>
      </c>
      <c r="K891" s="25" t="s">
        <v>207</v>
      </c>
      <c r="L891" s="25" t="s">
        <v>208</v>
      </c>
      <c r="M891" s="25" t="s">
        <v>209</v>
      </c>
      <c r="N891" s="25" t="s">
        <v>684</v>
      </c>
      <c r="O891" s="25" t="s">
        <v>16919</v>
      </c>
      <c r="P891" s="25" t="s">
        <v>16920</v>
      </c>
      <c r="Q891" s="25" t="s">
        <v>166</v>
      </c>
      <c r="R891" s="25" t="s">
        <v>177</v>
      </c>
      <c r="S891" s="25" t="s">
        <v>178</v>
      </c>
      <c r="T891" s="25" t="s">
        <v>179</v>
      </c>
      <c r="U891" s="25" t="s">
        <v>16921</v>
      </c>
      <c r="V891" s="25" t="s">
        <v>16922</v>
      </c>
      <c r="W891" s="32" t="s">
        <v>16923</v>
      </c>
      <c r="X891" s="25" t="s">
        <v>16924</v>
      </c>
      <c r="Y891" s="25" t="s">
        <v>16925</v>
      </c>
      <c r="Z891" s="25" t="s">
        <v>166</v>
      </c>
      <c r="AA891" s="25" t="s">
        <v>166</v>
      </c>
      <c r="AB891" s="25" t="s">
        <v>166</v>
      </c>
      <c r="AC891" s="25" t="s">
        <v>166</v>
      </c>
      <c r="AD891" s="25" t="s">
        <v>166</v>
      </c>
      <c r="AE891" s="25" t="s">
        <v>166</v>
      </c>
      <c r="AF891" s="25" t="s">
        <v>166</v>
      </c>
      <c r="AG891" s="25" t="s">
        <v>166</v>
      </c>
      <c r="AH891" s="32">
        <v>3</v>
      </c>
      <c r="AI891" s="4">
        <f>HYPERLINK("https://my.pitchbook.com/?d=254304-91T","254304-91T")</f>
      </c>
      <c r="AJ891" s="30">
        <v>45350</v>
      </c>
      <c r="AK891" s="30">
        <v>45377</v>
      </c>
      <c r="AL891" s="29">
        <v>1.5</v>
      </c>
      <c r="AM891" s="25" t="s">
        <v>185</v>
      </c>
      <c r="AN891" s="29">
        <v>4.5</v>
      </c>
      <c r="AO891" s="29">
        <v>6</v>
      </c>
      <c r="AP891" s="25" t="s">
        <v>185</v>
      </c>
      <c r="AQ891" s="32" t="s">
        <v>166</v>
      </c>
      <c r="AR891" s="32" t="s">
        <v>166</v>
      </c>
      <c r="AS891" s="28">
        <v>0.83</v>
      </c>
      <c r="AT891" s="29">
        <v>1.5</v>
      </c>
      <c r="AU891" s="32" t="s">
        <v>186</v>
      </c>
      <c r="AV891" s="32" t="s">
        <v>166</v>
      </c>
      <c r="AW891" s="29" t="s">
        <v>166</v>
      </c>
      <c r="AX891" s="32" t="s">
        <v>166</v>
      </c>
      <c r="AY891" s="25" t="s">
        <v>217</v>
      </c>
      <c r="AZ891" s="25" t="s">
        <v>217</v>
      </c>
      <c r="BA891" s="25" t="s">
        <v>166</v>
      </c>
      <c r="BB891" s="32" t="s">
        <v>166</v>
      </c>
      <c r="BC891" s="25" t="s">
        <v>179</v>
      </c>
      <c r="BD891" s="25" t="s">
        <v>16926</v>
      </c>
      <c r="BE891" s="25" t="s">
        <v>189</v>
      </c>
      <c r="BF891" s="29" t="s">
        <v>166</v>
      </c>
      <c r="BG891" s="25" t="s">
        <v>190</v>
      </c>
      <c r="BH891" s="25" t="s">
        <v>166</v>
      </c>
      <c r="BI891" s="25" t="s">
        <v>166</v>
      </c>
      <c r="BJ891" s="29" t="s">
        <v>166</v>
      </c>
      <c r="BK891" s="29" t="s">
        <v>166</v>
      </c>
      <c r="BL891" s="25" t="s">
        <v>191</v>
      </c>
      <c r="BM891" s="25" t="s">
        <v>178</v>
      </c>
      <c r="BN891" s="25" t="s">
        <v>177</v>
      </c>
      <c r="BO891" s="33" t="s">
        <v>166</v>
      </c>
      <c r="BP891" s="25" t="s">
        <v>16927</v>
      </c>
      <c r="BQ891" s="32">
        <v>7</v>
      </c>
      <c r="BR891" s="25" t="s">
        <v>166</v>
      </c>
      <c r="BS891" s="32" t="s">
        <v>166</v>
      </c>
      <c r="BT891" s="25" t="s">
        <v>16928</v>
      </c>
      <c r="BU891" s="25" t="s">
        <v>166</v>
      </c>
      <c r="BV891" s="25" t="s">
        <v>16929</v>
      </c>
      <c r="BW891" s="25" t="s">
        <v>166</v>
      </c>
      <c r="BX891" s="25" t="s">
        <v>166</v>
      </c>
      <c r="BY891" s="25" t="s">
        <v>166</v>
      </c>
      <c r="BZ891" s="25" t="s">
        <v>16930</v>
      </c>
      <c r="CA891" s="25" t="s">
        <v>1327</v>
      </c>
      <c r="CB891" s="25" t="s">
        <v>166</v>
      </c>
      <c r="CC891" s="25" t="s">
        <v>16931</v>
      </c>
      <c r="CD891" s="25" t="s">
        <v>166</v>
      </c>
      <c r="CE891" s="29" t="s">
        <v>166</v>
      </c>
      <c r="CF891" s="27" t="s">
        <v>166</v>
      </c>
      <c r="CG891" s="28" t="s">
        <v>166</v>
      </c>
      <c r="CH891" s="27" t="s">
        <v>166</v>
      </c>
      <c r="CI891" s="27" t="s">
        <v>166</v>
      </c>
      <c r="CJ891" s="27" t="s">
        <v>166</v>
      </c>
      <c r="CK891" s="27" t="s">
        <v>166</v>
      </c>
      <c r="CL891" s="27" t="s">
        <v>166</v>
      </c>
      <c r="CM891" s="31" t="s">
        <v>166</v>
      </c>
      <c r="CN891" s="27" t="s">
        <v>166</v>
      </c>
      <c r="CO891" s="27" t="s">
        <v>166</v>
      </c>
      <c r="CP891" s="27" t="s">
        <v>166</v>
      </c>
      <c r="CQ891" s="27" t="s">
        <v>166</v>
      </c>
      <c r="CR891" s="27" t="s">
        <v>166</v>
      </c>
      <c r="CS891" s="27" t="s">
        <v>166</v>
      </c>
      <c r="CT891" s="27" t="s">
        <v>166</v>
      </c>
      <c r="CU891" s="27" t="s">
        <v>166</v>
      </c>
      <c r="CV891" s="27" t="s">
        <v>166</v>
      </c>
      <c r="CW891" s="27" t="s">
        <v>166</v>
      </c>
      <c r="CX891" s="27" t="s">
        <v>166</v>
      </c>
      <c r="CY891" s="27" t="s">
        <v>166</v>
      </c>
      <c r="CZ891" s="27" t="s">
        <v>166</v>
      </c>
      <c r="DA891" s="27" t="s">
        <v>166</v>
      </c>
      <c r="DB891" s="27" t="s">
        <v>166</v>
      </c>
      <c r="DC891" s="27" t="s">
        <v>166</v>
      </c>
      <c r="DD891" s="27" t="s">
        <v>166</v>
      </c>
      <c r="DE891" s="28" t="s">
        <v>166</v>
      </c>
      <c r="DF891" s="33">
        <v>9</v>
      </c>
      <c r="DG891" s="25" t="s">
        <v>13630</v>
      </c>
      <c r="DH891" s="25" t="s">
        <v>193</v>
      </c>
      <c r="DI891" s="25" t="s">
        <v>194</v>
      </c>
      <c r="DJ891" s="25" t="s">
        <v>13631</v>
      </c>
      <c r="DK891" s="25" t="s">
        <v>1251</v>
      </c>
      <c r="DL891" s="32" t="s">
        <v>166</v>
      </c>
      <c r="DM891" s="25" t="s">
        <v>198</v>
      </c>
      <c r="DN891" s="24" t="s">
        <v>16932</v>
      </c>
      <c r="DO891" s="31">
        <v>2023</v>
      </c>
      <c r="DP891" s="25" t="s">
        <v>166</v>
      </c>
      <c r="DQ891" s="25" t="s">
        <v>166</v>
      </c>
      <c r="DR891" s="29" t="s">
        <v>166</v>
      </c>
      <c r="DS891" s="27" t="s">
        <v>166</v>
      </c>
      <c r="DT891" s="30" t="s">
        <v>166</v>
      </c>
      <c r="DU891" s="25" t="s">
        <v>166</v>
      </c>
      <c r="DV891" s="29" t="s">
        <v>166</v>
      </c>
      <c r="DW891" s="29" t="s">
        <v>166</v>
      </c>
      <c r="DX891" s="27" t="s">
        <v>166</v>
      </c>
      <c r="DY891" s="27" t="s">
        <v>166</v>
      </c>
      <c r="DZ891" s="28" t="s">
        <v>166</v>
      </c>
      <c r="EA891" s="27" t="s">
        <v>166</v>
      </c>
      <c r="EB891" s="27" t="s">
        <v>166</v>
      </c>
      <c r="EC891" s="27" t="s">
        <v>166</v>
      </c>
      <c r="ED891" s="28" t="s">
        <v>166</v>
      </c>
      <c r="EE891" s="28" t="s">
        <v>166</v>
      </c>
      <c r="EF891" s="28" t="s">
        <v>166</v>
      </c>
      <c r="EG891" s="28" t="s">
        <v>166</v>
      </c>
      <c r="EH891" s="27" t="s">
        <v>166</v>
      </c>
      <c r="EI891" s="27" t="s">
        <v>166</v>
      </c>
      <c r="EJ891" s="27" t="s">
        <v>166</v>
      </c>
      <c r="EK891" s="27" t="s">
        <v>166</v>
      </c>
      <c r="EL891" s="27" t="s">
        <v>166</v>
      </c>
      <c r="EM891" s="27" t="s">
        <v>166</v>
      </c>
      <c r="EN891" s="27" t="s">
        <v>166</v>
      </c>
      <c r="EO891" s="27" t="s">
        <v>166</v>
      </c>
      <c r="EP891" s="27" t="s">
        <v>166</v>
      </c>
      <c r="EQ891" s="27" t="s">
        <v>166</v>
      </c>
      <c r="ER891" s="27" t="s">
        <v>166</v>
      </c>
      <c r="ES891" s="27" t="s">
        <v>166</v>
      </c>
      <c r="ET891" s="25" t="s">
        <v>166</v>
      </c>
      <c r="EU891" s="27" t="s">
        <v>166</v>
      </c>
      <c r="EV891" s="27" t="s">
        <v>166</v>
      </c>
      <c r="EW891" s="27" t="s">
        <v>166</v>
      </c>
      <c r="EX891" s="25" t="s">
        <v>190</v>
      </c>
      <c r="EY891" s="25" t="s">
        <v>166</v>
      </c>
      <c r="EZ891" s="27" t="s">
        <v>166</v>
      </c>
      <c r="FA891" s="26" t="s">
        <v>166</v>
      </c>
      <c r="FB891" s="26" t="s">
        <v>166</v>
      </c>
      <c r="FC891" s="26" t="s">
        <v>166</v>
      </c>
      <c r="FD891" s="26" t="s">
        <v>166</v>
      </c>
      <c r="FE891" s="26" t="s">
        <v>166</v>
      </c>
      <c r="FF891" s="26" t="s">
        <v>166</v>
      </c>
      <c r="FG891" s="25" t="s">
        <v>166</v>
      </c>
      <c r="FH891" s="4">
        <f>HYPERLINK("https://my.pitchbook.com?c=254304-91T","View Company Online")</f>
      </c>
    </row>
    <row r="892">
      <c r="A892" s="14" t="s">
        <v>16933</v>
      </c>
      <c r="B892" s="14" t="s">
        <v>16934</v>
      </c>
      <c r="C892" s="14" t="s">
        <v>16935</v>
      </c>
      <c r="D892" s="14" t="s">
        <v>166</v>
      </c>
      <c r="E892" s="23" t="s">
        <v>16936</v>
      </c>
      <c r="F892" s="21">
        <v>2</v>
      </c>
      <c r="G892" s="14" t="s">
        <v>16937</v>
      </c>
      <c r="H892" s="14" t="s">
        <v>166</v>
      </c>
      <c r="I892" s="14" t="s">
        <v>16938</v>
      </c>
      <c r="J892" s="14" t="s">
        <v>16939</v>
      </c>
      <c r="K892" s="14" t="s">
        <v>207</v>
      </c>
      <c r="L892" s="14" t="s">
        <v>208</v>
      </c>
      <c r="M892" s="14" t="s">
        <v>639</v>
      </c>
      <c r="N892" s="14" t="s">
        <v>4526</v>
      </c>
      <c r="O892" s="14" t="s">
        <v>1842</v>
      </c>
      <c r="P892" s="14" t="s">
        <v>16940</v>
      </c>
      <c r="Q892" s="14" t="s">
        <v>166</v>
      </c>
      <c r="R892" s="14" t="s">
        <v>177</v>
      </c>
      <c r="S892" s="14" t="s">
        <v>178</v>
      </c>
      <c r="T892" s="14" t="s">
        <v>179</v>
      </c>
      <c r="U892" s="14" t="s">
        <v>16941</v>
      </c>
      <c r="V892" s="14" t="s">
        <v>16942</v>
      </c>
      <c r="W892" s="21" t="s">
        <v>166</v>
      </c>
      <c r="X892" s="14" t="s">
        <v>16943</v>
      </c>
      <c r="Y892" s="14" t="s">
        <v>16944</v>
      </c>
      <c r="Z892" s="14" t="s">
        <v>16945</v>
      </c>
      <c r="AA892" s="14" t="s">
        <v>166</v>
      </c>
      <c r="AB892" s="14" t="s">
        <v>166</v>
      </c>
      <c r="AC892" s="14" t="s">
        <v>166</v>
      </c>
      <c r="AD892" s="14" t="s">
        <v>166</v>
      </c>
      <c r="AE892" s="14" t="s">
        <v>166</v>
      </c>
      <c r="AF892" s="14" t="s">
        <v>166</v>
      </c>
      <c r="AG892" s="14" t="s">
        <v>166</v>
      </c>
      <c r="AH892" s="21">
        <v>1</v>
      </c>
      <c r="AI892" s="3">
        <f>HYPERLINK("https://my.pitchbook.com/?d=243947-62T","243947-62T")</f>
      </c>
      <c r="AJ892" s="19" t="s">
        <v>166</v>
      </c>
      <c r="AK892" s="19">
        <v>45223</v>
      </c>
      <c r="AL892" s="18">
        <v>7</v>
      </c>
      <c r="AM892" s="14" t="s">
        <v>185</v>
      </c>
      <c r="AN892" s="18" t="s">
        <v>166</v>
      </c>
      <c r="AO892" s="18" t="s">
        <v>166</v>
      </c>
      <c r="AP892" s="14" t="s">
        <v>166</v>
      </c>
      <c r="AQ892" s="21" t="s">
        <v>166</v>
      </c>
      <c r="AR892" s="21" t="s">
        <v>166</v>
      </c>
      <c r="AS892" s="17" t="s">
        <v>166</v>
      </c>
      <c r="AT892" s="18">
        <v>7</v>
      </c>
      <c r="AU892" s="21" t="s">
        <v>186</v>
      </c>
      <c r="AV892" s="21" t="s">
        <v>166</v>
      </c>
      <c r="AW892" s="18" t="s">
        <v>166</v>
      </c>
      <c r="AX892" s="21" t="s">
        <v>166</v>
      </c>
      <c r="AY892" s="14" t="s">
        <v>217</v>
      </c>
      <c r="AZ892" s="14" t="s">
        <v>217</v>
      </c>
      <c r="BA892" s="14" t="s">
        <v>166</v>
      </c>
      <c r="BB892" s="21" t="s">
        <v>166</v>
      </c>
      <c r="BC892" s="14" t="s">
        <v>179</v>
      </c>
      <c r="BD892" s="14" t="s">
        <v>16939</v>
      </c>
      <c r="BE892" s="14" t="s">
        <v>189</v>
      </c>
      <c r="BF892" s="18">
        <v>7</v>
      </c>
      <c r="BG892" s="14" t="s">
        <v>190</v>
      </c>
      <c r="BH892" s="14" t="s">
        <v>166</v>
      </c>
      <c r="BI892" s="14" t="s">
        <v>166</v>
      </c>
      <c r="BJ892" s="18" t="s">
        <v>166</v>
      </c>
      <c r="BK892" s="18" t="s">
        <v>166</v>
      </c>
      <c r="BL892" s="14" t="s">
        <v>191</v>
      </c>
      <c r="BM892" s="14" t="s">
        <v>178</v>
      </c>
      <c r="BN892" s="14" t="s">
        <v>177</v>
      </c>
      <c r="BO892" s="22" t="s">
        <v>166</v>
      </c>
      <c r="BP892" s="14" t="s">
        <v>16946</v>
      </c>
      <c r="BQ892" s="21">
        <v>2</v>
      </c>
      <c r="BR892" s="14" t="s">
        <v>166</v>
      </c>
      <c r="BS892" s="21" t="s">
        <v>166</v>
      </c>
      <c r="BT892" s="14" t="s">
        <v>16947</v>
      </c>
      <c r="BU892" s="14" t="s">
        <v>166</v>
      </c>
      <c r="BV892" s="14" t="s">
        <v>166</v>
      </c>
      <c r="BW892" s="14" t="s">
        <v>166</v>
      </c>
      <c r="BX892" s="14" t="s">
        <v>166</v>
      </c>
      <c r="BY892" s="14" t="s">
        <v>166</v>
      </c>
      <c r="BZ892" s="14" t="s">
        <v>166</v>
      </c>
      <c r="CA892" s="14" t="s">
        <v>166</v>
      </c>
      <c r="CB892" s="14" t="s">
        <v>166</v>
      </c>
      <c r="CC892" s="14" t="s">
        <v>166</v>
      </c>
      <c r="CD892" s="14" t="s">
        <v>166</v>
      </c>
      <c r="CE892" s="18" t="s">
        <v>166</v>
      </c>
      <c r="CF892" s="16" t="s">
        <v>166</v>
      </c>
      <c r="CG892" s="17" t="s">
        <v>166</v>
      </c>
      <c r="CH892" s="16" t="s">
        <v>166</v>
      </c>
      <c r="CI892" s="16" t="s">
        <v>166</v>
      </c>
      <c r="CJ892" s="16" t="s">
        <v>166</v>
      </c>
      <c r="CK892" s="16" t="s">
        <v>166</v>
      </c>
      <c r="CL892" s="16" t="s">
        <v>166</v>
      </c>
      <c r="CM892" s="20" t="s">
        <v>166</v>
      </c>
      <c r="CN892" s="16" t="s">
        <v>166</v>
      </c>
      <c r="CO892" s="16" t="s">
        <v>166</v>
      </c>
      <c r="CP892" s="16" t="s">
        <v>166</v>
      </c>
      <c r="CQ892" s="16" t="s">
        <v>166</v>
      </c>
      <c r="CR892" s="16" t="s">
        <v>166</v>
      </c>
      <c r="CS892" s="16" t="s">
        <v>166</v>
      </c>
      <c r="CT892" s="16" t="s">
        <v>166</v>
      </c>
      <c r="CU892" s="16" t="s">
        <v>166</v>
      </c>
      <c r="CV892" s="16" t="s">
        <v>166</v>
      </c>
      <c r="CW892" s="16" t="s">
        <v>166</v>
      </c>
      <c r="CX892" s="16" t="s">
        <v>166</v>
      </c>
      <c r="CY892" s="16" t="s">
        <v>166</v>
      </c>
      <c r="CZ892" s="16" t="s">
        <v>166</v>
      </c>
      <c r="DA892" s="16" t="s">
        <v>166</v>
      </c>
      <c r="DB892" s="16" t="s">
        <v>166</v>
      </c>
      <c r="DC892" s="16" t="s">
        <v>166</v>
      </c>
      <c r="DD892" s="16" t="s">
        <v>166</v>
      </c>
      <c r="DE892" s="17" t="s">
        <v>166</v>
      </c>
      <c r="DF892" s="22">
        <v>13</v>
      </c>
      <c r="DG892" s="14" t="s">
        <v>309</v>
      </c>
      <c r="DH892" s="14" t="s">
        <v>193</v>
      </c>
      <c r="DI892" s="14" t="s">
        <v>194</v>
      </c>
      <c r="DJ892" s="14" t="s">
        <v>310</v>
      </c>
      <c r="DK892" s="14" t="s">
        <v>310</v>
      </c>
      <c r="DL892" s="21" t="s">
        <v>5163</v>
      </c>
      <c r="DM892" s="14" t="s">
        <v>198</v>
      </c>
      <c r="DN892" s="13" t="s">
        <v>16948</v>
      </c>
      <c r="DO892" s="20">
        <v>2021</v>
      </c>
      <c r="DP892" s="14" t="s">
        <v>166</v>
      </c>
      <c r="DQ892" s="14" t="s">
        <v>166</v>
      </c>
      <c r="DR892" s="18" t="s">
        <v>166</v>
      </c>
      <c r="DS892" s="16" t="s">
        <v>166</v>
      </c>
      <c r="DT892" s="19" t="s">
        <v>166</v>
      </c>
      <c r="DU892" s="14" t="s">
        <v>166</v>
      </c>
      <c r="DV892" s="18" t="s">
        <v>166</v>
      </c>
      <c r="DW892" s="18" t="s">
        <v>166</v>
      </c>
      <c r="DX892" s="16" t="s">
        <v>166</v>
      </c>
      <c r="DY892" s="16" t="s">
        <v>166</v>
      </c>
      <c r="DZ892" s="17" t="s">
        <v>166</v>
      </c>
      <c r="EA892" s="16" t="s">
        <v>166</v>
      </c>
      <c r="EB892" s="16" t="s">
        <v>166</v>
      </c>
      <c r="EC892" s="16" t="s">
        <v>166</v>
      </c>
      <c r="ED892" s="17" t="s">
        <v>166</v>
      </c>
      <c r="EE892" s="17" t="s">
        <v>166</v>
      </c>
      <c r="EF892" s="17" t="s">
        <v>166</v>
      </c>
      <c r="EG892" s="17" t="s">
        <v>166</v>
      </c>
      <c r="EH892" s="16" t="s">
        <v>166</v>
      </c>
      <c r="EI892" s="16" t="s">
        <v>166</v>
      </c>
      <c r="EJ892" s="16" t="s">
        <v>166</v>
      </c>
      <c r="EK892" s="16" t="s">
        <v>166</v>
      </c>
      <c r="EL892" s="16" t="s">
        <v>166</v>
      </c>
      <c r="EM892" s="16" t="s">
        <v>166</v>
      </c>
      <c r="EN892" s="16" t="s">
        <v>166</v>
      </c>
      <c r="EO892" s="16" t="s">
        <v>166</v>
      </c>
      <c r="EP892" s="16" t="s">
        <v>166</v>
      </c>
      <c r="EQ892" s="16" t="s">
        <v>166</v>
      </c>
      <c r="ER892" s="16" t="s">
        <v>166</v>
      </c>
      <c r="ES892" s="16" t="s">
        <v>166</v>
      </c>
      <c r="ET892" s="14" t="s">
        <v>166</v>
      </c>
      <c r="EU892" s="16" t="s">
        <v>166</v>
      </c>
      <c r="EV892" s="16" t="s">
        <v>166</v>
      </c>
      <c r="EW892" s="16" t="s">
        <v>166</v>
      </c>
      <c r="EX892" s="14" t="s">
        <v>190</v>
      </c>
      <c r="EY892" s="14" t="s">
        <v>166</v>
      </c>
      <c r="EZ892" s="16" t="s">
        <v>166</v>
      </c>
      <c r="FA892" s="15" t="s">
        <v>166</v>
      </c>
      <c r="FB892" s="15" t="s">
        <v>166</v>
      </c>
      <c r="FC892" s="15" t="s">
        <v>166</v>
      </c>
      <c r="FD892" s="15" t="s">
        <v>166</v>
      </c>
      <c r="FE892" s="15" t="s">
        <v>166</v>
      </c>
      <c r="FF892" s="15" t="s">
        <v>166</v>
      </c>
      <c r="FG892" s="14" t="s">
        <v>166</v>
      </c>
      <c r="FH892" s="3">
        <f>HYPERLINK("https://my.pitchbook.com?c=243947-62T","View Company Online")</f>
      </c>
    </row>
    <row r="893">
      <c r="A893" s="25" t="s">
        <v>16949</v>
      </c>
      <c r="B893" s="25" t="s">
        <v>16950</v>
      </c>
      <c r="C893" s="25" t="s">
        <v>16951</v>
      </c>
      <c r="D893" s="25" t="s">
        <v>166</v>
      </c>
      <c r="E893" s="34" t="s">
        <v>16952</v>
      </c>
      <c r="F893" s="32">
        <v>6</v>
      </c>
      <c r="G893" s="25" t="s">
        <v>16953</v>
      </c>
      <c r="H893" s="25" t="s">
        <v>166</v>
      </c>
      <c r="I893" s="25" t="s">
        <v>16954</v>
      </c>
      <c r="J893" s="25" t="s">
        <v>16955</v>
      </c>
      <c r="K893" s="25" t="s">
        <v>207</v>
      </c>
      <c r="L893" s="25" t="s">
        <v>208</v>
      </c>
      <c r="M893" s="25" t="s">
        <v>209</v>
      </c>
      <c r="N893" s="25" t="s">
        <v>396</v>
      </c>
      <c r="O893" s="25" t="s">
        <v>580</v>
      </c>
      <c r="P893" s="25" t="s">
        <v>16956</v>
      </c>
      <c r="Q893" s="25" t="s">
        <v>166</v>
      </c>
      <c r="R893" s="25" t="s">
        <v>177</v>
      </c>
      <c r="S893" s="25" t="s">
        <v>178</v>
      </c>
      <c r="T893" s="25" t="s">
        <v>179</v>
      </c>
      <c r="U893" s="25" t="s">
        <v>16957</v>
      </c>
      <c r="V893" s="25" t="s">
        <v>16958</v>
      </c>
      <c r="W893" s="32" t="s">
        <v>166</v>
      </c>
      <c r="X893" s="25" t="s">
        <v>166</v>
      </c>
      <c r="Y893" s="25" t="s">
        <v>16959</v>
      </c>
      <c r="Z893" s="25" t="s">
        <v>16960</v>
      </c>
      <c r="AA893" s="25" t="s">
        <v>166</v>
      </c>
      <c r="AB893" s="25" t="s">
        <v>166</v>
      </c>
      <c r="AC893" s="25" t="s">
        <v>166</v>
      </c>
      <c r="AD893" s="25" t="s">
        <v>166</v>
      </c>
      <c r="AE893" s="25" t="s">
        <v>166</v>
      </c>
      <c r="AF893" s="25" t="s">
        <v>166</v>
      </c>
      <c r="AG893" s="25" t="s">
        <v>166</v>
      </c>
      <c r="AH893" s="32">
        <v>1</v>
      </c>
      <c r="AI893" s="4">
        <f>HYPERLINK("https://my.pitchbook.com/?d=273597-49T","273597-49T")</f>
      </c>
      <c r="AJ893" s="30" t="s">
        <v>166</v>
      </c>
      <c r="AK893" s="30">
        <v>45566</v>
      </c>
      <c r="AL893" s="29">
        <v>6</v>
      </c>
      <c r="AM893" s="25" t="s">
        <v>166</v>
      </c>
      <c r="AN893" s="29" t="s">
        <v>166</v>
      </c>
      <c r="AO893" s="29" t="s">
        <v>166</v>
      </c>
      <c r="AP893" s="25" t="s">
        <v>166</v>
      </c>
      <c r="AQ893" s="32" t="s">
        <v>166</v>
      </c>
      <c r="AR893" s="32" t="s">
        <v>166</v>
      </c>
      <c r="AS893" s="28" t="s">
        <v>166</v>
      </c>
      <c r="AT893" s="29">
        <v>6</v>
      </c>
      <c r="AU893" s="32" t="s">
        <v>186</v>
      </c>
      <c r="AV893" s="32" t="s">
        <v>166</v>
      </c>
      <c r="AW893" s="29" t="s">
        <v>166</v>
      </c>
      <c r="AX893" s="32" t="s">
        <v>166</v>
      </c>
      <c r="AY893" s="25" t="s">
        <v>217</v>
      </c>
      <c r="AZ893" s="25" t="s">
        <v>217</v>
      </c>
      <c r="BA893" s="25" t="s">
        <v>166</v>
      </c>
      <c r="BB893" s="32" t="s">
        <v>166</v>
      </c>
      <c r="BC893" s="25" t="s">
        <v>179</v>
      </c>
      <c r="BD893" s="25" t="s">
        <v>16961</v>
      </c>
      <c r="BE893" s="25" t="s">
        <v>189</v>
      </c>
      <c r="BF893" s="29">
        <v>6</v>
      </c>
      <c r="BG893" s="25" t="s">
        <v>190</v>
      </c>
      <c r="BH893" s="25" t="s">
        <v>166</v>
      </c>
      <c r="BI893" s="25" t="s">
        <v>166</v>
      </c>
      <c r="BJ893" s="29" t="s">
        <v>166</v>
      </c>
      <c r="BK893" s="29" t="s">
        <v>166</v>
      </c>
      <c r="BL893" s="25" t="s">
        <v>191</v>
      </c>
      <c r="BM893" s="25" t="s">
        <v>178</v>
      </c>
      <c r="BN893" s="25" t="s">
        <v>177</v>
      </c>
      <c r="BO893" s="33" t="s">
        <v>166</v>
      </c>
      <c r="BP893" s="25" t="s">
        <v>16962</v>
      </c>
      <c r="BQ893" s="32">
        <v>6</v>
      </c>
      <c r="BR893" s="25" t="s">
        <v>166</v>
      </c>
      <c r="BS893" s="32" t="s">
        <v>166</v>
      </c>
      <c r="BT893" s="25" t="s">
        <v>16963</v>
      </c>
      <c r="BU893" s="25" t="s">
        <v>166</v>
      </c>
      <c r="BV893" s="25" t="s">
        <v>166</v>
      </c>
      <c r="BW893" s="25" t="s">
        <v>166</v>
      </c>
      <c r="BX893" s="25" t="s">
        <v>166</v>
      </c>
      <c r="BY893" s="25" t="s">
        <v>166</v>
      </c>
      <c r="BZ893" s="25" t="s">
        <v>166</v>
      </c>
      <c r="CA893" s="25" t="s">
        <v>166</v>
      </c>
      <c r="CB893" s="25" t="s">
        <v>166</v>
      </c>
      <c r="CC893" s="25" t="s">
        <v>166</v>
      </c>
      <c r="CD893" s="25" t="s">
        <v>166</v>
      </c>
      <c r="CE893" s="29" t="s">
        <v>166</v>
      </c>
      <c r="CF893" s="27" t="s">
        <v>166</v>
      </c>
      <c r="CG893" s="28" t="s">
        <v>166</v>
      </c>
      <c r="CH893" s="27" t="s">
        <v>166</v>
      </c>
      <c r="CI893" s="27" t="s">
        <v>166</v>
      </c>
      <c r="CJ893" s="27" t="s">
        <v>166</v>
      </c>
      <c r="CK893" s="27" t="s">
        <v>166</v>
      </c>
      <c r="CL893" s="27" t="s">
        <v>166</v>
      </c>
      <c r="CM893" s="31" t="s">
        <v>166</v>
      </c>
      <c r="CN893" s="27" t="s">
        <v>166</v>
      </c>
      <c r="CO893" s="27" t="s">
        <v>166</v>
      </c>
      <c r="CP893" s="27" t="s">
        <v>166</v>
      </c>
      <c r="CQ893" s="27" t="s">
        <v>166</v>
      </c>
      <c r="CR893" s="27" t="s">
        <v>166</v>
      </c>
      <c r="CS893" s="27" t="s">
        <v>166</v>
      </c>
      <c r="CT893" s="27" t="s">
        <v>166</v>
      </c>
      <c r="CU893" s="27" t="s">
        <v>166</v>
      </c>
      <c r="CV893" s="27" t="s">
        <v>166</v>
      </c>
      <c r="CW893" s="27" t="s">
        <v>166</v>
      </c>
      <c r="CX893" s="27" t="s">
        <v>166</v>
      </c>
      <c r="CY893" s="27" t="s">
        <v>166</v>
      </c>
      <c r="CZ893" s="27" t="s">
        <v>166</v>
      </c>
      <c r="DA893" s="27" t="s">
        <v>166</v>
      </c>
      <c r="DB893" s="27" t="s">
        <v>166</v>
      </c>
      <c r="DC893" s="27" t="s">
        <v>166</v>
      </c>
      <c r="DD893" s="27" t="s">
        <v>166</v>
      </c>
      <c r="DE893" s="28" t="s">
        <v>166</v>
      </c>
      <c r="DF893" s="33">
        <v>9</v>
      </c>
      <c r="DG893" s="25" t="s">
        <v>309</v>
      </c>
      <c r="DH893" s="25" t="s">
        <v>193</v>
      </c>
      <c r="DI893" s="25" t="s">
        <v>194</v>
      </c>
      <c r="DJ893" s="25" t="s">
        <v>310</v>
      </c>
      <c r="DK893" s="25" t="s">
        <v>310</v>
      </c>
      <c r="DL893" s="32" t="s">
        <v>479</v>
      </c>
      <c r="DM893" s="25" t="s">
        <v>198</v>
      </c>
      <c r="DN893" s="24" t="s">
        <v>16964</v>
      </c>
      <c r="DO893" s="31">
        <v>2023</v>
      </c>
      <c r="DP893" s="25" t="s">
        <v>166</v>
      </c>
      <c r="DQ893" s="25" t="s">
        <v>166</v>
      </c>
      <c r="DR893" s="29" t="s">
        <v>166</v>
      </c>
      <c r="DS893" s="27" t="s">
        <v>166</v>
      </c>
      <c r="DT893" s="30" t="s">
        <v>166</v>
      </c>
      <c r="DU893" s="25" t="s">
        <v>166</v>
      </c>
      <c r="DV893" s="29" t="s">
        <v>166</v>
      </c>
      <c r="DW893" s="29" t="s">
        <v>166</v>
      </c>
      <c r="DX893" s="27" t="s">
        <v>166</v>
      </c>
      <c r="DY893" s="27" t="s">
        <v>166</v>
      </c>
      <c r="DZ893" s="28" t="s">
        <v>166</v>
      </c>
      <c r="EA893" s="27" t="s">
        <v>166</v>
      </c>
      <c r="EB893" s="27" t="s">
        <v>166</v>
      </c>
      <c r="EC893" s="27" t="s">
        <v>166</v>
      </c>
      <c r="ED893" s="28" t="s">
        <v>166</v>
      </c>
      <c r="EE893" s="28" t="s">
        <v>166</v>
      </c>
      <c r="EF893" s="28" t="s">
        <v>166</v>
      </c>
      <c r="EG893" s="28" t="s">
        <v>166</v>
      </c>
      <c r="EH893" s="27" t="s">
        <v>166</v>
      </c>
      <c r="EI893" s="27" t="s">
        <v>166</v>
      </c>
      <c r="EJ893" s="27" t="s">
        <v>166</v>
      </c>
      <c r="EK893" s="27" t="s">
        <v>166</v>
      </c>
      <c r="EL893" s="27" t="s">
        <v>166</v>
      </c>
      <c r="EM893" s="27" t="s">
        <v>166</v>
      </c>
      <c r="EN893" s="27" t="s">
        <v>166</v>
      </c>
      <c r="EO893" s="27" t="s">
        <v>166</v>
      </c>
      <c r="EP893" s="27" t="s">
        <v>166</v>
      </c>
      <c r="EQ893" s="27" t="s">
        <v>166</v>
      </c>
      <c r="ER893" s="27" t="s">
        <v>166</v>
      </c>
      <c r="ES893" s="27" t="s">
        <v>166</v>
      </c>
      <c r="ET893" s="25" t="s">
        <v>166</v>
      </c>
      <c r="EU893" s="27" t="s">
        <v>166</v>
      </c>
      <c r="EV893" s="27" t="s">
        <v>166</v>
      </c>
      <c r="EW893" s="27" t="s">
        <v>166</v>
      </c>
      <c r="EX893" s="25" t="s">
        <v>190</v>
      </c>
      <c r="EY893" s="25" t="s">
        <v>166</v>
      </c>
      <c r="EZ893" s="27" t="s">
        <v>166</v>
      </c>
      <c r="FA893" s="26" t="s">
        <v>166</v>
      </c>
      <c r="FB893" s="26" t="s">
        <v>166</v>
      </c>
      <c r="FC893" s="26" t="s">
        <v>166</v>
      </c>
      <c r="FD893" s="26" t="s">
        <v>166</v>
      </c>
      <c r="FE893" s="26" t="s">
        <v>166</v>
      </c>
      <c r="FF893" s="26" t="s">
        <v>166</v>
      </c>
      <c r="FG893" s="25" t="s">
        <v>166</v>
      </c>
      <c r="FH893" s="4">
        <f>HYPERLINK("https://my.pitchbook.com?c=273597-49T","View Company Online")</f>
      </c>
    </row>
    <row r="894">
      <c r="A894" s="14" t="s">
        <v>16965</v>
      </c>
      <c r="B894" s="14" t="s">
        <v>16966</v>
      </c>
      <c r="C894" s="14" t="s">
        <v>16967</v>
      </c>
      <c r="D894" s="14" t="s">
        <v>166</v>
      </c>
      <c r="E894" s="23" t="s">
        <v>16968</v>
      </c>
      <c r="F894" s="21">
        <v>1</v>
      </c>
      <c r="G894" s="14" t="s">
        <v>16969</v>
      </c>
      <c r="H894" s="14" t="s">
        <v>166</v>
      </c>
      <c r="I894" s="14" t="s">
        <v>16970</v>
      </c>
      <c r="J894" s="14" t="s">
        <v>16971</v>
      </c>
      <c r="K894" s="14" t="s">
        <v>207</v>
      </c>
      <c r="L894" s="14" t="s">
        <v>208</v>
      </c>
      <c r="M894" s="14" t="s">
        <v>965</v>
      </c>
      <c r="N894" s="14" t="s">
        <v>966</v>
      </c>
      <c r="O894" s="14" t="s">
        <v>580</v>
      </c>
      <c r="P894" s="14" t="s">
        <v>16972</v>
      </c>
      <c r="Q894" s="14" t="s">
        <v>166</v>
      </c>
      <c r="R894" s="14" t="s">
        <v>177</v>
      </c>
      <c r="S894" s="14" t="s">
        <v>178</v>
      </c>
      <c r="T894" s="14" t="s">
        <v>179</v>
      </c>
      <c r="U894" s="14" t="s">
        <v>16973</v>
      </c>
      <c r="V894" s="14" t="s">
        <v>16974</v>
      </c>
      <c r="W894" s="21" t="s">
        <v>166</v>
      </c>
      <c r="X894" s="14" t="s">
        <v>166</v>
      </c>
      <c r="Y894" s="14" t="s">
        <v>16975</v>
      </c>
      <c r="Z894" s="14" t="s">
        <v>166</v>
      </c>
      <c r="AA894" s="14" t="s">
        <v>166</v>
      </c>
      <c r="AB894" s="14" t="s">
        <v>166</v>
      </c>
      <c r="AC894" s="14" t="s">
        <v>166</v>
      </c>
      <c r="AD894" s="14" t="s">
        <v>166</v>
      </c>
      <c r="AE894" s="14" t="s">
        <v>166</v>
      </c>
      <c r="AF894" s="14" t="s">
        <v>166</v>
      </c>
      <c r="AG894" s="14" t="s">
        <v>166</v>
      </c>
      <c r="AH894" s="21">
        <v>1</v>
      </c>
      <c r="AI894" s="3">
        <f>HYPERLINK("https://my.pitchbook.com/?d=267285-79T","267285-79T")</f>
      </c>
      <c r="AJ894" s="19" t="s">
        <v>166</v>
      </c>
      <c r="AK894" s="19">
        <v>45474</v>
      </c>
      <c r="AL894" s="18">
        <v>1.5</v>
      </c>
      <c r="AM894" s="14" t="s">
        <v>185</v>
      </c>
      <c r="AN894" s="18" t="s">
        <v>166</v>
      </c>
      <c r="AO894" s="18" t="s">
        <v>166</v>
      </c>
      <c r="AP894" s="14" t="s">
        <v>166</v>
      </c>
      <c r="AQ894" s="21" t="s">
        <v>166</v>
      </c>
      <c r="AR894" s="21" t="s">
        <v>166</v>
      </c>
      <c r="AS894" s="17" t="s">
        <v>166</v>
      </c>
      <c r="AT894" s="18">
        <v>1.5</v>
      </c>
      <c r="AU894" s="21" t="s">
        <v>186</v>
      </c>
      <c r="AV894" s="21" t="s">
        <v>166</v>
      </c>
      <c r="AW894" s="18" t="s">
        <v>166</v>
      </c>
      <c r="AX894" s="21" t="s">
        <v>166</v>
      </c>
      <c r="AY894" s="14" t="s">
        <v>217</v>
      </c>
      <c r="AZ894" s="14" t="s">
        <v>217</v>
      </c>
      <c r="BA894" s="14" t="s">
        <v>166</v>
      </c>
      <c r="BB894" s="21" t="s">
        <v>166</v>
      </c>
      <c r="BC894" s="14" t="s">
        <v>179</v>
      </c>
      <c r="BD894" s="14" t="s">
        <v>16971</v>
      </c>
      <c r="BE894" s="14" t="s">
        <v>189</v>
      </c>
      <c r="BF894" s="18">
        <v>1.5</v>
      </c>
      <c r="BG894" s="14" t="s">
        <v>190</v>
      </c>
      <c r="BH894" s="14" t="s">
        <v>166</v>
      </c>
      <c r="BI894" s="14" t="s">
        <v>166</v>
      </c>
      <c r="BJ894" s="18" t="s">
        <v>166</v>
      </c>
      <c r="BK894" s="18" t="s">
        <v>166</v>
      </c>
      <c r="BL894" s="14" t="s">
        <v>191</v>
      </c>
      <c r="BM894" s="14" t="s">
        <v>178</v>
      </c>
      <c r="BN894" s="14" t="s">
        <v>177</v>
      </c>
      <c r="BO894" s="22" t="s">
        <v>166</v>
      </c>
      <c r="BP894" s="14" t="s">
        <v>16976</v>
      </c>
      <c r="BQ894" s="21">
        <v>1</v>
      </c>
      <c r="BR894" s="14" t="s">
        <v>166</v>
      </c>
      <c r="BS894" s="21" t="s">
        <v>166</v>
      </c>
      <c r="BT894" s="14" t="s">
        <v>166</v>
      </c>
      <c r="BU894" s="14" t="s">
        <v>166</v>
      </c>
      <c r="BV894" s="14" t="s">
        <v>166</v>
      </c>
      <c r="BW894" s="14" t="s">
        <v>166</v>
      </c>
      <c r="BX894" s="14" t="s">
        <v>166</v>
      </c>
      <c r="BY894" s="14" t="s">
        <v>166</v>
      </c>
      <c r="BZ894" s="14" t="s">
        <v>166</v>
      </c>
      <c r="CA894" s="14" t="s">
        <v>166</v>
      </c>
      <c r="CB894" s="14" t="s">
        <v>166</v>
      </c>
      <c r="CC894" s="14" t="s">
        <v>166</v>
      </c>
      <c r="CD894" s="14" t="s">
        <v>166</v>
      </c>
      <c r="CE894" s="18" t="s">
        <v>166</v>
      </c>
      <c r="CF894" s="16" t="s">
        <v>166</v>
      </c>
      <c r="CG894" s="17" t="s">
        <v>166</v>
      </c>
      <c r="CH894" s="16" t="s">
        <v>166</v>
      </c>
      <c r="CI894" s="16" t="s">
        <v>166</v>
      </c>
      <c r="CJ894" s="16" t="s">
        <v>166</v>
      </c>
      <c r="CK894" s="16" t="s">
        <v>166</v>
      </c>
      <c r="CL894" s="16" t="s">
        <v>166</v>
      </c>
      <c r="CM894" s="20" t="s">
        <v>166</v>
      </c>
      <c r="CN894" s="16" t="s">
        <v>166</v>
      </c>
      <c r="CO894" s="16" t="s">
        <v>166</v>
      </c>
      <c r="CP894" s="16" t="s">
        <v>166</v>
      </c>
      <c r="CQ894" s="16" t="s">
        <v>166</v>
      </c>
      <c r="CR894" s="16" t="s">
        <v>166</v>
      </c>
      <c r="CS894" s="16" t="s">
        <v>166</v>
      </c>
      <c r="CT894" s="16" t="s">
        <v>166</v>
      </c>
      <c r="CU894" s="16" t="s">
        <v>166</v>
      </c>
      <c r="CV894" s="16" t="s">
        <v>166</v>
      </c>
      <c r="CW894" s="16" t="s">
        <v>166</v>
      </c>
      <c r="CX894" s="16" t="s">
        <v>166</v>
      </c>
      <c r="CY894" s="16" t="s">
        <v>166</v>
      </c>
      <c r="CZ894" s="16" t="s">
        <v>166</v>
      </c>
      <c r="DA894" s="16" t="s">
        <v>166</v>
      </c>
      <c r="DB894" s="16" t="s">
        <v>166</v>
      </c>
      <c r="DC894" s="16" t="s">
        <v>166</v>
      </c>
      <c r="DD894" s="16" t="s">
        <v>166</v>
      </c>
      <c r="DE894" s="17" t="s">
        <v>166</v>
      </c>
      <c r="DF894" s="22">
        <v>3</v>
      </c>
      <c r="DG894" s="14" t="s">
        <v>1517</v>
      </c>
      <c r="DH894" s="14" t="s">
        <v>193</v>
      </c>
      <c r="DI894" s="14" t="s">
        <v>194</v>
      </c>
      <c r="DJ894" s="14" t="s">
        <v>1518</v>
      </c>
      <c r="DK894" s="14" t="s">
        <v>1251</v>
      </c>
      <c r="DL894" s="21" t="s">
        <v>1519</v>
      </c>
      <c r="DM894" s="14" t="s">
        <v>198</v>
      </c>
      <c r="DN894" s="13" t="s">
        <v>16977</v>
      </c>
      <c r="DO894" s="20">
        <v>2023</v>
      </c>
      <c r="DP894" s="14" t="s">
        <v>166</v>
      </c>
      <c r="DQ894" s="14" t="s">
        <v>166</v>
      </c>
      <c r="DR894" s="18" t="s">
        <v>166</v>
      </c>
      <c r="DS894" s="16" t="s">
        <v>166</v>
      </c>
      <c r="DT894" s="19" t="s">
        <v>166</v>
      </c>
      <c r="DU894" s="14" t="s">
        <v>166</v>
      </c>
      <c r="DV894" s="18" t="s">
        <v>166</v>
      </c>
      <c r="DW894" s="18" t="s">
        <v>166</v>
      </c>
      <c r="DX894" s="16" t="s">
        <v>166</v>
      </c>
      <c r="DY894" s="16" t="s">
        <v>166</v>
      </c>
      <c r="DZ894" s="17" t="s">
        <v>166</v>
      </c>
      <c r="EA894" s="16" t="s">
        <v>166</v>
      </c>
      <c r="EB894" s="16" t="s">
        <v>166</v>
      </c>
      <c r="EC894" s="16" t="s">
        <v>166</v>
      </c>
      <c r="ED894" s="17" t="s">
        <v>166</v>
      </c>
      <c r="EE894" s="17" t="s">
        <v>166</v>
      </c>
      <c r="EF894" s="17" t="s">
        <v>166</v>
      </c>
      <c r="EG894" s="17" t="s">
        <v>166</v>
      </c>
      <c r="EH894" s="16" t="s">
        <v>166</v>
      </c>
      <c r="EI894" s="16" t="s">
        <v>166</v>
      </c>
      <c r="EJ894" s="16" t="s">
        <v>166</v>
      </c>
      <c r="EK894" s="16" t="s">
        <v>166</v>
      </c>
      <c r="EL894" s="16" t="s">
        <v>166</v>
      </c>
      <c r="EM894" s="16" t="s">
        <v>166</v>
      </c>
      <c r="EN894" s="16" t="s">
        <v>166</v>
      </c>
      <c r="EO894" s="16" t="s">
        <v>166</v>
      </c>
      <c r="EP894" s="16" t="s">
        <v>166</v>
      </c>
      <c r="EQ894" s="16" t="s">
        <v>166</v>
      </c>
      <c r="ER894" s="16" t="s">
        <v>166</v>
      </c>
      <c r="ES894" s="16" t="s">
        <v>166</v>
      </c>
      <c r="ET894" s="14" t="s">
        <v>166</v>
      </c>
      <c r="EU894" s="16" t="s">
        <v>166</v>
      </c>
      <c r="EV894" s="16" t="s">
        <v>166</v>
      </c>
      <c r="EW894" s="16" t="s">
        <v>166</v>
      </c>
      <c r="EX894" s="14" t="s">
        <v>190</v>
      </c>
      <c r="EY894" s="14" t="s">
        <v>166</v>
      </c>
      <c r="EZ894" s="16" t="s">
        <v>166</v>
      </c>
      <c r="FA894" s="15" t="s">
        <v>166</v>
      </c>
      <c r="FB894" s="15" t="s">
        <v>166</v>
      </c>
      <c r="FC894" s="15" t="s">
        <v>166</v>
      </c>
      <c r="FD894" s="15" t="s">
        <v>166</v>
      </c>
      <c r="FE894" s="15" t="s">
        <v>166</v>
      </c>
      <c r="FF894" s="15" t="s">
        <v>166</v>
      </c>
      <c r="FG894" s="14" t="s">
        <v>166</v>
      </c>
      <c r="FH894" s="3">
        <f>HYPERLINK("https://my.pitchbook.com?c=267285-79T","View Company Online")</f>
      </c>
    </row>
    <row r="895">
      <c r="A895" s="25" t="s">
        <v>16978</v>
      </c>
      <c r="B895" s="25" t="s">
        <v>16979</v>
      </c>
      <c r="C895" s="25" t="s">
        <v>16980</v>
      </c>
      <c r="D895" s="25" t="s">
        <v>166</v>
      </c>
      <c r="E895" s="34" t="s">
        <v>16981</v>
      </c>
      <c r="F895" s="32">
        <v>1</v>
      </c>
      <c r="G895" s="25" t="s">
        <v>16982</v>
      </c>
      <c r="H895" s="25" t="s">
        <v>166</v>
      </c>
      <c r="I895" s="25" t="s">
        <v>16983</v>
      </c>
      <c r="J895" s="25" t="s">
        <v>16984</v>
      </c>
      <c r="K895" s="25" t="s">
        <v>207</v>
      </c>
      <c r="L895" s="25" t="s">
        <v>208</v>
      </c>
      <c r="M895" s="25" t="s">
        <v>296</v>
      </c>
      <c r="N895" s="25" t="s">
        <v>1052</v>
      </c>
      <c r="O895" s="25" t="s">
        <v>16985</v>
      </c>
      <c r="P895" s="25" t="s">
        <v>16986</v>
      </c>
      <c r="Q895" s="25" t="s">
        <v>166</v>
      </c>
      <c r="R895" s="25" t="s">
        <v>177</v>
      </c>
      <c r="S895" s="25" t="s">
        <v>178</v>
      </c>
      <c r="T895" s="25" t="s">
        <v>179</v>
      </c>
      <c r="U895" s="25" t="s">
        <v>16987</v>
      </c>
      <c r="V895" s="25" t="s">
        <v>16988</v>
      </c>
      <c r="W895" s="32" t="s">
        <v>166</v>
      </c>
      <c r="X895" s="25" t="s">
        <v>16989</v>
      </c>
      <c r="Y895" s="25" t="s">
        <v>16990</v>
      </c>
      <c r="Z895" s="25" t="s">
        <v>16991</v>
      </c>
      <c r="AA895" s="25" t="s">
        <v>242</v>
      </c>
      <c r="AB895" s="25" t="s">
        <v>243</v>
      </c>
      <c r="AC895" s="25" t="s">
        <v>244</v>
      </c>
      <c r="AD895" s="25" t="s">
        <v>243</v>
      </c>
      <c r="AE895" s="25" t="s">
        <v>243</v>
      </c>
      <c r="AF895" s="25" t="s">
        <v>166</v>
      </c>
      <c r="AG895" s="25" t="s">
        <v>246</v>
      </c>
      <c r="AH895" s="32">
        <v>1</v>
      </c>
      <c r="AI895" s="4">
        <f>HYPERLINK("https://my.pitchbook.com/?d=264402-37T","264402-37T")</f>
      </c>
      <c r="AJ895" s="30" t="s">
        <v>166</v>
      </c>
      <c r="AK895" s="30">
        <v>44991</v>
      </c>
      <c r="AL895" s="29">
        <v>2.07</v>
      </c>
      <c r="AM895" s="25" t="s">
        <v>247</v>
      </c>
      <c r="AN895" s="29">
        <v>10</v>
      </c>
      <c r="AO895" s="29">
        <v>12.07</v>
      </c>
      <c r="AP895" s="25" t="s">
        <v>247</v>
      </c>
      <c r="AQ895" s="32" t="s">
        <v>166</v>
      </c>
      <c r="AR895" s="32" t="s">
        <v>166</v>
      </c>
      <c r="AS895" s="28">
        <v>17.18</v>
      </c>
      <c r="AT895" s="29">
        <v>2.07</v>
      </c>
      <c r="AU895" s="32" t="s">
        <v>186</v>
      </c>
      <c r="AV895" s="32" t="s">
        <v>166</v>
      </c>
      <c r="AW895" s="29">
        <v>1.09</v>
      </c>
      <c r="AX895" s="32" t="s">
        <v>166</v>
      </c>
      <c r="AY895" s="25" t="s">
        <v>217</v>
      </c>
      <c r="AZ895" s="25" t="s">
        <v>217</v>
      </c>
      <c r="BA895" s="25" t="s">
        <v>166</v>
      </c>
      <c r="BB895" s="32" t="s">
        <v>166</v>
      </c>
      <c r="BC895" s="25" t="s">
        <v>179</v>
      </c>
      <c r="BD895" s="25" t="s">
        <v>16984</v>
      </c>
      <c r="BE895" s="25" t="s">
        <v>189</v>
      </c>
      <c r="BF895" s="29">
        <v>2.07</v>
      </c>
      <c r="BG895" s="25" t="s">
        <v>190</v>
      </c>
      <c r="BH895" s="25" t="s">
        <v>166</v>
      </c>
      <c r="BI895" s="25" t="s">
        <v>166</v>
      </c>
      <c r="BJ895" s="29" t="s">
        <v>166</v>
      </c>
      <c r="BK895" s="29" t="s">
        <v>166</v>
      </c>
      <c r="BL895" s="25" t="s">
        <v>191</v>
      </c>
      <c r="BM895" s="25" t="s">
        <v>178</v>
      </c>
      <c r="BN895" s="25" t="s">
        <v>177</v>
      </c>
      <c r="BO895" s="33" t="s">
        <v>166</v>
      </c>
      <c r="BP895" s="25" t="s">
        <v>16981</v>
      </c>
      <c r="BQ895" s="32">
        <v>1</v>
      </c>
      <c r="BR895" s="25" t="s">
        <v>166</v>
      </c>
      <c r="BS895" s="32" t="s">
        <v>166</v>
      </c>
      <c r="BT895" s="25" t="s">
        <v>166</v>
      </c>
      <c r="BU895" s="25" t="s">
        <v>166</v>
      </c>
      <c r="BV895" s="25" t="s">
        <v>16992</v>
      </c>
      <c r="BW895" s="25" t="s">
        <v>166</v>
      </c>
      <c r="BX895" s="25" t="s">
        <v>166</v>
      </c>
      <c r="BY895" s="25" t="s">
        <v>166</v>
      </c>
      <c r="BZ895" s="25" t="s">
        <v>166</v>
      </c>
      <c r="CA895" s="25" t="s">
        <v>166</v>
      </c>
      <c r="CB895" s="25" t="s">
        <v>166</v>
      </c>
      <c r="CC895" s="25" t="s">
        <v>166</v>
      </c>
      <c r="CD895" s="25" t="s">
        <v>166</v>
      </c>
      <c r="CE895" s="29" t="s">
        <v>166</v>
      </c>
      <c r="CF895" s="27" t="s">
        <v>166</v>
      </c>
      <c r="CG895" s="28" t="s">
        <v>166</v>
      </c>
      <c r="CH895" s="27" t="s">
        <v>166</v>
      </c>
      <c r="CI895" s="27" t="s">
        <v>166</v>
      </c>
      <c r="CJ895" s="27" t="s">
        <v>166</v>
      </c>
      <c r="CK895" s="27" t="s">
        <v>166</v>
      </c>
      <c r="CL895" s="27" t="s">
        <v>166</v>
      </c>
      <c r="CM895" s="31" t="s">
        <v>166</v>
      </c>
      <c r="CN895" s="27" t="s">
        <v>166</v>
      </c>
      <c r="CO895" s="27" t="s">
        <v>166</v>
      </c>
      <c r="CP895" s="27" t="s">
        <v>166</v>
      </c>
      <c r="CQ895" s="27" t="s">
        <v>166</v>
      </c>
      <c r="CR895" s="27" t="s">
        <v>166</v>
      </c>
      <c r="CS895" s="27" t="s">
        <v>166</v>
      </c>
      <c r="CT895" s="27" t="s">
        <v>166</v>
      </c>
      <c r="CU895" s="27" t="s">
        <v>166</v>
      </c>
      <c r="CV895" s="27" t="s">
        <v>166</v>
      </c>
      <c r="CW895" s="27" t="s">
        <v>166</v>
      </c>
      <c r="CX895" s="27" t="s">
        <v>166</v>
      </c>
      <c r="CY895" s="27" t="s">
        <v>166</v>
      </c>
      <c r="CZ895" s="27" t="s">
        <v>166</v>
      </c>
      <c r="DA895" s="27" t="s">
        <v>166</v>
      </c>
      <c r="DB895" s="27" t="s">
        <v>166</v>
      </c>
      <c r="DC895" s="27" t="s">
        <v>166</v>
      </c>
      <c r="DD895" s="27" t="s">
        <v>166</v>
      </c>
      <c r="DE895" s="28" t="s">
        <v>166</v>
      </c>
      <c r="DF895" s="33" t="s">
        <v>166</v>
      </c>
      <c r="DG895" s="25" t="s">
        <v>10561</v>
      </c>
      <c r="DH895" s="25" t="s">
        <v>193</v>
      </c>
      <c r="DI895" s="25" t="s">
        <v>194</v>
      </c>
      <c r="DJ895" s="25" t="s">
        <v>10562</v>
      </c>
      <c r="DK895" s="25" t="s">
        <v>8633</v>
      </c>
      <c r="DL895" s="32" t="s">
        <v>16993</v>
      </c>
      <c r="DM895" s="25" t="s">
        <v>198</v>
      </c>
      <c r="DN895" s="24" t="s">
        <v>16994</v>
      </c>
      <c r="DO895" s="31">
        <v>2022</v>
      </c>
      <c r="DP895" s="25" t="s">
        <v>166</v>
      </c>
      <c r="DQ895" s="25" t="s">
        <v>166</v>
      </c>
      <c r="DR895" s="29" t="s">
        <v>166</v>
      </c>
      <c r="DS895" s="27" t="s">
        <v>166</v>
      </c>
      <c r="DT895" s="30" t="s">
        <v>166</v>
      </c>
      <c r="DU895" s="25" t="s">
        <v>166</v>
      </c>
      <c r="DV895" s="29" t="s">
        <v>166</v>
      </c>
      <c r="DW895" s="29" t="s">
        <v>166</v>
      </c>
      <c r="DX895" s="27" t="s">
        <v>166</v>
      </c>
      <c r="DY895" s="27" t="s">
        <v>166</v>
      </c>
      <c r="DZ895" s="28" t="s">
        <v>166</v>
      </c>
      <c r="EA895" s="27" t="s">
        <v>166</v>
      </c>
      <c r="EB895" s="27" t="s">
        <v>166</v>
      </c>
      <c r="EC895" s="27" t="s">
        <v>166</v>
      </c>
      <c r="ED895" s="28" t="s">
        <v>166</v>
      </c>
      <c r="EE895" s="28" t="s">
        <v>166</v>
      </c>
      <c r="EF895" s="28" t="s">
        <v>166</v>
      </c>
      <c r="EG895" s="28" t="s">
        <v>166</v>
      </c>
      <c r="EH895" s="27" t="s">
        <v>166</v>
      </c>
      <c r="EI895" s="27" t="s">
        <v>166</v>
      </c>
      <c r="EJ895" s="27" t="s">
        <v>166</v>
      </c>
      <c r="EK895" s="27" t="s">
        <v>166</v>
      </c>
      <c r="EL895" s="27" t="s">
        <v>166</v>
      </c>
      <c r="EM895" s="27" t="s">
        <v>166</v>
      </c>
      <c r="EN895" s="27" t="s">
        <v>166</v>
      </c>
      <c r="EO895" s="27" t="s">
        <v>166</v>
      </c>
      <c r="EP895" s="27" t="s">
        <v>166</v>
      </c>
      <c r="EQ895" s="27" t="s">
        <v>166</v>
      </c>
      <c r="ER895" s="27" t="s">
        <v>166</v>
      </c>
      <c r="ES895" s="27" t="s">
        <v>166</v>
      </c>
      <c r="ET895" s="25" t="s">
        <v>166</v>
      </c>
      <c r="EU895" s="27" t="s">
        <v>166</v>
      </c>
      <c r="EV895" s="27" t="s">
        <v>166</v>
      </c>
      <c r="EW895" s="27" t="s">
        <v>166</v>
      </c>
      <c r="EX895" s="25" t="s">
        <v>190</v>
      </c>
      <c r="EY895" s="25" t="s">
        <v>166</v>
      </c>
      <c r="EZ895" s="27" t="s">
        <v>166</v>
      </c>
      <c r="FA895" s="26" t="s">
        <v>166</v>
      </c>
      <c r="FB895" s="26" t="s">
        <v>166</v>
      </c>
      <c r="FC895" s="26" t="s">
        <v>166</v>
      </c>
      <c r="FD895" s="26" t="s">
        <v>166</v>
      </c>
      <c r="FE895" s="26" t="s">
        <v>166</v>
      </c>
      <c r="FF895" s="26" t="s">
        <v>166</v>
      </c>
      <c r="FG895" s="25" t="s">
        <v>166</v>
      </c>
      <c r="FH895" s="4">
        <f>HYPERLINK("https://my.pitchbook.com?c=264402-37T","View Company Online")</f>
      </c>
    </row>
    <row r="896">
      <c r="A896" s="14" t="s">
        <v>16995</v>
      </c>
      <c r="B896" s="14" t="s">
        <v>16996</v>
      </c>
      <c r="C896" s="14" t="s">
        <v>16997</v>
      </c>
      <c r="D896" s="14" t="s">
        <v>166</v>
      </c>
      <c r="E896" s="23" t="s">
        <v>16998</v>
      </c>
      <c r="F896" s="21">
        <v>1</v>
      </c>
      <c r="G896" s="14" t="s">
        <v>16999</v>
      </c>
      <c r="H896" s="14" t="s">
        <v>166</v>
      </c>
      <c r="I896" s="14" t="s">
        <v>17000</v>
      </c>
      <c r="J896" s="14" t="s">
        <v>17001</v>
      </c>
      <c r="K896" s="14" t="s">
        <v>171</v>
      </c>
      <c r="L896" s="14" t="s">
        <v>172</v>
      </c>
      <c r="M896" s="14" t="s">
        <v>1689</v>
      </c>
      <c r="N896" s="14" t="s">
        <v>8172</v>
      </c>
      <c r="O896" s="14" t="s">
        <v>1691</v>
      </c>
      <c r="P896" s="14" t="s">
        <v>17002</v>
      </c>
      <c r="Q896" s="14" t="s">
        <v>166</v>
      </c>
      <c r="R896" s="14" t="s">
        <v>177</v>
      </c>
      <c r="S896" s="14" t="s">
        <v>178</v>
      </c>
      <c r="T896" s="14" t="s">
        <v>179</v>
      </c>
      <c r="U896" s="14" t="s">
        <v>17003</v>
      </c>
      <c r="V896" s="14" t="s">
        <v>17004</v>
      </c>
      <c r="W896" s="21" t="s">
        <v>17005</v>
      </c>
      <c r="X896" s="14" t="s">
        <v>17006</v>
      </c>
      <c r="Y896" s="14" t="s">
        <v>17007</v>
      </c>
      <c r="Z896" s="14" t="s">
        <v>166</v>
      </c>
      <c r="AA896" s="14" t="s">
        <v>242</v>
      </c>
      <c r="AB896" s="14" t="s">
        <v>243</v>
      </c>
      <c r="AC896" s="14" t="s">
        <v>244</v>
      </c>
      <c r="AD896" s="14" t="s">
        <v>243</v>
      </c>
      <c r="AE896" s="14" t="s">
        <v>243</v>
      </c>
      <c r="AF896" s="14" t="s">
        <v>166</v>
      </c>
      <c r="AG896" s="14" t="s">
        <v>807</v>
      </c>
      <c r="AH896" s="21">
        <v>2</v>
      </c>
      <c r="AI896" s="3">
        <f>HYPERLINK("https://my.pitchbook.com/?d=131122-90T","131122-90T")</f>
      </c>
      <c r="AJ896" s="19">
        <v>43693</v>
      </c>
      <c r="AK896" s="19">
        <v>43886</v>
      </c>
      <c r="AL896" s="18">
        <v>0.19</v>
      </c>
      <c r="AM896" s="14" t="s">
        <v>185</v>
      </c>
      <c r="AN896" s="18">
        <v>1.81</v>
      </c>
      <c r="AO896" s="18">
        <v>2</v>
      </c>
      <c r="AP896" s="14" t="s">
        <v>185</v>
      </c>
      <c r="AQ896" s="21" t="s">
        <v>166</v>
      </c>
      <c r="AR896" s="21" t="s">
        <v>166</v>
      </c>
      <c r="AS896" s="17">
        <v>9.35</v>
      </c>
      <c r="AT896" s="18">
        <v>0.2</v>
      </c>
      <c r="AU896" s="21" t="s">
        <v>186</v>
      </c>
      <c r="AV896" s="21" t="s">
        <v>166</v>
      </c>
      <c r="AW896" s="18">
        <v>0.55</v>
      </c>
      <c r="AX896" s="21" t="s">
        <v>166</v>
      </c>
      <c r="AY896" s="14" t="s">
        <v>217</v>
      </c>
      <c r="AZ896" s="14" t="s">
        <v>217</v>
      </c>
      <c r="BA896" s="14" t="s">
        <v>166</v>
      </c>
      <c r="BB896" s="21" t="s">
        <v>166</v>
      </c>
      <c r="BC896" s="14" t="s">
        <v>179</v>
      </c>
      <c r="BD896" s="14" t="s">
        <v>17008</v>
      </c>
      <c r="BE896" s="14" t="s">
        <v>189</v>
      </c>
      <c r="BF896" s="18">
        <v>0.19</v>
      </c>
      <c r="BG896" s="14" t="s">
        <v>190</v>
      </c>
      <c r="BH896" s="14" t="s">
        <v>166</v>
      </c>
      <c r="BI896" s="14" t="s">
        <v>166</v>
      </c>
      <c r="BJ896" s="18" t="s">
        <v>166</v>
      </c>
      <c r="BK896" s="18" t="s">
        <v>166</v>
      </c>
      <c r="BL896" s="14" t="s">
        <v>191</v>
      </c>
      <c r="BM896" s="14" t="s">
        <v>178</v>
      </c>
      <c r="BN896" s="14" t="s">
        <v>177</v>
      </c>
      <c r="BO896" s="22" t="s">
        <v>166</v>
      </c>
      <c r="BP896" s="14" t="s">
        <v>16998</v>
      </c>
      <c r="BQ896" s="21">
        <v>1</v>
      </c>
      <c r="BR896" s="14" t="s">
        <v>166</v>
      </c>
      <c r="BS896" s="21" t="s">
        <v>166</v>
      </c>
      <c r="BT896" s="14" t="s">
        <v>166</v>
      </c>
      <c r="BU896" s="14" t="s">
        <v>166</v>
      </c>
      <c r="BV896" s="14" t="s">
        <v>166</v>
      </c>
      <c r="BW896" s="14" t="s">
        <v>166</v>
      </c>
      <c r="BX896" s="14" t="s">
        <v>166</v>
      </c>
      <c r="BY896" s="14" t="s">
        <v>166</v>
      </c>
      <c r="BZ896" s="14" t="s">
        <v>166</v>
      </c>
      <c r="CA896" s="14" t="s">
        <v>166</v>
      </c>
      <c r="CB896" s="14" t="s">
        <v>166</v>
      </c>
      <c r="CC896" s="14" t="s">
        <v>166</v>
      </c>
      <c r="CD896" s="14" t="s">
        <v>166</v>
      </c>
      <c r="CE896" s="18" t="s">
        <v>166</v>
      </c>
      <c r="CF896" s="16" t="s">
        <v>166</v>
      </c>
      <c r="CG896" s="17" t="s">
        <v>166</v>
      </c>
      <c r="CH896" s="16" t="s">
        <v>166</v>
      </c>
      <c r="CI896" s="16" t="s">
        <v>166</v>
      </c>
      <c r="CJ896" s="16" t="s">
        <v>166</v>
      </c>
      <c r="CK896" s="16" t="s">
        <v>166</v>
      </c>
      <c r="CL896" s="16" t="s">
        <v>166</v>
      </c>
      <c r="CM896" s="20" t="s">
        <v>166</v>
      </c>
      <c r="CN896" s="16" t="s">
        <v>166</v>
      </c>
      <c r="CO896" s="16" t="s">
        <v>166</v>
      </c>
      <c r="CP896" s="16" t="s">
        <v>166</v>
      </c>
      <c r="CQ896" s="16" t="s">
        <v>166</v>
      </c>
      <c r="CR896" s="16" t="s">
        <v>166</v>
      </c>
      <c r="CS896" s="16" t="s">
        <v>166</v>
      </c>
      <c r="CT896" s="16" t="s">
        <v>166</v>
      </c>
      <c r="CU896" s="16" t="s">
        <v>166</v>
      </c>
      <c r="CV896" s="16" t="s">
        <v>166</v>
      </c>
      <c r="CW896" s="16" t="s">
        <v>166</v>
      </c>
      <c r="CX896" s="16" t="s">
        <v>166</v>
      </c>
      <c r="CY896" s="16" t="s">
        <v>166</v>
      </c>
      <c r="CZ896" s="16" t="s">
        <v>166</v>
      </c>
      <c r="DA896" s="16" t="s">
        <v>166</v>
      </c>
      <c r="DB896" s="16" t="s">
        <v>166</v>
      </c>
      <c r="DC896" s="16" t="s">
        <v>166</v>
      </c>
      <c r="DD896" s="16" t="s">
        <v>166</v>
      </c>
      <c r="DE896" s="17" t="s">
        <v>166</v>
      </c>
      <c r="DF896" s="22">
        <v>112</v>
      </c>
      <c r="DG896" s="14" t="s">
        <v>17009</v>
      </c>
      <c r="DH896" s="14" t="s">
        <v>193</v>
      </c>
      <c r="DI896" s="14" t="s">
        <v>194</v>
      </c>
      <c r="DJ896" s="14" t="s">
        <v>17010</v>
      </c>
      <c r="DK896" s="14" t="s">
        <v>454</v>
      </c>
      <c r="DL896" s="21" t="s">
        <v>17011</v>
      </c>
      <c r="DM896" s="14" t="s">
        <v>198</v>
      </c>
      <c r="DN896" s="13" t="s">
        <v>17012</v>
      </c>
      <c r="DO896" s="20">
        <v>2017</v>
      </c>
      <c r="DP896" s="14" t="s">
        <v>166</v>
      </c>
      <c r="DQ896" s="14" t="s">
        <v>166</v>
      </c>
      <c r="DR896" s="18" t="s">
        <v>166</v>
      </c>
      <c r="DS896" s="16" t="s">
        <v>166</v>
      </c>
      <c r="DT896" s="19" t="s">
        <v>166</v>
      </c>
      <c r="DU896" s="14" t="s">
        <v>166</v>
      </c>
      <c r="DV896" s="18" t="s">
        <v>166</v>
      </c>
      <c r="DW896" s="18" t="s">
        <v>166</v>
      </c>
      <c r="DX896" s="16" t="s">
        <v>166</v>
      </c>
      <c r="DY896" s="16" t="s">
        <v>166</v>
      </c>
      <c r="DZ896" s="17" t="s">
        <v>166</v>
      </c>
      <c r="EA896" s="16" t="s">
        <v>166</v>
      </c>
      <c r="EB896" s="16" t="s">
        <v>166</v>
      </c>
      <c r="EC896" s="16" t="s">
        <v>166</v>
      </c>
      <c r="ED896" s="17" t="s">
        <v>166</v>
      </c>
      <c r="EE896" s="17" t="s">
        <v>166</v>
      </c>
      <c r="EF896" s="17" t="s">
        <v>166</v>
      </c>
      <c r="EG896" s="17" t="s">
        <v>166</v>
      </c>
      <c r="EH896" s="16" t="s">
        <v>166</v>
      </c>
      <c r="EI896" s="16" t="s">
        <v>166</v>
      </c>
      <c r="EJ896" s="16" t="s">
        <v>166</v>
      </c>
      <c r="EK896" s="16" t="s">
        <v>166</v>
      </c>
      <c r="EL896" s="16" t="s">
        <v>166</v>
      </c>
      <c r="EM896" s="16" t="s">
        <v>166</v>
      </c>
      <c r="EN896" s="16" t="s">
        <v>166</v>
      </c>
      <c r="EO896" s="16" t="s">
        <v>166</v>
      </c>
      <c r="EP896" s="16" t="s">
        <v>166</v>
      </c>
      <c r="EQ896" s="16" t="s">
        <v>166</v>
      </c>
      <c r="ER896" s="16" t="s">
        <v>166</v>
      </c>
      <c r="ES896" s="16" t="s">
        <v>166</v>
      </c>
      <c r="ET896" s="14" t="s">
        <v>166</v>
      </c>
      <c r="EU896" s="16" t="s">
        <v>166</v>
      </c>
      <c r="EV896" s="16" t="s">
        <v>166</v>
      </c>
      <c r="EW896" s="16" t="s">
        <v>166</v>
      </c>
      <c r="EX896" s="14" t="s">
        <v>190</v>
      </c>
      <c r="EY896" s="14" t="s">
        <v>166</v>
      </c>
      <c r="EZ896" s="16" t="s">
        <v>166</v>
      </c>
      <c r="FA896" s="15" t="s">
        <v>166</v>
      </c>
      <c r="FB896" s="15" t="s">
        <v>166</v>
      </c>
      <c r="FC896" s="15" t="s">
        <v>166</v>
      </c>
      <c r="FD896" s="15" t="s">
        <v>166</v>
      </c>
      <c r="FE896" s="15" t="s">
        <v>166</v>
      </c>
      <c r="FF896" s="15" t="s">
        <v>166</v>
      </c>
      <c r="FG896" s="14" t="s">
        <v>166</v>
      </c>
      <c r="FH896" s="3">
        <f>HYPERLINK("https://my.pitchbook.com?c=131122-90T","View Company Online")</f>
      </c>
    </row>
    <row r="897">
      <c r="A897" s="25" t="s">
        <v>17013</v>
      </c>
      <c r="B897" s="25" t="s">
        <v>17014</v>
      </c>
      <c r="C897" s="25" t="s">
        <v>17015</v>
      </c>
      <c r="D897" s="25" t="s">
        <v>166</v>
      </c>
      <c r="E897" s="34" t="s">
        <v>17016</v>
      </c>
      <c r="F897" s="32">
        <v>5</v>
      </c>
      <c r="G897" s="25" t="s">
        <v>17017</v>
      </c>
      <c r="H897" s="25" t="s">
        <v>166</v>
      </c>
      <c r="I897" s="25" t="s">
        <v>17018</v>
      </c>
      <c r="J897" s="25" t="s">
        <v>17019</v>
      </c>
      <c r="K897" s="25" t="s">
        <v>207</v>
      </c>
      <c r="L897" s="25" t="s">
        <v>208</v>
      </c>
      <c r="M897" s="25" t="s">
        <v>209</v>
      </c>
      <c r="N897" s="25" t="s">
        <v>17020</v>
      </c>
      <c r="O897" s="25" t="s">
        <v>6095</v>
      </c>
      <c r="P897" s="25" t="s">
        <v>17021</v>
      </c>
      <c r="Q897" s="25" t="s">
        <v>166</v>
      </c>
      <c r="R897" s="25" t="s">
        <v>177</v>
      </c>
      <c r="S897" s="25" t="s">
        <v>178</v>
      </c>
      <c r="T897" s="25" t="s">
        <v>179</v>
      </c>
      <c r="U897" s="25" t="s">
        <v>17022</v>
      </c>
      <c r="V897" s="25" t="s">
        <v>17023</v>
      </c>
      <c r="W897" s="32" t="s">
        <v>166</v>
      </c>
      <c r="X897" s="25" t="s">
        <v>166</v>
      </c>
      <c r="Y897" s="25" t="s">
        <v>17024</v>
      </c>
      <c r="Z897" s="25" t="s">
        <v>166</v>
      </c>
      <c r="AA897" s="25" t="s">
        <v>242</v>
      </c>
      <c r="AB897" s="25" t="s">
        <v>243</v>
      </c>
      <c r="AC897" s="25" t="s">
        <v>244</v>
      </c>
      <c r="AD897" s="25" t="s">
        <v>243</v>
      </c>
      <c r="AE897" s="25" t="s">
        <v>243</v>
      </c>
      <c r="AF897" s="25" t="s">
        <v>245</v>
      </c>
      <c r="AG897" s="25" t="s">
        <v>246</v>
      </c>
      <c r="AH897" s="32">
        <v>1</v>
      </c>
      <c r="AI897" s="4">
        <f>HYPERLINK("https://my.pitchbook.com/?d=191602-18T","191602-18T")</f>
      </c>
      <c r="AJ897" s="30" t="s">
        <v>166</v>
      </c>
      <c r="AK897" s="30">
        <v>44652</v>
      </c>
      <c r="AL897" s="29">
        <v>10.5</v>
      </c>
      <c r="AM897" s="25" t="s">
        <v>247</v>
      </c>
      <c r="AN897" s="29">
        <v>30</v>
      </c>
      <c r="AO897" s="29">
        <v>40.5</v>
      </c>
      <c r="AP897" s="25" t="s">
        <v>185</v>
      </c>
      <c r="AQ897" s="32" t="s">
        <v>166</v>
      </c>
      <c r="AR897" s="32" t="s">
        <v>166</v>
      </c>
      <c r="AS897" s="28">
        <v>29.63</v>
      </c>
      <c r="AT897" s="29">
        <v>10.5</v>
      </c>
      <c r="AU897" s="32" t="s">
        <v>186</v>
      </c>
      <c r="AV897" s="32" t="s">
        <v>166</v>
      </c>
      <c r="AW897" s="29">
        <v>3.59</v>
      </c>
      <c r="AX897" s="32" t="s">
        <v>166</v>
      </c>
      <c r="AY897" s="25" t="s">
        <v>217</v>
      </c>
      <c r="AZ897" s="25" t="s">
        <v>217</v>
      </c>
      <c r="BA897" s="25" t="s">
        <v>166</v>
      </c>
      <c r="BB897" s="32" t="s">
        <v>166</v>
      </c>
      <c r="BC897" s="25" t="s">
        <v>179</v>
      </c>
      <c r="BD897" s="25" t="s">
        <v>17025</v>
      </c>
      <c r="BE897" s="25" t="s">
        <v>189</v>
      </c>
      <c r="BF897" s="29">
        <v>10.5</v>
      </c>
      <c r="BG897" s="25" t="s">
        <v>190</v>
      </c>
      <c r="BH897" s="25" t="s">
        <v>166</v>
      </c>
      <c r="BI897" s="25" t="s">
        <v>166</v>
      </c>
      <c r="BJ897" s="29" t="s">
        <v>166</v>
      </c>
      <c r="BK897" s="29" t="s">
        <v>166</v>
      </c>
      <c r="BL897" s="25" t="s">
        <v>191</v>
      </c>
      <c r="BM897" s="25" t="s">
        <v>178</v>
      </c>
      <c r="BN897" s="25" t="s">
        <v>177</v>
      </c>
      <c r="BO897" s="33" t="s">
        <v>166</v>
      </c>
      <c r="BP897" s="25" t="s">
        <v>17026</v>
      </c>
      <c r="BQ897" s="32">
        <v>5</v>
      </c>
      <c r="BR897" s="25" t="s">
        <v>166</v>
      </c>
      <c r="BS897" s="32" t="s">
        <v>166</v>
      </c>
      <c r="BT897" s="25" t="s">
        <v>166</v>
      </c>
      <c r="BU897" s="25" t="s">
        <v>166</v>
      </c>
      <c r="BV897" s="25" t="s">
        <v>10824</v>
      </c>
      <c r="BW897" s="25" t="s">
        <v>166</v>
      </c>
      <c r="BX897" s="25" t="s">
        <v>166</v>
      </c>
      <c r="BY897" s="25" t="s">
        <v>166</v>
      </c>
      <c r="BZ897" s="25" t="s">
        <v>166</v>
      </c>
      <c r="CA897" s="25" t="s">
        <v>166</v>
      </c>
      <c r="CB897" s="25" t="s">
        <v>166</v>
      </c>
      <c r="CC897" s="25" t="s">
        <v>166</v>
      </c>
      <c r="CD897" s="25" t="s">
        <v>166</v>
      </c>
      <c r="CE897" s="29" t="s">
        <v>166</v>
      </c>
      <c r="CF897" s="27" t="s">
        <v>166</v>
      </c>
      <c r="CG897" s="28" t="s">
        <v>166</v>
      </c>
      <c r="CH897" s="27" t="s">
        <v>166</v>
      </c>
      <c r="CI897" s="27" t="s">
        <v>166</v>
      </c>
      <c r="CJ897" s="27" t="s">
        <v>166</v>
      </c>
      <c r="CK897" s="27" t="s">
        <v>166</v>
      </c>
      <c r="CL897" s="27" t="s">
        <v>166</v>
      </c>
      <c r="CM897" s="31" t="s">
        <v>166</v>
      </c>
      <c r="CN897" s="27" t="s">
        <v>166</v>
      </c>
      <c r="CO897" s="27" t="s">
        <v>166</v>
      </c>
      <c r="CP897" s="27" t="s">
        <v>166</v>
      </c>
      <c r="CQ897" s="27" t="s">
        <v>166</v>
      </c>
      <c r="CR897" s="27" t="s">
        <v>166</v>
      </c>
      <c r="CS897" s="27" t="s">
        <v>166</v>
      </c>
      <c r="CT897" s="27" t="s">
        <v>166</v>
      </c>
      <c r="CU897" s="27" t="s">
        <v>166</v>
      </c>
      <c r="CV897" s="27" t="s">
        <v>166</v>
      </c>
      <c r="CW897" s="27" t="s">
        <v>166</v>
      </c>
      <c r="CX897" s="27" t="s">
        <v>166</v>
      </c>
      <c r="CY897" s="27" t="s">
        <v>166</v>
      </c>
      <c r="CZ897" s="27" t="s">
        <v>166</v>
      </c>
      <c r="DA897" s="27" t="s">
        <v>166</v>
      </c>
      <c r="DB897" s="27" t="s">
        <v>166</v>
      </c>
      <c r="DC897" s="27" t="s">
        <v>166</v>
      </c>
      <c r="DD897" s="27" t="s">
        <v>166</v>
      </c>
      <c r="DE897" s="28" t="s">
        <v>166</v>
      </c>
      <c r="DF897" s="33">
        <v>14</v>
      </c>
      <c r="DG897" s="25" t="s">
        <v>5878</v>
      </c>
      <c r="DH897" s="25" t="s">
        <v>193</v>
      </c>
      <c r="DI897" s="25" t="s">
        <v>194</v>
      </c>
      <c r="DJ897" s="25" t="s">
        <v>5879</v>
      </c>
      <c r="DK897" s="25" t="s">
        <v>257</v>
      </c>
      <c r="DL897" s="32" t="s">
        <v>12169</v>
      </c>
      <c r="DM897" s="25" t="s">
        <v>198</v>
      </c>
      <c r="DN897" s="24" t="s">
        <v>17027</v>
      </c>
      <c r="DO897" s="31">
        <v>2021</v>
      </c>
      <c r="DP897" s="25" t="s">
        <v>166</v>
      </c>
      <c r="DQ897" s="25" t="s">
        <v>166</v>
      </c>
      <c r="DR897" s="29" t="s">
        <v>166</v>
      </c>
      <c r="DS897" s="27" t="s">
        <v>166</v>
      </c>
      <c r="DT897" s="30" t="s">
        <v>166</v>
      </c>
      <c r="DU897" s="25" t="s">
        <v>166</v>
      </c>
      <c r="DV897" s="29" t="s">
        <v>166</v>
      </c>
      <c r="DW897" s="29" t="s">
        <v>166</v>
      </c>
      <c r="DX897" s="27" t="s">
        <v>166</v>
      </c>
      <c r="DY897" s="27" t="s">
        <v>166</v>
      </c>
      <c r="DZ897" s="28" t="s">
        <v>166</v>
      </c>
      <c r="EA897" s="27" t="s">
        <v>166</v>
      </c>
      <c r="EB897" s="27" t="s">
        <v>166</v>
      </c>
      <c r="EC897" s="27" t="s">
        <v>166</v>
      </c>
      <c r="ED897" s="28" t="s">
        <v>166</v>
      </c>
      <c r="EE897" s="28" t="s">
        <v>166</v>
      </c>
      <c r="EF897" s="28" t="s">
        <v>166</v>
      </c>
      <c r="EG897" s="28" t="s">
        <v>166</v>
      </c>
      <c r="EH897" s="27" t="s">
        <v>166</v>
      </c>
      <c r="EI897" s="27" t="s">
        <v>166</v>
      </c>
      <c r="EJ897" s="27" t="s">
        <v>166</v>
      </c>
      <c r="EK897" s="27" t="s">
        <v>166</v>
      </c>
      <c r="EL897" s="27" t="s">
        <v>166</v>
      </c>
      <c r="EM897" s="27" t="s">
        <v>166</v>
      </c>
      <c r="EN897" s="27" t="s">
        <v>166</v>
      </c>
      <c r="EO897" s="27" t="s">
        <v>166</v>
      </c>
      <c r="EP897" s="27" t="s">
        <v>166</v>
      </c>
      <c r="EQ897" s="27" t="s">
        <v>166</v>
      </c>
      <c r="ER897" s="27" t="s">
        <v>166</v>
      </c>
      <c r="ES897" s="27" t="s">
        <v>166</v>
      </c>
      <c r="ET897" s="25" t="s">
        <v>166</v>
      </c>
      <c r="EU897" s="27" t="s">
        <v>166</v>
      </c>
      <c r="EV897" s="27" t="s">
        <v>166</v>
      </c>
      <c r="EW897" s="27" t="s">
        <v>166</v>
      </c>
      <c r="EX897" s="25" t="s">
        <v>190</v>
      </c>
      <c r="EY897" s="25" t="s">
        <v>166</v>
      </c>
      <c r="EZ897" s="27" t="s">
        <v>166</v>
      </c>
      <c r="FA897" s="26" t="s">
        <v>166</v>
      </c>
      <c r="FB897" s="26" t="s">
        <v>166</v>
      </c>
      <c r="FC897" s="26" t="s">
        <v>166</v>
      </c>
      <c r="FD897" s="26" t="s">
        <v>166</v>
      </c>
      <c r="FE897" s="26" t="s">
        <v>166</v>
      </c>
      <c r="FF897" s="26" t="s">
        <v>166</v>
      </c>
      <c r="FG897" s="25" t="s">
        <v>166</v>
      </c>
      <c r="FH897" s="4">
        <f>HYPERLINK("https://my.pitchbook.com?c=191602-18T","View Company Online")</f>
      </c>
    </row>
    <row r="898">
      <c r="A898" s="14" t="s">
        <v>17028</v>
      </c>
      <c r="B898" s="14" t="s">
        <v>17029</v>
      </c>
      <c r="C898" s="14" t="s">
        <v>17030</v>
      </c>
      <c r="D898" s="14" t="s">
        <v>166</v>
      </c>
      <c r="E898" s="23" t="s">
        <v>17031</v>
      </c>
      <c r="F898" s="21">
        <v>2</v>
      </c>
      <c r="G898" s="14" t="s">
        <v>17032</v>
      </c>
      <c r="H898" s="14" t="s">
        <v>166</v>
      </c>
      <c r="I898" s="14" t="s">
        <v>17033</v>
      </c>
      <c r="J898" s="14" t="s">
        <v>17034</v>
      </c>
      <c r="K898" s="14" t="s">
        <v>207</v>
      </c>
      <c r="L898" s="14" t="s">
        <v>208</v>
      </c>
      <c r="M898" s="14" t="s">
        <v>209</v>
      </c>
      <c r="N898" s="14" t="s">
        <v>9277</v>
      </c>
      <c r="O898" s="14" t="s">
        <v>4487</v>
      </c>
      <c r="P898" s="14" t="s">
        <v>17035</v>
      </c>
      <c r="Q898" s="14" t="s">
        <v>166</v>
      </c>
      <c r="R898" s="14" t="s">
        <v>177</v>
      </c>
      <c r="S898" s="14" t="s">
        <v>178</v>
      </c>
      <c r="T898" s="14" t="s">
        <v>179</v>
      </c>
      <c r="U898" s="14" t="s">
        <v>17036</v>
      </c>
      <c r="V898" s="14" t="s">
        <v>17037</v>
      </c>
      <c r="W898" s="21" t="s">
        <v>166</v>
      </c>
      <c r="X898" s="14" t="s">
        <v>166</v>
      </c>
      <c r="Y898" s="14" t="s">
        <v>17038</v>
      </c>
      <c r="Z898" s="14" t="s">
        <v>166</v>
      </c>
      <c r="AA898" s="14" t="s">
        <v>166</v>
      </c>
      <c r="AB898" s="14" t="s">
        <v>166</v>
      </c>
      <c r="AC898" s="14" t="s">
        <v>166</v>
      </c>
      <c r="AD898" s="14" t="s">
        <v>166</v>
      </c>
      <c r="AE898" s="14" t="s">
        <v>166</v>
      </c>
      <c r="AF898" s="14" t="s">
        <v>166</v>
      </c>
      <c r="AG898" s="14" t="s">
        <v>166</v>
      </c>
      <c r="AH898" s="21">
        <v>1</v>
      </c>
      <c r="AI898" s="3">
        <f>HYPERLINK("https://my.pitchbook.com/?d=194150-26T","194150-26T")</f>
      </c>
      <c r="AJ898" s="19" t="s">
        <v>166</v>
      </c>
      <c r="AK898" s="19">
        <v>44677</v>
      </c>
      <c r="AL898" s="18">
        <v>2</v>
      </c>
      <c r="AM898" s="14" t="s">
        <v>185</v>
      </c>
      <c r="AN898" s="18" t="s">
        <v>166</v>
      </c>
      <c r="AO898" s="18" t="s">
        <v>166</v>
      </c>
      <c r="AP898" s="14" t="s">
        <v>166</v>
      </c>
      <c r="AQ898" s="21" t="s">
        <v>166</v>
      </c>
      <c r="AR898" s="21" t="s">
        <v>166</v>
      </c>
      <c r="AS898" s="17" t="s">
        <v>166</v>
      </c>
      <c r="AT898" s="18">
        <v>2</v>
      </c>
      <c r="AU898" s="21" t="s">
        <v>186</v>
      </c>
      <c r="AV898" s="21" t="s">
        <v>166</v>
      </c>
      <c r="AW898" s="18" t="s">
        <v>166</v>
      </c>
      <c r="AX898" s="21" t="s">
        <v>166</v>
      </c>
      <c r="AY898" s="14" t="s">
        <v>187</v>
      </c>
      <c r="AZ898" s="14" t="s">
        <v>166</v>
      </c>
      <c r="BA898" s="14" t="s">
        <v>166</v>
      </c>
      <c r="BB898" s="21" t="s">
        <v>166</v>
      </c>
      <c r="BC898" s="14" t="s">
        <v>179</v>
      </c>
      <c r="BD898" s="14" t="s">
        <v>17034</v>
      </c>
      <c r="BE898" s="14" t="s">
        <v>189</v>
      </c>
      <c r="BF898" s="18">
        <v>2</v>
      </c>
      <c r="BG898" s="14" t="s">
        <v>190</v>
      </c>
      <c r="BH898" s="14" t="s">
        <v>166</v>
      </c>
      <c r="BI898" s="14" t="s">
        <v>166</v>
      </c>
      <c r="BJ898" s="18" t="s">
        <v>166</v>
      </c>
      <c r="BK898" s="18" t="s">
        <v>166</v>
      </c>
      <c r="BL898" s="14" t="s">
        <v>191</v>
      </c>
      <c r="BM898" s="14" t="s">
        <v>178</v>
      </c>
      <c r="BN898" s="14" t="s">
        <v>177</v>
      </c>
      <c r="BO898" s="22" t="s">
        <v>166</v>
      </c>
      <c r="BP898" s="14" t="s">
        <v>17039</v>
      </c>
      <c r="BQ898" s="21">
        <v>2</v>
      </c>
      <c r="BR898" s="14" t="s">
        <v>166</v>
      </c>
      <c r="BS898" s="21" t="s">
        <v>166</v>
      </c>
      <c r="BT898" s="14" t="s">
        <v>166</v>
      </c>
      <c r="BU898" s="14" t="s">
        <v>166</v>
      </c>
      <c r="BV898" s="14" t="s">
        <v>15150</v>
      </c>
      <c r="BW898" s="14" t="s">
        <v>166</v>
      </c>
      <c r="BX898" s="14" t="s">
        <v>166</v>
      </c>
      <c r="BY898" s="14" t="s">
        <v>166</v>
      </c>
      <c r="BZ898" s="14" t="s">
        <v>166</v>
      </c>
      <c r="CA898" s="14" t="s">
        <v>166</v>
      </c>
      <c r="CB898" s="14" t="s">
        <v>166</v>
      </c>
      <c r="CC898" s="14" t="s">
        <v>166</v>
      </c>
      <c r="CD898" s="14" t="s">
        <v>166</v>
      </c>
      <c r="CE898" s="18" t="s">
        <v>166</v>
      </c>
      <c r="CF898" s="16" t="s">
        <v>166</v>
      </c>
      <c r="CG898" s="17" t="s">
        <v>166</v>
      </c>
      <c r="CH898" s="16" t="s">
        <v>166</v>
      </c>
      <c r="CI898" s="16" t="s">
        <v>166</v>
      </c>
      <c r="CJ898" s="16" t="s">
        <v>166</v>
      </c>
      <c r="CK898" s="16" t="s">
        <v>166</v>
      </c>
      <c r="CL898" s="16" t="s">
        <v>166</v>
      </c>
      <c r="CM898" s="20" t="s">
        <v>166</v>
      </c>
      <c r="CN898" s="16" t="s">
        <v>166</v>
      </c>
      <c r="CO898" s="16" t="s">
        <v>166</v>
      </c>
      <c r="CP898" s="16" t="s">
        <v>166</v>
      </c>
      <c r="CQ898" s="16" t="s">
        <v>166</v>
      </c>
      <c r="CR898" s="16" t="s">
        <v>166</v>
      </c>
      <c r="CS898" s="16" t="s">
        <v>166</v>
      </c>
      <c r="CT898" s="16" t="s">
        <v>166</v>
      </c>
      <c r="CU898" s="16" t="s">
        <v>166</v>
      </c>
      <c r="CV898" s="16" t="s">
        <v>166</v>
      </c>
      <c r="CW898" s="16" t="s">
        <v>166</v>
      </c>
      <c r="CX898" s="16" t="s">
        <v>166</v>
      </c>
      <c r="CY898" s="16" t="s">
        <v>166</v>
      </c>
      <c r="CZ898" s="16" t="s">
        <v>166</v>
      </c>
      <c r="DA898" s="16" t="s">
        <v>166</v>
      </c>
      <c r="DB898" s="16" t="s">
        <v>166</v>
      </c>
      <c r="DC898" s="16" t="s">
        <v>166</v>
      </c>
      <c r="DD898" s="16" t="s">
        <v>166</v>
      </c>
      <c r="DE898" s="17" t="s">
        <v>166</v>
      </c>
      <c r="DF898" s="22">
        <v>10</v>
      </c>
      <c r="DG898" s="14" t="s">
        <v>309</v>
      </c>
      <c r="DH898" s="14" t="s">
        <v>193</v>
      </c>
      <c r="DI898" s="14" t="s">
        <v>194</v>
      </c>
      <c r="DJ898" s="14" t="s">
        <v>310</v>
      </c>
      <c r="DK898" s="14" t="s">
        <v>310</v>
      </c>
      <c r="DL898" s="21" t="s">
        <v>166</v>
      </c>
      <c r="DM898" s="14" t="s">
        <v>198</v>
      </c>
      <c r="DN898" s="13" t="s">
        <v>17040</v>
      </c>
      <c r="DO898" s="20">
        <v>2022</v>
      </c>
      <c r="DP898" s="14" t="s">
        <v>166</v>
      </c>
      <c r="DQ898" s="14" t="s">
        <v>166</v>
      </c>
      <c r="DR898" s="18" t="s">
        <v>166</v>
      </c>
      <c r="DS898" s="16" t="s">
        <v>166</v>
      </c>
      <c r="DT898" s="19" t="s">
        <v>166</v>
      </c>
      <c r="DU898" s="14" t="s">
        <v>166</v>
      </c>
      <c r="DV898" s="18" t="s">
        <v>166</v>
      </c>
      <c r="DW898" s="18" t="s">
        <v>166</v>
      </c>
      <c r="DX898" s="16" t="s">
        <v>166</v>
      </c>
      <c r="DY898" s="16" t="s">
        <v>166</v>
      </c>
      <c r="DZ898" s="17" t="s">
        <v>166</v>
      </c>
      <c r="EA898" s="16" t="s">
        <v>166</v>
      </c>
      <c r="EB898" s="16" t="s">
        <v>166</v>
      </c>
      <c r="EC898" s="16" t="s">
        <v>166</v>
      </c>
      <c r="ED898" s="17" t="s">
        <v>166</v>
      </c>
      <c r="EE898" s="17" t="s">
        <v>166</v>
      </c>
      <c r="EF898" s="17" t="s">
        <v>166</v>
      </c>
      <c r="EG898" s="17" t="s">
        <v>166</v>
      </c>
      <c r="EH898" s="16" t="s">
        <v>166</v>
      </c>
      <c r="EI898" s="16" t="s">
        <v>166</v>
      </c>
      <c r="EJ898" s="16" t="s">
        <v>166</v>
      </c>
      <c r="EK898" s="16" t="s">
        <v>166</v>
      </c>
      <c r="EL898" s="16" t="s">
        <v>166</v>
      </c>
      <c r="EM898" s="16" t="s">
        <v>166</v>
      </c>
      <c r="EN898" s="16" t="s">
        <v>166</v>
      </c>
      <c r="EO898" s="16" t="s">
        <v>166</v>
      </c>
      <c r="EP898" s="16" t="s">
        <v>166</v>
      </c>
      <c r="EQ898" s="16" t="s">
        <v>166</v>
      </c>
      <c r="ER898" s="16" t="s">
        <v>166</v>
      </c>
      <c r="ES898" s="16" t="s">
        <v>166</v>
      </c>
      <c r="ET898" s="14" t="s">
        <v>166</v>
      </c>
      <c r="EU898" s="16" t="s">
        <v>166</v>
      </c>
      <c r="EV898" s="16" t="s">
        <v>166</v>
      </c>
      <c r="EW898" s="16" t="s">
        <v>166</v>
      </c>
      <c r="EX898" s="14" t="s">
        <v>190</v>
      </c>
      <c r="EY898" s="14" t="s">
        <v>166</v>
      </c>
      <c r="EZ898" s="16" t="s">
        <v>166</v>
      </c>
      <c r="FA898" s="15" t="s">
        <v>166</v>
      </c>
      <c r="FB898" s="15" t="s">
        <v>166</v>
      </c>
      <c r="FC898" s="15" t="s">
        <v>166</v>
      </c>
      <c r="FD898" s="15" t="s">
        <v>166</v>
      </c>
      <c r="FE898" s="15" t="s">
        <v>166</v>
      </c>
      <c r="FF898" s="15" t="s">
        <v>166</v>
      </c>
      <c r="FG898" s="14" t="s">
        <v>166</v>
      </c>
      <c r="FH898" s="3">
        <f>HYPERLINK("https://my.pitchbook.com?c=194150-26T","View Company Online")</f>
      </c>
    </row>
    <row r="899">
      <c r="A899" s="25" t="s">
        <v>17041</v>
      </c>
      <c r="B899" s="25" t="s">
        <v>17042</v>
      </c>
      <c r="C899" s="25" t="s">
        <v>17043</v>
      </c>
      <c r="D899" s="25" t="s">
        <v>166</v>
      </c>
      <c r="E899" s="34" t="s">
        <v>17044</v>
      </c>
      <c r="F899" s="32">
        <v>1</v>
      </c>
      <c r="G899" s="25" t="s">
        <v>17045</v>
      </c>
      <c r="H899" s="25" t="s">
        <v>166</v>
      </c>
      <c r="I899" s="25" t="s">
        <v>17046</v>
      </c>
      <c r="J899" s="25" t="s">
        <v>17047</v>
      </c>
      <c r="K899" s="25" t="s">
        <v>1455</v>
      </c>
      <c r="L899" s="25" t="s">
        <v>5912</v>
      </c>
      <c r="M899" s="25" t="s">
        <v>17048</v>
      </c>
      <c r="N899" s="25" t="s">
        <v>17049</v>
      </c>
      <c r="O899" s="25" t="s">
        <v>6927</v>
      </c>
      <c r="P899" s="25" t="s">
        <v>17050</v>
      </c>
      <c r="Q899" s="25" t="s">
        <v>166</v>
      </c>
      <c r="R899" s="25" t="s">
        <v>177</v>
      </c>
      <c r="S899" s="25" t="s">
        <v>178</v>
      </c>
      <c r="T899" s="25" t="s">
        <v>179</v>
      </c>
      <c r="U899" s="25" t="s">
        <v>17051</v>
      </c>
      <c r="V899" s="25" t="s">
        <v>17052</v>
      </c>
      <c r="W899" s="32" t="s">
        <v>17053</v>
      </c>
      <c r="X899" s="25" t="s">
        <v>17054</v>
      </c>
      <c r="Y899" s="25" t="s">
        <v>17055</v>
      </c>
      <c r="Z899" s="25" t="s">
        <v>166</v>
      </c>
      <c r="AA899" s="25" t="s">
        <v>242</v>
      </c>
      <c r="AB899" s="25" t="s">
        <v>243</v>
      </c>
      <c r="AC899" s="25" t="s">
        <v>244</v>
      </c>
      <c r="AD899" s="25" t="s">
        <v>190</v>
      </c>
      <c r="AE899" s="25" t="s">
        <v>243</v>
      </c>
      <c r="AF899" s="25" t="s">
        <v>166</v>
      </c>
      <c r="AG899" s="25" t="s">
        <v>807</v>
      </c>
      <c r="AH899" s="32">
        <v>2</v>
      </c>
      <c r="AI899" s="4">
        <f>HYPERLINK("https://my.pitchbook.com/?d=233914-42T","233914-42T")</f>
      </c>
      <c r="AJ899" s="30" t="s">
        <v>166</v>
      </c>
      <c r="AK899" s="30">
        <v>45026</v>
      </c>
      <c r="AL899" s="29">
        <v>1.47</v>
      </c>
      <c r="AM899" s="25" t="s">
        <v>247</v>
      </c>
      <c r="AN899" s="29">
        <v>3.53</v>
      </c>
      <c r="AO899" s="29">
        <v>5</v>
      </c>
      <c r="AP899" s="25" t="s">
        <v>185</v>
      </c>
      <c r="AQ899" s="32" t="s">
        <v>166</v>
      </c>
      <c r="AR899" s="32" t="s">
        <v>166</v>
      </c>
      <c r="AS899" s="28">
        <v>29.4</v>
      </c>
      <c r="AT899" s="29">
        <v>1.67</v>
      </c>
      <c r="AU899" s="32" t="s">
        <v>186</v>
      </c>
      <c r="AV899" s="32" t="s">
        <v>166</v>
      </c>
      <c r="AW899" s="29">
        <v>0.49</v>
      </c>
      <c r="AX899" s="32" t="s">
        <v>166</v>
      </c>
      <c r="AY899" s="25" t="s">
        <v>217</v>
      </c>
      <c r="AZ899" s="25" t="s">
        <v>217</v>
      </c>
      <c r="BA899" s="25" t="s">
        <v>166</v>
      </c>
      <c r="BB899" s="32" t="s">
        <v>166</v>
      </c>
      <c r="BC899" s="25" t="s">
        <v>179</v>
      </c>
      <c r="BD899" s="25" t="s">
        <v>17056</v>
      </c>
      <c r="BE899" s="25" t="s">
        <v>189</v>
      </c>
      <c r="BF899" s="29">
        <v>1.47</v>
      </c>
      <c r="BG899" s="25" t="s">
        <v>190</v>
      </c>
      <c r="BH899" s="25" t="s">
        <v>166</v>
      </c>
      <c r="BI899" s="25" t="s">
        <v>166</v>
      </c>
      <c r="BJ899" s="29" t="s">
        <v>166</v>
      </c>
      <c r="BK899" s="29" t="s">
        <v>166</v>
      </c>
      <c r="BL899" s="25" t="s">
        <v>191</v>
      </c>
      <c r="BM899" s="25" t="s">
        <v>178</v>
      </c>
      <c r="BN899" s="25" t="s">
        <v>177</v>
      </c>
      <c r="BO899" s="33" t="s">
        <v>166</v>
      </c>
      <c r="BP899" s="25" t="s">
        <v>17044</v>
      </c>
      <c r="BQ899" s="32">
        <v>1</v>
      </c>
      <c r="BR899" s="25" t="s">
        <v>166</v>
      </c>
      <c r="BS899" s="32" t="s">
        <v>166</v>
      </c>
      <c r="BT899" s="25" t="s">
        <v>166</v>
      </c>
      <c r="BU899" s="25" t="s">
        <v>166</v>
      </c>
      <c r="BV899" s="25" t="s">
        <v>166</v>
      </c>
      <c r="BW899" s="25" t="s">
        <v>166</v>
      </c>
      <c r="BX899" s="25" t="s">
        <v>166</v>
      </c>
      <c r="BY899" s="25" t="s">
        <v>166</v>
      </c>
      <c r="BZ899" s="25" t="s">
        <v>166</v>
      </c>
      <c r="CA899" s="25" t="s">
        <v>166</v>
      </c>
      <c r="CB899" s="25" t="s">
        <v>166</v>
      </c>
      <c r="CC899" s="25" t="s">
        <v>166</v>
      </c>
      <c r="CD899" s="25" t="s">
        <v>166</v>
      </c>
      <c r="CE899" s="29" t="s">
        <v>166</v>
      </c>
      <c r="CF899" s="27" t="s">
        <v>166</v>
      </c>
      <c r="CG899" s="28" t="s">
        <v>166</v>
      </c>
      <c r="CH899" s="27" t="s">
        <v>166</v>
      </c>
      <c r="CI899" s="27" t="s">
        <v>166</v>
      </c>
      <c r="CJ899" s="27" t="s">
        <v>166</v>
      </c>
      <c r="CK899" s="27" t="s">
        <v>166</v>
      </c>
      <c r="CL899" s="27" t="s">
        <v>166</v>
      </c>
      <c r="CM899" s="31" t="s">
        <v>166</v>
      </c>
      <c r="CN899" s="27" t="s">
        <v>166</v>
      </c>
      <c r="CO899" s="27" t="s">
        <v>166</v>
      </c>
      <c r="CP899" s="27" t="s">
        <v>166</v>
      </c>
      <c r="CQ899" s="27" t="s">
        <v>166</v>
      </c>
      <c r="CR899" s="27" t="s">
        <v>166</v>
      </c>
      <c r="CS899" s="27" t="s">
        <v>166</v>
      </c>
      <c r="CT899" s="27" t="s">
        <v>166</v>
      </c>
      <c r="CU899" s="27" t="s">
        <v>166</v>
      </c>
      <c r="CV899" s="27" t="s">
        <v>166</v>
      </c>
      <c r="CW899" s="27" t="s">
        <v>166</v>
      </c>
      <c r="CX899" s="27" t="s">
        <v>166</v>
      </c>
      <c r="CY899" s="27" t="s">
        <v>166</v>
      </c>
      <c r="CZ899" s="27" t="s">
        <v>166</v>
      </c>
      <c r="DA899" s="27" t="s">
        <v>166</v>
      </c>
      <c r="DB899" s="27" t="s">
        <v>166</v>
      </c>
      <c r="DC899" s="27" t="s">
        <v>166</v>
      </c>
      <c r="DD899" s="27" t="s">
        <v>166</v>
      </c>
      <c r="DE899" s="28" t="s">
        <v>166</v>
      </c>
      <c r="DF899" s="33">
        <v>5</v>
      </c>
      <c r="DG899" s="25" t="s">
        <v>1634</v>
      </c>
      <c r="DH899" s="25" t="s">
        <v>193</v>
      </c>
      <c r="DI899" s="25" t="s">
        <v>194</v>
      </c>
      <c r="DJ899" s="25" t="s">
        <v>1635</v>
      </c>
      <c r="DK899" s="25" t="s">
        <v>408</v>
      </c>
      <c r="DL899" s="32" t="s">
        <v>8491</v>
      </c>
      <c r="DM899" s="25" t="s">
        <v>198</v>
      </c>
      <c r="DN899" s="24" t="s">
        <v>17057</v>
      </c>
      <c r="DO899" s="31">
        <v>2019</v>
      </c>
      <c r="DP899" s="25" t="s">
        <v>166</v>
      </c>
      <c r="DQ899" s="25" t="s">
        <v>166</v>
      </c>
      <c r="DR899" s="29" t="s">
        <v>166</v>
      </c>
      <c r="DS899" s="27" t="s">
        <v>166</v>
      </c>
      <c r="DT899" s="30" t="s">
        <v>166</v>
      </c>
      <c r="DU899" s="25" t="s">
        <v>166</v>
      </c>
      <c r="DV899" s="29" t="s">
        <v>166</v>
      </c>
      <c r="DW899" s="29" t="s">
        <v>166</v>
      </c>
      <c r="DX899" s="27" t="s">
        <v>166</v>
      </c>
      <c r="DY899" s="27" t="s">
        <v>166</v>
      </c>
      <c r="DZ899" s="28" t="s">
        <v>166</v>
      </c>
      <c r="EA899" s="27" t="s">
        <v>166</v>
      </c>
      <c r="EB899" s="27" t="s">
        <v>166</v>
      </c>
      <c r="EC899" s="27" t="s">
        <v>166</v>
      </c>
      <c r="ED899" s="28" t="s">
        <v>166</v>
      </c>
      <c r="EE899" s="28" t="s">
        <v>166</v>
      </c>
      <c r="EF899" s="28" t="s">
        <v>166</v>
      </c>
      <c r="EG899" s="28" t="s">
        <v>166</v>
      </c>
      <c r="EH899" s="27" t="s">
        <v>166</v>
      </c>
      <c r="EI899" s="27" t="s">
        <v>166</v>
      </c>
      <c r="EJ899" s="27" t="s">
        <v>166</v>
      </c>
      <c r="EK899" s="27" t="s">
        <v>166</v>
      </c>
      <c r="EL899" s="27" t="s">
        <v>166</v>
      </c>
      <c r="EM899" s="27" t="s">
        <v>166</v>
      </c>
      <c r="EN899" s="27" t="s">
        <v>166</v>
      </c>
      <c r="EO899" s="27" t="s">
        <v>166</v>
      </c>
      <c r="EP899" s="27" t="s">
        <v>166</v>
      </c>
      <c r="EQ899" s="27" t="s">
        <v>166</v>
      </c>
      <c r="ER899" s="27" t="s">
        <v>166</v>
      </c>
      <c r="ES899" s="27" t="s">
        <v>166</v>
      </c>
      <c r="ET899" s="25" t="s">
        <v>166</v>
      </c>
      <c r="EU899" s="27" t="s">
        <v>166</v>
      </c>
      <c r="EV899" s="27" t="s">
        <v>166</v>
      </c>
      <c r="EW899" s="27" t="s">
        <v>166</v>
      </c>
      <c r="EX899" s="25" t="s">
        <v>190</v>
      </c>
      <c r="EY899" s="25" t="s">
        <v>166</v>
      </c>
      <c r="EZ899" s="27" t="s">
        <v>166</v>
      </c>
      <c r="FA899" s="26">
        <v>5</v>
      </c>
      <c r="FB899" s="26">
        <v>2</v>
      </c>
      <c r="FC899" s="26">
        <v>3</v>
      </c>
      <c r="FD899" s="26">
        <v>1</v>
      </c>
      <c r="FE899" s="26" t="s">
        <v>166</v>
      </c>
      <c r="FF899" s="26">
        <v>1</v>
      </c>
      <c r="FG899" s="25" t="s">
        <v>5962</v>
      </c>
      <c r="FH899" s="4">
        <f>HYPERLINK("https://my.pitchbook.com?c=233914-42T","View Company Online")</f>
      </c>
    </row>
    <row r="900">
      <c r="A900" s="14" t="s">
        <v>17058</v>
      </c>
      <c r="B900" s="14" t="s">
        <v>17059</v>
      </c>
      <c r="C900" s="14" t="s">
        <v>17060</v>
      </c>
      <c r="D900" s="14" t="s">
        <v>166</v>
      </c>
      <c r="E900" s="23" t="s">
        <v>17061</v>
      </c>
      <c r="F900" s="21">
        <v>7</v>
      </c>
      <c r="G900" s="14" t="s">
        <v>17062</v>
      </c>
      <c r="H900" s="14" t="s">
        <v>166</v>
      </c>
      <c r="I900" s="14" t="s">
        <v>17063</v>
      </c>
      <c r="J900" s="14" t="s">
        <v>17064</v>
      </c>
      <c r="K900" s="14" t="s">
        <v>171</v>
      </c>
      <c r="L900" s="14" t="s">
        <v>172</v>
      </c>
      <c r="M900" s="14" t="s">
        <v>5251</v>
      </c>
      <c r="N900" s="14" t="s">
        <v>17065</v>
      </c>
      <c r="O900" s="14" t="s">
        <v>397</v>
      </c>
      <c r="P900" s="14" t="s">
        <v>17066</v>
      </c>
      <c r="Q900" s="14" t="s">
        <v>166</v>
      </c>
      <c r="R900" s="14" t="s">
        <v>177</v>
      </c>
      <c r="S900" s="14" t="s">
        <v>178</v>
      </c>
      <c r="T900" s="14" t="s">
        <v>179</v>
      </c>
      <c r="U900" s="14" t="s">
        <v>17067</v>
      </c>
      <c r="V900" s="14" t="s">
        <v>17068</v>
      </c>
      <c r="W900" s="21" t="s">
        <v>17069</v>
      </c>
      <c r="X900" s="14" t="s">
        <v>17070</v>
      </c>
      <c r="Y900" s="14" t="s">
        <v>17071</v>
      </c>
      <c r="Z900" s="14" t="s">
        <v>17072</v>
      </c>
      <c r="AA900" s="14" t="s">
        <v>242</v>
      </c>
      <c r="AB900" s="14" t="s">
        <v>243</v>
      </c>
      <c r="AC900" s="14" t="s">
        <v>244</v>
      </c>
      <c r="AD900" s="14" t="s">
        <v>243</v>
      </c>
      <c r="AE900" s="14" t="s">
        <v>243</v>
      </c>
      <c r="AF900" s="14" t="s">
        <v>166</v>
      </c>
      <c r="AG900" s="14" t="s">
        <v>246</v>
      </c>
      <c r="AH900" s="21">
        <v>1</v>
      </c>
      <c r="AI900" s="3">
        <f>HYPERLINK("https://my.pitchbook.com/?d=189038-98T","189038-98T")</f>
      </c>
      <c r="AJ900" s="19" t="s">
        <v>166</v>
      </c>
      <c r="AK900" s="19">
        <v>44509</v>
      </c>
      <c r="AL900" s="18">
        <v>0.6</v>
      </c>
      <c r="AM900" s="14" t="s">
        <v>247</v>
      </c>
      <c r="AN900" s="18">
        <v>1</v>
      </c>
      <c r="AO900" s="18">
        <v>1.6</v>
      </c>
      <c r="AP900" s="14" t="s">
        <v>185</v>
      </c>
      <c r="AQ900" s="21" t="s">
        <v>166</v>
      </c>
      <c r="AR900" s="21" t="s">
        <v>166</v>
      </c>
      <c r="AS900" s="17">
        <v>37.5</v>
      </c>
      <c r="AT900" s="18">
        <v>0.6</v>
      </c>
      <c r="AU900" s="21" t="s">
        <v>186</v>
      </c>
      <c r="AV900" s="21" t="s">
        <v>166</v>
      </c>
      <c r="AW900" s="18">
        <v>0.39</v>
      </c>
      <c r="AX900" s="21" t="s">
        <v>166</v>
      </c>
      <c r="AY900" s="14" t="s">
        <v>217</v>
      </c>
      <c r="AZ900" s="14" t="s">
        <v>217</v>
      </c>
      <c r="BA900" s="14" t="s">
        <v>166</v>
      </c>
      <c r="BB900" s="21" t="s">
        <v>166</v>
      </c>
      <c r="BC900" s="14" t="s">
        <v>179</v>
      </c>
      <c r="BD900" s="14" t="s">
        <v>17073</v>
      </c>
      <c r="BE900" s="14" t="s">
        <v>189</v>
      </c>
      <c r="BF900" s="18">
        <v>0.6</v>
      </c>
      <c r="BG900" s="14" t="s">
        <v>190</v>
      </c>
      <c r="BH900" s="14" t="s">
        <v>166</v>
      </c>
      <c r="BI900" s="14" t="s">
        <v>166</v>
      </c>
      <c r="BJ900" s="18" t="s">
        <v>166</v>
      </c>
      <c r="BK900" s="18" t="s">
        <v>166</v>
      </c>
      <c r="BL900" s="14" t="s">
        <v>191</v>
      </c>
      <c r="BM900" s="14" t="s">
        <v>178</v>
      </c>
      <c r="BN900" s="14" t="s">
        <v>177</v>
      </c>
      <c r="BO900" s="22" t="s">
        <v>166</v>
      </c>
      <c r="BP900" s="14" t="s">
        <v>17074</v>
      </c>
      <c r="BQ900" s="21">
        <v>7</v>
      </c>
      <c r="BR900" s="14" t="s">
        <v>166</v>
      </c>
      <c r="BS900" s="21" t="s">
        <v>166</v>
      </c>
      <c r="BT900" s="14" t="s">
        <v>166</v>
      </c>
      <c r="BU900" s="14" t="s">
        <v>166</v>
      </c>
      <c r="BV900" s="14" t="s">
        <v>17075</v>
      </c>
      <c r="BW900" s="14" t="s">
        <v>166</v>
      </c>
      <c r="BX900" s="14" t="s">
        <v>166</v>
      </c>
      <c r="BY900" s="14" t="s">
        <v>166</v>
      </c>
      <c r="BZ900" s="14" t="s">
        <v>166</v>
      </c>
      <c r="CA900" s="14" t="s">
        <v>166</v>
      </c>
      <c r="CB900" s="14" t="s">
        <v>166</v>
      </c>
      <c r="CC900" s="14" t="s">
        <v>166</v>
      </c>
      <c r="CD900" s="14" t="s">
        <v>166</v>
      </c>
      <c r="CE900" s="18" t="s">
        <v>166</v>
      </c>
      <c r="CF900" s="16" t="s">
        <v>166</v>
      </c>
      <c r="CG900" s="17" t="s">
        <v>166</v>
      </c>
      <c r="CH900" s="16" t="s">
        <v>166</v>
      </c>
      <c r="CI900" s="16" t="s">
        <v>166</v>
      </c>
      <c r="CJ900" s="16" t="s">
        <v>166</v>
      </c>
      <c r="CK900" s="16" t="s">
        <v>166</v>
      </c>
      <c r="CL900" s="16" t="s">
        <v>166</v>
      </c>
      <c r="CM900" s="20" t="s">
        <v>166</v>
      </c>
      <c r="CN900" s="16" t="s">
        <v>166</v>
      </c>
      <c r="CO900" s="16" t="s">
        <v>166</v>
      </c>
      <c r="CP900" s="16" t="s">
        <v>166</v>
      </c>
      <c r="CQ900" s="16" t="s">
        <v>166</v>
      </c>
      <c r="CR900" s="16" t="s">
        <v>166</v>
      </c>
      <c r="CS900" s="16" t="s">
        <v>166</v>
      </c>
      <c r="CT900" s="16" t="s">
        <v>166</v>
      </c>
      <c r="CU900" s="16" t="s">
        <v>166</v>
      </c>
      <c r="CV900" s="16" t="s">
        <v>166</v>
      </c>
      <c r="CW900" s="16" t="s">
        <v>166</v>
      </c>
      <c r="CX900" s="16" t="s">
        <v>166</v>
      </c>
      <c r="CY900" s="16" t="s">
        <v>166</v>
      </c>
      <c r="CZ900" s="16" t="s">
        <v>166</v>
      </c>
      <c r="DA900" s="16" t="s">
        <v>166</v>
      </c>
      <c r="DB900" s="16" t="s">
        <v>166</v>
      </c>
      <c r="DC900" s="16" t="s">
        <v>166</v>
      </c>
      <c r="DD900" s="16" t="s">
        <v>166</v>
      </c>
      <c r="DE900" s="17" t="s">
        <v>166</v>
      </c>
      <c r="DF900" s="22">
        <v>21</v>
      </c>
      <c r="DG900" s="14" t="s">
        <v>1540</v>
      </c>
      <c r="DH900" s="14" t="s">
        <v>193</v>
      </c>
      <c r="DI900" s="14" t="s">
        <v>194</v>
      </c>
      <c r="DJ900" s="14" t="s">
        <v>1541</v>
      </c>
      <c r="DK900" s="14" t="s">
        <v>257</v>
      </c>
      <c r="DL900" s="21" t="s">
        <v>17076</v>
      </c>
      <c r="DM900" s="14" t="s">
        <v>198</v>
      </c>
      <c r="DN900" s="13" t="s">
        <v>17077</v>
      </c>
      <c r="DO900" s="20">
        <v>2021</v>
      </c>
      <c r="DP900" s="14" t="s">
        <v>166</v>
      </c>
      <c r="DQ900" s="14" t="s">
        <v>166</v>
      </c>
      <c r="DR900" s="18" t="s">
        <v>166</v>
      </c>
      <c r="DS900" s="16" t="s">
        <v>166</v>
      </c>
      <c r="DT900" s="19" t="s">
        <v>166</v>
      </c>
      <c r="DU900" s="14" t="s">
        <v>166</v>
      </c>
      <c r="DV900" s="18" t="s">
        <v>166</v>
      </c>
      <c r="DW900" s="18" t="s">
        <v>166</v>
      </c>
      <c r="DX900" s="16" t="s">
        <v>166</v>
      </c>
      <c r="DY900" s="16" t="s">
        <v>166</v>
      </c>
      <c r="DZ900" s="17" t="s">
        <v>166</v>
      </c>
      <c r="EA900" s="16" t="s">
        <v>166</v>
      </c>
      <c r="EB900" s="16" t="s">
        <v>166</v>
      </c>
      <c r="EC900" s="16" t="s">
        <v>166</v>
      </c>
      <c r="ED900" s="17" t="s">
        <v>166</v>
      </c>
      <c r="EE900" s="17" t="s">
        <v>166</v>
      </c>
      <c r="EF900" s="17" t="s">
        <v>166</v>
      </c>
      <c r="EG900" s="17" t="s">
        <v>166</v>
      </c>
      <c r="EH900" s="16" t="s">
        <v>166</v>
      </c>
      <c r="EI900" s="16" t="s">
        <v>166</v>
      </c>
      <c r="EJ900" s="16" t="s">
        <v>166</v>
      </c>
      <c r="EK900" s="16" t="s">
        <v>166</v>
      </c>
      <c r="EL900" s="16" t="s">
        <v>166</v>
      </c>
      <c r="EM900" s="16" t="s">
        <v>166</v>
      </c>
      <c r="EN900" s="16" t="s">
        <v>166</v>
      </c>
      <c r="EO900" s="16" t="s">
        <v>166</v>
      </c>
      <c r="EP900" s="16" t="s">
        <v>166</v>
      </c>
      <c r="EQ900" s="16" t="s">
        <v>166</v>
      </c>
      <c r="ER900" s="16" t="s">
        <v>166</v>
      </c>
      <c r="ES900" s="16" t="s">
        <v>166</v>
      </c>
      <c r="ET900" s="14" t="s">
        <v>166</v>
      </c>
      <c r="EU900" s="16" t="s">
        <v>166</v>
      </c>
      <c r="EV900" s="16" t="s">
        <v>166</v>
      </c>
      <c r="EW900" s="16" t="s">
        <v>166</v>
      </c>
      <c r="EX900" s="14" t="s">
        <v>190</v>
      </c>
      <c r="EY900" s="14" t="s">
        <v>166</v>
      </c>
      <c r="EZ900" s="16" t="s">
        <v>166</v>
      </c>
      <c r="FA900" s="15" t="s">
        <v>166</v>
      </c>
      <c r="FB900" s="15" t="s">
        <v>166</v>
      </c>
      <c r="FC900" s="15" t="s">
        <v>166</v>
      </c>
      <c r="FD900" s="15" t="s">
        <v>166</v>
      </c>
      <c r="FE900" s="15" t="s">
        <v>166</v>
      </c>
      <c r="FF900" s="15" t="s">
        <v>166</v>
      </c>
      <c r="FG900" s="14" t="s">
        <v>166</v>
      </c>
      <c r="FH900" s="3">
        <f>HYPERLINK("https://my.pitchbook.com?c=189038-98T","View Company Online")</f>
      </c>
    </row>
    <row r="901">
      <c r="A901" s="25" t="s">
        <v>17078</v>
      </c>
      <c r="B901" s="25" t="s">
        <v>17079</v>
      </c>
      <c r="C901" s="25" t="s">
        <v>17080</v>
      </c>
      <c r="D901" s="25" t="s">
        <v>166</v>
      </c>
      <c r="E901" s="34" t="s">
        <v>17081</v>
      </c>
      <c r="F901" s="32">
        <v>8</v>
      </c>
      <c r="G901" s="25" t="s">
        <v>17082</v>
      </c>
      <c r="H901" s="25" t="s">
        <v>166</v>
      </c>
      <c r="I901" s="25" t="s">
        <v>17083</v>
      </c>
      <c r="J901" s="25" t="s">
        <v>17084</v>
      </c>
      <c r="K901" s="25" t="s">
        <v>207</v>
      </c>
      <c r="L901" s="25" t="s">
        <v>208</v>
      </c>
      <c r="M901" s="25" t="s">
        <v>209</v>
      </c>
      <c r="N901" s="25" t="s">
        <v>210</v>
      </c>
      <c r="O901" s="25" t="s">
        <v>2318</v>
      </c>
      <c r="P901" s="25" t="s">
        <v>17085</v>
      </c>
      <c r="Q901" s="25" t="s">
        <v>166</v>
      </c>
      <c r="R901" s="25" t="s">
        <v>177</v>
      </c>
      <c r="S901" s="25" t="s">
        <v>178</v>
      </c>
      <c r="T901" s="25" t="s">
        <v>179</v>
      </c>
      <c r="U901" s="25" t="s">
        <v>17086</v>
      </c>
      <c r="V901" s="25" t="s">
        <v>17087</v>
      </c>
      <c r="W901" s="32" t="s">
        <v>17088</v>
      </c>
      <c r="X901" s="25" t="s">
        <v>17089</v>
      </c>
      <c r="Y901" s="25" t="s">
        <v>17090</v>
      </c>
      <c r="Z901" s="25" t="s">
        <v>17091</v>
      </c>
      <c r="AA901" s="25" t="s">
        <v>242</v>
      </c>
      <c r="AB901" s="25" t="s">
        <v>243</v>
      </c>
      <c r="AC901" s="25" t="s">
        <v>244</v>
      </c>
      <c r="AD901" s="25" t="s">
        <v>243</v>
      </c>
      <c r="AE901" s="25" t="s">
        <v>243</v>
      </c>
      <c r="AF901" s="25" t="s">
        <v>245</v>
      </c>
      <c r="AG901" s="25" t="s">
        <v>246</v>
      </c>
      <c r="AH901" s="32">
        <v>1</v>
      </c>
      <c r="AI901" s="4">
        <f>HYPERLINK("https://my.pitchbook.com/?d=188525-71T","188525-71T")</f>
      </c>
      <c r="AJ901" s="30">
        <v>44603</v>
      </c>
      <c r="AK901" s="30">
        <v>44609</v>
      </c>
      <c r="AL901" s="29">
        <v>8.35</v>
      </c>
      <c r="AM901" s="25" t="s">
        <v>185</v>
      </c>
      <c r="AN901" s="29">
        <v>101.65</v>
      </c>
      <c r="AO901" s="29">
        <v>110</v>
      </c>
      <c r="AP901" s="25" t="s">
        <v>185</v>
      </c>
      <c r="AQ901" s="32" t="s">
        <v>166</v>
      </c>
      <c r="AR901" s="32" t="s">
        <v>166</v>
      </c>
      <c r="AS901" s="28">
        <v>40.58</v>
      </c>
      <c r="AT901" s="29">
        <v>8.35</v>
      </c>
      <c r="AU901" s="32" t="s">
        <v>186</v>
      </c>
      <c r="AV901" s="32" t="s">
        <v>166</v>
      </c>
      <c r="AW901" s="29">
        <v>8.84</v>
      </c>
      <c r="AX901" s="32" t="s">
        <v>166</v>
      </c>
      <c r="AY901" s="25" t="s">
        <v>217</v>
      </c>
      <c r="AZ901" s="25" t="s">
        <v>217</v>
      </c>
      <c r="BA901" s="25" t="s">
        <v>166</v>
      </c>
      <c r="BB901" s="32" t="s">
        <v>166</v>
      </c>
      <c r="BC901" s="25" t="s">
        <v>179</v>
      </c>
      <c r="BD901" s="25" t="s">
        <v>17092</v>
      </c>
      <c r="BE901" s="25" t="s">
        <v>189</v>
      </c>
      <c r="BF901" s="29">
        <v>8.35</v>
      </c>
      <c r="BG901" s="25" t="s">
        <v>190</v>
      </c>
      <c r="BH901" s="25" t="s">
        <v>166</v>
      </c>
      <c r="BI901" s="25" t="s">
        <v>166</v>
      </c>
      <c r="BJ901" s="29" t="s">
        <v>166</v>
      </c>
      <c r="BK901" s="29" t="s">
        <v>166</v>
      </c>
      <c r="BL901" s="25" t="s">
        <v>191</v>
      </c>
      <c r="BM901" s="25" t="s">
        <v>178</v>
      </c>
      <c r="BN901" s="25" t="s">
        <v>177</v>
      </c>
      <c r="BO901" s="33" t="s">
        <v>166</v>
      </c>
      <c r="BP901" s="25" t="s">
        <v>17093</v>
      </c>
      <c r="BQ901" s="32">
        <v>8</v>
      </c>
      <c r="BR901" s="25" t="s">
        <v>166</v>
      </c>
      <c r="BS901" s="32" t="s">
        <v>166</v>
      </c>
      <c r="BT901" s="25" t="s">
        <v>166</v>
      </c>
      <c r="BU901" s="25" t="s">
        <v>166</v>
      </c>
      <c r="BV901" s="25" t="s">
        <v>7619</v>
      </c>
      <c r="BW901" s="25" t="s">
        <v>166</v>
      </c>
      <c r="BX901" s="25" t="s">
        <v>166</v>
      </c>
      <c r="BY901" s="25" t="s">
        <v>166</v>
      </c>
      <c r="BZ901" s="25" t="s">
        <v>17094</v>
      </c>
      <c r="CA901" s="25" t="s">
        <v>166</v>
      </c>
      <c r="CB901" s="25" t="s">
        <v>166</v>
      </c>
      <c r="CC901" s="25" t="s">
        <v>17094</v>
      </c>
      <c r="CD901" s="25" t="s">
        <v>166</v>
      </c>
      <c r="CE901" s="29" t="s">
        <v>166</v>
      </c>
      <c r="CF901" s="27" t="s">
        <v>166</v>
      </c>
      <c r="CG901" s="28" t="s">
        <v>166</v>
      </c>
      <c r="CH901" s="27" t="s">
        <v>166</v>
      </c>
      <c r="CI901" s="27" t="s">
        <v>166</v>
      </c>
      <c r="CJ901" s="27" t="s">
        <v>166</v>
      </c>
      <c r="CK901" s="27" t="s">
        <v>166</v>
      </c>
      <c r="CL901" s="27" t="s">
        <v>166</v>
      </c>
      <c r="CM901" s="31" t="s">
        <v>166</v>
      </c>
      <c r="CN901" s="27" t="s">
        <v>166</v>
      </c>
      <c r="CO901" s="27" t="s">
        <v>166</v>
      </c>
      <c r="CP901" s="27" t="s">
        <v>166</v>
      </c>
      <c r="CQ901" s="27" t="s">
        <v>166</v>
      </c>
      <c r="CR901" s="27" t="s">
        <v>166</v>
      </c>
      <c r="CS901" s="27" t="s">
        <v>166</v>
      </c>
      <c r="CT901" s="27" t="s">
        <v>166</v>
      </c>
      <c r="CU901" s="27" t="s">
        <v>166</v>
      </c>
      <c r="CV901" s="27" t="s">
        <v>166</v>
      </c>
      <c r="CW901" s="27" t="s">
        <v>166</v>
      </c>
      <c r="CX901" s="27" t="s">
        <v>166</v>
      </c>
      <c r="CY901" s="27" t="s">
        <v>166</v>
      </c>
      <c r="CZ901" s="27" t="s">
        <v>166</v>
      </c>
      <c r="DA901" s="27" t="s">
        <v>166</v>
      </c>
      <c r="DB901" s="27" t="s">
        <v>166</v>
      </c>
      <c r="DC901" s="27" t="s">
        <v>166</v>
      </c>
      <c r="DD901" s="27" t="s">
        <v>166</v>
      </c>
      <c r="DE901" s="28" t="s">
        <v>166</v>
      </c>
      <c r="DF901" s="33">
        <v>67</v>
      </c>
      <c r="DG901" s="25" t="s">
        <v>1077</v>
      </c>
      <c r="DH901" s="25" t="s">
        <v>193</v>
      </c>
      <c r="DI901" s="25" t="s">
        <v>194</v>
      </c>
      <c r="DJ901" s="25" t="s">
        <v>1078</v>
      </c>
      <c r="DK901" s="25" t="s">
        <v>257</v>
      </c>
      <c r="DL901" s="32" t="s">
        <v>17095</v>
      </c>
      <c r="DM901" s="25" t="s">
        <v>198</v>
      </c>
      <c r="DN901" s="24" t="s">
        <v>17096</v>
      </c>
      <c r="DO901" s="31">
        <v>2021</v>
      </c>
      <c r="DP901" s="25" t="s">
        <v>166</v>
      </c>
      <c r="DQ901" s="25" t="s">
        <v>166</v>
      </c>
      <c r="DR901" s="29" t="s">
        <v>166</v>
      </c>
      <c r="DS901" s="27" t="s">
        <v>166</v>
      </c>
      <c r="DT901" s="30" t="s">
        <v>166</v>
      </c>
      <c r="DU901" s="25" t="s">
        <v>166</v>
      </c>
      <c r="DV901" s="29" t="s">
        <v>166</v>
      </c>
      <c r="DW901" s="29" t="s">
        <v>166</v>
      </c>
      <c r="DX901" s="27" t="s">
        <v>166</v>
      </c>
      <c r="DY901" s="27" t="s">
        <v>166</v>
      </c>
      <c r="DZ901" s="28" t="s">
        <v>166</v>
      </c>
      <c r="EA901" s="27" t="s">
        <v>166</v>
      </c>
      <c r="EB901" s="27" t="s">
        <v>166</v>
      </c>
      <c r="EC901" s="27" t="s">
        <v>166</v>
      </c>
      <c r="ED901" s="28" t="s">
        <v>166</v>
      </c>
      <c r="EE901" s="28" t="s">
        <v>166</v>
      </c>
      <c r="EF901" s="28" t="s">
        <v>166</v>
      </c>
      <c r="EG901" s="28" t="s">
        <v>166</v>
      </c>
      <c r="EH901" s="27" t="s">
        <v>166</v>
      </c>
      <c r="EI901" s="27" t="s">
        <v>166</v>
      </c>
      <c r="EJ901" s="27" t="s">
        <v>166</v>
      </c>
      <c r="EK901" s="27" t="s">
        <v>166</v>
      </c>
      <c r="EL901" s="27" t="s">
        <v>166</v>
      </c>
      <c r="EM901" s="27" t="s">
        <v>166</v>
      </c>
      <c r="EN901" s="27" t="s">
        <v>166</v>
      </c>
      <c r="EO901" s="27" t="s">
        <v>166</v>
      </c>
      <c r="EP901" s="27" t="s">
        <v>166</v>
      </c>
      <c r="EQ901" s="27" t="s">
        <v>166</v>
      </c>
      <c r="ER901" s="27" t="s">
        <v>166</v>
      </c>
      <c r="ES901" s="27" t="s">
        <v>166</v>
      </c>
      <c r="ET901" s="25" t="s">
        <v>166</v>
      </c>
      <c r="EU901" s="27" t="s">
        <v>166</v>
      </c>
      <c r="EV901" s="27" t="s">
        <v>166</v>
      </c>
      <c r="EW901" s="27" t="s">
        <v>166</v>
      </c>
      <c r="EX901" s="25" t="s">
        <v>190</v>
      </c>
      <c r="EY901" s="25" t="s">
        <v>166</v>
      </c>
      <c r="EZ901" s="27" t="s">
        <v>166</v>
      </c>
      <c r="FA901" s="26" t="s">
        <v>166</v>
      </c>
      <c r="FB901" s="26" t="s">
        <v>166</v>
      </c>
      <c r="FC901" s="26" t="s">
        <v>166</v>
      </c>
      <c r="FD901" s="26" t="s">
        <v>166</v>
      </c>
      <c r="FE901" s="26" t="s">
        <v>166</v>
      </c>
      <c r="FF901" s="26" t="s">
        <v>166</v>
      </c>
      <c r="FG901" s="25" t="s">
        <v>166</v>
      </c>
      <c r="FH901" s="4">
        <f>HYPERLINK("https://my.pitchbook.com?c=188525-71T","View Company Online")</f>
      </c>
    </row>
    <row r="902">
      <c r="A902" s="14" t="s">
        <v>17097</v>
      </c>
      <c r="B902" s="14" t="s">
        <v>17098</v>
      </c>
      <c r="C902" s="14" t="s">
        <v>17099</v>
      </c>
      <c r="D902" s="14" t="s">
        <v>166</v>
      </c>
      <c r="E902" s="23" t="s">
        <v>17100</v>
      </c>
      <c r="F902" s="21">
        <v>3</v>
      </c>
      <c r="G902" s="14" t="s">
        <v>17101</v>
      </c>
      <c r="H902" s="14" t="s">
        <v>166</v>
      </c>
      <c r="I902" s="14" t="s">
        <v>17102</v>
      </c>
      <c r="J902" s="14" t="s">
        <v>17103</v>
      </c>
      <c r="K902" s="14" t="s">
        <v>1500</v>
      </c>
      <c r="L902" s="14" t="s">
        <v>2334</v>
      </c>
      <c r="M902" s="14" t="s">
        <v>2335</v>
      </c>
      <c r="N902" s="14" t="s">
        <v>17104</v>
      </c>
      <c r="O902" s="14" t="s">
        <v>17105</v>
      </c>
      <c r="P902" s="14" t="s">
        <v>17106</v>
      </c>
      <c r="Q902" s="14" t="s">
        <v>166</v>
      </c>
      <c r="R902" s="14" t="s">
        <v>177</v>
      </c>
      <c r="S902" s="14" t="s">
        <v>178</v>
      </c>
      <c r="T902" s="14" t="s">
        <v>179</v>
      </c>
      <c r="U902" s="14" t="s">
        <v>17107</v>
      </c>
      <c r="V902" s="14" t="s">
        <v>17108</v>
      </c>
      <c r="W902" s="21" t="s">
        <v>17109</v>
      </c>
      <c r="X902" s="14" t="s">
        <v>17110</v>
      </c>
      <c r="Y902" s="14" t="s">
        <v>17111</v>
      </c>
      <c r="Z902" s="14" t="s">
        <v>166</v>
      </c>
      <c r="AA902" s="14" t="s">
        <v>166</v>
      </c>
      <c r="AB902" s="14" t="s">
        <v>166</v>
      </c>
      <c r="AC902" s="14" t="s">
        <v>166</v>
      </c>
      <c r="AD902" s="14" t="s">
        <v>166</v>
      </c>
      <c r="AE902" s="14" t="s">
        <v>166</v>
      </c>
      <c r="AF902" s="14" t="s">
        <v>166</v>
      </c>
      <c r="AG902" s="14" t="s">
        <v>166</v>
      </c>
      <c r="AH902" s="21">
        <v>1</v>
      </c>
      <c r="AI902" s="3">
        <f>HYPERLINK("https://my.pitchbook.com/?d=225207-10T","225207-10T")</f>
      </c>
      <c r="AJ902" s="19" t="s">
        <v>166</v>
      </c>
      <c r="AK902" s="19">
        <v>45078</v>
      </c>
      <c r="AL902" s="18">
        <v>3.3</v>
      </c>
      <c r="AM902" s="14" t="s">
        <v>185</v>
      </c>
      <c r="AN902" s="18" t="s">
        <v>166</v>
      </c>
      <c r="AO902" s="18" t="s">
        <v>166</v>
      </c>
      <c r="AP902" s="14" t="s">
        <v>166</v>
      </c>
      <c r="AQ902" s="21" t="s">
        <v>166</v>
      </c>
      <c r="AR902" s="21" t="s">
        <v>166</v>
      </c>
      <c r="AS902" s="17" t="s">
        <v>166</v>
      </c>
      <c r="AT902" s="18">
        <v>3.3</v>
      </c>
      <c r="AU902" s="21" t="s">
        <v>186</v>
      </c>
      <c r="AV902" s="21" t="s">
        <v>166</v>
      </c>
      <c r="AW902" s="18" t="s">
        <v>166</v>
      </c>
      <c r="AX902" s="21" t="s">
        <v>166</v>
      </c>
      <c r="AY902" s="14" t="s">
        <v>217</v>
      </c>
      <c r="AZ902" s="14" t="s">
        <v>217</v>
      </c>
      <c r="BA902" s="14" t="s">
        <v>166</v>
      </c>
      <c r="BB902" s="21" t="s">
        <v>166</v>
      </c>
      <c r="BC902" s="14" t="s">
        <v>179</v>
      </c>
      <c r="BD902" s="14" t="s">
        <v>17112</v>
      </c>
      <c r="BE902" s="14" t="s">
        <v>189</v>
      </c>
      <c r="BF902" s="18">
        <v>2.5</v>
      </c>
      <c r="BG902" s="14" t="s">
        <v>190</v>
      </c>
      <c r="BH902" s="14" t="s">
        <v>166</v>
      </c>
      <c r="BI902" s="14" t="s">
        <v>166</v>
      </c>
      <c r="BJ902" s="18">
        <v>0.8</v>
      </c>
      <c r="BK902" s="18" t="s">
        <v>166</v>
      </c>
      <c r="BL902" s="14" t="s">
        <v>191</v>
      </c>
      <c r="BM902" s="14" t="s">
        <v>178</v>
      </c>
      <c r="BN902" s="14" t="s">
        <v>177</v>
      </c>
      <c r="BO902" s="22">
        <v>50</v>
      </c>
      <c r="BP902" s="14" t="s">
        <v>17113</v>
      </c>
      <c r="BQ902" s="21">
        <v>3</v>
      </c>
      <c r="BR902" s="14" t="s">
        <v>166</v>
      </c>
      <c r="BS902" s="21" t="s">
        <v>166</v>
      </c>
      <c r="BT902" s="14" t="s">
        <v>166</v>
      </c>
      <c r="BU902" s="14" t="s">
        <v>166</v>
      </c>
      <c r="BV902" s="14" t="s">
        <v>166</v>
      </c>
      <c r="BW902" s="14" t="s">
        <v>166</v>
      </c>
      <c r="BX902" s="14" t="s">
        <v>166</v>
      </c>
      <c r="BY902" s="14" t="s">
        <v>166</v>
      </c>
      <c r="BZ902" s="14" t="s">
        <v>166</v>
      </c>
      <c r="CA902" s="14" t="s">
        <v>166</v>
      </c>
      <c r="CB902" s="14" t="s">
        <v>166</v>
      </c>
      <c r="CC902" s="14" t="s">
        <v>166</v>
      </c>
      <c r="CD902" s="14" t="s">
        <v>166</v>
      </c>
      <c r="CE902" s="18" t="s">
        <v>166</v>
      </c>
      <c r="CF902" s="16">
        <v>1</v>
      </c>
      <c r="CG902" s="17" t="s">
        <v>166</v>
      </c>
      <c r="CH902" s="16" t="s">
        <v>166</v>
      </c>
      <c r="CI902" s="16" t="s">
        <v>166</v>
      </c>
      <c r="CJ902" s="16" t="s">
        <v>166</v>
      </c>
      <c r="CK902" s="16" t="s">
        <v>166</v>
      </c>
      <c r="CL902" s="16" t="s">
        <v>166</v>
      </c>
      <c r="CM902" s="20">
        <v>2022</v>
      </c>
      <c r="CN902" s="16" t="s">
        <v>166</v>
      </c>
      <c r="CO902" s="16" t="s">
        <v>166</v>
      </c>
      <c r="CP902" s="16" t="s">
        <v>166</v>
      </c>
      <c r="CQ902" s="16" t="s">
        <v>166</v>
      </c>
      <c r="CR902" s="16" t="s">
        <v>166</v>
      </c>
      <c r="CS902" s="16" t="s">
        <v>166</v>
      </c>
      <c r="CT902" s="16" t="s">
        <v>166</v>
      </c>
      <c r="CU902" s="16" t="s">
        <v>166</v>
      </c>
      <c r="CV902" s="16">
        <v>3.3</v>
      </c>
      <c r="CW902" s="16" t="s">
        <v>166</v>
      </c>
      <c r="CX902" s="16" t="s">
        <v>166</v>
      </c>
      <c r="CY902" s="16">
        <v>0.32</v>
      </c>
      <c r="CZ902" s="16" t="s">
        <v>166</v>
      </c>
      <c r="DA902" s="16" t="s">
        <v>166</v>
      </c>
      <c r="DB902" s="16" t="s">
        <v>166</v>
      </c>
      <c r="DC902" s="16" t="s">
        <v>166</v>
      </c>
      <c r="DD902" s="16" t="s">
        <v>166</v>
      </c>
      <c r="DE902" s="17" t="s">
        <v>166</v>
      </c>
      <c r="DF902" s="22">
        <v>250</v>
      </c>
      <c r="DG902" s="14" t="s">
        <v>17114</v>
      </c>
      <c r="DH902" s="14" t="s">
        <v>193</v>
      </c>
      <c r="DI902" s="14" t="s">
        <v>194</v>
      </c>
      <c r="DJ902" s="14" t="s">
        <v>17115</v>
      </c>
      <c r="DK902" s="14" t="s">
        <v>196</v>
      </c>
      <c r="DL902" s="21" t="s">
        <v>17116</v>
      </c>
      <c r="DM902" s="14" t="s">
        <v>198</v>
      </c>
      <c r="DN902" s="13" t="s">
        <v>17117</v>
      </c>
      <c r="DO902" s="20">
        <v>2021</v>
      </c>
      <c r="DP902" s="14" t="s">
        <v>166</v>
      </c>
      <c r="DQ902" s="14" t="s">
        <v>17118</v>
      </c>
      <c r="DR902" s="18">
        <v>0.8</v>
      </c>
      <c r="DS902" s="16" t="s">
        <v>166</v>
      </c>
      <c r="DT902" s="19" t="s">
        <v>166</v>
      </c>
      <c r="DU902" s="14" t="s">
        <v>166</v>
      </c>
      <c r="DV902" s="18" t="s">
        <v>166</v>
      </c>
      <c r="DW902" s="18" t="s">
        <v>166</v>
      </c>
      <c r="DX902" s="16" t="s">
        <v>166</v>
      </c>
      <c r="DY902" s="16" t="s">
        <v>166</v>
      </c>
      <c r="DZ902" s="17" t="s">
        <v>166</v>
      </c>
      <c r="EA902" s="16" t="s">
        <v>166</v>
      </c>
      <c r="EB902" s="16" t="s">
        <v>166</v>
      </c>
      <c r="EC902" s="16" t="s">
        <v>166</v>
      </c>
      <c r="ED902" s="17" t="s">
        <v>166</v>
      </c>
      <c r="EE902" s="17" t="s">
        <v>166</v>
      </c>
      <c r="EF902" s="17" t="s">
        <v>166</v>
      </c>
      <c r="EG902" s="17" t="s">
        <v>166</v>
      </c>
      <c r="EH902" s="16" t="s">
        <v>166</v>
      </c>
      <c r="EI902" s="16" t="s">
        <v>166</v>
      </c>
      <c r="EJ902" s="16" t="s">
        <v>166</v>
      </c>
      <c r="EK902" s="16" t="s">
        <v>166</v>
      </c>
      <c r="EL902" s="16" t="s">
        <v>166</v>
      </c>
      <c r="EM902" s="16" t="s">
        <v>166</v>
      </c>
      <c r="EN902" s="16" t="s">
        <v>166</v>
      </c>
      <c r="EO902" s="16" t="s">
        <v>166</v>
      </c>
      <c r="EP902" s="16" t="s">
        <v>166</v>
      </c>
      <c r="EQ902" s="16" t="s">
        <v>166</v>
      </c>
      <c r="ER902" s="16" t="s">
        <v>166</v>
      </c>
      <c r="ES902" s="16" t="s">
        <v>166</v>
      </c>
      <c r="ET902" s="14" t="s">
        <v>166</v>
      </c>
      <c r="EU902" s="16" t="s">
        <v>166</v>
      </c>
      <c r="EV902" s="16" t="s">
        <v>166</v>
      </c>
      <c r="EW902" s="16" t="s">
        <v>166</v>
      </c>
      <c r="EX902" s="14" t="s">
        <v>190</v>
      </c>
      <c r="EY902" s="14" t="s">
        <v>190</v>
      </c>
      <c r="EZ902" s="16" t="s">
        <v>166</v>
      </c>
      <c r="FA902" s="15" t="s">
        <v>166</v>
      </c>
      <c r="FB902" s="15" t="s">
        <v>166</v>
      </c>
      <c r="FC902" s="15" t="s">
        <v>166</v>
      </c>
      <c r="FD902" s="15" t="s">
        <v>166</v>
      </c>
      <c r="FE902" s="15" t="s">
        <v>166</v>
      </c>
      <c r="FF902" s="15" t="s">
        <v>166</v>
      </c>
      <c r="FG902" s="14" t="s">
        <v>166</v>
      </c>
      <c r="FH902" s="3">
        <f>HYPERLINK("https://my.pitchbook.com?c=225207-10T","View Company Online")</f>
      </c>
    </row>
    <row r="903">
      <c r="A903" s="25" t="s">
        <v>17119</v>
      </c>
      <c r="B903" s="25" t="s">
        <v>17120</v>
      </c>
      <c r="C903" s="25" t="s">
        <v>17121</v>
      </c>
      <c r="D903" s="25" t="s">
        <v>166</v>
      </c>
      <c r="E903" s="34" t="s">
        <v>17122</v>
      </c>
      <c r="F903" s="32">
        <v>6</v>
      </c>
      <c r="G903" s="25" t="s">
        <v>17123</v>
      </c>
      <c r="H903" s="25" t="s">
        <v>166</v>
      </c>
      <c r="I903" s="25" t="s">
        <v>17124</v>
      </c>
      <c r="J903" s="25" t="s">
        <v>17125</v>
      </c>
      <c r="K903" s="25" t="s">
        <v>207</v>
      </c>
      <c r="L903" s="25" t="s">
        <v>208</v>
      </c>
      <c r="M903" s="25" t="s">
        <v>296</v>
      </c>
      <c r="N903" s="25" t="s">
        <v>6186</v>
      </c>
      <c r="O903" s="25" t="s">
        <v>4042</v>
      </c>
      <c r="P903" s="25" t="s">
        <v>17126</v>
      </c>
      <c r="Q903" s="25" t="s">
        <v>166</v>
      </c>
      <c r="R903" s="25" t="s">
        <v>177</v>
      </c>
      <c r="S903" s="25" t="s">
        <v>178</v>
      </c>
      <c r="T903" s="25" t="s">
        <v>179</v>
      </c>
      <c r="U903" s="25" t="s">
        <v>17127</v>
      </c>
      <c r="V903" s="25" t="s">
        <v>17128</v>
      </c>
      <c r="W903" s="32" t="s">
        <v>17129</v>
      </c>
      <c r="X903" s="25" t="s">
        <v>166</v>
      </c>
      <c r="Y903" s="25" t="s">
        <v>17130</v>
      </c>
      <c r="Z903" s="25" t="s">
        <v>14071</v>
      </c>
      <c r="AA903" s="25" t="s">
        <v>166</v>
      </c>
      <c r="AB903" s="25" t="s">
        <v>166</v>
      </c>
      <c r="AC903" s="25" t="s">
        <v>166</v>
      </c>
      <c r="AD903" s="25" t="s">
        <v>166</v>
      </c>
      <c r="AE903" s="25" t="s">
        <v>166</v>
      </c>
      <c r="AF903" s="25" t="s">
        <v>166</v>
      </c>
      <c r="AG903" s="25" t="s">
        <v>166</v>
      </c>
      <c r="AH903" s="32">
        <v>2</v>
      </c>
      <c r="AI903" s="4">
        <f>HYPERLINK("https://my.pitchbook.com/?d=199331-65T","199331-65T")</f>
      </c>
      <c r="AJ903" s="30">
        <v>44754</v>
      </c>
      <c r="AK903" s="30">
        <v>44894</v>
      </c>
      <c r="AL903" s="29">
        <v>2.2</v>
      </c>
      <c r="AM903" s="25" t="s">
        <v>185</v>
      </c>
      <c r="AN903" s="29" t="s">
        <v>166</v>
      </c>
      <c r="AO903" s="29" t="s">
        <v>166</v>
      </c>
      <c r="AP903" s="25" t="s">
        <v>166</v>
      </c>
      <c r="AQ903" s="32" t="s">
        <v>166</v>
      </c>
      <c r="AR903" s="32" t="s">
        <v>166</v>
      </c>
      <c r="AS903" s="28" t="s">
        <v>166</v>
      </c>
      <c r="AT903" s="29">
        <v>2.33</v>
      </c>
      <c r="AU903" s="32" t="s">
        <v>186</v>
      </c>
      <c r="AV903" s="32" t="s">
        <v>166</v>
      </c>
      <c r="AW903" s="29" t="s">
        <v>166</v>
      </c>
      <c r="AX903" s="32" t="s">
        <v>166</v>
      </c>
      <c r="AY903" s="25" t="s">
        <v>217</v>
      </c>
      <c r="AZ903" s="25" t="s">
        <v>217</v>
      </c>
      <c r="BA903" s="25" t="s">
        <v>166</v>
      </c>
      <c r="BB903" s="32" t="s">
        <v>166</v>
      </c>
      <c r="BC903" s="25" t="s">
        <v>179</v>
      </c>
      <c r="BD903" s="25" t="s">
        <v>17131</v>
      </c>
      <c r="BE903" s="25" t="s">
        <v>189</v>
      </c>
      <c r="BF903" s="29">
        <v>2.2</v>
      </c>
      <c r="BG903" s="25" t="s">
        <v>190</v>
      </c>
      <c r="BH903" s="25" t="s">
        <v>166</v>
      </c>
      <c r="BI903" s="25" t="s">
        <v>166</v>
      </c>
      <c r="BJ903" s="29" t="s">
        <v>166</v>
      </c>
      <c r="BK903" s="29" t="s">
        <v>166</v>
      </c>
      <c r="BL903" s="25" t="s">
        <v>191</v>
      </c>
      <c r="BM903" s="25" t="s">
        <v>178</v>
      </c>
      <c r="BN903" s="25" t="s">
        <v>177</v>
      </c>
      <c r="BO903" s="33" t="s">
        <v>166</v>
      </c>
      <c r="BP903" s="25" t="s">
        <v>17132</v>
      </c>
      <c r="BQ903" s="32">
        <v>6</v>
      </c>
      <c r="BR903" s="25" t="s">
        <v>166</v>
      </c>
      <c r="BS903" s="32" t="s">
        <v>166</v>
      </c>
      <c r="BT903" s="25" t="s">
        <v>17133</v>
      </c>
      <c r="BU903" s="25" t="s">
        <v>166</v>
      </c>
      <c r="BV903" s="25" t="s">
        <v>17134</v>
      </c>
      <c r="BW903" s="25" t="s">
        <v>166</v>
      </c>
      <c r="BX903" s="25" t="s">
        <v>166</v>
      </c>
      <c r="BY903" s="25" t="s">
        <v>166</v>
      </c>
      <c r="BZ903" s="25" t="s">
        <v>17135</v>
      </c>
      <c r="CA903" s="25" t="s">
        <v>17135</v>
      </c>
      <c r="CB903" s="25" t="s">
        <v>166</v>
      </c>
      <c r="CC903" s="25" t="s">
        <v>166</v>
      </c>
      <c r="CD903" s="25" t="s">
        <v>166</v>
      </c>
      <c r="CE903" s="29" t="s">
        <v>166</v>
      </c>
      <c r="CF903" s="27" t="s">
        <v>166</v>
      </c>
      <c r="CG903" s="28" t="s">
        <v>166</v>
      </c>
      <c r="CH903" s="27" t="s">
        <v>166</v>
      </c>
      <c r="CI903" s="27" t="s">
        <v>166</v>
      </c>
      <c r="CJ903" s="27" t="s">
        <v>166</v>
      </c>
      <c r="CK903" s="27" t="s">
        <v>166</v>
      </c>
      <c r="CL903" s="27" t="s">
        <v>166</v>
      </c>
      <c r="CM903" s="31" t="s">
        <v>166</v>
      </c>
      <c r="CN903" s="27" t="s">
        <v>166</v>
      </c>
      <c r="CO903" s="27" t="s">
        <v>166</v>
      </c>
      <c r="CP903" s="27" t="s">
        <v>166</v>
      </c>
      <c r="CQ903" s="27" t="s">
        <v>166</v>
      </c>
      <c r="CR903" s="27" t="s">
        <v>166</v>
      </c>
      <c r="CS903" s="27" t="s">
        <v>166</v>
      </c>
      <c r="CT903" s="27" t="s">
        <v>166</v>
      </c>
      <c r="CU903" s="27" t="s">
        <v>166</v>
      </c>
      <c r="CV903" s="27" t="s">
        <v>166</v>
      </c>
      <c r="CW903" s="27" t="s">
        <v>166</v>
      </c>
      <c r="CX903" s="27" t="s">
        <v>166</v>
      </c>
      <c r="CY903" s="27" t="s">
        <v>166</v>
      </c>
      <c r="CZ903" s="27" t="s">
        <v>166</v>
      </c>
      <c r="DA903" s="27" t="s">
        <v>166</v>
      </c>
      <c r="DB903" s="27" t="s">
        <v>166</v>
      </c>
      <c r="DC903" s="27" t="s">
        <v>166</v>
      </c>
      <c r="DD903" s="27" t="s">
        <v>166</v>
      </c>
      <c r="DE903" s="28" t="s">
        <v>166</v>
      </c>
      <c r="DF903" s="33">
        <v>2</v>
      </c>
      <c r="DG903" s="25" t="s">
        <v>1465</v>
      </c>
      <c r="DH903" s="25" t="s">
        <v>193</v>
      </c>
      <c r="DI903" s="25" t="s">
        <v>194</v>
      </c>
      <c r="DJ903" s="25" t="s">
        <v>1466</v>
      </c>
      <c r="DK903" s="25" t="s">
        <v>1467</v>
      </c>
      <c r="DL903" s="32" t="s">
        <v>17136</v>
      </c>
      <c r="DM903" s="25" t="s">
        <v>198</v>
      </c>
      <c r="DN903" s="24" t="s">
        <v>17137</v>
      </c>
      <c r="DO903" s="31">
        <v>2022</v>
      </c>
      <c r="DP903" s="25" t="s">
        <v>166</v>
      </c>
      <c r="DQ903" s="25" t="s">
        <v>166</v>
      </c>
      <c r="DR903" s="29" t="s">
        <v>166</v>
      </c>
      <c r="DS903" s="27" t="s">
        <v>166</v>
      </c>
      <c r="DT903" s="30" t="s">
        <v>166</v>
      </c>
      <c r="DU903" s="25" t="s">
        <v>166</v>
      </c>
      <c r="DV903" s="29" t="s">
        <v>166</v>
      </c>
      <c r="DW903" s="29" t="s">
        <v>166</v>
      </c>
      <c r="DX903" s="27" t="s">
        <v>166</v>
      </c>
      <c r="DY903" s="27" t="s">
        <v>166</v>
      </c>
      <c r="DZ903" s="28" t="s">
        <v>166</v>
      </c>
      <c r="EA903" s="27" t="s">
        <v>166</v>
      </c>
      <c r="EB903" s="27" t="s">
        <v>166</v>
      </c>
      <c r="EC903" s="27" t="s">
        <v>166</v>
      </c>
      <c r="ED903" s="28" t="s">
        <v>166</v>
      </c>
      <c r="EE903" s="28" t="s">
        <v>166</v>
      </c>
      <c r="EF903" s="28" t="s">
        <v>166</v>
      </c>
      <c r="EG903" s="28" t="s">
        <v>166</v>
      </c>
      <c r="EH903" s="27" t="s">
        <v>166</v>
      </c>
      <c r="EI903" s="27" t="s">
        <v>166</v>
      </c>
      <c r="EJ903" s="27" t="s">
        <v>166</v>
      </c>
      <c r="EK903" s="27" t="s">
        <v>166</v>
      </c>
      <c r="EL903" s="27" t="s">
        <v>166</v>
      </c>
      <c r="EM903" s="27" t="s">
        <v>166</v>
      </c>
      <c r="EN903" s="27" t="s">
        <v>166</v>
      </c>
      <c r="EO903" s="27" t="s">
        <v>166</v>
      </c>
      <c r="EP903" s="27" t="s">
        <v>166</v>
      </c>
      <c r="EQ903" s="27" t="s">
        <v>166</v>
      </c>
      <c r="ER903" s="27" t="s">
        <v>166</v>
      </c>
      <c r="ES903" s="27" t="s">
        <v>166</v>
      </c>
      <c r="ET903" s="25" t="s">
        <v>166</v>
      </c>
      <c r="EU903" s="27" t="s">
        <v>166</v>
      </c>
      <c r="EV903" s="27" t="s">
        <v>166</v>
      </c>
      <c r="EW903" s="27" t="s">
        <v>166</v>
      </c>
      <c r="EX903" s="25" t="s">
        <v>190</v>
      </c>
      <c r="EY903" s="25" t="s">
        <v>166</v>
      </c>
      <c r="EZ903" s="27" t="s">
        <v>166</v>
      </c>
      <c r="FA903" s="26" t="s">
        <v>166</v>
      </c>
      <c r="FB903" s="26" t="s">
        <v>166</v>
      </c>
      <c r="FC903" s="26" t="s">
        <v>166</v>
      </c>
      <c r="FD903" s="26" t="s">
        <v>166</v>
      </c>
      <c r="FE903" s="26" t="s">
        <v>166</v>
      </c>
      <c r="FF903" s="26" t="s">
        <v>166</v>
      </c>
      <c r="FG903" s="25" t="s">
        <v>166</v>
      </c>
      <c r="FH903" s="4">
        <f>HYPERLINK("https://my.pitchbook.com?c=199331-65T","View Company Online")</f>
      </c>
    </row>
    <row r="904">
      <c r="A904" s="14" t="s">
        <v>17138</v>
      </c>
      <c r="B904" s="14" t="s">
        <v>17139</v>
      </c>
      <c r="C904" s="14" t="s">
        <v>17140</v>
      </c>
      <c r="D904" s="14" t="s">
        <v>166</v>
      </c>
      <c r="E904" s="23" t="s">
        <v>17141</v>
      </c>
      <c r="F904" s="21">
        <v>4</v>
      </c>
      <c r="G904" s="14" t="s">
        <v>17142</v>
      </c>
      <c r="H904" s="14" t="s">
        <v>166</v>
      </c>
      <c r="I904" s="14" t="s">
        <v>17143</v>
      </c>
      <c r="J904" s="14" t="s">
        <v>17144</v>
      </c>
      <c r="K904" s="14" t="s">
        <v>207</v>
      </c>
      <c r="L904" s="14" t="s">
        <v>418</v>
      </c>
      <c r="M904" s="14" t="s">
        <v>419</v>
      </c>
      <c r="N904" s="14" t="s">
        <v>17145</v>
      </c>
      <c r="O904" s="14" t="s">
        <v>17146</v>
      </c>
      <c r="P904" s="14" t="s">
        <v>17147</v>
      </c>
      <c r="Q904" s="14" t="s">
        <v>166</v>
      </c>
      <c r="R904" s="14" t="s">
        <v>177</v>
      </c>
      <c r="S904" s="14" t="s">
        <v>178</v>
      </c>
      <c r="T904" s="14" t="s">
        <v>179</v>
      </c>
      <c r="U904" s="14" t="s">
        <v>17148</v>
      </c>
      <c r="V904" s="14" t="s">
        <v>17149</v>
      </c>
      <c r="W904" s="21" t="s">
        <v>17150</v>
      </c>
      <c r="X904" s="14" t="s">
        <v>17151</v>
      </c>
      <c r="Y904" s="14" t="s">
        <v>17152</v>
      </c>
      <c r="Z904" s="14" t="s">
        <v>166</v>
      </c>
      <c r="AA904" s="14" t="s">
        <v>166</v>
      </c>
      <c r="AB904" s="14" t="s">
        <v>166</v>
      </c>
      <c r="AC904" s="14" t="s">
        <v>166</v>
      </c>
      <c r="AD904" s="14" t="s">
        <v>166</v>
      </c>
      <c r="AE904" s="14" t="s">
        <v>166</v>
      </c>
      <c r="AF904" s="14" t="s">
        <v>166</v>
      </c>
      <c r="AG904" s="14" t="s">
        <v>166</v>
      </c>
      <c r="AH904" s="21">
        <v>4</v>
      </c>
      <c r="AI904" s="3">
        <f>HYPERLINK("https://my.pitchbook.com/?d=127662-40T","127662-40T")</f>
      </c>
      <c r="AJ904" s="19">
        <v>43916</v>
      </c>
      <c r="AK904" s="19">
        <v>44698</v>
      </c>
      <c r="AL904" s="18">
        <v>2.59</v>
      </c>
      <c r="AM904" s="14" t="s">
        <v>185</v>
      </c>
      <c r="AN904" s="18" t="s">
        <v>166</v>
      </c>
      <c r="AO904" s="18" t="s">
        <v>166</v>
      </c>
      <c r="AP904" s="14" t="s">
        <v>166</v>
      </c>
      <c r="AQ904" s="21" t="s">
        <v>166</v>
      </c>
      <c r="AR904" s="21" t="s">
        <v>166</v>
      </c>
      <c r="AS904" s="17" t="s">
        <v>166</v>
      </c>
      <c r="AT904" s="18">
        <v>2.61</v>
      </c>
      <c r="AU904" s="21" t="s">
        <v>186</v>
      </c>
      <c r="AV904" s="21" t="s">
        <v>166</v>
      </c>
      <c r="AW904" s="18" t="s">
        <v>166</v>
      </c>
      <c r="AX904" s="21" t="s">
        <v>166</v>
      </c>
      <c r="AY904" s="14" t="s">
        <v>249</v>
      </c>
      <c r="AZ904" s="14" t="s">
        <v>166</v>
      </c>
      <c r="BA904" s="14" t="s">
        <v>166</v>
      </c>
      <c r="BB904" s="21" t="s">
        <v>166</v>
      </c>
      <c r="BC904" s="14" t="s">
        <v>179</v>
      </c>
      <c r="BD904" s="14" t="s">
        <v>17153</v>
      </c>
      <c r="BE904" s="14" t="s">
        <v>189</v>
      </c>
      <c r="BF904" s="18">
        <v>2.59</v>
      </c>
      <c r="BG904" s="14" t="s">
        <v>190</v>
      </c>
      <c r="BH904" s="14" t="s">
        <v>166</v>
      </c>
      <c r="BI904" s="14" t="s">
        <v>166</v>
      </c>
      <c r="BJ904" s="18" t="s">
        <v>166</v>
      </c>
      <c r="BK904" s="18" t="s">
        <v>166</v>
      </c>
      <c r="BL904" s="14" t="s">
        <v>191</v>
      </c>
      <c r="BM904" s="14" t="s">
        <v>178</v>
      </c>
      <c r="BN904" s="14" t="s">
        <v>177</v>
      </c>
      <c r="BO904" s="22" t="s">
        <v>166</v>
      </c>
      <c r="BP904" s="14" t="s">
        <v>17154</v>
      </c>
      <c r="BQ904" s="21">
        <v>4</v>
      </c>
      <c r="BR904" s="14" t="s">
        <v>166</v>
      </c>
      <c r="BS904" s="21" t="s">
        <v>166</v>
      </c>
      <c r="BT904" s="14" t="s">
        <v>166</v>
      </c>
      <c r="BU904" s="14" t="s">
        <v>166</v>
      </c>
      <c r="BV904" s="14" t="s">
        <v>567</v>
      </c>
      <c r="BW904" s="14" t="s">
        <v>166</v>
      </c>
      <c r="BX904" s="14" t="s">
        <v>166</v>
      </c>
      <c r="BY904" s="14" t="s">
        <v>166</v>
      </c>
      <c r="BZ904" s="14" t="s">
        <v>166</v>
      </c>
      <c r="CA904" s="14" t="s">
        <v>166</v>
      </c>
      <c r="CB904" s="14" t="s">
        <v>166</v>
      </c>
      <c r="CC904" s="14" t="s">
        <v>166</v>
      </c>
      <c r="CD904" s="14" t="s">
        <v>166</v>
      </c>
      <c r="CE904" s="18" t="s">
        <v>166</v>
      </c>
      <c r="CF904" s="16" t="s">
        <v>166</v>
      </c>
      <c r="CG904" s="17" t="s">
        <v>166</v>
      </c>
      <c r="CH904" s="16" t="s">
        <v>166</v>
      </c>
      <c r="CI904" s="16" t="s">
        <v>166</v>
      </c>
      <c r="CJ904" s="16" t="s">
        <v>166</v>
      </c>
      <c r="CK904" s="16" t="s">
        <v>166</v>
      </c>
      <c r="CL904" s="16" t="s">
        <v>166</v>
      </c>
      <c r="CM904" s="20" t="s">
        <v>166</v>
      </c>
      <c r="CN904" s="16" t="s">
        <v>166</v>
      </c>
      <c r="CO904" s="16" t="s">
        <v>166</v>
      </c>
      <c r="CP904" s="16" t="s">
        <v>166</v>
      </c>
      <c r="CQ904" s="16" t="s">
        <v>166</v>
      </c>
      <c r="CR904" s="16" t="s">
        <v>166</v>
      </c>
      <c r="CS904" s="16" t="s">
        <v>166</v>
      </c>
      <c r="CT904" s="16" t="s">
        <v>166</v>
      </c>
      <c r="CU904" s="16" t="s">
        <v>166</v>
      </c>
      <c r="CV904" s="16" t="s">
        <v>166</v>
      </c>
      <c r="CW904" s="16" t="s">
        <v>166</v>
      </c>
      <c r="CX904" s="16" t="s">
        <v>166</v>
      </c>
      <c r="CY904" s="16" t="s">
        <v>166</v>
      </c>
      <c r="CZ904" s="16" t="s">
        <v>166</v>
      </c>
      <c r="DA904" s="16" t="s">
        <v>166</v>
      </c>
      <c r="DB904" s="16" t="s">
        <v>166</v>
      </c>
      <c r="DC904" s="16" t="s">
        <v>166</v>
      </c>
      <c r="DD904" s="16" t="s">
        <v>166</v>
      </c>
      <c r="DE904" s="17" t="s">
        <v>166</v>
      </c>
      <c r="DF904" s="22">
        <v>24</v>
      </c>
      <c r="DG904" s="14" t="s">
        <v>429</v>
      </c>
      <c r="DH904" s="14" t="s">
        <v>193</v>
      </c>
      <c r="DI904" s="14" t="s">
        <v>194</v>
      </c>
      <c r="DJ904" s="14" t="s">
        <v>430</v>
      </c>
      <c r="DK904" s="14" t="s">
        <v>431</v>
      </c>
      <c r="DL904" s="21" t="s">
        <v>17155</v>
      </c>
      <c r="DM904" s="14" t="s">
        <v>198</v>
      </c>
      <c r="DN904" s="13" t="s">
        <v>17156</v>
      </c>
      <c r="DO904" s="20">
        <v>2013</v>
      </c>
      <c r="DP904" s="14" t="s">
        <v>166</v>
      </c>
      <c r="DQ904" s="14" t="s">
        <v>166</v>
      </c>
      <c r="DR904" s="18" t="s">
        <v>166</v>
      </c>
      <c r="DS904" s="16" t="s">
        <v>166</v>
      </c>
      <c r="DT904" s="19" t="s">
        <v>166</v>
      </c>
      <c r="DU904" s="14" t="s">
        <v>166</v>
      </c>
      <c r="DV904" s="18" t="s">
        <v>166</v>
      </c>
      <c r="DW904" s="18" t="s">
        <v>166</v>
      </c>
      <c r="DX904" s="16" t="s">
        <v>166</v>
      </c>
      <c r="DY904" s="16" t="s">
        <v>166</v>
      </c>
      <c r="DZ904" s="17" t="s">
        <v>166</v>
      </c>
      <c r="EA904" s="16" t="s">
        <v>166</v>
      </c>
      <c r="EB904" s="16" t="s">
        <v>166</v>
      </c>
      <c r="EC904" s="16" t="s">
        <v>166</v>
      </c>
      <c r="ED904" s="17" t="s">
        <v>166</v>
      </c>
      <c r="EE904" s="17" t="s">
        <v>166</v>
      </c>
      <c r="EF904" s="17" t="s">
        <v>166</v>
      </c>
      <c r="EG904" s="17" t="s">
        <v>166</v>
      </c>
      <c r="EH904" s="16" t="s">
        <v>166</v>
      </c>
      <c r="EI904" s="16" t="s">
        <v>166</v>
      </c>
      <c r="EJ904" s="16" t="s">
        <v>166</v>
      </c>
      <c r="EK904" s="16" t="s">
        <v>166</v>
      </c>
      <c r="EL904" s="16" t="s">
        <v>166</v>
      </c>
      <c r="EM904" s="16" t="s">
        <v>166</v>
      </c>
      <c r="EN904" s="16" t="s">
        <v>166</v>
      </c>
      <c r="EO904" s="16" t="s">
        <v>166</v>
      </c>
      <c r="EP904" s="16" t="s">
        <v>166</v>
      </c>
      <c r="EQ904" s="16" t="s">
        <v>166</v>
      </c>
      <c r="ER904" s="16" t="s">
        <v>166</v>
      </c>
      <c r="ES904" s="16" t="s">
        <v>166</v>
      </c>
      <c r="ET904" s="14" t="s">
        <v>166</v>
      </c>
      <c r="EU904" s="16" t="s">
        <v>166</v>
      </c>
      <c r="EV904" s="16" t="s">
        <v>166</v>
      </c>
      <c r="EW904" s="16" t="s">
        <v>166</v>
      </c>
      <c r="EX904" s="14" t="s">
        <v>190</v>
      </c>
      <c r="EY904" s="14" t="s">
        <v>166</v>
      </c>
      <c r="EZ904" s="16" t="s">
        <v>166</v>
      </c>
      <c r="FA904" s="15">
        <v>7</v>
      </c>
      <c r="FB904" s="15">
        <v>3</v>
      </c>
      <c r="FC904" s="15">
        <v>6</v>
      </c>
      <c r="FD904" s="15" t="s">
        <v>166</v>
      </c>
      <c r="FE904" s="15" t="s">
        <v>166</v>
      </c>
      <c r="FF904" s="15">
        <v>1</v>
      </c>
      <c r="FG904" s="14" t="s">
        <v>17157</v>
      </c>
      <c r="FH904" s="3">
        <f>HYPERLINK("https://my.pitchbook.com?c=127662-40T","View Company Online")</f>
      </c>
    </row>
    <row r="905">
      <c r="A905" s="25" t="s">
        <v>17158</v>
      </c>
      <c r="B905" s="25" t="s">
        <v>17159</v>
      </c>
      <c r="C905" s="25" t="s">
        <v>17160</v>
      </c>
      <c r="D905" s="25" t="s">
        <v>166</v>
      </c>
      <c r="E905" s="34" t="s">
        <v>17161</v>
      </c>
      <c r="F905" s="32">
        <v>8</v>
      </c>
      <c r="G905" s="25" t="s">
        <v>17162</v>
      </c>
      <c r="H905" s="25" t="s">
        <v>166</v>
      </c>
      <c r="I905" s="25" t="s">
        <v>17163</v>
      </c>
      <c r="J905" s="25" t="s">
        <v>17164</v>
      </c>
      <c r="K905" s="25" t="s">
        <v>207</v>
      </c>
      <c r="L905" s="25" t="s">
        <v>208</v>
      </c>
      <c r="M905" s="25" t="s">
        <v>209</v>
      </c>
      <c r="N905" s="25" t="s">
        <v>17165</v>
      </c>
      <c r="O905" s="25" t="s">
        <v>641</v>
      </c>
      <c r="P905" s="25" t="s">
        <v>17166</v>
      </c>
      <c r="Q905" s="25" t="s">
        <v>166</v>
      </c>
      <c r="R905" s="25" t="s">
        <v>177</v>
      </c>
      <c r="S905" s="25" t="s">
        <v>785</v>
      </c>
      <c r="T905" s="25" t="s">
        <v>179</v>
      </c>
      <c r="U905" s="25" t="s">
        <v>17167</v>
      </c>
      <c r="V905" s="25" t="s">
        <v>17168</v>
      </c>
      <c r="W905" s="32" t="s">
        <v>166</v>
      </c>
      <c r="X905" s="25" t="s">
        <v>17169</v>
      </c>
      <c r="Y905" s="25" t="s">
        <v>17170</v>
      </c>
      <c r="Z905" s="25" t="s">
        <v>166</v>
      </c>
      <c r="AA905" s="25" t="s">
        <v>166</v>
      </c>
      <c r="AB905" s="25" t="s">
        <v>166</v>
      </c>
      <c r="AC905" s="25" t="s">
        <v>166</v>
      </c>
      <c r="AD905" s="25" t="s">
        <v>166</v>
      </c>
      <c r="AE905" s="25" t="s">
        <v>166</v>
      </c>
      <c r="AF905" s="25" t="s">
        <v>166</v>
      </c>
      <c r="AG905" s="25" t="s">
        <v>166</v>
      </c>
      <c r="AH905" s="32">
        <v>2</v>
      </c>
      <c r="AI905" s="4">
        <f>HYPERLINK("https://my.pitchbook.com/?d=243277-66T","243277-66T")</f>
      </c>
      <c r="AJ905" s="30" t="s">
        <v>166</v>
      </c>
      <c r="AK905" s="30">
        <v>45199</v>
      </c>
      <c r="AL905" s="29">
        <v>1.87</v>
      </c>
      <c r="AM905" s="25" t="s">
        <v>185</v>
      </c>
      <c r="AN905" s="29" t="s">
        <v>166</v>
      </c>
      <c r="AO905" s="29" t="s">
        <v>166</v>
      </c>
      <c r="AP905" s="25" t="s">
        <v>166</v>
      </c>
      <c r="AQ905" s="32" t="s">
        <v>166</v>
      </c>
      <c r="AR905" s="32" t="s">
        <v>166</v>
      </c>
      <c r="AS905" s="28" t="s">
        <v>166</v>
      </c>
      <c r="AT905" s="29">
        <v>1.99</v>
      </c>
      <c r="AU905" s="32" t="s">
        <v>186</v>
      </c>
      <c r="AV905" s="32" t="s">
        <v>166</v>
      </c>
      <c r="AW905" s="29" t="s">
        <v>166</v>
      </c>
      <c r="AX905" s="32" t="s">
        <v>166</v>
      </c>
      <c r="AY905" s="25" t="s">
        <v>187</v>
      </c>
      <c r="AZ905" s="25" t="s">
        <v>166</v>
      </c>
      <c r="BA905" s="25" t="s">
        <v>166</v>
      </c>
      <c r="BB905" s="32" t="s">
        <v>166</v>
      </c>
      <c r="BC905" s="25" t="s">
        <v>179</v>
      </c>
      <c r="BD905" s="25" t="s">
        <v>17171</v>
      </c>
      <c r="BE905" s="25" t="s">
        <v>189</v>
      </c>
      <c r="BF905" s="29">
        <v>1.87</v>
      </c>
      <c r="BG905" s="25" t="s">
        <v>190</v>
      </c>
      <c r="BH905" s="25" t="s">
        <v>166</v>
      </c>
      <c r="BI905" s="25" t="s">
        <v>166</v>
      </c>
      <c r="BJ905" s="29" t="s">
        <v>166</v>
      </c>
      <c r="BK905" s="29" t="s">
        <v>166</v>
      </c>
      <c r="BL905" s="25" t="s">
        <v>191</v>
      </c>
      <c r="BM905" s="25" t="s">
        <v>178</v>
      </c>
      <c r="BN905" s="25" t="s">
        <v>177</v>
      </c>
      <c r="BO905" s="33">
        <v>6</v>
      </c>
      <c r="BP905" s="25" t="s">
        <v>17161</v>
      </c>
      <c r="BQ905" s="32">
        <v>8</v>
      </c>
      <c r="BR905" s="25" t="s">
        <v>166</v>
      </c>
      <c r="BS905" s="32" t="s">
        <v>166</v>
      </c>
      <c r="BT905" s="25" t="s">
        <v>166</v>
      </c>
      <c r="BU905" s="25" t="s">
        <v>166</v>
      </c>
      <c r="BV905" s="25" t="s">
        <v>17172</v>
      </c>
      <c r="BW905" s="25" t="s">
        <v>166</v>
      </c>
      <c r="BX905" s="25" t="s">
        <v>166</v>
      </c>
      <c r="BY905" s="25" t="s">
        <v>166</v>
      </c>
      <c r="BZ905" s="25" t="s">
        <v>166</v>
      </c>
      <c r="CA905" s="25" t="s">
        <v>166</v>
      </c>
      <c r="CB905" s="25" t="s">
        <v>166</v>
      </c>
      <c r="CC905" s="25" t="s">
        <v>166</v>
      </c>
      <c r="CD905" s="25" t="s">
        <v>166</v>
      </c>
      <c r="CE905" s="29" t="s">
        <v>166</v>
      </c>
      <c r="CF905" s="27" t="s">
        <v>166</v>
      </c>
      <c r="CG905" s="28" t="s">
        <v>166</v>
      </c>
      <c r="CH905" s="27" t="s">
        <v>166</v>
      </c>
      <c r="CI905" s="27" t="s">
        <v>166</v>
      </c>
      <c r="CJ905" s="27" t="s">
        <v>166</v>
      </c>
      <c r="CK905" s="27" t="s">
        <v>166</v>
      </c>
      <c r="CL905" s="27" t="s">
        <v>166</v>
      </c>
      <c r="CM905" s="31" t="s">
        <v>166</v>
      </c>
      <c r="CN905" s="27" t="s">
        <v>166</v>
      </c>
      <c r="CO905" s="27" t="s">
        <v>166</v>
      </c>
      <c r="CP905" s="27" t="s">
        <v>166</v>
      </c>
      <c r="CQ905" s="27" t="s">
        <v>166</v>
      </c>
      <c r="CR905" s="27" t="s">
        <v>166</v>
      </c>
      <c r="CS905" s="27" t="s">
        <v>166</v>
      </c>
      <c r="CT905" s="27" t="s">
        <v>166</v>
      </c>
      <c r="CU905" s="27" t="s">
        <v>166</v>
      </c>
      <c r="CV905" s="27" t="s">
        <v>166</v>
      </c>
      <c r="CW905" s="27" t="s">
        <v>166</v>
      </c>
      <c r="CX905" s="27" t="s">
        <v>166</v>
      </c>
      <c r="CY905" s="27" t="s">
        <v>166</v>
      </c>
      <c r="CZ905" s="27" t="s">
        <v>166</v>
      </c>
      <c r="DA905" s="27" t="s">
        <v>166</v>
      </c>
      <c r="DB905" s="27" t="s">
        <v>166</v>
      </c>
      <c r="DC905" s="27" t="s">
        <v>166</v>
      </c>
      <c r="DD905" s="27" t="s">
        <v>166</v>
      </c>
      <c r="DE905" s="28" t="s">
        <v>166</v>
      </c>
      <c r="DF905" s="33">
        <v>7</v>
      </c>
      <c r="DG905" s="25" t="s">
        <v>309</v>
      </c>
      <c r="DH905" s="25" t="s">
        <v>193</v>
      </c>
      <c r="DI905" s="25" t="s">
        <v>194</v>
      </c>
      <c r="DJ905" s="25" t="s">
        <v>310</v>
      </c>
      <c r="DK905" s="25" t="s">
        <v>310</v>
      </c>
      <c r="DL905" s="32" t="s">
        <v>2881</v>
      </c>
      <c r="DM905" s="25" t="s">
        <v>198</v>
      </c>
      <c r="DN905" s="24" t="s">
        <v>17173</v>
      </c>
      <c r="DO905" s="31">
        <v>2021</v>
      </c>
      <c r="DP905" s="25" t="s">
        <v>166</v>
      </c>
      <c r="DQ905" s="25" t="s">
        <v>166</v>
      </c>
      <c r="DR905" s="29" t="s">
        <v>166</v>
      </c>
      <c r="DS905" s="27" t="s">
        <v>166</v>
      </c>
      <c r="DT905" s="30" t="s">
        <v>166</v>
      </c>
      <c r="DU905" s="25" t="s">
        <v>166</v>
      </c>
      <c r="DV905" s="29" t="s">
        <v>166</v>
      </c>
      <c r="DW905" s="29" t="s">
        <v>166</v>
      </c>
      <c r="DX905" s="27" t="s">
        <v>166</v>
      </c>
      <c r="DY905" s="27" t="s">
        <v>166</v>
      </c>
      <c r="DZ905" s="28" t="s">
        <v>166</v>
      </c>
      <c r="EA905" s="27" t="s">
        <v>166</v>
      </c>
      <c r="EB905" s="27" t="s">
        <v>166</v>
      </c>
      <c r="EC905" s="27" t="s">
        <v>166</v>
      </c>
      <c r="ED905" s="28" t="s">
        <v>166</v>
      </c>
      <c r="EE905" s="28" t="s">
        <v>166</v>
      </c>
      <c r="EF905" s="28" t="s">
        <v>166</v>
      </c>
      <c r="EG905" s="28" t="s">
        <v>166</v>
      </c>
      <c r="EH905" s="27" t="s">
        <v>166</v>
      </c>
      <c r="EI905" s="27" t="s">
        <v>166</v>
      </c>
      <c r="EJ905" s="27" t="s">
        <v>166</v>
      </c>
      <c r="EK905" s="27" t="s">
        <v>166</v>
      </c>
      <c r="EL905" s="27" t="s">
        <v>166</v>
      </c>
      <c r="EM905" s="27" t="s">
        <v>166</v>
      </c>
      <c r="EN905" s="27" t="s">
        <v>166</v>
      </c>
      <c r="EO905" s="27" t="s">
        <v>166</v>
      </c>
      <c r="EP905" s="27" t="s">
        <v>166</v>
      </c>
      <c r="EQ905" s="27" t="s">
        <v>166</v>
      </c>
      <c r="ER905" s="27" t="s">
        <v>166</v>
      </c>
      <c r="ES905" s="27" t="s">
        <v>166</v>
      </c>
      <c r="ET905" s="25" t="s">
        <v>166</v>
      </c>
      <c r="EU905" s="27" t="s">
        <v>166</v>
      </c>
      <c r="EV905" s="27" t="s">
        <v>166</v>
      </c>
      <c r="EW905" s="27" t="s">
        <v>166</v>
      </c>
      <c r="EX905" s="25" t="s">
        <v>190</v>
      </c>
      <c r="EY905" s="25" t="s">
        <v>166</v>
      </c>
      <c r="EZ905" s="27" t="s">
        <v>166</v>
      </c>
      <c r="FA905" s="26" t="s">
        <v>166</v>
      </c>
      <c r="FB905" s="26" t="s">
        <v>166</v>
      </c>
      <c r="FC905" s="26" t="s">
        <v>166</v>
      </c>
      <c r="FD905" s="26" t="s">
        <v>166</v>
      </c>
      <c r="FE905" s="26" t="s">
        <v>166</v>
      </c>
      <c r="FF905" s="26" t="s">
        <v>166</v>
      </c>
      <c r="FG905" s="25" t="s">
        <v>166</v>
      </c>
      <c r="FH905" s="4">
        <f>HYPERLINK("https://my.pitchbook.com?c=243277-66T","View Company Online")</f>
      </c>
    </row>
    <row r="906">
      <c r="A906" s="14" t="s">
        <v>17174</v>
      </c>
      <c r="B906" s="14" t="s">
        <v>17175</v>
      </c>
      <c r="C906" s="14" t="s">
        <v>17176</v>
      </c>
      <c r="D906" s="14" t="s">
        <v>166</v>
      </c>
      <c r="E906" s="23" t="s">
        <v>17177</v>
      </c>
      <c r="F906" s="21">
        <v>4</v>
      </c>
      <c r="G906" s="14" t="s">
        <v>17178</v>
      </c>
      <c r="H906" s="14" t="s">
        <v>166</v>
      </c>
      <c r="I906" s="14" t="s">
        <v>17179</v>
      </c>
      <c r="J906" s="14" t="s">
        <v>17180</v>
      </c>
      <c r="K906" s="14" t="s">
        <v>207</v>
      </c>
      <c r="L906" s="14" t="s">
        <v>208</v>
      </c>
      <c r="M906" s="14" t="s">
        <v>1766</v>
      </c>
      <c r="N906" s="14" t="s">
        <v>2393</v>
      </c>
      <c r="O906" s="14" t="s">
        <v>166</v>
      </c>
      <c r="P906" s="14" t="s">
        <v>17181</v>
      </c>
      <c r="Q906" s="14" t="s">
        <v>166</v>
      </c>
      <c r="R906" s="14" t="s">
        <v>177</v>
      </c>
      <c r="S906" s="14" t="s">
        <v>178</v>
      </c>
      <c r="T906" s="14" t="s">
        <v>179</v>
      </c>
      <c r="U906" s="14" t="s">
        <v>17182</v>
      </c>
      <c r="V906" s="14" t="s">
        <v>17183</v>
      </c>
      <c r="W906" s="21" t="s">
        <v>17184</v>
      </c>
      <c r="X906" s="14" t="s">
        <v>166</v>
      </c>
      <c r="Y906" s="14" t="s">
        <v>17185</v>
      </c>
      <c r="Z906" s="14" t="s">
        <v>166</v>
      </c>
      <c r="AA906" s="14" t="s">
        <v>242</v>
      </c>
      <c r="AB906" s="14" t="s">
        <v>243</v>
      </c>
      <c r="AC906" s="14" t="s">
        <v>244</v>
      </c>
      <c r="AD906" s="14" t="s">
        <v>243</v>
      </c>
      <c r="AE906" s="14" t="s">
        <v>243</v>
      </c>
      <c r="AF906" s="14" t="s">
        <v>306</v>
      </c>
      <c r="AG906" s="14" t="s">
        <v>807</v>
      </c>
      <c r="AH906" s="21">
        <v>1</v>
      </c>
      <c r="AI906" s="3">
        <f>HYPERLINK("https://my.pitchbook.com/?d=178047-64T","178047-64T")</f>
      </c>
      <c r="AJ906" s="19" t="s">
        <v>166</v>
      </c>
      <c r="AK906" s="19">
        <v>44386</v>
      </c>
      <c r="AL906" s="18">
        <v>1.4</v>
      </c>
      <c r="AM906" s="14" t="s">
        <v>247</v>
      </c>
      <c r="AN906" s="18">
        <v>3</v>
      </c>
      <c r="AO906" s="18">
        <v>4.4</v>
      </c>
      <c r="AP906" s="14" t="s">
        <v>185</v>
      </c>
      <c r="AQ906" s="21" t="s">
        <v>166</v>
      </c>
      <c r="AR906" s="21" t="s">
        <v>166</v>
      </c>
      <c r="AS906" s="17">
        <v>31.82</v>
      </c>
      <c r="AT906" s="18">
        <v>1.4</v>
      </c>
      <c r="AU906" s="21" t="s">
        <v>186</v>
      </c>
      <c r="AV906" s="21" t="s">
        <v>166</v>
      </c>
      <c r="AW906" s="18">
        <v>0.1</v>
      </c>
      <c r="AX906" s="21" t="s">
        <v>166</v>
      </c>
      <c r="AY906" s="14" t="s">
        <v>217</v>
      </c>
      <c r="AZ906" s="14" t="s">
        <v>217</v>
      </c>
      <c r="BA906" s="14" t="s">
        <v>166</v>
      </c>
      <c r="BB906" s="21" t="s">
        <v>166</v>
      </c>
      <c r="BC906" s="14" t="s">
        <v>179</v>
      </c>
      <c r="BD906" s="14" t="s">
        <v>17186</v>
      </c>
      <c r="BE906" s="14" t="s">
        <v>189</v>
      </c>
      <c r="BF906" s="18">
        <v>1.4</v>
      </c>
      <c r="BG906" s="14" t="s">
        <v>190</v>
      </c>
      <c r="BH906" s="14" t="s">
        <v>166</v>
      </c>
      <c r="BI906" s="14" t="s">
        <v>166</v>
      </c>
      <c r="BJ906" s="18" t="s">
        <v>166</v>
      </c>
      <c r="BK906" s="18" t="s">
        <v>166</v>
      </c>
      <c r="BL906" s="14" t="s">
        <v>191</v>
      </c>
      <c r="BM906" s="14" t="s">
        <v>178</v>
      </c>
      <c r="BN906" s="14" t="s">
        <v>177</v>
      </c>
      <c r="BO906" s="22" t="s">
        <v>166</v>
      </c>
      <c r="BP906" s="14" t="s">
        <v>17187</v>
      </c>
      <c r="BQ906" s="21">
        <v>4</v>
      </c>
      <c r="BR906" s="14" t="s">
        <v>166</v>
      </c>
      <c r="BS906" s="21" t="s">
        <v>166</v>
      </c>
      <c r="BT906" s="14" t="s">
        <v>166</v>
      </c>
      <c r="BU906" s="14" t="s">
        <v>166</v>
      </c>
      <c r="BV906" s="14" t="s">
        <v>17188</v>
      </c>
      <c r="BW906" s="14" t="s">
        <v>166</v>
      </c>
      <c r="BX906" s="14" t="s">
        <v>166</v>
      </c>
      <c r="BY906" s="14" t="s">
        <v>166</v>
      </c>
      <c r="BZ906" s="14" t="s">
        <v>166</v>
      </c>
      <c r="CA906" s="14" t="s">
        <v>166</v>
      </c>
      <c r="CB906" s="14" t="s">
        <v>166</v>
      </c>
      <c r="CC906" s="14" t="s">
        <v>166</v>
      </c>
      <c r="CD906" s="14" t="s">
        <v>166</v>
      </c>
      <c r="CE906" s="18" t="s">
        <v>166</v>
      </c>
      <c r="CF906" s="16" t="s">
        <v>166</v>
      </c>
      <c r="CG906" s="17" t="s">
        <v>166</v>
      </c>
      <c r="CH906" s="16" t="s">
        <v>166</v>
      </c>
      <c r="CI906" s="16" t="s">
        <v>166</v>
      </c>
      <c r="CJ906" s="16" t="s">
        <v>166</v>
      </c>
      <c r="CK906" s="16" t="s">
        <v>166</v>
      </c>
      <c r="CL906" s="16" t="s">
        <v>166</v>
      </c>
      <c r="CM906" s="20" t="s">
        <v>166</v>
      </c>
      <c r="CN906" s="16" t="s">
        <v>166</v>
      </c>
      <c r="CO906" s="16" t="s">
        <v>166</v>
      </c>
      <c r="CP906" s="16" t="s">
        <v>166</v>
      </c>
      <c r="CQ906" s="16" t="s">
        <v>166</v>
      </c>
      <c r="CR906" s="16" t="s">
        <v>166</v>
      </c>
      <c r="CS906" s="16" t="s">
        <v>166</v>
      </c>
      <c r="CT906" s="16" t="s">
        <v>166</v>
      </c>
      <c r="CU906" s="16" t="s">
        <v>166</v>
      </c>
      <c r="CV906" s="16" t="s">
        <v>166</v>
      </c>
      <c r="CW906" s="16" t="s">
        <v>166</v>
      </c>
      <c r="CX906" s="16" t="s">
        <v>166</v>
      </c>
      <c r="CY906" s="16" t="s">
        <v>166</v>
      </c>
      <c r="CZ906" s="16" t="s">
        <v>166</v>
      </c>
      <c r="DA906" s="16" t="s">
        <v>166</v>
      </c>
      <c r="DB906" s="16" t="s">
        <v>166</v>
      </c>
      <c r="DC906" s="16" t="s">
        <v>166</v>
      </c>
      <c r="DD906" s="16" t="s">
        <v>166</v>
      </c>
      <c r="DE906" s="17" t="s">
        <v>166</v>
      </c>
      <c r="DF906" s="22">
        <v>15</v>
      </c>
      <c r="DG906" s="14" t="s">
        <v>384</v>
      </c>
      <c r="DH906" s="14" t="s">
        <v>193</v>
      </c>
      <c r="DI906" s="14" t="s">
        <v>194</v>
      </c>
      <c r="DJ906" s="14" t="s">
        <v>385</v>
      </c>
      <c r="DK906" s="14" t="s">
        <v>386</v>
      </c>
      <c r="DL906" s="21" t="s">
        <v>17189</v>
      </c>
      <c r="DM906" s="14" t="s">
        <v>198</v>
      </c>
      <c r="DN906" s="13" t="s">
        <v>17190</v>
      </c>
      <c r="DO906" s="20">
        <v>2020</v>
      </c>
      <c r="DP906" s="14" t="s">
        <v>166</v>
      </c>
      <c r="DQ906" s="14" t="s">
        <v>166</v>
      </c>
      <c r="DR906" s="18" t="s">
        <v>166</v>
      </c>
      <c r="DS906" s="16" t="s">
        <v>166</v>
      </c>
      <c r="DT906" s="19" t="s">
        <v>166</v>
      </c>
      <c r="DU906" s="14" t="s">
        <v>166</v>
      </c>
      <c r="DV906" s="18" t="s">
        <v>166</v>
      </c>
      <c r="DW906" s="18" t="s">
        <v>166</v>
      </c>
      <c r="DX906" s="16" t="s">
        <v>166</v>
      </c>
      <c r="DY906" s="16" t="s">
        <v>166</v>
      </c>
      <c r="DZ906" s="17" t="s">
        <v>166</v>
      </c>
      <c r="EA906" s="16" t="s">
        <v>166</v>
      </c>
      <c r="EB906" s="16" t="s">
        <v>166</v>
      </c>
      <c r="EC906" s="16" t="s">
        <v>166</v>
      </c>
      <c r="ED906" s="17" t="s">
        <v>166</v>
      </c>
      <c r="EE906" s="17" t="s">
        <v>166</v>
      </c>
      <c r="EF906" s="17" t="s">
        <v>166</v>
      </c>
      <c r="EG906" s="17" t="s">
        <v>166</v>
      </c>
      <c r="EH906" s="16" t="s">
        <v>166</v>
      </c>
      <c r="EI906" s="16" t="s">
        <v>166</v>
      </c>
      <c r="EJ906" s="16" t="s">
        <v>166</v>
      </c>
      <c r="EK906" s="16" t="s">
        <v>166</v>
      </c>
      <c r="EL906" s="16" t="s">
        <v>166</v>
      </c>
      <c r="EM906" s="16" t="s">
        <v>166</v>
      </c>
      <c r="EN906" s="16" t="s">
        <v>166</v>
      </c>
      <c r="EO906" s="16" t="s">
        <v>166</v>
      </c>
      <c r="EP906" s="16" t="s">
        <v>166</v>
      </c>
      <c r="EQ906" s="16" t="s">
        <v>166</v>
      </c>
      <c r="ER906" s="16" t="s">
        <v>166</v>
      </c>
      <c r="ES906" s="16" t="s">
        <v>166</v>
      </c>
      <c r="ET906" s="14" t="s">
        <v>166</v>
      </c>
      <c r="EU906" s="16" t="s">
        <v>166</v>
      </c>
      <c r="EV906" s="16" t="s">
        <v>166</v>
      </c>
      <c r="EW906" s="16" t="s">
        <v>166</v>
      </c>
      <c r="EX906" s="14" t="s">
        <v>190</v>
      </c>
      <c r="EY906" s="14" t="s">
        <v>166</v>
      </c>
      <c r="EZ906" s="16" t="s">
        <v>166</v>
      </c>
      <c r="FA906" s="15" t="s">
        <v>166</v>
      </c>
      <c r="FB906" s="15" t="s">
        <v>166</v>
      </c>
      <c r="FC906" s="15" t="s">
        <v>166</v>
      </c>
      <c r="FD906" s="15" t="s">
        <v>166</v>
      </c>
      <c r="FE906" s="15" t="s">
        <v>166</v>
      </c>
      <c r="FF906" s="15" t="s">
        <v>166</v>
      </c>
      <c r="FG906" s="14" t="s">
        <v>166</v>
      </c>
      <c r="FH906" s="3">
        <f>HYPERLINK("https://my.pitchbook.com?c=178047-64T","View Company Online")</f>
      </c>
    </row>
    <row r="907">
      <c r="A907" s="25" t="s">
        <v>17191</v>
      </c>
      <c r="B907" s="25" t="s">
        <v>17192</v>
      </c>
      <c r="C907" s="25" t="s">
        <v>17193</v>
      </c>
      <c r="D907" s="25" t="s">
        <v>166</v>
      </c>
      <c r="E907" s="34" t="s">
        <v>17194</v>
      </c>
      <c r="F907" s="32">
        <v>1</v>
      </c>
      <c r="G907" s="25" t="s">
        <v>166</v>
      </c>
      <c r="H907" s="25" t="s">
        <v>166</v>
      </c>
      <c r="I907" s="25" t="s">
        <v>17195</v>
      </c>
      <c r="J907" s="25" t="s">
        <v>17196</v>
      </c>
      <c r="K907" s="25" t="s">
        <v>171</v>
      </c>
      <c r="L907" s="25" t="s">
        <v>172</v>
      </c>
      <c r="M907" s="25" t="s">
        <v>1689</v>
      </c>
      <c r="N907" s="25" t="s">
        <v>8172</v>
      </c>
      <c r="O907" s="25" t="s">
        <v>17197</v>
      </c>
      <c r="P907" s="25" t="s">
        <v>17198</v>
      </c>
      <c r="Q907" s="25" t="s">
        <v>166</v>
      </c>
      <c r="R907" s="25" t="s">
        <v>177</v>
      </c>
      <c r="S907" s="25" t="s">
        <v>178</v>
      </c>
      <c r="T907" s="25" t="s">
        <v>179</v>
      </c>
      <c r="U907" s="25" t="s">
        <v>17199</v>
      </c>
      <c r="V907" s="25" t="s">
        <v>17200</v>
      </c>
      <c r="W907" s="32" t="s">
        <v>166</v>
      </c>
      <c r="X907" s="25" t="s">
        <v>17201</v>
      </c>
      <c r="Y907" s="25" t="s">
        <v>17202</v>
      </c>
      <c r="Z907" s="25" t="s">
        <v>17203</v>
      </c>
      <c r="AA907" s="25" t="s">
        <v>166</v>
      </c>
      <c r="AB907" s="25" t="s">
        <v>166</v>
      </c>
      <c r="AC907" s="25" t="s">
        <v>166</v>
      </c>
      <c r="AD907" s="25" t="s">
        <v>166</v>
      </c>
      <c r="AE907" s="25" t="s">
        <v>166</v>
      </c>
      <c r="AF907" s="25" t="s">
        <v>166</v>
      </c>
      <c r="AG907" s="25" t="s">
        <v>166</v>
      </c>
      <c r="AH907" s="32">
        <v>1</v>
      </c>
      <c r="AI907" s="4">
        <f>HYPERLINK("https://my.pitchbook.com/?d=267301-00T","267301-00T")</f>
      </c>
      <c r="AJ907" s="30" t="s">
        <v>166</v>
      </c>
      <c r="AK907" s="30">
        <v>45490</v>
      </c>
      <c r="AL907" s="29">
        <v>3.25</v>
      </c>
      <c r="AM907" s="25" t="s">
        <v>185</v>
      </c>
      <c r="AN907" s="29" t="s">
        <v>166</v>
      </c>
      <c r="AO907" s="29" t="s">
        <v>166</v>
      </c>
      <c r="AP907" s="25" t="s">
        <v>166</v>
      </c>
      <c r="AQ907" s="32" t="s">
        <v>166</v>
      </c>
      <c r="AR907" s="32" t="s">
        <v>166</v>
      </c>
      <c r="AS907" s="28" t="s">
        <v>166</v>
      </c>
      <c r="AT907" s="29">
        <v>3.25</v>
      </c>
      <c r="AU907" s="32" t="s">
        <v>186</v>
      </c>
      <c r="AV907" s="32" t="s">
        <v>166</v>
      </c>
      <c r="AW907" s="29" t="s">
        <v>166</v>
      </c>
      <c r="AX907" s="32" t="s">
        <v>166</v>
      </c>
      <c r="AY907" s="25" t="s">
        <v>217</v>
      </c>
      <c r="AZ907" s="25" t="s">
        <v>217</v>
      </c>
      <c r="BA907" s="25" t="s">
        <v>166</v>
      </c>
      <c r="BB907" s="32" t="s">
        <v>166</v>
      </c>
      <c r="BC907" s="25" t="s">
        <v>179</v>
      </c>
      <c r="BD907" s="25" t="s">
        <v>17196</v>
      </c>
      <c r="BE907" s="25" t="s">
        <v>189</v>
      </c>
      <c r="BF907" s="29">
        <v>3.25</v>
      </c>
      <c r="BG907" s="25" t="s">
        <v>190</v>
      </c>
      <c r="BH907" s="25" t="s">
        <v>166</v>
      </c>
      <c r="BI907" s="25" t="s">
        <v>166</v>
      </c>
      <c r="BJ907" s="29" t="s">
        <v>166</v>
      </c>
      <c r="BK907" s="29" t="s">
        <v>166</v>
      </c>
      <c r="BL907" s="25" t="s">
        <v>191</v>
      </c>
      <c r="BM907" s="25" t="s">
        <v>178</v>
      </c>
      <c r="BN907" s="25" t="s">
        <v>177</v>
      </c>
      <c r="BO907" s="33" t="s">
        <v>166</v>
      </c>
      <c r="BP907" s="25" t="s">
        <v>17194</v>
      </c>
      <c r="BQ907" s="32">
        <v>1</v>
      </c>
      <c r="BR907" s="25" t="s">
        <v>166</v>
      </c>
      <c r="BS907" s="32" t="s">
        <v>166</v>
      </c>
      <c r="BT907" s="25" t="s">
        <v>17194</v>
      </c>
      <c r="BU907" s="25" t="s">
        <v>166</v>
      </c>
      <c r="BV907" s="25" t="s">
        <v>166</v>
      </c>
      <c r="BW907" s="25" t="s">
        <v>166</v>
      </c>
      <c r="BX907" s="25" t="s">
        <v>166</v>
      </c>
      <c r="BY907" s="25" t="s">
        <v>166</v>
      </c>
      <c r="BZ907" s="25" t="s">
        <v>166</v>
      </c>
      <c r="CA907" s="25" t="s">
        <v>166</v>
      </c>
      <c r="CB907" s="25" t="s">
        <v>166</v>
      </c>
      <c r="CC907" s="25" t="s">
        <v>166</v>
      </c>
      <c r="CD907" s="25" t="s">
        <v>166</v>
      </c>
      <c r="CE907" s="29" t="s">
        <v>166</v>
      </c>
      <c r="CF907" s="27" t="s">
        <v>166</v>
      </c>
      <c r="CG907" s="28" t="s">
        <v>166</v>
      </c>
      <c r="CH907" s="27" t="s">
        <v>166</v>
      </c>
      <c r="CI907" s="27" t="s">
        <v>166</v>
      </c>
      <c r="CJ907" s="27" t="s">
        <v>166</v>
      </c>
      <c r="CK907" s="27" t="s">
        <v>166</v>
      </c>
      <c r="CL907" s="27" t="s">
        <v>166</v>
      </c>
      <c r="CM907" s="31" t="s">
        <v>166</v>
      </c>
      <c r="CN907" s="27" t="s">
        <v>166</v>
      </c>
      <c r="CO907" s="27" t="s">
        <v>166</v>
      </c>
      <c r="CP907" s="27" t="s">
        <v>166</v>
      </c>
      <c r="CQ907" s="27" t="s">
        <v>166</v>
      </c>
      <c r="CR907" s="27" t="s">
        <v>166</v>
      </c>
      <c r="CS907" s="27" t="s">
        <v>166</v>
      </c>
      <c r="CT907" s="27" t="s">
        <v>166</v>
      </c>
      <c r="CU907" s="27" t="s">
        <v>166</v>
      </c>
      <c r="CV907" s="27" t="s">
        <v>166</v>
      </c>
      <c r="CW907" s="27" t="s">
        <v>166</v>
      </c>
      <c r="CX907" s="27" t="s">
        <v>166</v>
      </c>
      <c r="CY907" s="27" t="s">
        <v>166</v>
      </c>
      <c r="CZ907" s="27" t="s">
        <v>166</v>
      </c>
      <c r="DA907" s="27" t="s">
        <v>166</v>
      </c>
      <c r="DB907" s="27" t="s">
        <v>166</v>
      </c>
      <c r="DC907" s="27" t="s">
        <v>166</v>
      </c>
      <c r="DD907" s="27" t="s">
        <v>166</v>
      </c>
      <c r="DE907" s="28" t="s">
        <v>166</v>
      </c>
      <c r="DF907" s="33">
        <v>73</v>
      </c>
      <c r="DG907" s="25" t="s">
        <v>17204</v>
      </c>
      <c r="DH907" s="25" t="s">
        <v>193</v>
      </c>
      <c r="DI907" s="25" t="s">
        <v>194</v>
      </c>
      <c r="DJ907" s="25" t="s">
        <v>17205</v>
      </c>
      <c r="DK907" s="25" t="s">
        <v>9509</v>
      </c>
      <c r="DL907" s="32" t="s">
        <v>17206</v>
      </c>
      <c r="DM907" s="25" t="s">
        <v>198</v>
      </c>
      <c r="DN907" s="24" t="s">
        <v>17207</v>
      </c>
      <c r="DO907" s="31">
        <v>2018</v>
      </c>
      <c r="DP907" s="25" t="s">
        <v>166</v>
      </c>
      <c r="DQ907" s="25" t="s">
        <v>166</v>
      </c>
      <c r="DR907" s="29" t="s">
        <v>166</v>
      </c>
      <c r="DS907" s="27" t="s">
        <v>166</v>
      </c>
      <c r="DT907" s="30" t="s">
        <v>166</v>
      </c>
      <c r="DU907" s="25" t="s">
        <v>166</v>
      </c>
      <c r="DV907" s="29" t="s">
        <v>166</v>
      </c>
      <c r="DW907" s="29" t="s">
        <v>166</v>
      </c>
      <c r="DX907" s="27" t="s">
        <v>166</v>
      </c>
      <c r="DY907" s="27" t="s">
        <v>166</v>
      </c>
      <c r="DZ907" s="28" t="s">
        <v>166</v>
      </c>
      <c r="EA907" s="27" t="s">
        <v>166</v>
      </c>
      <c r="EB907" s="27" t="s">
        <v>166</v>
      </c>
      <c r="EC907" s="27" t="s">
        <v>166</v>
      </c>
      <c r="ED907" s="28" t="s">
        <v>166</v>
      </c>
      <c r="EE907" s="28" t="s">
        <v>166</v>
      </c>
      <c r="EF907" s="28" t="s">
        <v>166</v>
      </c>
      <c r="EG907" s="28" t="s">
        <v>166</v>
      </c>
      <c r="EH907" s="27" t="s">
        <v>166</v>
      </c>
      <c r="EI907" s="27" t="s">
        <v>166</v>
      </c>
      <c r="EJ907" s="27" t="s">
        <v>166</v>
      </c>
      <c r="EK907" s="27" t="s">
        <v>166</v>
      </c>
      <c r="EL907" s="27" t="s">
        <v>166</v>
      </c>
      <c r="EM907" s="27" t="s">
        <v>166</v>
      </c>
      <c r="EN907" s="27" t="s">
        <v>166</v>
      </c>
      <c r="EO907" s="27" t="s">
        <v>166</v>
      </c>
      <c r="EP907" s="27" t="s">
        <v>166</v>
      </c>
      <c r="EQ907" s="27" t="s">
        <v>166</v>
      </c>
      <c r="ER907" s="27" t="s">
        <v>166</v>
      </c>
      <c r="ES907" s="27" t="s">
        <v>166</v>
      </c>
      <c r="ET907" s="25" t="s">
        <v>166</v>
      </c>
      <c r="EU907" s="27" t="s">
        <v>166</v>
      </c>
      <c r="EV907" s="27" t="s">
        <v>166</v>
      </c>
      <c r="EW907" s="27" t="s">
        <v>166</v>
      </c>
      <c r="EX907" s="25" t="s">
        <v>190</v>
      </c>
      <c r="EY907" s="25" t="s">
        <v>166</v>
      </c>
      <c r="EZ907" s="27" t="s">
        <v>166</v>
      </c>
      <c r="FA907" s="26" t="s">
        <v>166</v>
      </c>
      <c r="FB907" s="26" t="s">
        <v>166</v>
      </c>
      <c r="FC907" s="26" t="s">
        <v>166</v>
      </c>
      <c r="FD907" s="26" t="s">
        <v>166</v>
      </c>
      <c r="FE907" s="26" t="s">
        <v>166</v>
      </c>
      <c r="FF907" s="26" t="s">
        <v>166</v>
      </c>
      <c r="FG907" s="25" t="s">
        <v>166</v>
      </c>
      <c r="FH907" s="4">
        <f>HYPERLINK("https://my.pitchbook.com?c=267301-00T","View Company Online")</f>
      </c>
    </row>
    <row r="908">
      <c r="A908" s="14" t="s">
        <v>17208</v>
      </c>
      <c r="B908" s="14" t="s">
        <v>17209</v>
      </c>
      <c r="C908" s="14" t="s">
        <v>17210</v>
      </c>
      <c r="D908" s="14" t="s">
        <v>166</v>
      </c>
      <c r="E908" s="23" t="s">
        <v>17211</v>
      </c>
      <c r="F908" s="21">
        <v>5</v>
      </c>
      <c r="G908" s="14" t="s">
        <v>17212</v>
      </c>
      <c r="H908" s="14" t="s">
        <v>166</v>
      </c>
      <c r="I908" s="14" t="s">
        <v>17213</v>
      </c>
      <c r="J908" s="14" t="s">
        <v>17214</v>
      </c>
      <c r="K908" s="14" t="s">
        <v>207</v>
      </c>
      <c r="L908" s="14" t="s">
        <v>208</v>
      </c>
      <c r="M908" s="14" t="s">
        <v>209</v>
      </c>
      <c r="N908" s="14" t="s">
        <v>15313</v>
      </c>
      <c r="O908" s="14" t="s">
        <v>3110</v>
      </c>
      <c r="P908" s="14" t="s">
        <v>17215</v>
      </c>
      <c r="Q908" s="14" t="s">
        <v>166</v>
      </c>
      <c r="R908" s="14" t="s">
        <v>177</v>
      </c>
      <c r="S908" s="14" t="s">
        <v>178</v>
      </c>
      <c r="T908" s="14" t="s">
        <v>179</v>
      </c>
      <c r="U908" s="14" t="s">
        <v>17216</v>
      </c>
      <c r="V908" s="14" t="s">
        <v>17217</v>
      </c>
      <c r="W908" s="21" t="s">
        <v>17218</v>
      </c>
      <c r="X908" s="14" t="s">
        <v>17219</v>
      </c>
      <c r="Y908" s="14" t="s">
        <v>17220</v>
      </c>
      <c r="Z908" s="14" t="s">
        <v>17221</v>
      </c>
      <c r="AA908" s="14" t="s">
        <v>166</v>
      </c>
      <c r="AB908" s="14" t="s">
        <v>166</v>
      </c>
      <c r="AC908" s="14" t="s">
        <v>166</v>
      </c>
      <c r="AD908" s="14" t="s">
        <v>166</v>
      </c>
      <c r="AE908" s="14" t="s">
        <v>166</v>
      </c>
      <c r="AF908" s="14" t="s">
        <v>166</v>
      </c>
      <c r="AG908" s="14" t="s">
        <v>166</v>
      </c>
      <c r="AH908" s="21">
        <v>2</v>
      </c>
      <c r="AI908" s="3">
        <f>HYPERLINK("https://my.pitchbook.com/?d=124514-47T","124514-47T")</f>
      </c>
      <c r="AJ908" s="19">
        <v>43687</v>
      </c>
      <c r="AK908" s="19">
        <v>44442</v>
      </c>
      <c r="AL908" s="18">
        <v>0.28</v>
      </c>
      <c r="AM908" s="14" t="s">
        <v>185</v>
      </c>
      <c r="AN908" s="18" t="s">
        <v>166</v>
      </c>
      <c r="AO908" s="18" t="s">
        <v>166</v>
      </c>
      <c r="AP908" s="14" t="s">
        <v>166</v>
      </c>
      <c r="AQ908" s="21" t="s">
        <v>166</v>
      </c>
      <c r="AR908" s="21" t="s">
        <v>166</v>
      </c>
      <c r="AS908" s="17" t="s">
        <v>166</v>
      </c>
      <c r="AT908" s="18">
        <v>0.28</v>
      </c>
      <c r="AU908" s="21" t="s">
        <v>186</v>
      </c>
      <c r="AV908" s="21" t="s">
        <v>166</v>
      </c>
      <c r="AW908" s="18" t="s">
        <v>166</v>
      </c>
      <c r="AX908" s="21" t="s">
        <v>166</v>
      </c>
      <c r="AY908" s="14" t="s">
        <v>187</v>
      </c>
      <c r="AZ908" s="14" t="s">
        <v>166</v>
      </c>
      <c r="BA908" s="14" t="s">
        <v>166</v>
      </c>
      <c r="BB908" s="21" t="s">
        <v>166</v>
      </c>
      <c r="BC908" s="14" t="s">
        <v>179</v>
      </c>
      <c r="BD908" s="14" t="s">
        <v>17222</v>
      </c>
      <c r="BE908" s="14" t="s">
        <v>189</v>
      </c>
      <c r="BF908" s="18">
        <v>0.28</v>
      </c>
      <c r="BG908" s="14" t="s">
        <v>190</v>
      </c>
      <c r="BH908" s="14" t="s">
        <v>166</v>
      </c>
      <c r="BI908" s="14" t="s">
        <v>166</v>
      </c>
      <c r="BJ908" s="18" t="s">
        <v>166</v>
      </c>
      <c r="BK908" s="18" t="s">
        <v>166</v>
      </c>
      <c r="BL908" s="14" t="s">
        <v>191</v>
      </c>
      <c r="BM908" s="14" t="s">
        <v>178</v>
      </c>
      <c r="BN908" s="14" t="s">
        <v>177</v>
      </c>
      <c r="BO908" s="22" t="s">
        <v>166</v>
      </c>
      <c r="BP908" s="14" t="s">
        <v>17223</v>
      </c>
      <c r="BQ908" s="21">
        <v>5</v>
      </c>
      <c r="BR908" s="14" t="s">
        <v>166</v>
      </c>
      <c r="BS908" s="21" t="s">
        <v>166</v>
      </c>
      <c r="BT908" s="14" t="s">
        <v>166</v>
      </c>
      <c r="BU908" s="14" t="s">
        <v>166</v>
      </c>
      <c r="BV908" s="14" t="s">
        <v>17224</v>
      </c>
      <c r="BW908" s="14" t="s">
        <v>166</v>
      </c>
      <c r="BX908" s="14" t="s">
        <v>166</v>
      </c>
      <c r="BY908" s="14" t="s">
        <v>166</v>
      </c>
      <c r="BZ908" s="14" t="s">
        <v>166</v>
      </c>
      <c r="CA908" s="14" t="s">
        <v>166</v>
      </c>
      <c r="CB908" s="14" t="s">
        <v>166</v>
      </c>
      <c r="CC908" s="14" t="s">
        <v>166</v>
      </c>
      <c r="CD908" s="14" t="s">
        <v>166</v>
      </c>
      <c r="CE908" s="18" t="s">
        <v>166</v>
      </c>
      <c r="CF908" s="16" t="s">
        <v>166</v>
      </c>
      <c r="CG908" s="17" t="s">
        <v>166</v>
      </c>
      <c r="CH908" s="16" t="s">
        <v>166</v>
      </c>
      <c r="CI908" s="16" t="s">
        <v>166</v>
      </c>
      <c r="CJ908" s="16" t="s">
        <v>166</v>
      </c>
      <c r="CK908" s="16" t="s">
        <v>166</v>
      </c>
      <c r="CL908" s="16" t="s">
        <v>166</v>
      </c>
      <c r="CM908" s="20" t="s">
        <v>166</v>
      </c>
      <c r="CN908" s="16" t="s">
        <v>166</v>
      </c>
      <c r="CO908" s="16" t="s">
        <v>166</v>
      </c>
      <c r="CP908" s="16" t="s">
        <v>166</v>
      </c>
      <c r="CQ908" s="16" t="s">
        <v>166</v>
      </c>
      <c r="CR908" s="16" t="s">
        <v>166</v>
      </c>
      <c r="CS908" s="16" t="s">
        <v>166</v>
      </c>
      <c r="CT908" s="16" t="s">
        <v>166</v>
      </c>
      <c r="CU908" s="16" t="s">
        <v>166</v>
      </c>
      <c r="CV908" s="16" t="s">
        <v>166</v>
      </c>
      <c r="CW908" s="16" t="s">
        <v>166</v>
      </c>
      <c r="CX908" s="16" t="s">
        <v>166</v>
      </c>
      <c r="CY908" s="16" t="s">
        <v>166</v>
      </c>
      <c r="CZ908" s="16" t="s">
        <v>166</v>
      </c>
      <c r="DA908" s="16" t="s">
        <v>166</v>
      </c>
      <c r="DB908" s="16" t="s">
        <v>166</v>
      </c>
      <c r="DC908" s="16" t="s">
        <v>166</v>
      </c>
      <c r="DD908" s="16" t="s">
        <v>166</v>
      </c>
      <c r="DE908" s="17" t="s">
        <v>166</v>
      </c>
      <c r="DF908" s="22">
        <v>16</v>
      </c>
      <c r="DG908" s="14" t="s">
        <v>1634</v>
      </c>
      <c r="DH908" s="14" t="s">
        <v>193</v>
      </c>
      <c r="DI908" s="14" t="s">
        <v>194</v>
      </c>
      <c r="DJ908" s="14" t="s">
        <v>1635</v>
      </c>
      <c r="DK908" s="14" t="s">
        <v>408</v>
      </c>
      <c r="DL908" s="21" t="s">
        <v>17225</v>
      </c>
      <c r="DM908" s="14" t="s">
        <v>198</v>
      </c>
      <c r="DN908" s="13" t="s">
        <v>17226</v>
      </c>
      <c r="DO908" s="20">
        <v>2018</v>
      </c>
      <c r="DP908" s="14" t="s">
        <v>166</v>
      </c>
      <c r="DQ908" s="14" t="s">
        <v>166</v>
      </c>
      <c r="DR908" s="18" t="s">
        <v>166</v>
      </c>
      <c r="DS908" s="16" t="s">
        <v>166</v>
      </c>
      <c r="DT908" s="19" t="s">
        <v>166</v>
      </c>
      <c r="DU908" s="14" t="s">
        <v>166</v>
      </c>
      <c r="DV908" s="18" t="s">
        <v>166</v>
      </c>
      <c r="DW908" s="18" t="s">
        <v>166</v>
      </c>
      <c r="DX908" s="16" t="s">
        <v>166</v>
      </c>
      <c r="DY908" s="16" t="s">
        <v>166</v>
      </c>
      <c r="DZ908" s="17" t="s">
        <v>166</v>
      </c>
      <c r="EA908" s="16" t="s">
        <v>166</v>
      </c>
      <c r="EB908" s="16" t="s">
        <v>166</v>
      </c>
      <c r="EC908" s="16" t="s">
        <v>166</v>
      </c>
      <c r="ED908" s="17" t="s">
        <v>166</v>
      </c>
      <c r="EE908" s="17" t="s">
        <v>166</v>
      </c>
      <c r="EF908" s="17" t="s">
        <v>166</v>
      </c>
      <c r="EG908" s="17" t="s">
        <v>166</v>
      </c>
      <c r="EH908" s="16" t="s">
        <v>166</v>
      </c>
      <c r="EI908" s="16" t="s">
        <v>166</v>
      </c>
      <c r="EJ908" s="16" t="s">
        <v>166</v>
      </c>
      <c r="EK908" s="16" t="s">
        <v>166</v>
      </c>
      <c r="EL908" s="16" t="s">
        <v>166</v>
      </c>
      <c r="EM908" s="16" t="s">
        <v>166</v>
      </c>
      <c r="EN908" s="16" t="s">
        <v>166</v>
      </c>
      <c r="EO908" s="16" t="s">
        <v>166</v>
      </c>
      <c r="EP908" s="16" t="s">
        <v>166</v>
      </c>
      <c r="EQ908" s="16" t="s">
        <v>166</v>
      </c>
      <c r="ER908" s="16" t="s">
        <v>166</v>
      </c>
      <c r="ES908" s="16" t="s">
        <v>166</v>
      </c>
      <c r="ET908" s="14" t="s">
        <v>166</v>
      </c>
      <c r="EU908" s="16" t="s">
        <v>166</v>
      </c>
      <c r="EV908" s="16" t="s">
        <v>166</v>
      </c>
      <c r="EW908" s="16" t="s">
        <v>166</v>
      </c>
      <c r="EX908" s="14" t="s">
        <v>190</v>
      </c>
      <c r="EY908" s="14" t="s">
        <v>166</v>
      </c>
      <c r="EZ908" s="16" t="s">
        <v>166</v>
      </c>
      <c r="FA908" s="15" t="s">
        <v>166</v>
      </c>
      <c r="FB908" s="15" t="s">
        <v>166</v>
      </c>
      <c r="FC908" s="15" t="s">
        <v>166</v>
      </c>
      <c r="FD908" s="15" t="s">
        <v>166</v>
      </c>
      <c r="FE908" s="15" t="s">
        <v>166</v>
      </c>
      <c r="FF908" s="15" t="s">
        <v>166</v>
      </c>
      <c r="FG908" s="14" t="s">
        <v>166</v>
      </c>
      <c r="FH908" s="3">
        <f>HYPERLINK("https://my.pitchbook.com?c=124514-47T","View Company Online")</f>
      </c>
    </row>
    <row r="909">
      <c r="A909" s="25" t="s">
        <v>17227</v>
      </c>
      <c r="B909" s="25" t="s">
        <v>17228</v>
      </c>
      <c r="C909" s="25" t="s">
        <v>17229</v>
      </c>
      <c r="D909" s="25" t="s">
        <v>166</v>
      </c>
      <c r="E909" s="34" t="s">
        <v>17230</v>
      </c>
      <c r="F909" s="32">
        <v>1</v>
      </c>
      <c r="G909" s="25" t="s">
        <v>17231</v>
      </c>
      <c r="H909" s="25" t="s">
        <v>166</v>
      </c>
      <c r="I909" s="25" t="s">
        <v>17232</v>
      </c>
      <c r="J909" s="25" t="s">
        <v>17233</v>
      </c>
      <c r="K909" s="25" t="s">
        <v>207</v>
      </c>
      <c r="L909" s="25" t="s">
        <v>208</v>
      </c>
      <c r="M909" s="25" t="s">
        <v>209</v>
      </c>
      <c r="N909" s="25" t="s">
        <v>3407</v>
      </c>
      <c r="O909" s="25" t="s">
        <v>325</v>
      </c>
      <c r="P909" s="25" t="s">
        <v>17234</v>
      </c>
      <c r="Q909" s="25" t="s">
        <v>166</v>
      </c>
      <c r="R909" s="25" t="s">
        <v>177</v>
      </c>
      <c r="S909" s="25" t="s">
        <v>178</v>
      </c>
      <c r="T909" s="25" t="s">
        <v>179</v>
      </c>
      <c r="U909" s="25" t="s">
        <v>17235</v>
      </c>
      <c r="V909" s="25" t="s">
        <v>17236</v>
      </c>
      <c r="W909" s="32" t="s">
        <v>17237</v>
      </c>
      <c r="X909" s="25" t="s">
        <v>17238</v>
      </c>
      <c r="Y909" s="25" t="s">
        <v>17239</v>
      </c>
      <c r="Z909" s="25" t="s">
        <v>17240</v>
      </c>
      <c r="AA909" s="25" t="s">
        <v>242</v>
      </c>
      <c r="AB909" s="25" t="s">
        <v>243</v>
      </c>
      <c r="AC909" s="25" t="s">
        <v>244</v>
      </c>
      <c r="AD909" s="25" t="s">
        <v>243</v>
      </c>
      <c r="AE909" s="25" t="s">
        <v>243</v>
      </c>
      <c r="AF909" s="25" t="s">
        <v>245</v>
      </c>
      <c r="AG909" s="25" t="s">
        <v>807</v>
      </c>
      <c r="AH909" s="32">
        <v>1</v>
      </c>
      <c r="AI909" s="4">
        <f>HYPERLINK("https://my.pitchbook.com/?d=232969-06T","232969-06T")</f>
      </c>
      <c r="AJ909" s="30">
        <v>45124</v>
      </c>
      <c r="AK909" s="30">
        <v>45139</v>
      </c>
      <c r="AL909" s="29">
        <v>2</v>
      </c>
      <c r="AM909" s="25" t="s">
        <v>185</v>
      </c>
      <c r="AN909" s="29">
        <v>7</v>
      </c>
      <c r="AO909" s="29">
        <v>9</v>
      </c>
      <c r="AP909" s="25" t="s">
        <v>185</v>
      </c>
      <c r="AQ909" s="32" t="s">
        <v>166</v>
      </c>
      <c r="AR909" s="32" t="s">
        <v>166</v>
      </c>
      <c r="AS909" s="28">
        <v>24.08</v>
      </c>
      <c r="AT909" s="29">
        <v>2</v>
      </c>
      <c r="AU909" s="32" t="s">
        <v>186</v>
      </c>
      <c r="AV909" s="32" t="s">
        <v>166</v>
      </c>
      <c r="AW909" s="29">
        <v>0.83</v>
      </c>
      <c r="AX909" s="32" t="s">
        <v>166</v>
      </c>
      <c r="AY909" s="25" t="s">
        <v>217</v>
      </c>
      <c r="AZ909" s="25" t="s">
        <v>217</v>
      </c>
      <c r="BA909" s="25" t="s">
        <v>166</v>
      </c>
      <c r="BB909" s="32" t="s">
        <v>166</v>
      </c>
      <c r="BC909" s="25" t="s">
        <v>179</v>
      </c>
      <c r="BD909" s="25" t="s">
        <v>17241</v>
      </c>
      <c r="BE909" s="25" t="s">
        <v>189</v>
      </c>
      <c r="BF909" s="29">
        <v>2</v>
      </c>
      <c r="BG909" s="25" t="s">
        <v>190</v>
      </c>
      <c r="BH909" s="25" t="s">
        <v>166</v>
      </c>
      <c r="BI909" s="25" t="s">
        <v>166</v>
      </c>
      <c r="BJ909" s="29" t="s">
        <v>166</v>
      </c>
      <c r="BK909" s="29" t="s">
        <v>166</v>
      </c>
      <c r="BL909" s="25" t="s">
        <v>191</v>
      </c>
      <c r="BM909" s="25" t="s">
        <v>178</v>
      </c>
      <c r="BN909" s="25" t="s">
        <v>177</v>
      </c>
      <c r="BO909" s="33" t="s">
        <v>166</v>
      </c>
      <c r="BP909" s="25" t="s">
        <v>17230</v>
      </c>
      <c r="BQ909" s="32">
        <v>1</v>
      </c>
      <c r="BR909" s="25" t="s">
        <v>166</v>
      </c>
      <c r="BS909" s="32" t="s">
        <v>166</v>
      </c>
      <c r="BT909" s="25" t="s">
        <v>166</v>
      </c>
      <c r="BU909" s="25" t="s">
        <v>166</v>
      </c>
      <c r="BV909" s="25" t="s">
        <v>166</v>
      </c>
      <c r="BW909" s="25" t="s">
        <v>166</v>
      </c>
      <c r="BX909" s="25" t="s">
        <v>166</v>
      </c>
      <c r="BY909" s="25" t="s">
        <v>166</v>
      </c>
      <c r="BZ909" s="25" t="s">
        <v>166</v>
      </c>
      <c r="CA909" s="25" t="s">
        <v>166</v>
      </c>
      <c r="CB909" s="25" t="s">
        <v>166</v>
      </c>
      <c r="CC909" s="25" t="s">
        <v>166</v>
      </c>
      <c r="CD909" s="25" t="s">
        <v>166</v>
      </c>
      <c r="CE909" s="29" t="s">
        <v>166</v>
      </c>
      <c r="CF909" s="27" t="s">
        <v>166</v>
      </c>
      <c r="CG909" s="28" t="s">
        <v>166</v>
      </c>
      <c r="CH909" s="27" t="s">
        <v>166</v>
      </c>
      <c r="CI909" s="27" t="s">
        <v>166</v>
      </c>
      <c r="CJ909" s="27" t="s">
        <v>166</v>
      </c>
      <c r="CK909" s="27" t="s">
        <v>166</v>
      </c>
      <c r="CL909" s="27" t="s">
        <v>166</v>
      </c>
      <c r="CM909" s="31" t="s">
        <v>166</v>
      </c>
      <c r="CN909" s="27" t="s">
        <v>166</v>
      </c>
      <c r="CO909" s="27" t="s">
        <v>166</v>
      </c>
      <c r="CP909" s="27" t="s">
        <v>166</v>
      </c>
      <c r="CQ909" s="27" t="s">
        <v>166</v>
      </c>
      <c r="CR909" s="27" t="s">
        <v>166</v>
      </c>
      <c r="CS909" s="27" t="s">
        <v>166</v>
      </c>
      <c r="CT909" s="27" t="s">
        <v>166</v>
      </c>
      <c r="CU909" s="27" t="s">
        <v>166</v>
      </c>
      <c r="CV909" s="27" t="s">
        <v>166</v>
      </c>
      <c r="CW909" s="27" t="s">
        <v>166</v>
      </c>
      <c r="CX909" s="27" t="s">
        <v>166</v>
      </c>
      <c r="CY909" s="27" t="s">
        <v>166</v>
      </c>
      <c r="CZ909" s="27" t="s">
        <v>166</v>
      </c>
      <c r="DA909" s="27" t="s">
        <v>166</v>
      </c>
      <c r="DB909" s="27" t="s">
        <v>166</v>
      </c>
      <c r="DC909" s="27" t="s">
        <v>166</v>
      </c>
      <c r="DD909" s="27" t="s">
        <v>166</v>
      </c>
      <c r="DE909" s="28" t="s">
        <v>166</v>
      </c>
      <c r="DF909" s="33">
        <v>10</v>
      </c>
      <c r="DG909" s="25" t="s">
        <v>309</v>
      </c>
      <c r="DH909" s="25" t="s">
        <v>193</v>
      </c>
      <c r="DI909" s="25" t="s">
        <v>194</v>
      </c>
      <c r="DJ909" s="25" t="s">
        <v>310</v>
      </c>
      <c r="DK909" s="25" t="s">
        <v>310</v>
      </c>
      <c r="DL909" s="32" t="s">
        <v>6722</v>
      </c>
      <c r="DM909" s="25" t="s">
        <v>198</v>
      </c>
      <c r="DN909" s="24" t="s">
        <v>17242</v>
      </c>
      <c r="DO909" s="31">
        <v>2022</v>
      </c>
      <c r="DP909" s="25" t="s">
        <v>166</v>
      </c>
      <c r="DQ909" s="25" t="s">
        <v>166</v>
      </c>
      <c r="DR909" s="29" t="s">
        <v>166</v>
      </c>
      <c r="DS909" s="27" t="s">
        <v>166</v>
      </c>
      <c r="DT909" s="30" t="s">
        <v>166</v>
      </c>
      <c r="DU909" s="25" t="s">
        <v>166</v>
      </c>
      <c r="DV909" s="29" t="s">
        <v>166</v>
      </c>
      <c r="DW909" s="29" t="s">
        <v>166</v>
      </c>
      <c r="DX909" s="27" t="s">
        <v>166</v>
      </c>
      <c r="DY909" s="27" t="s">
        <v>166</v>
      </c>
      <c r="DZ909" s="28" t="s">
        <v>166</v>
      </c>
      <c r="EA909" s="27" t="s">
        <v>166</v>
      </c>
      <c r="EB909" s="27" t="s">
        <v>166</v>
      </c>
      <c r="EC909" s="27" t="s">
        <v>166</v>
      </c>
      <c r="ED909" s="28" t="s">
        <v>166</v>
      </c>
      <c r="EE909" s="28" t="s">
        <v>166</v>
      </c>
      <c r="EF909" s="28" t="s">
        <v>166</v>
      </c>
      <c r="EG909" s="28" t="s">
        <v>166</v>
      </c>
      <c r="EH909" s="27" t="s">
        <v>166</v>
      </c>
      <c r="EI909" s="27" t="s">
        <v>166</v>
      </c>
      <c r="EJ909" s="27" t="s">
        <v>166</v>
      </c>
      <c r="EK909" s="27" t="s">
        <v>166</v>
      </c>
      <c r="EL909" s="27" t="s">
        <v>166</v>
      </c>
      <c r="EM909" s="27" t="s">
        <v>166</v>
      </c>
      <c r="EN909" s="27" t="s">
        <v>166</v>
      </c>
      <c r="EO909" s="27" t="s">
        <v>166</v>
      </c>
      <c r="EP909" s="27" t="s">
        <v>166</v>
      </c>
      <c r="EQ909" s="27" t="s">
        <v>166</v>
      </c>
      <c r="ER909" s="27" t="s">
        <v>166</v>
      </c>
      <c r="ES909" s="27" t="s">
        <v>166</v>
      </c>
      <c r="ET909" s="25" t="s">
        <v>166</v>
      </c>
      <c r="EU909" s="27" t="s">
        <v>166</v>
      </c>
      <c r="EV909" s="27" t="s">
        <v>166</v>
      </c>
      <c r="EW909" s="27" t="s">
        <v>166</v>
      </c>
      <c r="EX909" s="25" t="s">
        <v>190</v>
      </c>
      <c r="EY909" s="25" t="s">
        <v>166</v>
      </c>
      <c r="EZ909" s="27" t="s">
        <v>166</v>
      </c>
      <c r="FA909" s="26" t="s">
        <v>166</v>
      </c>
      <c r="FB909" s="26" t="s">
        <v>166</v>
      </c>
      <c r="FC909" s="26" t="s">
        <v>166</v>
      </c>
      <c r="FD909" s="26" t="s">
        <v>166</v>
      </c>
      <c r="FE909" s="26" t="s">
        <v>166</v>
      </c>
      <c r="FF909" s="26" t="s">
        <v>166</v>
      </c>
      <c r="FG909" s="25" t="s">
        <v>166</v>
      </c>
      <c r="FH909" s="4">
        <f>HYPERLINK("https://my.pitchbook.com?c=232969-06T","View Company Online")</f>
      </c>
    </row>
    <row r="910">
      <c r="A910" s="14" t="s">
        <v>17243</v>
      </c>
      <c r="B910" s="14" t="s">
        <v>17244</v>
      </c>
      <c r="C910" s="14" t="s">
        <v>17245</v>
      </c>
      <c r="D910" s="14" t="s">
        <v>166</v>
      </c>
      <c r="E910" s="23" t="s">
        <v>17246</v>
      </c>
      <c r="F910" s="21">
        <v>9</v>
      </c>
      <c r="G910" s="14" t="s">
        <v>17247</v>
      </c>
      <c r="H910" s="14" t="s">
        <v>166</v>
      </c>
      <c r="I910" s="14" t="s">
        <v>17248</v>
      </c>
      <c r="J910" s="14" t="s">
        <v>17249</v>
      </c>
      <c r="K910" s="14" t="s">
        <v>1500</v>
      </c>
      <c r="L910" s="14" t="s">
        <v>2200</v>
      </c>
      <c r="M910" s="14" t="s">
        <v>2201</v>
      </c>
      <c r="N910" s="14" t="s">
        <v>17250</v>
      </c>
      <c r="O910" s="14" t="s">
        <v>17251</v>
      </c>
      <c r="P910" s="14" t="s">
        <v>17252</v>
      </c>
      <c r="Q910" s="14" t="s">
        <v>166</v>
      </c>
      <c r="R910" s="14" t="s">
        <v>177</v>
      </c>
      <c r="S910" s="14" t="s">
        <v>178</v>
      </c>
      <c r="T910" s="14" t="s">
        <v>179</v>
      </c>
      <c r="U910" s="14" t="s">
        <v>17253</v>
      </c>
      <c r="V910" s="14" t="s">
        <v>17254</v>
      </c>
      <c r="W910" s="21" t="s">
        <v>166</v>
      </c>
      <c r="X910" s="14" t="s">
        <v>17255</v>
      </c>
      <c r="Y910" s="14" t="s">
        <v>17256</v>
      </c>
      <c r="Z910" s="14" t="s">
        <v>166</v>
      </c>
      <c r="AA910" s="14" t="s">
        <v>166</v>
      </c>
      <c r="AB910" s="14" t="s">
        <v>166</v>
      </c>
      <c r="AC910" s="14" t="s">
        <v>166</v>
      </c>
      <c r="AD910" s="14" t="s">
        <v>166</v>
      </c>
      <c r="AE910" s="14" t="s">
        <v>166</v>
      </c>
      <c r="AF910" s="14" t="s">
        <v>166</v>
      </c>
      <c r="AG910" s="14" t="s">
        <v>166</v>
      </c>
      <c r="AH910" s="21">
        <v>3</v>
      </c>
      <c r="AI910" s="3">
        <f>HYPERLINK("https://my.pitchbook.com/?d=258057-64T","258057-64T")</f>
      </c>
      <c r="AJ910" s="19" t="s">
        <v>166</v>
      </c>
      <c r="AK910" s="19">
        <v>45387</v>
      </c>
      <c r="AL910" s="18">
        <v>2.1</v>
      </c>
      <c r="AM910" s="14" t="s">
        <v>247</v>
      </c>
      <c r="AN910" s="18" t="s">
        <v>166</v>
      </c>
      <c r="AO910" s="18" t="s">
        <v>166</v>
      </c>
      <c r="AP910" s="14" t="s">
        <v>166</v>
      </c>
      <c r="AQ910" s="21" t="s">
        <v>166</v>
      </c>
      <c r="AR910" s="21" t="s">
        <v>166</v>
      </c>
      <c r="AS910" s="17" t="s">
        <v>166</v>
      </c>
      <c r="AT910" s="18">
        <v>2.65</v>
      </c>
      <c r="AU910" s="21" t="s">
        <v>186</v>
      </c>
      <c r="AV910" s="21" t="s">
        <v>166</v>
      </c>
      <c r="AW910" s="18" t="s">
        <v>166</v>
      </c>
      <c r="AX910" s="21" t="s">
        <v>166</v>
      </c>
      <c r="AY910" s="14" t="s">
        <v>217</v>
      </c>
      <c r="AZ910" s="14" t="s">
        <v>217</v>
      </c>
      <c r="BA910" s="14" t="s">
        <v>166</v>
      </c>
      <c r="BB910" s="21" t="s">
        <v>166</v>
      </c>
      <c r="BC910" s="14" t="s">
        <v>179</v>
      </c>
      <c r="BD910" s="14" t="s">
        <v>17257</v>
      </c>
      <c r="BE910" s="14" t="s">
        <v>189</v>
      </c>
      <c r="BF910" s="18">
        <v>2.1</v>
      </c>
      <c r="BG910" s="14" t="s">
        <v>190</v>
      </c>
      <c r="BH910" s="14" t="s">
        <v>166</v>
      </c>
      <c r="BI910" s="14" t="s">
        <v>166</v>
      </c>
      <c r="BJ910" s="18" t="s">
        <v>166</v>
      </c>
      <c r="BK910" s="18" t="s">
        <v>166</v>
      </c>
      <c r="BL910" s="14" t="s">
        <v>191</v>
      </c>
      <c r="BM910" s="14" t="s">
        <v>178</v>
      </c>
      <c r="BN910" s="14" t="s">
        <v>177</v>
      </c>
      <c r="BO910" s="22" t="s">
        <v>166</v>
      </c>
      <c r="BP910" s="14" t="s">
        <v>17258</v>
      </c>
      <c r="BQ910" s="21">
        <v>8</v>
      </c>
      <c r="BR910" s="14" t="s">
        <v>914</v>
      </c>
      <c r="BS910" s="21">
        <v>1</v>
      </c>
      <c r="BT910" s="14" t="s">
        <v>166</v>
      </c>
      <c r="BU910" s="14" t="s">
        <v>166</v>
      </c>
      <c r="BV910" s="14" t="s">
        <v>17259</v>
      </c>
      <c r="BW910" s="14" t="s">
        <v>166</v>
      </c>
      <c r="BX910" s="14" t="s">
        <v>166</v>
      </c>
      <c r="BY910" s="14" t="s">
        <v>166</v>
      </c>
      <c r="BZ910" s="14" t="s">
        <v>17260</v>
      </c>
      <c r="CA910" s="14" t="s">
        <v>166</v>
      </c>
      <c r="CB910" s="14" t="s">
        <v>166</v>
      </c>
      <c r="CC910" s="14" t="s">
        <v>17260</v>
      </c>
      <c r="CD910" s="14" t="s">
        <v>166</v>
      </c>
      <c r="CE910" s="18" t="s">
        <v>166</v>
      </c>
      <c r="CF910" s="16" t="s">
        <v>166</v>
      </c>
      <c r="CG910" s="17" t="s">
        <v>166</v>
      </c>
      <c r="CH910" s="16" t="s">
        <v>166</v>
      </c>
      <c r="CI910" s="16" t="s">
        <v>166</v>
      </c>
      <c r="CJ910" s="16" t="s">
        <v>166</v>
      </c>
      <c r="CK910" s="16" t="s">
        <v>166</v>
      </c>
      <c r="CL910" s="16" t="s">
        <v>166</v>
      </c>
      <c r="CM910" s="20" t="s">
        <v>166</v>
      </c>
      <c r="CN910" s="16" t="s">
        <v>166</v>
      </c>
      <c r="CO910" s="16" t="s">
        <v>166</v>
      </c>
      <c r="CP910" s="16" t="s">
        <v>166</v>
      </c>
      <c r="CQ910" s="16" t="s">
        <v>166</v>
      </c>
      <c r="CR910" s="16" t="s">
        <v>166</v>
      </c>
      <c r="CS910" s="16" t="s">
        <v>166</v>
      </c>
      <c r="CT910" s="16" t="s">
        <v>166</v>
      </c>
      <c r="CU910" s="16" t="s">
        <v>166</v>
      </c>
      <c r="CV910" s="16" t="s">
        <v>166</v>
      </c>
      <c r="CW910" s="16" t="s">
        <v>166</v>
      </c>
      <c r="CX910" s="16" t="s">
        <v>166</v>
      </c>
      <c r="CY910" s="16" t="s">
        <v>166</v>
      </c>
      <c r="CZ910" s="16" t="s">
        <v>166</v>
      </c>
      <c r="DA910" s="16" t="s">
        <v>166</v>
      </c>
      <c r="DB910" s="16" t="s">
        <v>166</v>
      </c>
      <c r="DC910" s="16" t="s">
        <v>166</v>
      </c>
      <c r="DD910" s="16" t="s">
        <v>166</v>
      </c>
      <c r="DE910" s="17" t="s">
        <v>166</v>
      </c>
      <c r="DF910" s="22">
        <v>5</v>
      </c>
      <c r="DG910" s="14" t="s">
        <v>1929</v>
      </c>
      <c r="DH910" s="14" t="s">
        <v>193</v>
      </c>
      <c r="DI910" s="14" t="s">
        <v>194</v>
      </c>
      <c r="DJ910" s="14" t="s">
        <v>1930</v>
      </c>
      <c r="DK910" s="14" t="s">
        <v>545</v>
      </c>
      <c r="DL910" s="21" t="s">
        <v>15676</v>
      </c>
      <c r="DM910" s="14" t="s">
        <v>198</v>
      </c>
      <c r="DN910" s="13" t="s">
        <v>17261</v>
      </c>
      <c r="DO910" s="20">
        <v>2014</v>
      </c>
      <c r="DP910" s="14" t="s">
        <v>166</v>
      </c>
      <c r="DQ910" s="14" t="s">
        <v>166</v>
      </c>
      <c r="DR910" s="18" t="s">
        <v>166</v>
      </c>
      <c r="DS910" s="16" t="s">
        <v>166</v>
      </c>
      <c r="DT910" s="19" t="s">
        <v>166</v>
      </c>
      <c r="DU910" s="14" t="s">
        <v>166</v>
      </c>
      <c r="DV910" s="18" t="s">
        <v>166</v>
      </c>
      <c r="DW910" s="18" t="s">
        <v>166</v>
      </c>
      <c r="DX910" s="16" t="s">
        <v>166</v>
      </c>
      <c r="DY910" s="16" t="s">
        <v>166</v>
      </c>
      <c r="DZ910" s="17" t="s">
        <v>166</v>
      </c>
      <c r="EA910" s="16" t="s">
        <v>166</v>
      </c>
      <c r="EB910" s="16" t="s">
        <v>166</v>
      </c>
      <c r="EC910" s="16" t="s">
        <v>166</v>
      </c>
      <c r="ED910" s="17" t="s">
        <v>166</v>
      </c>
      <c r="EE910" s="17" t="s">
        <v>166</v>
      </c>
      <c r="EF910" s="17" t="s">
        <v>166</v>
      </c>
      <c r="EG910" s="17" t="s">
        <v>166</v>
      </c>
      <c r="EH910" s="16" t="s">
        <v>166</v>
      </c>
      <c r="EI910" s="16" t="s">
        <v>166</v>
      </c>
      <c r="EJ910" s="16" t="s">
        <v>166</v>
      </c>
      <c r="EK910" s="16" t="s">
        <v>166</v>
      </c>
      <c r="EL910" s="16" t="s">
        <v>166</v>
      </c>
      <c r="EM910" s="16" t="s">
        <v>166</v>
      </c>
      <c r="EN910" s="16" t="s">
        <v>166</v>
      </c>
      <c r="EO910" s="16" t="s">
        <v>166</v>
      </c>
      <c r="EP910" s="16" t="s">
        <v>166</v>
      </c>
      <c r="EQ910" s="16" t="s">
        <v>166</v>
      </c>
      <c r="ER910" s="16" t="s">
        <v>166</v>
      </c>
      <c r="ES910" s="16" t="s">
        <v>166</v>
      </c>
      <c r="ET910" s="14" t="s">
        <v>166</v>
      </c>
      <c r="EU910" s="16" t="s">
        <v>166</v>
      </c>
      <c r="EV910" s="16" t="s">
        <v>166</v>
      </c>
      <c r="EW910" s="16" t="s">
        <v>166</v>
      </c>
      <c r="EX910" s="14" t="s">
        <v>190</v>
      </c>
      <c r="EY910" s="14" t="s">
        <v>166</v>
      </c>
      <c r="EZ910" s="16" t="s">
        <v>166</v>
      </c>
      <c r="FA910" s="15" t="s">
        <v>166</v>
      </c>
      <c r="FB910" s="15" t="s">
        <v>166</v>
      </c>
      <c r="FC910" s="15" t="s">
        <v>166</v>
      </c>
      <c r="FD910" s="15" t="s">
        <v>166</v>
      </c>
      <c r="FE910" s="15" t="s">
        <v>166</v>
      </c>
      <c r="FF910" s="15" t="s">
        <v>166</v>
      </c>
      <c r="FG910" s="14" t="s">
        <v>166</v>
      </c>
      <c r="FH910" s="3">
        <f>HYPERLINK("https://my.pitchbook.com?c=258057-64T","View Company Online")</f>
      </c>
    </row>
    <row r="911">
      <c r="A911" s="25" t="s">
        <v>17262</v>
      </c>
      <c r="B911" s="25" t="s">
        <v>17263</v>
      </c>
      <c r="C911" s="25" t="s">
        <v>17264</v>
      </c>
      <c r="D911" s="25" t="s">
        <v>166</v>
      </c>
      <c r="E911" s="34" t="s">
        <v>17265</v>
      </c>
      <c r="F911" s="32">
        <v>9</v>
      </c>
      <c r="G911" s="25" t="s">
        <v>17266</v>
      </c>
      <c r="H911" s="25" t="s">
        <v>166</v>
      </c>
      <c r="I911" s="25" t="s">
        <v>17267</v>
      </c>
      <c r="J911" s="25" t="s">
        <v>17268</v>
      </c>
      <c r="K911" s="25" t="s">
        <v>207</v>
      </c>
      <c r="L911" s="25" t="s">
        <v>208</v>
      </c>
      <c r="M911" s="25" t="s">
        <v>209</v>
      </c>
      <c r="N911" s="25" t="s">
        <v>17269</v>
      </c>
      <c r="O911" s="25" t="s">
        <v>17270</v>
      </c>
      <c r="P911" s="25" t="s">
        <v>17271</v>
      </c>
      <c r="Q911" s="25" t="s">
        <v>17272</v>
      </c>
      <c r="R911" s="25" t="s">
        <v>177</v>
      </c>
      <c r="S911" s="25" t="s">
        <v>178</v>
      </c>
      <c r="T911" s="25" t="s">
        <v>179</v>
      </c>
      <c r="U911" s="25" t="s">
        <v>17273</v>
      </c>
      <c r="V911" s="25" t="s">
        <v>17274</v>
      </c>
      <c r="W911" s="32" t="s">
        <v>17275</v>
      </c>
      <c r="X911" s="25" t="s">
        <v>17276</v>
      </c>
      <c r="Y911" s="25" t="s">
        <v>17277</v>
      </c>
      <c r="Z911" s="25" t="s">
        <v>166</v>
      </c>
      <c r="AA911" s="25" t="s">
        <v>166</v>
      </c>
      <c r="AB911" s="25" t="s">
        <v>166</v>
      </c>
      <c r="AC911" s="25" t="s">
        <v>166</v>
      </c>
      <c r="AD911" s="25" t="s">
        <v>166</v>
      </c>
      <c r="AE911" s="25" t="s">
        <v>166</v>
      </c>
      <c r="AF911" s="25" t="s">
        <v>166</v>
      </c>
      <c r="AG911" s="25" t="s">
        <v>166</v>
      </c>
      <c r="AH911" s="32">
        <v>2</v>
      </c>
      <c r="AI911" s="4">
        <f>HYPERLINK("https://my.pitchbook.com/?d=134732-71T","134732-71T")</f>
      </c>
      <c r="AJ911" s="30" t="s">
        <v>166</v>
      </c>
      <c r="AK911" s="30">
        <v>43868</v>
      </c>
      <c r="AL911" s="29">
        <v>3.6</v>
      </c>
      <c r="AM911" s="25" t="s">
        <v>185</v>
      </c>
      <c r="AN911" s="29">
        <v>11.4</v>
      </c>
      <c r="AO911" s="29">
        <v>15</v>
      </c>
      <c r="AP911" s="25" t="s">
        <v>185</v>
      </c>
      <c r="AQ911" s="32" t="s">
        <v>166</v>
      </c>
      <c r="AR911" s="32" t="s">
        <v>166</v>
      </c>
      <c r="AS911" s="28">
        <v>24</v>
      </c>
      <c r="AT911" s="29">
        <v>3.73</v>
      </c>
      <c r="AU911" s="32" t="s">
        <v>186</v>
      </c>
      <c r="AV911" s="32" t="s">
        <v>166</v>
      </c>
      <c r="AW911" s="29" t="s">
        <v>166</v>
      </c>
      <c r="AX911" s="32" t="s">
        <v>166</v>
      </c>
      <c r="AY911" s="25" t="s">
        <v>217</v>
      </c>
      <c r="AZ911" s="25" t="s">
        <v>217</v>
      </c>
      <c r="BA911" s="25" t="s">
        <v>166</v>
      </c>
      <c r="BB911" s="32" t="s">
        <v>166</v>
      </c>
      <c r="BC911" s="25" t="s">
        <v>179</v>
      </c>
      <c r="BD911" s="25" t="s">
        <v>17278</v>
      </c>
      <c r="BE911" s="25" t="s">
        <v>189</v>
      </c>
      <c r="BF911" s="29">
        <v>3.6</v>
      </c>
      <c r="BG911" s="25" t="s">
        <v>190</v>
      </c>
      <c r="BH911" s="25" t="s">
        <v>166</v>
      </c>
      <c r="BI911" s="25" t="s">
        <v>166</v>
      </c>
      <c r="BJ911" s="29" t="s">
        <v>166</v>
      </c>
      <c r="BK911" s="29" t="s">
        <v>166</v>
      </c>
      <c r="BL911" s="25" t="s">
        <v>191</v>
      </c>
      <c r="BM911" s="25" t="s">
        <v>178</v>
      </c>
      <c r="BN911" s="25" t="s">
        <v>177</v>
      </c>
      <c r="BO911" s="33" t="s">
        <v>166</v>
      </c>
      <c r="BP911" s="25" t="s">
        <v>17279</v>
      </c>
      <c r="BQ911" s="32">
        <v>9</v>
      </c>
      <c r="BR911" s="25" t="s">
        <v>166</v>
      </c>
      <c r="BS911" s="32" t="s">
        <v>166</v>
      </c>
      <c r="BT911" s="25" t="s">
        <v>166</v>
      </c>
      <c r="BU911" s="25" t="s">
        <v>166</v>
      </c>
      <c r="BV911" s="25" t="s">
        <v>17280</v>
      </c>
      <c r="BW911" s="25" t="s">
        <v>166</v>
      </c>
      <c r="BX911" s="25" t="s">
        <v>166</v>
      </c>
      <c r="BY911" s="25" t="s">
        <v>166</v>
      </c>
      <c r="BZ911" s="25" t="s">
        <v>166</v>
      </c>
      <c r="CA911" s="25" t="s">
        <v>166</v>
      </c>
      <c r="CB911" s="25" t="s">
        <v>166</v>
      </c>
      <c r="CC911" s="25" t="s">
        <v>166</v>
      </c>
      <c r="CD911" s="25" t="s">
        <v>166</v>
      </c>
      <c r="CE911" s="29" t="s">
        <v>166</v>
      </c>
      <c r="CF911" s="27" t="s">
        <v>166</v>
      </c>
      <c r="CG911" s="28" t="s">
        <v>166</v>
      </c>
      <c r="CH911" s="27" t="s">
        <v>166</v>
      </c>
      <c r="CI911" s="27" t="s">
        <v>166</v>
      </c>
      <c r="CJ911" s="27" t="s">
        <v>166</v>
      </c>
      <c r="CK911" s="27" t="s">
        <v>166</v>
      </c>
      <c r="CL911" s="27" t="s">
        <v>166</v>
      </c>
      <c r="CM911" s="31" t="s">
        <v>166</v>
      </c>
      <c r="CN911" s="27" t="s">
        <v>166</v>
      </c>
      <c r="CO911" s="27" t="s">
        <v>166</v>
      </c>
      <c r="CP911" s="27" t="s">
        <v>166</v>
      </c>
      <c r="CQ911" s="27" t="s">
        <v>166</v>
      </c>
      <c r="CR911" s="27" t="s">
        <v>166</v>
      </c>
      <c r="CS911" s="27" t="s">
        <v>166</v>
      </c>
      <c r="CT911" s="27" t="s">
        <v>166</v>
      </c>
      <c r="CU911" s="27" t="s">
        <v>166</v>
      </c>
      <c r="CV911" s="27" t="s">
        <v>166</v>
      </c>
      <c r="CW911" s="27" t="s">
        <v>166</v>
      </c>
      <c r="CX911" s="27" t="s">
        <v>166</v>
      </c>
      <c r="CY911" s="27" t="s">
        <v>166</v>
      </c>
      <c r="CZ911" s="27" t="s">
        <v>166</v>
      </c>
      <c r="DA911" s="27" t="s">
        <v>166</v>
      </c>
      <c r="DB911" s="27" t="s">
        <v>166</v>
      </c>
      <c r="DC911" s="27" t="s">
        <v>166</v>
      </c>
      <c r="DD911" s="27" t="s">
        <v>166</v>
      </c>
      <c r="DE911" s="28" t="s">
        <v>166</v>
      </c>
      <c r="DF911" s="33">
        <v>46</v>
      </c>
      <c r="DG911" s="25" t="s">
        <v>673</v>
      </c>
      <c r="DH911" s="25" t="s">
        <v>193</v>
      </c>
      <c r="DI911" s="25" t="s">
        <v>194</v>
      </c>
      <c r="DJ911" s="25" t="s">
        <v>674</v>
      </c>
      <c r="DK911" s="25" t="s">
        <v>257</v>
      </c>
      <c r="DL911" s="32" t="s">
        <v>1599</v>
      </c>
      <c r="DM911" s="25" t="s">
        <v>198</v>
      </c>
      <c r="DN911" s="24" t="s">
        <v>17281</v>
      </c>
      <c r="DO911" s="31">
        <v>2019</v>
      </c>
      <c r="DP911" s="25" t="s">
        <v>166</v>
      </c>
      <c r="DQ911" s="25" t="s">
        <v>166</v>
      </c>
      <c r="DR911" s="29" t="s">
        <v>166</v>
      </c>
      <c r="DS911" s="27" t="s">
        <v>166</v>
      </c>
      <c r="DT911" s="30" t="s">
        <v>166</v>
      </c>
      <c r="DU911" s="25" t="s">
        <v>166</v>
      </c>
      <c r="DV911" s="29" t="s">
        <v>166</v>
      </c>
      <c r="DW911" s="29" t="s">
        <v>166</v>
      </c>
      <c r="DX911" s="27" t="s">
        <v>166</v>
      </c>
      <c r="DY911" s="27" t="s">
        <v>166</v>
      </c>
      <c r="DZ911" s="28" t="s">
        <v>166</v>
      </c>
      <c r="EA911" s="27" t="s">
        <v>166</v>
      </c>
      <c r="EB911" s="27" t="s">
        <v>166</v>
      </c>
      <c r="EC911" s="27" t="s">
        <v>166</v>
      </c>
      <c r="ED911" s="28" t="s">
        <v>166</v>
      </c>
      <c r="EE911" s="28" t="s">
        <v>166</v>
      </c>
      <c r="EF911" s="28" t="s">
        <v>166</v>
      </c>
      <c r="EG911" s="28" t="s">
        <v>166</v>
      </c>
      <c r="EH911" s="27" t="s">
        <v>166</v>
      </c>
      <c r="EI911" s="27" t="s">
        <v>166</v>
      </c>
      <c r="EJ911" s="27" t="s">
        <v>166</v>
      </c>
      <c r="EK911" s="27" t="s">
        <v>166</v>
      </c>
      <c r="EL911" s="27" t="s">
        <v>166</v>
      </c>
      <c r="EM911" s="27" t="s">
        <v>166</v>
      </c>
      <c r="EN911" s="27" t="s">
        <v>166</v>
      </c>
      <c r="EO911" s="27" t="s">
        <v>166</v>
      </c>
      <c r="EP911" s="27" t="s">
        <v>166</v>
      </c>
      <c r="EQ911" s="27" t="s">
        <v>166</v>
      </c>
      <c r="ER911" s="27" t="s">
        <v>166</v>
      </c>
      <c r="ES911" s="27" t="s">
        <v>166</v>
      </c>
      <c r="ET911" s="25" t="s">
        <v>166</v>
      </c>
      <c r="EU911" s="27" t="s">
        <v>166</v>
      </c>
      <c r="EV911" s="27" t="s">
        <v>166</v>
      </c>
      <c r="EW911" s="27" t="s">
        <v>166</v>
      </c>
      <c r="EX911" s="25" t="s">
        <v>190</v>
      </c>
      <c r="EY911" s="25" t="s">
        <v>166</v>
      </c>
      <c r="EZ911" s="27" t="s">
        <v>166</v>
      </c>
      <c r="FA911" s="26" t="s">
        <v>166</v>
      </c>
      <c r="FB911" s="26" t="s">
        <v>166</v>
      </c>
      <c r="FC911" s="26" t="s">
        <v>166</v>
      </c>
      <c r="FD911" s="26" t="s">
        <v>166</v>
      </c>
      <c r="FE911" s="26" t="s">
        <v>166</v>
      </c>
      <c r="FF911" s="26" t="s">
        <v>166</v>
      </c>
      <c r="FG911" s="25" t="s">
        <v>166</v>
      </c>
      <c r="FH911" s="4">
        <f>HYPERLINK("https://my.pitchbook.com?c=134732-71T","View Company Online")</f>
      </c>
    </row>
    <row r="912">
      <c r="A912" s="14" t="s">
        <v>17282</v>
      </c>
      <c r="B912" s="14" t="s">
        <v>17283</v>
      </c>
      <c r="C912" s="14" t="s">
        <v>17284</v>
      </c>
      <c r="D912" s="14" t="s">
        <v>166</v>
      </c>
      <c r="E912" s="23" t="s">
        <v>17285</v>
      </c>
      <c r="F912" s="21">
        <v>6</v>
      </c>
      <c r="G912" s="14" t="s">
        <v>17286</v>
      </c>
      <c r="H912" s="14" t="s">
        <v>166</v>
      </c>
      <c r="I912" s="14" t="s">
        <v>17287</v>
      </c>
      <c r="J912" s="14" t="s">
        <v>17288</v>
      </c>
      <c r="K912" s="14" t="s">
        <v>207</v>
      </c>
      <c r="L912" s="14" t="s">
        <v>208</v>
      </c>
      <c r="M912" s="14" t="s">
        <v>209</v>
      </c>
      <c r="N912" s="14" t="s">
        <v>1627</v>
      </c>
      <c r="O912" s="14" t="s">
        <v>17289</v>
      </c>
      <c r="P912" s="14" t="s">
        <v>17290</v>
      </c>
      <c r="Q912" s="14" t="s">
        <v>166</v>
      </c>
      <c r="R912" s="14" t="s">
        <v>177</v>
      </c>
      <c r="S912" s="14" t="s">
        <v>178</v>
      </c>
      <c r="T912" s="14" t="s">
        <v>179</v>
      </c>
      <c r="U912" s="14" t="s">
        <v>17291</v>
      </c>
      <c r="V912" s="14" t="s">
        <v>17292</v>
      </c>
      <c r="W912" s="21" t="s">
        <v>17293</v>
      </c>
      <c r="X912" s="14" t="s">
        <v>17294</v>
      </c>
      <c r="Y912" s="14" t="s">
        <v>17295</v>
      </c>
      <c r="Z912" s="14" t="s">
        <v>17296</v>
      </c>
      <c r="AA912" s="14" t="s">
        <v>242</v>
      </c>
      <c r="AB912" s="14" t="s">
        <v>243</v>
      </c>
      <c r="AC912" s="14" t="s">
        <v>244</v>
      </c>
      <c r="AD912" s="14" t="s">
        <v>243</v>
      </c>
      <c r="AE912" s="14" t="s">
        <v>243</v>
      </c>
      <c r="AF912" s="14" t="s">
        <v>166</v>
      </c>
      <c r="AG912" s="14" t="s">
        <v>246</v>
      </c>
      <c r="AH912" s="21">
        <v>1</v>
      </c>
      <c r="AI912" s="3">
        <f>HYPERLINK("https://my.pitchbook.com/?d=228258-19T","228258-19T")</f>
      </c>
      <c r="AJ912" s="19" t="s">
        <v>166</v>
      </c>
      <c r="AK912" s="19">
        <v>45120</v>
      </c>
      <c r="AL912" s="18">
        <v>9.9</v>
      </c>
      <c r="AM912" s="14" t="s">
        <v>185</v>
      </c>
      <c r="AN912" s="18">
        <v>15</v>
      </c>
      <c r="AO912" s="18">
        <v>23.92</v>
      </c>
      <c r="AP912" s="14" t="s">
        <v>185</v>
      </c>
      <c r="AQ912" s="21" t="s">
        <v>166</v>
      </c>
      <c r="AR912" s="21" t="s">
        <v>166</v>
      </c>
      <c r="AS912" s="17">
        <v>40.31</v>
      </c>
      <c r="AT912" s="18">
        <v>9.9</v>
      </c>
      <c r="AU912" s="21" t="s">
        <v>186</v>
      </c>
      <c r="AV912" s="21" t="s">
        <v>166</v>
      </c>
      <c r="AW912" s="18">
        <v>3.19</v>
      </c>
      <c r="AX912" s="21" t="s">
        <v>166</v>
      </c>
      <c r="AY912" s="14" t="s">
        <v>217</v>
      </c>
      <c r="AZ912" s="14" t="s">
        <v>217</v>
      </c>
      <c r="BA912" s="14" t="s">
        <v>166</v>
      </c>
      <c r="BB912" s="21" t="s">
        <v>166</v>
      </c>
      <c r="BC912" s="14" t="s">
        <v>179</v>
      </c>
      <c r="BD912" s="14" t="s">
        <v>17297</v>
      </c>
      <c r="BE912" s="14" t="s">
        <v>189</v>
      </c>
      <c r="BF912" s="18">
        <v>8.92</v>
      </c>
      <c r="BG912" s="14" t="s">
        <v>190</v>
      </c>
      <c r="BH912" s="14" t="s">
        <v>166</v>
      </c>
      <c r="BI912" s="14" t="s">
        <v>166</v>
      </c>
      <c r="BJ912" s="18">
        <v>0.98</v>
      </c>
      <c r="BK912" s="18" t="s">
        <v>166</v>
      </c>
      <c r="BL912" s="14" t="s">
        <v>191</v>
      </c>
      <c r="BM912" s="14" t="s">
        <v>178</v>
      </c>
      <c r="BN912" s="14" t="s">
        <v>177</v>
      </c>
      <c r="BO912" s="22" t="s">
        <v>166</v>
      </c>
      <c r="BP912" s="14" t="s">
        <v>17298</v>
      </c>
      <c r="BQ912" s="21">
        <v>6</v>
      </c>
      <c r="BR912" s="14" t="s">
        <v>166</v>
      </c>
      <c r="BS912" s="21" t="s">
        <v>166</v>
      </c>
      <c r="BT912" s="14" t="s">
        <v>17299</v>
      </c>
      <c r="BU912" s="14" t="s">
        <v>166</v>
      </c>
      <c r="BV912" s="14" t="s">
        <v>17300</v>
      </c>
      <c r="BW912" s="14" t="s">
        <v>166</v>
      </c>
      <c r="BX912" s="14" t="s">
        <v>166</v>
      </c>
      <c r="BY912" s="14" t="s">
        <v>166</v>
      </c>
      <c r="BZ912" s="14" t="s">
        <v>770</v>
      </c>
      <c r="CA912" s="14" t="s">
        <v>770</v>
      </c>
      <c r="CB912" s="14" t="s">
        <v>166</v>
      </c>
      <c r="CC912" s="14" t="s">
        <v>166</v>
      </c>
      <c r="CD912" s="14" t="s">
        <v>166</v>
      </c>
      <c r="CE912" s="18" t="s">
        <v>166</v>
      </c>
      <c r="CF912" s="16" t="s">
        <v>166</v>
      </c>
      <c r="CG912" s="17" t="s">
        <v>166</v>
      </c>
      <c r="CH912" s="16" t="s">
        <v>166</v>
      </c>
      <c r="CI912" s="16" t="s">
        <v>166</v>
      </c>
      <c r="CJ912" s="16" t="s">
        <v>166</v>
      </c>
      <c r="CK912" s="16" t="s">
        <v>166</v>
      </c>
      <c r="CL912" s="16" t="s">
        <v>166</v>
      </c>
      <c r="CM912" s="20" t="s">
        <v>166</v>
      </c>
      <c r="CN912" s="16" t="s">
        <v>166</v>
      </c>
      <c r="CO912" s="16" t="s">
        <v>166</v>
      </c>
      <c r="CP912" s="16" t="s">
        <v>166</v>
      </c>
      <c r="CQ912" s="16" t="s">
        <v>166</v>
      </c>
      <c r="CR912" s="16" t="s">
        <v>166</v>
      </c>
      <c r="CS912" s="16" t="s">
        <v>166</v>
      </c>
      <c r="CT912" s="16" t="s">
        <v>166</v>
      </c>
      <c r="CU912" s="16" t="s">
        <v>166</v>
      </c>
      <c r="CV912" s="16" t="s">
        <v>166</v>
      </c>
      <c r="CW912" s="16" t="s">
        <v>166</v>
      </c>
      <c r="CX912" s="16" t="s">
        <v>166</v>
      </c>
      <c r="CY912" s="16">
        <v>0.11</v>
      </c>
      <c r="CZ912" s="16" t="s">
        <v>166</v>
      </c>
      <c r="DA912" s="16" t="s">
        <v>166</v>
      </c>
      <c r="DB912" s="16" t="s">
        <v>166</v>
      </c>
      <c r="DC912" s="16" t="s">
        <v>166</v>
      </c>
      <c r="DD912" s="16" t="s">
        <v>166</v>
      </c>
      <c r="DE912" s="17" t="s">
        <v>166</v>
      </c>
      <c r="DF912" s="22">
        <v>33</v>
      </c>
      <c r="DG912" s="14" t="s">
        <v>309</v>
      </c>
      <c r="DH912" s="14" t="s">
        <v>193</v>
      </c>
      <c r="DI912" s="14" t="s">
        <v>194</v>
      </c>
      <c r="DJ912" s="14" t="s">
        <v>310</v>
      </c>
      <c r="DK912" s="14" t="s">
        <v>310</v>
      </c>
      <c r="DL912" s="21" t="s">
        <v>2881</v>
      </c>
      <c r="DM912" s="14" t="s">
        <v>198</v>
      </c>
      <c r="DN912" s="13" t="s">
        <v>17301</v>
      </c>
      <c r="DO912" s="20">
        <v>2021</v>
      </c>
      <c r="DP912" s="14" t="s">
        <v>166</v>
      </c>
      <c r="DQ912" s="14" t="s">
        <v>17302</v>
      </c>
      <c r="DR912" s="18">
        <v>0.98</v>
      </c>
      <c r="DS912" s="16" t="s">
        <v>166</v>
      </c>
      <c r="DT912" s="19" t="s">
        <v>166</v>
      </c>
      <c r="DU912" s="14" t="s">
        <v>166</v>
      </c>
      <c r="DV912" s="18" t="s">
        <v>166</v>
      </c>
      <c r="DW912" s="18" t="s">
        <v>166</v>
      </c>
      <c r="DX912" s="16" t="s">
        <v>166</v>
      </c>
      <c r="DY912" s="16" t="s">
        <v>166</v>
      </c>
      <c r="DZ912" s="17" t="s">
        <v>166</v>
      </c>
      <c r="EA912" s="16" t="s">
        <v>166</v>
      </c>
      <c r="EB912" s="16" t="s">
        <v>166</v>
      </c>
      <c r="EC912" s="16" t="s">
        <v>166</v>
      </c>
      <c r="ED912" s="17" t="s">
        <v>166</v>
      </c>
      <c r="EE912" s="17" t="s">
        <v>166</v>
      </c>
      <c r="EF912" s="17" t="s">
        <v>166</v>
      </c>
      <c r="EG912" s="17" t="s">
        <v>166</v>
      </c>
      <c r="EH912" s="16" t="s">
        <v>166</v>
      </c>
      <c r="EI912" s="16" t="s">
        <v>166</v>
      </c>
      <c r="EJ912" s="16" t="s">
        <v>166</v>
      </c>
      <c r="EK912" s="16" t="s">
        <v>166</v>
      </c>
      <c r="EL912" s="16" t="s">
        <v>166</v>
      </c>
      <c r="EM912" s="16" t="s">
        <v>166</v>
      </c>
      <c r="EN912" s="16" t="s">
        <v>166</v>
      </c>
      <c r="EO912" s="16" t="s">
        <v>166</v>
      </c>
      <c r="EP912" s="16" t="s">
        <v>166</v>
      </c>
      <c r="EQ912" s="16" t="s">
        <v>166</v>
      </c>
      <c r="ER912" s="16" t="s">
        <v>166</v>
      </c>
      <c r="ES912" s="16" t="s">
        <v>166</v>
      </c>
      <c r="ET912" s="14" t="s">
        <v>166</v>
      </c>
      <c r="EU912" s="16" t="s">
        <v>166</v>
      </c>
      <c r="EV912" s="16" t="s">
        <v>166</v>
      </c>
      <c r="EW912" s="16" t="s">
        <v>166</v>
      </c>
      <c r="EX912" s="14" t="s">
        <v>190</v>
      </c>
      <c r="EY912" s="14" t="s">
        <v>190</v>
      </c>
      <c r="EZ912" s="16" t="s">
        <v>166</v>
      </c>
      <c r="FA912" s="15" t="s">
        <v>166</v>
      </c>
      <c r="FB912" s="15" t="s">
        <v>166</v>
      </c>
      <c r="FC912" s="15" t="s">
        <v>166</v>
      </c>
      <c r="FD912" s="15" t="s">
        <v>166</v>
      </c>
      <c r="FE912" s="15" t="s">
        <v>166</v>
      </c>
      <c r="FF912" s="15" t="s">
        <v>166</v>
      </c>
      <c r="FG912" s="14" t="s">
        <v>166</v>
      </c>
      <c r="FH912" s="3">
        <f>HYPERLINK("https://my.pitchbook.com?c=228258-19T","View Company Online")</f>
      </c>
    </row>
    <row r="913">
      <c r="A913" s="25" t="s">
        <v>17303</v>
      </c>
      <c r="B913" s="25" t="s">
        <v>17304</v>
      </c>
      <c r="C913" s="25" t="s">
        <v>17305</v>
      </c>
      <c r="D913" s="25" t="s">
        <v>166</v>
      </c>
      <c r="E913" s="34" t="s">
        <v>17306</v>
      </c>
      <c r="F913" s="32">
        <v>1</v>
      </c>
      <c r="G913" s="25" t="s">
        <v>17307</v>
      </c>
      <c r="H913" s="25" t="s">
        <v>166</v>
      </c>
      <c r="I913" s="25" t="s">
        <v>17308</v>
      </c>
      <c r="J913" s="25" t="s">
        <v>17309</v>
      </c>
      <c r="K913" s="25" t="s">
        <v>207</v>
      </c>
      <c r="L913" s="25" t="s">
        <v>208</v>
      </c>
      <c r="M913" s="25" t="s">
        <v>209</v>
      </c>
      <c r="N913" s="25" t="s">
        <v>17310</v>
      </c>
      <c r="O913" s="25" t="s">
        <v>17311</v>
      </c>
      <c r="P913" s="25" t="s">
        <v>17312</v>
      </c>
      <c r="Q913" s="25" t="s">
        <v>17313</v>
      </c>
      <c r="R913" s="25" t="s">
        <v>177</v>
      </c>
      <c r="S913" s="25" t="s">
        <v>178</v>
      </c>
      <c r="T913" s="25" t="s">
        <v>179</v>
      </c>
      <c r="U913" s="25" t="s">
        <v>17314</v>
      </c>
      <c r="V913" s="25" t="s">
        <v>17315</v>
      </c>
      <c r="W913" s="32" t="s">
        <v>166</v>
      </c>
      <c r="X913" s="25" t="s">
        <v>17316</v>
      </c>
      <c r="Y913" s="25" t="s">
        <v>17317</v>
      </c>
      <c r="Z913" s="25" t="s">
        <v>17318</v>
      </c>
      <c r="AA913" s="25" t="s">
        <v>166</v>
      </c>
      <c r="AB913" s="25" t="s">
        <v>166</v>
      </c>
      <c r="AC913" s="25" t="s">
        <v>166</v>
      </c>
      <c r="AD913" s="25" t="s">
        <v>166</v>
      </c>
      <c r="AE913" s="25" t="s">
        <v>166</v>
      </c>
      <c r="AF913" s="25" t="s">
        <v>166</v>
      </c>
      <c r="AG913" s="25" t="s">
        <v>166</v>
      </c>
      <c r="AH913" s="32">
        <v>2</v>
      </c>
      <c r="AI913" s="4">
        <f>HYPERLINK("https://my.pitchbook.com/?d=251700-58T","251700-58T")</f>
      </c>
      <c r="AJ913" s="30" t="s">
        <v>166</v>
      </c>
      <c r="AK913" s="30">
        <v>44501</v>
      </c>
      <c r="AL913" s="29">
        <v>0.75</v>
      </c>
      <c r="AM913" s="25" t="s">
        <v>185</v>
      </c>
      <c r="AN913" s="29" t="s">
        <v>166</v>
      </c>
      <c r="AO913" s="29" t="s">
        <v>166</v>
      </c>
      <c r="AP913" s="25" t="s">
        <v>166</v>
      </c>
      <c r="AQ913" s="32" t="s">
        <v>166</v>
      </c>
      <c r="AR913" s="32" t="s">
        <v>166</v>
      </c>
      <c r="AS913" s="28" t="s">
        <v>166</v>
      </c>
      <c r="AT913" s="29">
        <v>1.25</v>
      </c>
      <c r="AU913" s="32" t="s">
        <v>186</v>
      </c>
      <c r="AV913" s="32" t="s">
        <v>166</v>
      </c>
      <c r="AW913" s="29" t="s">
        <v>166</v>
      </c>
      <c r="AX913" s="32" t="s">
        <v>166</v>
      </c>
      <c r="AY913" s="25" t="s">
        <v>217</v>
      </c>
      <c r="AZ913" s="25" t="s">
        <v>217</v>
      </c>
      <c r="BA913" s="25" t="s">
        <v>166</v>
      </c>
      <c r="BB913" s="32" t="s">
        <v>166</v>
      </c>
      <c r="BC913" s="25" t="s">
        <v>179</v>
      </c>
      <c r="BD913" s="25" t="s">
        <v>17319</v>
      </c>
      <c r="BE913" s="25" t="s">
        <v>189</v>
      </c>
      <c r="BF913" s="29">
        <v>0.75</v>
      </c>
      <c r="BG913" s="25" t="s">
        <v>190</v>
      </c>
      <c r="BH913" s="25" t="s">
        <v>166</v>
      </c>
      <c r="BI913" s="25" t="s">
        <v>166</v>
      </c>
      <c r="BJ913" s="29" t="s">
        <v>166</v>
      </c>
      <c r="BK913" s="29" t="s">
        <v>166</v>
      </c>
      <c r="BL913" s="25" t="s">
        <v>191</v>
      </c>
      <c r="BM913" s="25" t="s">
        <v>358</v>
      </c>
      <c r="BN913" s="25" t="s">
        <v>177</v>
      </c>
      <c r="BO913" s="33" t="s">
        <v>166</v>
      </c>
      <c r="BP913" s="25" t="s">
        <v>17306</v>
      </c>
      <c r="BQ913" s="32">
        <v>1</v>
      </c>
      <c r="BR913" s="25" t="s">
        <v>166</v>
      </c>
      <c r="BS913" s="32" t="s">
        <v>166</v>
      </c>
      <c r="BT913" s="25" t="s">
        <v>166</v>
      </c>
      <c r="BU913" s="25" t="s">
        <v>166</v>
      </c>
      <c r="BV913" s="25" t="s">
        <v>166</v>
      </c>
      <c r="BW913" s="25" t="s">
        <v>166</v>
      </c>
      <c r="BX913" s="25" t="s">
        <v>166</v>
      </c>
      <c r="BY913" s="25" t="s">
        <v>166</v>
      </c>
      <c r="BZ913" s="25" t="s">
        <v>166</v>
      </c>
      <c r="CA913" s="25" t="s">
        <v>166</v>
      </c>
      <c r="CB913" s="25" t="s">
        <v>166</v>
      </c>
      <c r="CC913" s="25" t="s">
        <v>166</v>
      </c>
      <c r="CD913" s="25" t="s">
        <v>166</v>
      </c>
      <c r="CE913" s="29" t="s">
        <v>166</v>
      </c>
      <c r="CF913" s="27" t="s">
        <v>166</v>
      </c>
      <c r="CG913" s="28" t="s">
        <v>166</v>
      </c>
      <c r="CH913" s="27" t="s">
        <v>166</v>
      </c>
      <c r="CI913" s="27" t="s">
        <v>166</v>
      </c>
      <c r="CJ913" s="27" t="s">
        <v>166</v>
      </c>
      <c r="CK913" s="27" t="s">
        <v>166</v>
      </c>
      <c r="CL913" s="27" t="s">
        <v>166</v>
      </c>
      <c r="CM913" s="31" t="s">
        <v>166</v>
      </c>
      <c r="CN913" s="27" t="s">
        <v>166</v>
      </c>
      <c r="CO913" s="27" t="s">
        <v>166</v>
      </c>
      <c r="CP913" s="27" t="s">
        <v>166</v>
      </c>
      <c r="CQ913" s="27" t="s">
        <v>166</v>
      </c>
      <c r="CR913" s="27" t="s">
        <v>166</v>
      </c>
      <c r="CS913" s="27" t="s">
        <v>166</v>
      </c>
      <c r="CT913" s="27" t="s">
        <v>166</v>
      </c>
      <c r="CU913" s="27" t="s">
        <v>166</v>
      </c>
      <c r="CV913" s="27" t="s">
        <v>166</v>
      </c>
      <c r="CW913" s="27" t="s">
        <v>166</v>
      </c>
      <c r="CX913" s="27" t="s">
        <v>166</v>
      </c>
      <c r="CY913" s="27" t="s">
        <v>166</v>
      </c>
      <c r="CZ913" s="27" t="s">
        <v>166</v>
      </c>
      <c r="DA913" s="27" t="s">
        <v>166</v>
      </c>
      <c r="DB913" s="27" t="s">
        <v>166</v>
      </c>
      <c r="DC913" s="27" t="s">
        <v>166</v>
      </c>
      <c r="DD913" s="27" t="s">
        <v>166</v>
      </c>
      <c r="DE913" s="28" t="s">
        <v>166</v>
      </c>
      <c r="DF913" s="33">
        <v>12</v>
      </c>
      <c r="DG913" s="25" t="s">
        <v>4053</v>
      </c>
      <c r="DH913" s="25" t="s">
        <v>193</v>
      </c>
      <c r="DI913" s="25" t="s">
        <v>194</v>
      </c>
      <c r="DJ913" s="25" t="s">
        <v>4054</v>
      </c>
      <c r="DK913" s="25" t="s">
        <v>1063</v>
      </c>
      <c r="DL913" s="32" t="s">
        <v>1233</v>
      </c>
      <c r="DM913" s="25" t="s">
        <v>198</v>
      </c>
      <c r="DN913" s="24" t="s">
        <v>17320</v>
      </c>
      <c r="DO913" s="31">
        <v>2020</v>
      </c>
      <c r="DP913" s="25" t="s">
        <v>166</v>
      </c>
      <c r="DQ913" s="25" t="s">
        <v>166</v>
      </c>
      <c r="DR913" s="29" t="s">
        <v>166</v>
      </c>
      <c r="DS913" s="27" t="s">
        <v>166</v>
      </c>
      <c r="DT913" s="30" t="s">
        <v>166</v>
      </c>
      <c r="DU913" s="25" t="s">
        <v>166</v>
      </c>
      <c r="DV913" s="29" t="s">
        <v>166</v>
      </c>
      <c r="DW913" s="29" t="s">
        <v>166</v>
      </c>
      <c r="DX913" s="27" t="s">
        <v>166</v>
      </c>
      <c r="DY913" s="27" t="s">
        <v>166</v>
      </c>
      <c r="DZ913" s="28" t="s">
        <v>166</v>
      </c>
      <c r="EA913" s="27" t="s">
        <v>166</v>
      </c>
      <c r="EB913" s="27" t="s">
        <v>166</v>
      </c>
      <c r="EC913" s="27" t="s">
        <v>166</v>
      </c>
      <c r="ED913" s="28" t="s">
        <v>166</v>
      </c>
      <c r="EE913" s="28" t="s">
        <v>166</v>
      </c>
      <c r="EF913" s="28" t="s">
        <v>166</v>
      </c>
      <c r="EG913" s="28" t="s">
        <v>166</v>
      </c>
      <c r="EH913" s="27" t="s">
        <v>166</v>
      </c>
      <c r="EI913" s="27" t="s">
        <v>166</v>
      </c>
      <c r="EJ913" s="27" t="s">
        <v>166</v>
      </c>
      <c r="EK913" s="27" t="s">
        <v>166</v>
      </c>
      <c r="EL913" s="27" t="s">
        <v>166</v>
      </c>
      <c r="EM913" s="27" t="s">
        <v>166</v>
      </c>
      <c r="EN913" s="27" t="s">
        <v>166</v>
      </c>
      <c r="EO913" s="27" t="s">
        <v>166</v>
      </c>
      <c r="EP913" s="27" t="s">
        <v>166</v>
      </c>
      <c r="EQ913" s="27" t="s">
        <v>166</v>
      </c>
      <c r="ER913" s="27" t="s">
        <v>166</v>
      </c>
      <c r="ES913" s="27" t="s">
        <v>166</v>
      </c>
      <c r="ET913" s="25" t="s">
        <v>166</v>
      </c>
      <c r="EU913" s="27" t="s">
        <v>166</v>
      </c>
      <c r="EV913" s="27" t="s">
        <v>166</v>
      </c>
      <c r="EW913" s="27" t="s">
        <v>166</v>
      </c>
      <c r="EX913" s="25" t="s">
        <v>190</v>
      </c>
      <c r="EY913" s="25" t="s">
        <v>166</v>
      </c>
      <c r="EZ913" s="27" t="s">
        <v>166</v>
      </c>
      <c r="FA913" s="26">
        <v>5</v>
      </c>
      <c r="FB913" s="26">
        <v>4</v>
      </c>
      <c r="FC913" s="26">
        <v>3</v>
      </c>
      <c r="FD913" s="26" t="s">
        <v>166</v>
      </c>
      <c r="FE913" s="26" t="s">
        <v>166</v>
      </c>
      <c r="FF913" s="26">
        <v>2</v>
      </c>
      <c r="FG913" s="25" t="s">
        <v>457</v>
      </c>
      <c r="FH913" s="4">
        <f>HYPERLINK("https://my.pitchbook.com?c=251700-58T","View Company Online")</f>
      </c>
    </row>
    <row r="914">
      <c r="A914" s="14" t="s">
        <v>17321</v>
      </c>
      <c r="B914" s="14" t="s">
        <v>17322</v>
      </c>
      <c r="C914" s="14" t="s">
        <v>17323</v>
      </c>
      <c r="D914" s="14" t="s">
        <v>166</v>
      </c>
      <c r="E914" s="23" t="s">
        <v>17324</v>
      </c>
      <c r="F914" s="21">
        <v>7</v>
      </c>
      <c r="G914" s="14" t="s">
        <v>17325</v>
      </c>
      <c r="H914" s="14" t="s">
        <v>166</v>
      </c>
      <c r="I914" s="14" t="s">
        <v>17326</v>
      </c>
      <c r="J914" s="14" t="s">
        <v>17327</v>
      </c>
      <c r="K914" s="14" t="s">
        <v>171</v>
      </c>
      <c r="L914" s="14" t="s">
        <v>172</v>
      </c>
      <c r="M914" s="14" t="s">
        <v>173</v>
      </c>
      <c r="N914" s="14" t="s">
        <v>2890</v>
      </c>
      <c r="O914" s="14" t="s">
        <v>17328</v>
      </c>
      <c r="P914" s="14" t="s">
        <v>17329</v>
      </c>
      <c r="Q914" s="14" t="s">
        <v>166</v>
      </c>
      <c r="R914" s="14" t="s">
        <v>177</v>
      </c>
      <c r="S914" s="14" t="s">
        <v>178</v>
      </c>
      <c r="T914" s="14" t="s">
        <v>179</v>
      </c>
      <c r="U914" s="14" t="s">
        <v>17330</v>
      </c>
      <c r="V914" s="14" t="s">
        <v>17331</v>
      </c>
      <c r="W914" s="21" t="s">
        <v>17332</v>
      </c>
      <c r="X914" s="14" t="s">
        <v>166</v>
      </c>
      <c r="Y914" s="14" t="s">
        <v>17333</v>
      </c>
      <c r="Z914" s="14" t="s">
        <v>17334</v>
      </c>
      <c r="AA914" s="14" t="s">
        <v>166</v>
      </c>
      <c r="AB914" s="14" t="s">
        <v>166</v>
      </c>
      <c r="AC914" s="14" t="s">
        <v>166</v>
      </c>
      <c r="AD914" s="14" t="s">
        <v>166</v>
      </c>
      <c r="AE914" s="14" t="s">
        <v>166</v>
      </c>
      <c r="AF914" s="14" t="s">
        <v>166</v>
      </c>
      <c r="AG914" s="14" t="s">
        <v>166</v>
      </c>
      <c r="AH914" s="21">
        <v>1</v>
      </c>
      <c r="AI914" s="3">
        <f>HYPERLINK("https://my.pitchbook.com/?d=190761-67T","190761-67T")</f>
      </c>
      <c r="AJ914" s="19">
        <v>44495</v>
      </c>
      <c r="AK914" s="19">
        <v>44715</v>
      </c>
      <c r="AL914" s="18">
        <v>9.8</v>
      </c>
      <c r="AM914" s="14" t="s">
        <v>185</v>
      </c>
      <c r="AN914" s="18" t="s">
        <v>166</v>
      </c>
      <c r="AO914" s="18" t="s">
        <v>166</v>
      </c>
      <c r="AP914" s="14" t="s">
        <v>166</v>
      </c>
      <c r="AQ914" s="21" t="s">
        <v>166</v>
      </c>
      <c r="AR914" s="21" t="s">
        <v>166</v>
      </c>
      <c r="AS914" s="17" t="s">
        <v>166</v>
      </c>
      <c r="AT914" s="18">
        <v>9.8</v>
      </c>
      <c r="AU914" s="21" t="s">
        <v>186</v>
      </c>
      <c r="AV914" s="21" t="s">
        <v>166</v>
      </c>
      <c r="AW914" s="18" t="s">
        <v>166</v>
      </c>
      <c r="AX914" s="21" t="s">
        <v>248</v>
      </c>
      <c r="AY914" s="14" t="s">
        <v>187</v>
      </c>
      <c r="AZ914" s="14" t="s">
        <v>248</v>
      </c>
      <c r="BA914" s="14" t="s">
        <v>166</v>
      </c>
      <c r="BB914" s="21" t="s">
        <v>166</v>
      </c>
      <c r="BC914" s="14" t="s">
        <v>179</v>
      </c>
      <c r="BD914" s="14" t="s">
        <v>17335</v>
      </c>
      <c r="BE914" s="14" t="s">
        <v>189</v>
      </c>
      <c r="BF914" s="18">
        <v>9.8</v>
      </c>
      <c r="BG914" s="14" t="s">
        <v>190</v>
      </c>
      <c r="BH914" s="14" t="s">
        <v>166</v>
      </c>
      <c r="BI914" s="14" t="s">
        <v>166</v>
      </c>
      <c r="BJ914" s="18" t="s">
        <v>166</v>
      </c>
      <c r="BK914" s="18" t="s">
        <v>166</v>
      </c>
      <c r="BL914" s="14" t="s">
        <v>191</v>
      </c>
      <c r="BM914" s="14" t="s">
        <v>178</v>
      </c>
      <c r="BN914" s="14" t="s">
        <v>177</v>
      </c>
      <c r="BO914" s="22" t="s">
        <v>166</v>
      </c>
      <c r="BP914" s="14" t="s">
        <v>17336</v>
      </c>
      <c r="BQ914" s="21">
        <v>7</v>
      </c>
      <c r="BR914" s="14" t="s">
        <v>166</v>
      </c>
      <c r="BS914" s="21" t="s">
        <v>166</v>
      </c>
      <c r="BT914" s="14" t="s">
        <v>17337</v>
      </c>
      <c r="BU914" s="14" t="s">
        <v>166</v>
      </c>
      <c r="BV914" s="14" t="s">
        <v>17338</v>
      </c>
      <c r="BW914" s="14" t="s">
        <v>166</v>
      </c>
      <c r="BX914" s="14" t="s">
        <v>166</v>
      </c>
      <c r="BY914" s="14" t="s">
        <v>166</v>
      </c>
      <c r="BZ914" s="14" t="s">
        <v>17339</v>
      </c>
      <c r="CA914" s="14" t="s">
        <v>166</v>
      </c>
      <c r="CB914" s="14" t="s">
        <v>166</v>
      </c>
      <c r="CC914" s="14" t="s">
        <v>17339</v>
      </c>
      <c r="CD914" s="14" t="s">
        <v>166</v>
      </c>
      <c r="CE914" s="18" t="s">
        <v>166</v>
      </c>
      <c r="CF914" s="16" t="s">
        <v>166</v>
      </c>
      <c r="CG914" s="17" t="s">
        <v>166</v>
      </c>
      <c r="CH914" s="16" t="s">
        <v>166</v>
      </c>
      <c r="CI914" s="16" t="s">
        <v>166</v>
      </c>
      <c r="CJ914" s="16" t="s">
        <v>166</v>
      </c>
      <c r="CK914" s="16" t="s">
        <v>166</v>
      </c>
      <c r="CL914" s="16" t="s">
        <v>166</v>
      </c>
      <c r="CM914" s="20" t="s">
        <v>166</v>
      </c>
      <c r="CN914" s="16" t="s">
        <v>166</v>
      </c>
      <c r="CO914" s="16" t="s">
        <v>166</v>
      </c>
      <c r="CP914" s="16" t="s">
        <v>166</v>
      </c>
      <c r="CQ914" s="16" t="s">
        <v>166</v>
      </c>
      <c r="CR914" s="16" t="s">
        <v>166</v>
      </c>
      <c r="CS914" s="16" t="s">
        <v>166</v>
      </c>
      <c r="CT914" s="16" t="s">
        <v>166</v>
      </c>
      <c r="CU914" s="16" t="s">
        <v>166</v>
      </c>
      <c r="CV914" s="16" t="s">
        <v>166</v>
      </c>
      <c r="CW914" s="16" t="s">
        <v>166</v>
      </c>
      <c r="CX914" s="16" t="s">
        <v>166</v>
      </c>
      <c r="CY914" s="16" t="s">
        <v>166</v>
      </c>
      <c r="CZ914" s="16" t="s">
        <v>166</v>
      </c>
      <c r="DA914" s="16" t="s">
        <v>166</v>
      </c>
      <c r="DB914" s="16" t="s">
        <v>166</v>
      </c>
      <c r="DC914" s="16" t="s">
        <v>166</v>
      </c>
      <c r="DD914" s="16" t="s">
        <v>166</v>
      </c>
      <c r="DE914" s="17" t="s">
        <v>166</v>
      </c>
      <c r="DF914" s="22">
        <v>27</v>
      </c>
      <c r="DG914" s="14" t="s">
        <v>4009</v>
      </c>
      <c r="DH914" s="14" t="s">
        <v>193</v>
      </c>
      <c r="DI914" s="14" t="s">
        <v>194</v>
      </c>
      <c r="DJ914" s="14" t="s">
        <v>4010</v>
      </c>
      <c r="DK914" s="14" t="s">
        <v>2102</v>
      </c>
      <c r="DL914" s="21" t="s">
        <v>4011</v>
      </c>
      <c r="DM914" s="14" t="s">
        <v>198</v>
      </c>
      <c r="DN914" s="13" t="s">
        <v>17340</v>
      </c>
      <c r="DO914" s="20">
        <v>2021</v>
      </c>
      <c r="DP914" s="14" t="s">
        <v>166</v>
      </c>
      <c r="DQ914" s="14" t="s">
        <v>166</v>
      </c>
      <c r="DR914" s="18" t="s">
        <v>166</v>
      </c>
      <c r="DS914" s="16" t="s">
        <v>166</v>
      </c>
      <c r="DT914" s="19" t="s">
        <v>166</v>
      </c>
      <c r="DU914" s="14" t="s">
        <v>166</v>
      </c>
      <c r="DV914" s="18" t="s">
        <v>166</v>
      </c>
      <c r="DW914" s="18" t="s">
        <v>166</v>
      </c>
      <c r="DX914" s="16" t="s">
        <v>166</v>
      </c>
      <c r="DY914" s="16" t="s">
        <v>166</v>
      </c>
      <c r="DZ914" s="17" t="s">
        <v>166</v>
      </c>
      <c r="EA914" s="16" t="s">
        <v>166</v>
      </c>
      <c r="EB914" s="16" t="s">
        <v>166</v>
      </c>
      <c r="EC914" s="16" t="s">
        <v>166</v>
      </c>
      <c r="ED914" s="17" t="s">
        <v>166</v>
      </c>
      <c r="EE914" s="17" t="s">
        <v>166</v>
      </c>
      <c r="EF914" s="17" t="s">
        <v>166</v>
      </c>
      <c r="EG914" s="17" t="s">
        <v>166</v>
      </c>
      <c r="EH914" s="16" t="s">
        <v>166</v>
      </c>
      <c r="EI914" s="16" t="s">
        <v>166</v>
      </c>
      <c r="EJ914" s="16" t="s">
        <v>166</v>
      </c>
      <c r="EK914" s="16" t="s">
        <v>166</v>
      </c>
      <c r="EL914" s="16" t="s">
        <v>166</v>
      </c>
      <c r="EM914" s="16" t="s">
        <v>166</v>
      </c>
      <c r="EN914" s="16" t="s">
        <v>166</v>
      </c>
      <c r="EO914" s="16" t="s">
        <v>166</v>
      </c>
      <c r="EP914" s="16" t="s">
        <v>166</v>
      </c>
      <c r="EQ914" s="16" t="s">
        <v>166</v>
      </c>
      <c r="ER914" s="16" t="s">
        <v>166</v>
      </c>
      <c r="ES914" s="16" t="s">
        <v>166</v>
      </c>
      <c r="ET914" s="14" t="s">
        <v>166</v>
      </c>
      <c r="EU914" s="16" t="s">
        <v>166</v>
      </c>
      <c r="EV914" s="16" t="s">
        <v>166</v>
      </c>
      <c r="EW914" s="16" t="s">
        <v>166</v>
      </c>
      <c r="EX914" s="14" t="s">
        <v>190</v>
      </c>
      <c r="EY914" s="14" t="s">
        <v>166</v>
      </c>
      <c r="EZ914" s="16" t="s">
        <v>166</v>
      </c>
      <c r="FA914" s="15" t="s">
        <v>166</v>
      </c>
      <c r="FB914" s="15" t="s">
        <v>166</v>
      </c>
      <c r="FC914" s="15" t="s">
        <v>166</v>
      </c>
      <c r="FD914" s="15" t="s">
        <v>166</v>
      </c>
      <c r="FE914" s="15" t="s">
        <v>166</v>
      </c>
      <c r="FF914" s="15" t="s">
        <v>166</v>
      </c>
      <c r="FG914" s="14" t="s">
        <v>166</v>
      </c>
      <c r="FH914" s="3">
        <f>HYPERLINK("https://my.pitchbook.com?c=190761-67T","View Company Online")</f>
      </c>
    </row>
    <row r="915">
      <c r="A915" s="25" t="s">
        <v>17341</v>
      </c>
      <c r="B915" s="25" t="s">
        <v>17342</v>
      </c>
      <c r="C915" s="25" t="s">
        <v>17343</v>
      </c>
      <c r="D915" s="25" t="s">
        <v>166</v>
      </c>
      <c r="E915" s="34" t="s">
        <v>17344</v>
      </c>
      <c r="F915" s="32">
        <v>6</v>
      </c>
      <c r="G915" s="25" t="s">
        <v>17345</v>
      </c>
      <c r="H915" s="25" t="s">
        <v>166</v>
      </c>
      <c r="I915" s="25" t="s">
        <v>17346</v>
      </c>
      <c r="J915" s="25" t="s">
        <v>17347</v>
      </c>
      <c r="K915" s="25" t="s">
        <v>207</v>
      </c>
      <c r="L915" s="25" t="s">
        <v>208</v>
      </c>
      <c r="M915" s="25" t="s">
        <v>296</v>
      </c>
      <c r="N915" s="25" t="s">
        <v>1052</v>
      </c>
      <c r="O915" s="25" t="s">
        <v>2931</v>
      </c>
      <c r="P915" s="25" t="s">
        <v>17348</v>
      </c>
      <c r="Q915" s="25" t="s">
        <v>9539</v>
      </c>
      <c r="R915" s="25" t="s">
        <v>177</v>
      </c>
      <c r="S915" s="25" t="s">
        <v>178</v>
      </c>
      <c r="T915" s="25" t="s">
        <v>179</v>
      </c>
      <c r="U915" s="25" t="s">
        <v>17349</v>
      </c>
      <c r="V915" s="25" t="s">
        <v>17350</v>
      </c>
      <c r="W915" s="32" t="s">
        <v>166</v>
      </c>
      <c r="X915" s="25" t="s">
        <v>166</v>
      </c>
      <c r="Y915" s="25" t="s">
        <v>17351</v>
      </c>
      <c r="Z915" s="25" t="s">
        <v>166</v>
      </c>
      <c r="AA915" s="25" t="s">
        <v>242</v>
      </c>
      <c r="AB915" s="25" t="s">
        <v>243</v>
      </c>
      <c r="AC915" s="25" t="s">
        <v>244</v>
      </c>
      <c r="AD915" s="25" t="s">
        <v>243</v>
      </c>
      <c r="AE915" s="25" t="s">
        <v>243</v>
      </c>
      <c r="AF915" s="25" t="s">
        <v>245</v>
      </c>
      <c r="AG915" s="25" t="s">
        <v>246</v>
      </c>
      <c r="AH915" s="32">
        <v>1</v>
      </c>
      <c r="AI915" s="4">
        <f>HYPERLINK("https://my.pitchbook.com/?d=203431-78T","203431-78T")</f>
      </c>
      <c r="AJ915" s="30" t="s">
        <v>166</v>
      </c>
      <c r="AK915" s="30">
        <v>44735</v>
      </c>
      <c r="AL915" s="29">
        <v>6.5</v>
      </c>
      <c r="AM915" s="25" t="s">
        <v>247</v>
      </c>
      <c r="AN915" s="29">
        <v>20</v>
      </c>
      <c r="AO915" s="29">
        <v>26.5</v>
      </c>
      <c r="AP915" s="25" t="s">
        <v>185</v>
      </c>
      <c r="AQ915" s="32" t="s">
        <v>166</v>
      </c>
      <c r="AR915" s="32" t="s">
        <v>166</v>
      </c>
      <c r="AS915" s="28">
        <v>29.9</v>
      </c>
      <c r="AT915" s="29">
        <v>6.5</v>
      </c>
      <c r="AU915" s="32" t="s">
        <v>186</v>
      </c>
      <c r="AV915" s="32" t="s">
        <v>166</v>
      </c>
      <c r="AW915" s="29">
        <v>2.99</v>
      </c>
      <c r="AX915" s="32" t="s">
        <v>166</v>
      </c>
      <c r="AY915" s="25" t="s">
        <v>217</v>
      </c>
      <c r="AZ915" s="25" t="s">
        <v>217</v>
      </c>
      <c r="BA915" s="25" t="s">
        <v>166</v>
      </c>
      <c r="BB915" s="32" t="s">
        <v>166</v>
      </c>
      <c r="BC915" s="25" t="s">
        <v>179</v>
      </c>
      <c r="BD915" s="25" t="s">
        <v>17347</v>
      </c>
      <c r="BE915" s="25" t="s">
        <v>189</v>
      </c>
      <c r="BF915" s="29">
        <v>6.5</v>
      </c>
      <c r="BG915" s="25" t="s">
        <v>190</v>
      </c>
      <c r="BH915" s="25" t="s">
        <v>166</v>
      </c>
      <c r="BI915" s="25" t="s">
        <v>166</v>
      </c>
      <c r="BJ915" s="29" t="s">
        <v>166</v>
      </c>
      <c r="BK915" s="29" t="s">
        <v>166</v>
      </c>
      <c r="BL915" s="25" t="s">
        <v>191</v>
      </c>
      <c r="BM915" s="25" t="s">
        <v>178</v>
      </c>
      <c r="BN915" s="25" t="s">
        <v>177</v>
      </c>
      <c r="BO915" s="33" t="s">
        <v>166</v>
      </c>
      <c r="BP915" s="25" t="s">
        <v>17344</v>
      </c>
      <c r="BQ915" s="32">
        <v>6</v>
      </c>
      <c r="BR915" s="25" t="s">
        <v>166</v>
      </c>
      <c r="BS915" s="32" t="s">
        <v>166</v>
      </c>
      <c r="BT915" s="25" t="s">
        <v>166</v>
      </c>
      <c r="BU915" s="25" t="s">
        <v>166</v>
      </c>
      <c r="BV915" s="25" t="s">
        <v>17352</v>
      </c>
      <c r="BW915" s="25" t="s">
        <v>166</v>
      </c>
      <c r="BX915" s="25" t="s">
        <v>166</v>
      </c>
      <c r="BY915" s="25" t="s">
        <v>166</v>
      </c>
      <c r="BZ915" s="25" t="s">
        <v>166</v>
      </c>
      <c r="CA915" s="25" t="s">
        <v>166</v>
      </c>
      <c r="CB915" s="25" t="s">
        <v>166</v>
      </c>
      <c r="CC915" s="25" t="s">
        <v>166</v>
      </c>
      <c r="CD915" s="25" t="s">
        <v>166</v>
      </c>
      <c r="CE915" s="29" t="s">
        <v>166</v>
      </c>
      <c r="CF915" s="27" t="s">
        <v>166</v>
      </c>
      <c r="CG915" s="28" t="s">
        <v>166</v>
      </c>
      <c r="CH915" s="27" t="s">
        <v>166</v>
      </c>
      <c r="CI915" s="27" t="s">
        <v>166</v>
      </c>
      <c r="CJ915" s="27" t="s">
        <v>166</v>
      </c>
      <c r="CK915" s="27" t="s">
        <v>166</v>
      </c>
      <c r="CL915" s="27" t="s">
        <v>166</v>
      </c>
      <c r="CM915" s="31" t="s">
        <v>166</v>
      </c>
      <c r="CN915" s="27" t="s">
        <v>166</v>
      </c>
      <c r="CO915" s="27" t="s">
        <v>166</v>
      </c>
      <c r="CP915" s="27" t="s">
        <v>166</v>
      </c>
      <c r="CQ915" s="27" t="s">
        <v>166</v>
      </c>
      <c r="CR915" s="27" t="s">
        <v>166</v>
      </c>
      <c r="CS915" s="27" t="s">
        <v>166</v>
      </c>
      <c r="CT915" s="27" t="s">
        <v>166</v>
      </c>
      <c r="CU915" s="27" t="s">
        <v>166</v>
      </c>
      <c r="CV915" s="27" t="s">
        <v>166</v>
      </c>
      <c r="CW915" s="27" t="s">
        <v>166</v>
      </c>
      <c r="CX915" s="27" t="s">
        <v>166</v>
      </c>
      <c r="CY915" s="27" t="s">
        <v>166</v>
      </c>
      <c r="CZ915" s="27" t="s">
        <v>166</v>
      </c>
      <c r="DA915" s="27" t="s">
        <v>166</v>
      </c>
      <c r="DB915" s="27" t="s">
        <v>166</v>
      </c>
      <c r="DC915" s="27" t="s">
        <v>166</v>
      </c>
      <c r="DD915" s="27" t="s">
        <v>166</v>
      </c>
      <c r="DE915" s="28" t="s">
        <v>166</v>
      </c>
      <c r="DF915" s="33">
        <v>2</v>
      </c>
      <c r="DG915" s="25" t="s">
        <v>309</v>
      </c>
      <c r="DH915" s="25" t="s">
        <v>193</v>
      </c>
      <c r="DI915" s="25" t="s">
        <v>194</v>
      </c>
      <c r="DJ915" s="25" t="s">
        <v>310</v>
      </c>
      <c r="DK915" s="25" t="s">
        <v>310</v>
      </c>
      <c r="DL915" s="32" t="s">
        <v>16704</v>
      </c>
      <c r="DM915" s="25" t="s">
        <v>198</v>
      </c>
      <c r="DN915" s="24" t="s">
        <v>17353</v>
      </c>
      <c r="DO915" s="31">
        <v>2021</v>
      </c>
      <c r="DP915" s="25" t="s">
        <v>166</v>
      </c>
      <c r="DQ915" s="25" t="s">
        <v>166</v>
      </c>
      <c r="DR915" s="29" t="s">
        <v>166</v>
      </c>
      <c r="DS915" s="27" t="s">
        <v>166</v>
      </c>
      <c r="DT915" s="30" t="s">
        <v>166</v>
      </c>
      <c r="DU915" s="25" t="s">
        <v>166</v>
      </c>
      <c r="DV915" s="29" t="s">
        <v>166</v>
      </c>
      <c r="DW915" s="29" t="s">
        <v>166</v>
      </c>
      <c r="DX915" s="27" t="s">
        <v>166</v>
      </c>
      <c r="DY915" s="27" t="s">
        <v>166</v>
      </c>
      <c r="DZ915" s="28" t="s">
        <v>166</v>
      </c>
      <c r="EA915" s="27" t="s">
        <v>166</v>
      </c>
      <c r="EB915" s="27" t="s">
        <v>166</v>
      </c>
      <c r="EC915" s="27" t="s">
        <v>166</v>
      </c>
      <c r="ED915" s="28" t="s">
        <v>166</v>
      </c>
      <c r="EE915" s="28" t="s">
        <v>166</v>
      </c>
      <c r="EF915" s="28" t="s">
        <v>166</v>
      </c>
      <c r="EG915" s="28" t="s">
        <v>166</v>
      </c>
      <c r="EH915" s="27" t="s">
        <v>166</v>
      </c>
      <c r="EI915" s="27" t="s">
        <v>166</v>
      </c>
      <c r="EJ915" s="27" t="s">
        <v>166</v>
      </c>
      <c r="EK915" s="27" t="s">
        <v>166</v>
      </c>
      <c r="EL915" s="27" t="s">
        <v>166</v>
      </c>
      <c r="EM915" s="27" t="s">
        <v>166</v>
      </c>
      <c r="EN915" s="27" t="s">
        <v>166</v>
      </c>
      <c r="EO915" s="27" t="s">
        <v>166</v>
      </c>
      <c r="EP915" s="27" t="s">
        <v>166</v>
      </c>
      <c r="EQ915" s="27" t="s">
        <v>166</v>
      </c>
      <c r="ER915" s="27" t="s">
        <v>166</v>
      </c>
      <c r="ES915" s="27" t="s">
        <v>166</v>
      </c>
      <c r="ET915" s="25" t="s">
        <v>166</v>
      </c>
      <c r="EU915" s="27" t="s">
        <v>166</v>
      </c>
      <c r="EV915" s="27" t="s">
        <v>166</v>
      </c>
      <c r="EW915" s="27" t="s">
        <v>166</v>
      </c>
      <c r="EX915" s="25" t="s">
        <v>190</v>
      </c>
      <c r="EY915" s="25" t="s">
        <v>166</v>
      </c>
      <c r="EZ915" s="27" t="s">
        <v>166</v>
      </c>
      <c r="FA915" s="26" t="s">
        <v>166</v>
      </c>
      <c r="FB915" s="26" t="s">
        <v>166</v>
      </c>
      <c r="FC915" s="26" t="s">
        <v>166</v>
      </c>
      <c r="FD915" s="26" t="s">
        <v>166</v>
      </c>
      <c r="FE915" s="26" t="s">
        <v>166</v>
      </c>
      <c r="FF915" s="26" t="s">
        <v>166</v>
      </c>
      <c r="FG915" s="25" t="s">
        <v>166</v>
      </c>
      <c r="FH915" s="4">
        <f>HYPERLINK("https://my.pitchbook.com?c=203431-78T","View Company Online")</f>
      </c>
    </row>
    <row r="916">
      <c r="A916" s="14" t="s">
        <v>17354</v>
      </c>
      <c r="B916" s="14" t="s">
        <v>17355</v>
      </c>
      <c r="C916" s="14" t="s">
        <v>17356</v>
      </c>
      <c r="D916" s="14" t="s">
        <v>166</v>
      </c>
      <c r="E916" s="23" t="s">
        <v>17357</v>
      </c>
      <c r="F916" s="21">
        <v>7</v>
      </c>
      <c r="G916" s="14" t="s">
        <v>17358</v>
      </c>
      <c r="H916" s="14" t="s">
        <v>166</v>
      </c>
      <c r="I916" s="14" t="s">
        <v>17359</v>
      </c>
      <c r="J916" s="14" t="s">
        <v>17360</v>
      </c>
      <c r="K916" s="14" t="s">
        <v>207</v>
      </c>
      <c r="L916" s="14" t="s">
        <v>208</v>
      </c>
      <c r="M916" s="14" t="s">
        <v>296</v>
      </c>
      <c r="N916" s="14" t="s">
        <v>1052</v>
      </c>
      <c r="O916" s="14" t="s">
        <v>325</v>
      </c>
      <c r="P916" s="14" t="s">
        <v>17361</v>
      </c>
      <c r="Q916" s="14" t="s">
        <v>166</v>
      </c>
      <c r="R916" s="14" t="s">
        <v>177</v>
      </c>
      <c r="S916" s="14" t="s">
        <v>178</v>
      </c>
      <c r="T916" s="14" t="s">
        <v>179</v>
      </c>
      <c r="U916" s="14" t="s">
        <v>17362</v>
      </c>
      <c r="V916" s="14" t="s">
        <v>17363</v>
      </c>
      <c r="W916" s="21" t="s">
        <v>17364</v>
      </c>
      <c r="X916" s="14" t="s">
        <v>17365</v>
      </c>
      <c r="Y916" s="14" t="s">
        <v>17366</v>
      </c>
      <c r="Z916" s="14" t="s">
        <v>166</v>
      </c>
      <c r="AA916" s="14" t="s">
        <v>242</v>
      </c>
      <c r="AB916" s="14" t="s">
        <v>243</v>
      </c>
      <c r="AC916" s="14" t="s">
        <v>244</v>
      </c>
      <c r="AD916" s="14" t="s">
        <v>243</v>
      </c>
      <c r="AE916" s="14" t="s">
        <v>243</v>
      </c>
      <c r="AF916" s="14" t="s">
        <v>166</v>
      </c>
      <c r="AG916" s="14" t="s">
        <v>807</v>
      </c>
      <c r="AH916" s="21">
        <v>1</v>
      </c>
      <c r="AI916" s="3">
        <f>HYPERLINK("https://my.pitchbook.com/?d=204454-72T","204454-72T")</f>
      </c>
      <c r="AJ916" s="19">
        <v>44739</v>
      </c>
      <c r="AK916" s="19">
        <v>44994</v>
      </c>
      <c r="AL916" s="18">
        <v>4</v>
      </c>
      <c r="AM916" s="14" t="s">
        <v>185</v>
      </c>
      <c r="AN916" s="18">
        <v>6</v>
      </c>
      <c r="AO916" s="18">
        <v>10</v>
      </c>
      <c r="AP916" s="14" t="s">
        <v>185</v>
      </c>
      <c r="AQ916" s="21" t="s">
        <v>166</v>
      </c>
      <c r="AR916" s="21" t="s">
        <v>166</v>
      </c>
      <c r="AS916" s="17">
        <v>40</v>
      </c>
      <c r="AT916" s="18">
        <v>4</v>
      </c>
      <c r="AU916" s="21" t="s">
        <v>186</v>
      </c>
      <c r="AV916" s="21" t="s">
        <v>166</v>
      </c>
      <c r="AW916" s="18">
        <v>3.47</v>
      </c>
      <c r="AX916" s="21" t="s">
        <v>166</v>
      </c>
      <c r="AY916" s="14" t="s">
        <v>217</v>
      </c>
      <c r="AZ916" s="14" t="s">
        <v>217</v>
      </c>
      <c r="BA916" s="14" t="s">
        <v>166</v>
      </c>
      <c r="BB916" s="21" t="s">
        <v>166</v>
      </c>
      <c r="BC916" s="14" t="s">
        <v>179</v>
      </c>
      <c r="BD916" s="14" t="s">
        <v>17367</v>
      </c>
      <c r="BE916" s="14" t="s">
        <v>189</v>
      </c>
      <c r="BF916" s="18">
        <v>4</v>
      </c>
      <c r="BG916" s="14" t="s">
        <v>190</v>
      </c>
      <c r="BH916" s="14" t="s">
        <v>166</v>
      </c>
      <c r="BI916" s="14" t="s">
        <v>166</v>
      </c>
      <c r="BJ916" s="18" t="s">
        <v>166</v>
      </c>
      <c r="BK916" s="18" t="s">
        <v>166</v>
      </c>
      <c r="BL916" s="14" t="s">
        <v>191</v>
      </c>
      <c r="BM916" s="14" t="s">
        <v>178</v>
      </c>
      <c r="BN916" s="14" t="s">
        <v>177</v>
      </c>
      <c r="BO916" s="22" t="s">
        <v>166</v>
      </c>
      <c r="BP916" s="14" t="s">
        <v>17368</v>
      </c>
      <c r="BQ916" s="21">
        <v>7</v>
      </c>
      <c r="BR916" s="14" t="s">
        <v>166</v>
      </c>
      <c r="BS916" s="21" t="s">
        <v>166</v>
      </c>
      <c r="BT916" s="14" t="s">
        <v>17369</v>
      </c>
      <c r="BU916" s="14" t="s">
        <v>166</v>
      </c>
      <c r="BV916" s="14" t="s">
        <v>17370</v>
      </c>
      <c r="BW916" s="14" t="s">
        <v>166</v>
      </c>
      <c r="BX916" s="14" t="s">
        <v>166</v>
      </c>
      <c r="BY916" s="14" t="s">
        <v>166</v>
      </c>
      <c r="BZ916" s="14" t="s">
        <v>166</v>
      </c>
      <c r="CA916" s="14" t="s">
        <v>166</v>
      </c>
      <c r="CB916" s="14" t="s">
        <v>166</v>
      </c>
      <c r="CC916" s="14" t="s">
        <v>166</v>
      </c>
      <c r="CD916" s="14" t="s">
        <v>166</v>
      </c>
      <c r="CE916" s="18" t="s">
        <v>166</v>
      </c>
      <c r="CF916" s="16" t="s">
        <v>166</v>
      </c>
      <c r="CG916" s="17" t="s">
        <v>166</v>
      </c>
      <c r="CH916" s="16" t="s">
        <v>166</v>
      </c>
      <c r="CI916" s="16" t="s">
        <v>166</v>
      </c>
      <c r="CJ916" s="16" t="s">
        <v>166</v>
      </c>
      <c r="CK916" s="16" t="s">
        <v>166</v>
      </c>
      <c r="CL916" s="16" t="s">
        <v>166</v>
      </c>
      <c r="CM916" s="20" t="s">
        <v>166</v>
      </c>
      <c r="CN916" s="16" t="s">
        <v>166</v>
      </c>
      <c r="CO916" s="16" t="s">
        <v>166</v>
      </c>
      <c r="CP916" s="16" t="s">
        <v>166</v>
      </c>
      <c r="CQ916" s="16" t="s">
        <v>166</v>
      </c>
      <c r="CR916" s="16" t="s">
        <v>166</v>
      </c>
      <c r="CS916" s="16" t="s">
        <v>166</v>
      </c>
      <c r="CT916" s="16" t="s">
        <v>166</v>
      </c>
      <c r="CU916" s="16" t="s">
        <v>166</v>
      </c>
      <c r="CV916" s="16" t="s">
        <v>166</v>
      </c>
      <c r="CW916" s="16" t="s">
        <v>166</v>
      </c>
      <c r="CX916" s="16" t="s">
        <v>166</v>
      </c>
      <c r="CY916" s="16" t="s">
        <v>166</v>
      </c>
      <c r="CZ916" s="16" t="s">
        <v>166</v>
      </c>
      <c r="DA916" s="16" t="s">
        <v>166</v>
      </c>
      <c r="DB916" s="16" t="s">
        <v>166</v>
      </c>
      <c r="DC916" s="16" t="s">
        <v>166</v>
      </c>
      <c r="DD916" s="16" t="s">
        <v>166</v>
      </c>
      <c r="DE916" s="17" t="s">
        <v>166</v>
      </c>
      <c r="DF916" s="22">
        <v>19</v>
      </c>
      <c r="DG916" s="14" t="s">
        <v>309</v>
      </c>
      <c r="DH916" s="14" t="s">
        <v>193</v>
      </c>
      <c r="DI916" s="14" t="s">
        <v>194</v>
      </c>
      <c r="DJ916" s="14" t="s">
        <v>310</v>
      </c>
      <c r="DK916" s="14" t="s">
        <v>310</v>
      </c>
      <c r="DL916" s="21" t="s">
        <v>166</v>
      </c>
      <c r="DM916" s="14" t="s">
        <v>198</v>
      </c>
      <c r="DN916" s="13" t="s">
        <v>17371</v>
      </c>
      <c r="DO916" s="20">
        <v>2022</v>
      </c>
      <c r="DP916" s="14" t="s">
        <v>166</v>
      </c>
      <c r="DQ916" s="14" t="s">
        <v>166</v>
      </c>
      <c r="DR916" s="18" t="s">
        <v>166</v>
      </c>
      <c r="DS916" s="16" t="s">
        <v>166</v>
      </c>
      <c r="DT916" s="19" t="s">
        <v>166</v>
      </c>
      <c r="DU916" s="14" t="s">
        <v>166</v>
      </c>
      <c r="DV916" s="18" t="s">
        <v>166</v>
      </c>
      <c r="DW916" s="18" t="s">
        <v>166</v>
      </c>
      <c r="DX916" s="16" t="s">
        <v>166</v>
      </c>
      <c r="DY916" s="16" t="s">
        <v>166</v>
      </c>
      <c r="DZ916" s="17" t="s">
        <v>166</v>
      </c>
      <c r="EA916" s="16" t="s">
        <v>166</v>
      </c>
      <c r="EB916" s="16" t="s">
        <v>166</v>
      </c>
      <c r="EC916" s="16" t="s">
        <v>166</v>
      </c>
      <c r="ED916" s="17" t="s">
        <v>166</v>
      </c>
      <c r="EE916" s="17" t="s">
        <v>166</v>
      </c>
      <c r="EF916" s="17" t="s">
        <v>166</v>
      </c>
      <c r="EG916" s="17" t="s">
        <v>166</v>
      </c>
      <c r="EH916" s="16" t="s">
        <v>166</v>
      </c>
      <c r="EI916" s="16" t="s">
        <v>166</v>
      </c>
      <c r="EJ916" s="16" t="s">
        <v>166</v>
      </c>
      <c r="EK916" s="16" t="s">
        <v>166</v>
      </c>
      <c r="EL916" s="16" t="s">
        <v>166</v>
      </c>
      <c r="EM916" s="16" t="s">
        <v>166</v>
      </c>
      <c r="EN916" s="16" t="s">
        <v>166</v>
      </c>
      <c r="EO916" s="16" t="s">
        <v>166</v>
      </c>
      <c r="EP916" s="16" t="s">
        <v>166</v>
      </c>
      <c r="EQ916" s="16" t="s">
        <v>166</v>
      </c>
      <c r="ER916" s="16" t="s">
        <v>166</v>
      </c>
      <c r="ES916" s="16" t="s">
        <v>166</v>
      </c>
      <c r="ET916" s="14" t="s">
        <v>166</v>
      </c>
      <c r="EU916" s="16" t="s">
        <v>166</v>
      </c>
      <c r="EV916" s="16" t="s">
        <v>166</v>
      </c>
      <c r="EW916" s="16" t="s">
        <v>166</v>
      </c>
      <c r="EX916" s="14" t="s">
        <v>190</v>
      </c>
      <c r="EY916" s="14" t="s">
        <v>166</v>
      </c>
      <c r="EZ916" s="16" t="s">
        <v>166</v>
      </c>
      <c r="FA916" s="15" t="s">
        <v>166</v>
      </c>
      <c r="FB916" s="15" t="s">
        <v>166</v>
      </c>
      <c r="FC916" s="15" t="s">
        <v>166</v>
      </c>
      <c r="FD916" s="15" t="s">
        <v>166</v>
      </c>
      <c r="FE916" s="15" t="s">
        <v>166</v>
      </c>
      <c r="FF916" s="15" t="s">
        <v>166</v>
      </c>
      <c r="FG916" s="14" t="s">
        <v>166</v>
      </c>
      <c r="FH916" s="3">
        <f>HYPERLINK("https://my.pitchbook.com?c=204454-72T","View Company Online")</f>
      </c>
    </row>
    <row r="917">
      <c r="A917" s="25" t="s">
        <v>17372</v>
      </c>
      <c r="B917" s="25" t="s">
        <v>17373</v>
      </c>
      <c r="C917" s="25" t="s">
        <v>17374</v>
      </c>
      <c r="D917" s="25" t="s">
        <v>166</v>
      </c>
      <c r="E917" s="34" t="s">
        <v>17375</v>
      </c>
      <c r="F917" s="32">
        <v>6</v>
      </c>
      <c r="G917" s="25" t="s">
        <v>17376</v>
      </c>
      <c r="H917" s="25" t="s">
        <v>166</v>
      </c>
      <c r="I917" s="25" t="s">
        <v>17377</v>
      </c>
      <c r="J917" s="25" t="s">
        <v>17378</v>
      </c>
      <c r="K917" s="25" t="s">
        <v>171</v>
      </c>
      <c r="L917" s="25" t="s">
        <v>172</v>
      </c>
      <c r="M917" s="25" t="s">
        <v>173</v>
      </c>
      <c r="N917" s="25" t="s">
        <v>9466</v>
      </c>
      <c r="O917" s="25" t="s">
        <v>17379</v>
      </c>
      <c r="P917" s="25" t="s">
        <v>17380</v>
      </c>
      <c r="Q917" s="25" t="s">
        <v>166</v>
      </c>
      <c r="R917" s="25" t="s">
        <v>177</v>
      </c>
      <c r="S917" s="25" t="s">
        <v>178</v>
      </c>
      <c r="T917" s="25" t="s">
        <v>179</v>
      </c>
      <c r="U917" s="25" t="s">
        <v>17381</v>
      </c>
      <c r="V917" s="25" t="s">
        <v>17382</v>
      </c>
      <c r="W917" s="32" t="s">
        <v>166</v>
      </c>
      <c r="X917" s="25" t="s">
        <v>17383</v>
      </c>
      <c r="Y917" s="25" t="s">
        <v>17384</v>
      </c>
      <c r="Z917" s="25" t="s">
        <v>166</v>
      </c>
      <c r="AA917" s="25" t="s">
        <v>166</v>
      </c>
      <c r="AB917" s="25" t="s">
        <v>166</v>
      </c>
      <c r="AC917" s="25" t="s">
        <v>166</v>
      </c>
      <c r="AD917" s="25" t="s">
        <v>166</v>
      </c>
      <c r="AE917" s="25" t="s">
        <v>166</v>
      </c>
      <c r="AF917" s="25" t="s">
        <v>166</v>
      </c>
      <c r="AG917" s="25" t="s">
        <v>166</v>
      </c>
      <c r="AH917" s="32">
        <v>1</v>
      </c>
      <c r="AI917" s="4">
        <f>HYPERLINK("https://my.pitchbook.com/?d=185907-16T","185907-16T")</f>
      </c>
      <c r="AJ917" s="30" t="s">
        <v>166</v>
      </c>
      <c r="AK917" s="30">
        <v>44551</v>
      </c>
      <c r="AL917" s="29">
        <v>5</v>
      </c>
      <c r="AM917" s="25" t="s">
        <v>185</v>
      </c>
      <c r="AN917" s="29" t="s">
        <v>166</v>
      </c>
      <c r="AO917" s="29" t="s">
        <v>166</v>
      </c>
      <c r="AP917" s="25" t="s">
        <v>166</v>
      </c>
      <c r="AQ917" s="32" t="s">
        <v>166</v>
      </c>
      <c r="AR917" s="32" t="s">
        <v>166</v>
      </c>
      <c r="AS917" s="28" t="s">
        <v>166</v>
      </c>
      <c r="AT917" s="29">
        <v>5</v>
      </c>
      <c r="AU917" s="32" t="s">
        <v>186</v>
      </c>
      <c r="AV917" s="32" t="s">
        <v>166</v>
      </c>
      <c r="AW917" s="29" t="s">
        <v>166</v>
      </c>
      <c r="AX917" s="32" t="s">
        <v>166</v>
      </c>
      <c r="AY917" s="25" t="s">
        <v>217</v>
      </c>
      <c r="AZ917" s="25" t="s">
        <v>217</v>
      </c>
      <c r="BA917" s="25" t="s">
        <v>166</v>
      </c>
      <c r="BB917" s="32" t="s">
        <v>166</v>
      </c>
      <c r="BC917" s="25" t="s">
        <v>179</v>
      </c>
      <c r="BD917" s="25" t="s">
        <v>17385</v>
      </c>
      <c r="BE917" s="25" t="s">
        <v>189</v>
      </c>
      <c r="BF917" s="29">
        <v>5</v>
      </c>
      <c r="BG917" s="25" t="s">
        <v>190</v>
      </c>
      <c r="BH917" s="25" t="s">
        <v>166</v>
      </c>
      <c r="BI917" s="25" t="s">
        <v>166</v>
      </c>
      <c r="BJ917" s="29" t="s">
        <v>166</v>
      </c>
      <c r="BK917" s="29" t="s">
        <v>166</v>
      </c>
      <c r="BL917" s="25" t="s">
        <v>191</v>
      </c>
      <c r="BM917" s="25" t="s">
        <v>178</v>
      </c>
      <c r="BN917" s="25" t="s">
        <v>177</v>
      </c>
      <c r="BO917" s="33" t="s">
        <v>166</v>
      </c>
      <c r="BP917" s="25" t="s">
        <v>17386</v>
      </c>
      <c r="BQ917" s="32">
        <v>6</v>
      </c>
      <c r="BR917" s="25" t="s">
        <v>166</v>
      </c>
      <c r="BS917" s="32" t="s">
        <v>166</v>
      </c>
      <c r="BT917" s="25" t="s">
        <v>17387</v>
      </c>
      <c r="BU917" s="25" t="s">
        <v>166</v>
      </c>
      <c r="BV917" s="25" t="s">
        <v>17388</v>
      </c>
      <c r="BW917" s="25" t="s">
        <v>166</v>
      </c>
      <c r="BX917" s="25" t="s">
        <v>166</v>
      </c>
      <c r="BY917" s="25" t="s">
        <v>166</v>
      </c>
      <c r="BZ917" s="25" t="s">
        <v>166</v>
      </c>
      <c r="CA917" s="25" t="s">
        <v>166</v>
      </c>
      <c r="CB917" s="25" t="s">
        <v>166</v>
      </c>
      <c r="CC917" s="25" t="s">
        <v>166</v>
      </c>
      <c r="CD917" s="25" t="s">
        <v>166</v>
      </c>
      <c r="CE917" s="29" t="s">
        <v>166</v>
      </c>
      <c r="CF917" s="27">
        <v>6</v>
      </c>
      <c r="CG917" s="28" t="s">
        <v>166</v>
      </c>
      <c r="CH917" s="27" t="s">
        <v>166</v>
      </c>
      <c r="CI917" s="27" t="s">
        <v>166</v>
      </c>
      <c r="CJ917" s="27" t="s">
        <v>166</v>
      </c>
      <c r="CK917" s="27" t="s">
        <v>166</v>
      </c>
      <c r="CL917" s="27" t="s">
        <v>166</v>
      </c>
      <c r="CM917" s="31">
        <v>2021</v>
      </c>
      <c r="CN917" s="27" t="s">
        <v>166</v>
      </c>
      <c r="CO917" s="27" t="s">
        <v>166</v>
      </c>
      <c r="CP917" s="27" t="s">
        <v>166</v>
      </c>
      <c r="CQ917" s="27" t="s">
        <v>166</v>
      </c>
      <c r="CR917" s="27" t="s">
        <v>166</v>
      </c>
      <c r="CS917" s="27" t="s">
        <v>166</v>
      </c>
      <c r="CT917" s="27" t="s">
        <v>166</v>
      </c>
      <c r="CU917" s="27" t="s">
        <v>166</v>
      </c>
      <c r="CV917" s="27">
        <v>0.83</v>
      </c>
      <c r="CW917" s="27" t="s">
        <v>166</v>
      </c>
      <c r="CX917" s="27" t="s">
        <v>166</v>
      </c>
      <c r="CY917" s="27" t="s">
        <v>166</v>
      </c>
      <c r="CZ917" s="27" t="s">
        <v>166</v>
      </c>
      <c r="DA917" s="27" t="s">
        <v>166</v>
      </c>
      <c r="DB917" s="27" t="s">
        <v>166</v>
      </c>
      <c r="DC917" s="27" t="s">
        <v>166</v>
      </c>
      <c r="DD917" s="27" t="s">
        <v>166</v>
      </c>
      <c r="DE917" s="28" t="s">
        <v>166</v>
      </c>
      <c r="DF917" s="33">
        <v>44</v>
      </c>
      <c r="DG917" s="25" t="s">
        <v>10334</v>
      </c>
      <c r="DH917" s="25" t="s">
        <v>193</v>
      </c>
      <c r="DI917" s="25" t="s">
        <v>194</v>
      </c>
      <c r="DJ917" s="25" t="s">
        <v>10335</v>
      </c>
      <c r="DK917" s="25" t="s">
        <v>2861</v>
      </c>
      <c r="DL917" s="32" t="s">
        <v>166</v>
      </c>
      <c r="DM917" s="25" t="s">
        <v>198</v>
      </c>
      <c r="DN917" s="24" t="s">
        <v>17389</v>
      </c>
      <c r="DO917" s="31">
        <v>2021</v>
      </c>
      <c r="DP917" s="25" t="s">
        <v>166</v>
      </c>
      <c r="DQ917" s="25" t="s">
        <v>166</v>
      </c>
      <c r="DR917" s="29" t="s">
        <v>166</v>
      </c>
      <c r="DS917" s="27" t="s">
        <v>166</v>
      </c>
      <c r="DT917" s="30" t="s">
        <v>166</v>
      </c>
      <c r="DU917" s="25" t="s">
        <v>166</v>
      </c>
      <c r="DV917" s="29" t="s">
        <v>166</v>
      </c>
      <c r="DW917" s="29" t="s">
        <v>166</v>
      </c>
      <c r="DX917" s="27" t="s">
        <v>166</v>
      </c>
      <c r="DY917" s="27" t="s">
        <v>166</v>
      </c>
      <c r="DZ917" s="28" t="s">
        <v>166</v>
      </c>
      <c r="EA917" s="27" t="s">
        <v>166</v>
      </c>
      <c r="EB917" s="27" t="s">
        <v>166</v>
      </c>
      <c r="EC917" s="27" t="s">
        <v>166</v>
      </c>
      <c r="ED917" s="28" t="s">
        <v>166</v>
      </c>
      <c r="EE917" s="28" t="s">
        <v>166</v>
      </c>
      <c r="EF917" s="28" t="s">
        <v>166</v>
      </c>
      <c r="EG917" s="28" t="s">
        <v>166</v>
      </c>
      <c r="EH917" s="27" t="s">
        <v>166</v>
      </c>
      <c r="EI917" s="27" t="s">
        <v>166</v>
      </c>
      <c r="EJ917" s="27" t="s">
        <v>166</v>
      </c>
      <c r="EK917" s="27" t="s">
        <v>166</v>
      </c>
      <c r="EL917" s="27" t="s">
        <v>166</v>
      </c>
      <c r="EM917" s="27" t="s">
        <v>166</v>
      </c>
      <c r="EN917" s="27" t="s">
        <v>166</v>
      </c>
      <c r="EO917" s="27" t="s">
        <v>166</v>
      </c>
      <c r="EP917" s="27" t="s">
        <v>166</v>
      </c>
      <c r="EQ917" s="27" t="s">
        <v>166</v>
      </c>
      <c r="ER917" s="27" t="s">
        <v>166</v>
      </c>
      <c r="ES917" s="27" t="s">
        <v>166</v>
      </c>
      <c r="ET917" s="25" t="s">
        <v>166</v>
      </c>
      <c r="EU917" s="27" t="s">
        <v>166</v>
      </c>
      <c r="EV917" s="27" t="s">
        <v>166</v>
      </c>
      <c r="EW917" s="27" t="s">
        <v>166</v>
      </c>
      <c r="EX917" s="25" t="s">
        <v>190</v>
      </c>
      <c r="EY917" s="25" t="s">
        <v>166</v>
      </c>
      <c r="EZ917" s="27" t="s">
        <v>166</v>
      </c>
      <c r="FA917" s="26" t="s">
        <v>166</v>
      </c>
      <c r="FB917" s="26" t="s">
        <v>166</v>
      </c>
      <c r="FC917" s="26" t="s">
        <v>166</v>
      </c>
      <c r="FD917" s="26" t="s">
        <v>166</v>
      </c>
      <c r="FE917" s="26" t="s">
        <v>166</v>
      </c>
      <c r="FF917" s="26" t="s">
        <v>166</v>
      </c>
      <c r="FG917" s="25" t="s">
        <v>166</v>
      </c>
      <c r="FH917" s="4">
        <f>HYPERLINK("https://my.pitchbook.com?c=185907-16T","View Company Online")</f>
      </c>
    </row>
    <row r="918">
      <c r="A918" s="14" t="s">
        <v>17390</v>
      </c>
      <c r="B918" s="14" t="s">
        <v>17391</v>
      </c>
      <c r="C918" s="14" t="s">
        <v>17392</v>
      </c>
      <c r="D918" s="14" t="s">
        <v>166</v>
      </c>
      <c r="E918" s="23" t="s">
        <v>17393</v>
      </c>
      <c r="F918" s="21">
        <v>1</v>
      </c>
      <c r="G918" s="14" t="s">
        <v>17394</v>
      </c>
      <c r="H918" s="14" t="s">
        <v>166</v>
      </c>
      <c r="I918" s="14" t="s">
        <v>17395</v>
      </c>
      <c r="J918" s="14" t="s">
        <v>17396</v>
      </c>
      <c r="K918" s="14" t="s">
        <v>207</v>
      </c>
      <c r="L918" s="14" t="s">
        <v>5931</v>
      </c>
      <c r="M918" s="14" t="s">
        <v>5932</v>
      </c>
      <c r="N918" s="14" t="s">
        <v>17397</v>
      </c>
      <c r="O918" s="14" t="s">
        <v>17398</v>
      </c>
      <c r="P918" s="14" t="s">
        <v>17399</v>
      </c>
      <c r="Q918" s="14" t="s">
        <v>166</v>
      </c>
      <c r="R918" s="14" t="s">
        <v>177</v>
      </c>
      <c r="S918" s="14" t="s">
        <v>178</v>
      </c>
      <c r="T918" s="14" t="s">
        <v>179</v>
      </c>
      <c r="U918" s="14" t="s">
        <v>17400</v>
      </c>
      <c r="V918" s="14" t="s">
        <v>17401</v>
      </c>
      <c r="W918" s="21" t="s">
        <v>17402</v>
      </c>
      <c r="X918" s="14" t="s">
        <v>17403</v>
      </c>
      <c r="Y918" s="14" t="s">
        <v>17404</v>
      </c>
      <c r="Z918" s="14" t="s">
        <v>17405</v>
      </c>
      <c r="AA918" s="14" t="s">
        <v>166</v>
      </c>
      <c r="AB918" s="14" t="s">
        <v>166</v>
      </c>
      <c r="AC918" s="14" t="s">
        <v>166</v>
      </c>
      <c r="AD918" s="14" t="s">
        <v>166</v>
      </c>
      <c r="AE918" s="14" t="s">
        <v>166</v>
      </c>
      <c r="AF918" s="14" t="s">
        <v>166</v>
      </c>
      <c r="AG918" s="14" t="s">
        <v>166</v>
      </c>
      <c r="AH918" s="21">
        <v>4</v>
      </c>
      <c r="AI918" s="3">
        <f>HYPERLINK("https://my.pitchbook.com/?d=181442-71T","181442-71T")</f>
      </c>
      <c r="AJ918" s="19" t="s">
        <v>166</v>
      </c>
      <c r="AK918" s="19">
        <v>44467</v>
      </c>
      <c r="AL918" s="18">
        <v>0.15</v>
      </c>
      <c r="AM918" s="14" t="s">
        <v>185</v>
      </c>
      <c r="AN918" s="18" t="s">
        <v>166</v>
      </c>
      <c r="AO918" s="18" t="s">
        <v>166</v>
      </c>
      <c r="AP918" s="14" t="s">
        <v>166</v>
      </c>
      <c r="AQ918" s="21" t="s">
        <v>166</v>
      </c>
      <c r="AR918" s="21" t="s">
        <v>166</v>
      </c>
      <c r="AS918" s="17" t="s">
        <v>166</v>
      </c>
      <c r="AT918" s="18">
        <v>0.15</v>
      </c>
      <c r="AU918" s="21" t="s">
        <v>186</v>
      </c>
      <c r="AV918" s="21" t="s">
        <v>166</v>
      </c>
      <c r="AW918" s="18" t="s">
        <v>166</v>
      </c>
      <c r="AX918" s="21" t="s">
        <v>166</v>
      </c>
      <c r="AY918" s="14" t="s">
        <v>217</v>
      </c>
      <c r="AZ918" s="14" t="s">
        <v>217</v>
      </c>
      <c r="BA918" s="14" t="s">
        <v>166</v>
      </c>
      <c r="BB918" s="21" t="s">
        <v>166</v>
      </c>
      <c r="BC918" s="14" t="s">
        <v>179</v>
      </c>
      <c r="BD918" s="14" t="s">
        <v>17406</v>
      </c>
      <c r="BE918" s="14" t="s">
        <v>189</v>
      </c>
      <c r="BF918" s="18">
        <v>0.15</v>
      </c>
      <c r="BG918" s="14" t="s">
        <v>190</v>
      </c>
      <c r="BH918" s="14" t="s">
        <v>166</v>
      </c>
      <c r="BI918" s="14" t="s">
        <v>166</v>
      </c>
      <c r="BJ918" s="18" t="s">
        <v>166</v>
      </c>
      <c r="BK918" s="18" t="s">
        <v>166</v>
      </c>
      <c r="BL918" s="14" t="s">
        <v>191</v>
      </c>
      <c r="BM918" s="14" t="s">
        <v>178</v>
      </c>
      <c r="BN918" s="14" t="s">
        <v>177</v>
      </c>
      <c r="BO918" s="22">
        <v>4</v>
      </c>
      <c r="BP918" s="14" t="s">
        <v>17393</v>
      </c>
      <c r="BQ918" s="21">
        <v>1</v>
      </c>
      <c r="BR918" s="14" t="s">
        <v>166</v>
      </c>
      <c r="BS918" s="21" t="s">
        <v>166</v>
      </c>
      <c r="BT918" s="14" t="s">
        <v>166</v>
      </c>
      <c r="BU918" s="14" t="s">
        <v>166</v>
      </c>
      <c r="BV918" s="14" t="s">
        <v>17407</v>
      </c>
      <c r="BW918" s="14" t="s">
        <v>166</v>
      </c>
      <c r="BX918" s="14" t="s">
        <v>166</v>
      </c>
      <c r="BY918" s="14" t="s">
        <v>166</v>
      </c>
      <c r="BZ918" s="14" t="s">
        <v>166</v>
      </c>
      <c r="CA918" s="14" t="s">
        <v>166</v>
      </c>
      <c r="CB918" s="14" t="s">
        <v>166</v>
      </c>
      <c r="CC918" s="14" t="s">
        <v>166</v>
      </c>
      <c r="CD918" s="14" t="s">
        <v>166</v>
      </c>
      <c r="CE918" s="18" t="s">
        <v>166</v>
      </c>
      <c r="CF918" s="16" t="s">
        <v>166</v>
      </c>
      <c r="CG918" s="17" t="s">
        <v>166</v>
      </c>
      <c r="CH918" s="16" t="s">
        <v>166</v>
      </c>
      <c r="CI918" s="16" t="s">
        <v>166</v>
      </c>
      <c r="CJ918" s="16" t="s">
        <v>166</v>
      </c>
      <c r="CK918" s="16" t="s">
        <v>166</v>
      </c>
      <c r="CL918" s="16" t="s">
        <v>166</v>
      </c>
      <c r="CM918" s="20" t="s">
        <v>166</v>
      </c>
      <c r="CN918" s="16" t="s">
        <v>166</v>
      </c>
      <c r="CO918" s="16" t="s">
        <v>166</v>
      </c>
      <c r="CP918" s="16" t="s">
        <v>166</v>
      </c>
      <c r="CQ918" s="16" t="s">
        <v>166</v>
      </c>
      <c r="CR918" s="16" t="s">
        <v>166</v>
      </c>
      <c r="CS918" s="16" t="s">
        <v>166</v>
      </c>
      <c r="CT918" s="16" t="s">
        <v>166</v>
      </c>
      <c r="CU918" s="16" t="s">
        <v>166</v>
      </c>
      <c r="CV918" s="16" t="s">
        <v>166</v>
      </c>
      <c r="CW918" s="16" t="s">
        <v>166</v>
      </c>
      <c r="CX918" s="16" t="s">
        <v>166</v>
      </c>
      <c r="CY918" s="16" t="s">
        <v>166</v>
      </c>
      <c r="CZ918" s="16" t="s">
        <v>166</v>
      </c>
      <c r="DA918" s="16" t="s">
        <v>166</v>
      </c>
      <c r="DB918" s="16" t="s">
        <v>166</v>
      </c>
      <c r="DC918" s="16" t="s">
        <v>166</v>
      </c>
      <c r="DD918" s="16" t="s">
        <v>166</v>
      </c>
      <c r="DE918" s="17" t="s">
        <v>166</v>
      </c>
      <c r="DF918" s="22">
        <v>10</v>
      </c>
      <c r="DG918" s="14" t="s">
        <v>12764</v>
      </c>
      <c r="DH918" s="14" t="s">
        <v>193</v>
      </c>
      <c r="DI918" s="14" t="s">
        <v>194</v>
      </c>
      <c r="DJ918" s="14" t="s">
        <v>12765</v>
      </c>
      <c r="DK918" s="14" t="s">
        <v>3974</v>
      </c>
      <c r="DL918" s="21" t="s">
        <v>17408</v>
      </c>
      <c r="DM918" s="14" t="s">
        <v>198</v>
      </c>
      <c r="DN918" s="13" t="s">
        <v>17409</v>
      </c>
      <c r="DO918" s="20">
        <v>2018</v>
      </c>
      <c r="DP918" s="14" t="s">
        <v>166</v>
      </c>
      <c r="DQ918" s="14" t="s">
        <v>166</v>
      </c>
      <c r="DR918" s="18" t="s">
        <v>166</v>
      </c>
      <c r="DS918" s="16" t="s">
        <v>166</v>
      </c>
      <c r="DT918" s="19" t="s">
        <v>166</v>
      </c>
      <c r="DU918" s="14" t="s">
        <v>166</v>
      </c>
      <c r="DV918" s="18" t="s">
        <v>166</v>
      </c>
      <c r="DW918" s="18" t="s">
        <v>166</v>
      </c>
      <c r="DX918" s="16" t="s">
        <v>166</v>
      </c>
      <c r="DY918" s="16" t="s">
        <v>166</v>
      </c>
      <c r="DZ918" s="17" t="s">
        <v>166</v>
      </c>
      <c r="EA918" s="16" t="s">
        <v>166</v>
      </c>
      <c r="EB918" s="16" t="s">
        <v>166</v>
      </c>
      <c r="EC918" s="16" t="s">
        <v>166</v>
      </c>
      <c r="ED918" s="17" t="s">
        <v>166</v>
      </c>
      <c r="EE918" s="17" t="s">
        <v>166</v>
      </c>
      <c r="EF918" s="17" t="s">
        <v>166</v>
      </c>
      <c r="EG918" s="17" t="s">
        <v>166</v>
      </c>
      <c r="EH918" s="16" t="s">
        <v>166</v>
      </c>
      <c r="EI918" s="16" t="s">
        <v>166</v>
      </c>
      <c r="EJ918" s="16" t="s">
        <v>166</v>
      </c>
      <c r="EK918" s="16" t="s">
        <v>166</v>
      </c>
      <c r="EL918" s="16" t="s">
        <v>166</v>
      </c>
      <c r="EM918" s="16" t="s">
        <v>166</v>
      </c>
      <c r="EN918" s="16" t="s">
        <v>166</v>
      </c>
      <c r="EO918" s="16" t="s">
        <v>166</v>
      </c>
      <c r="EP918" s="16" t="s">
        <v>166</v>
      </c>
      <c r="EQ918" s="16" t="s">
        <v>166</v>
      </c>
      <c r="ER918" s="16" t="s">
        <v>166</v>
      </c>
      <c r="ES918" s="16" t="s">
        <v>166</v>
      </c>
      <c r="ET918" s="14" t="s">
        <v>166</v>
      </c>
      <c r="EU918" s="16" t="s">
        <v>166</v>
      </c>
      <c r="EV918" s="16" t="s">
        <v>166</v>
      </c>
      <c r="EW918" s="16" t="s">
        <v>166</v>
      </c>
      <c r="EX918" s="14" t="s">
        <v>190</v>
      </c>
      <c r="EY918" s="14" t="s">
        <v>166</v>
      </c>
      <c r="EZ918" s="16" t="s">
        <v>166</v>
      </c>
      <c r="FA918" s="15" t="s">
        <v>166</v>
      </c>
      <c r="FB918" s="15" t="s">
        <v>166</v>
      </c>
      <c r="FC918" s="15" t="s">
        <v>166</v>
      </c>
      <c r="FD918" s="15" t="s">
        <v>166</v>
      </c>
      <c r="FE918" s="15" t="s">
        <v>166</v>
      </c>
      <c r="FF918" s="15" t="s">
        <v>166</v>
      </c>
      <c r="FG918" s="14" t="s">
        <v>166</v>
      </c>
      <c r="FH918" s="3">
        <f>HYPERLINK("https://my.pitchbook.com?c=181442-71T","View Company Online")</f>
      </c>
    </row>
    <row r="919">
      <c r="A919" s="25" t="s">
        <v>17410</v>
      </c>
      <c r="B919" s="25" t="s">
        <v>17411</v>
      </c>
      <c r="C919" s="25" t="s">
        <v>17412</v>
      </c>
      <c r="D919" s="25" t="s">
        <v>166</v>
      </c>
      <c r="E919" s="34" t="s">
        <v>17413</v>
      </c>
      <c r="F919" s="32">
        <v>3</v>
      </c>
      <c r="G919" s="25" t="s">
        <v>17414</v>
      </c>
      <c r="H919" s="25" t="s">
        <v>166</v>
      </c>
      <c r="I919" s="25" t="s">
        <v>17415</v>
      </c>
      <c r="J919" s="25" t="s">
        <v>17416</v>
      </c>
      <c r="K919" s="25" t="s">
        <v>1455</v>
      </c>
      <c r="L919" s="25" t="s">
        <v>1984</v>
      </c>
      <c r="M919" s="25" t="s">
        <v>3597</v>
      </c>
      <c r="N919" s="25" t="s">
        <v>17417</v>
      </c>
      <c r="O919" s="25" t="s">
        <v>17418</v>
      </c>
      <c r="P919" s="25" t="s">
        <v>17419</v>
      </c>
      <c r="Q919" s="25" t="s">
        <v>166</v>
      </c>
      <c r="R919" s="25" t="s">
        <v>177</v>
      </c>
      <c r="S919" s="25" t="s">
        <v>178</v>
      </c>
      <c r="T919" s="25" t="s">
        <v>179</v>
      </c>
      <c r="U919" s="25" t="s">
        <v>17420</v>
      </c>
      <c r="V919" s="25" t="s">
        <v>17421</v>
      </c>
      <c r="W919" s="32" t="s">
        <v>17422</v>
      </c>
      <c r="X919" s="25" t="s">
        <v>166</v>
      </c>
      <c r="Y919" s="25" t="s">
        <v>17423</v>
      </c>
      <c r="Z919" s="25" t="s">
        <v>166</v>
      </c>
      <c r="AA919" s="25" t="s">
        <v>166</v>
      </c>
      <c r="AB919" s="25" t="s">
        <v>166</v>
      </c>
      <c r="AC919" s="25" t="s">
        <v>166</v>
      </c>
      <c r="AD919" s="25" t="s">
        <v>166</v>
      </c>
      <c r="AE919" s="25" t="s">
        <v>166</v>
      </c>
      <c r="AF919" s="25" t="s">
        <v>166</v>
      </c>
      <c r="AG919" s="25" t="s">
        <v>166</v>
      </c>
      <c r="AH919" s="32">
        <v>1</v>
      </c>
      <c r="AI919" s="4">
        <f>HYPERLINK("https://my.pitchbook.com/?d=245092-87T","245092-87T")</f>
      </c>
      <c r="AJ919" s="30">
        <v>45436</v>
      </c>
      <c r="AK919" s="30">
        <v>45600</v>
      </c>
      <c r="AL919" s="29">
        <v>2.97</v>
      </c>
      <c r="AM919" s="25" t="s">
        <v>185</v>
      </c>
      <c r="AN919" s="29" t="s">
        <v>166</v>
      </c>
      <c r="AO919" s="29" t="s">
        <v>166</v>
      </c>
      <c r="AP919" s="25" t="s">
        <v>166</v>
      </c>
      <c r="AQ919" s="32" t="s">
        <v>166</v>
      </c>
      <c r="AR919" s="32" t="s">
        <v>166</v>
      </c>
      <c r="AS919" s="28" t="s">
        <v>166</v>
      </c>
      <c r="AT919" s="29">
        <v>2.97</v>
      </c>
      <c r="AU919" s="32" t="s">
        <v>186</v>
      </c>
      <c r="AV919" s="32" t="s">
        <v>166</v>
      </c>
      <c r="AW919" s="29" t="s">
        <v>166</v>
      </c>
      <c r="AX919" s="32" t="s">
        <v>166</v>
      </c>
      <c r="AY919" s="25" t="s">
        <v>187</v>
      </c>
      <c r="AZ919" s="25" t="s">
        <v>166</v>
      </c>
      <c r="BA919" s="25" t="s">
        <v>166</v>
      </c>
      <c r="BB919" s="32" t="s">
        <v>166</v>
      </c>
      <c r="BC919" s="25" t="s">
        <v>179</v>
      </c>
      <c r="BD919" s="25" t="s">
        <v>17416</v>
      </c>
      <c r="BE919" s="25" t="s">
        <v>189</v>
      </c>
      <c r="BF919" s="29" t="s">
        <v>166</v>
      </c>
      <c r="BG919" s="25" t="s">
        <v>190</v>
      </c>
      <c r="BH919" s="25" t="s">
        <v>166</v>
      </c>
      <c r="BI919" s="25" t="s">
        <v>166</v>
      </c>
      <c r="BJ919" s="29" t="s">
        <v>166</v>
      </c>
      <c r="BK919" s="29" t="s">
        <v>166</v>
      </c>
      <c r="BL919" s="25" t="s">
        <v>191</v>
      </c>
      <c r="BM919" s="25" t="s">
        <v>178</v>
      </c>
      <c r="BN919" s="25" t="s">
        <v>177</v>
      </c>
      <c r="BO919" s="33" t="s">
        <v>166</v>
      </c>
      <c r="BP919" s="25" t="s">
        <v>17424</v>
      </c>
      <c r="BQ919" s="32">
        <v>3</v>
      </c>
      <c r="BR919" s="25" t="s">
        <v>166</v>
      </c>
      <c r="BS919" s="32" t="s">
        <v>166</v>
      </c>
      <c r="BT919" s="25" t="s">
        <v>166</v>
      </c>
      <c r="BU919" s="25" t="s">
        <v>166</v>
      </c>
      <c r="BV919" s="25" t="s">
        <v>17425</v>
      </c>
      <c r="BW919" s="25" t="s">
        <v>166</v>
      </c>
      <c r="BX919" s="25" t="s">
        <v>166</v>
      </c>
      <c r="BY919" s="25" t="s">
        <v>166</v>
      </c>
      <c r="BZ919" s="25" t="s">
        <v>166</v>
      </c>
      <c r="CA919" s="25" t="s">
        <v>166</v>
      </c>
      <c r="CB919" s="25" t="s">
        <v>166</v>
      </c>
      <c r="CC919" s="25" t="s">
        <v>166</v>
      </c>
      <c r="CD919" s="25" t="s">
        <v>166</v>
      </c>
      <c r="CE919" s="29" t="s">
        <v>166</v>
      </c>
      <c r="CF919" s="27" t="s">
        <v>166</v>
      </c>
      <c r="CG919" s="28" t="s">
        <v>166</v>
      </c>
      <c r="CH919" s="27" t="s">
        <v>166</v>
      </c>
      <c r="CI919" s="27" t="s">
        <v>166</v>
      </c>
      <c r="CJ919" s="27" t="s">
        <v>166</v>
      </c>
      <c r="CK919" s="27" t="s">
        <v>166</v>
      </c>
      <c r="CL919" s="27" t="s">
        <v>166</v>
      </c>
      <c r="CM919" s="31" t="s">
        <v>166</v>
      </c>
      <c r="CN919" s="27" t="s">
        <v>166</v>
      </c>
      <c r="CO919" s="27" t="s">
        <v>166</v>
      </c>
      <c r="CP919" s="27" t="s">
        <v>166</v>
      </c>
      <c r="CQ919" s="27" t="s">
        <v>166</v>
      </c>
      <c r="CR919" s="27" t="s">
        <v>166</v>
      </c>
      <c r="CS919" s="27" t="s">
        <v>166</v>
      </c>
      <c r="CT919" s="27" t="s">
        <v>166</v>
      </c>
      <c r="CU919" s="27" t="s">
        <v>166</v>
      </c>
      <c r="CV919" s="27" t="s">
        <v>166</v>
      </c>
      <c r="CW919" s="27" t="s">
        <v>166</v>
      </c>
      <c r="CX919" s="27" t="s">
        <v>166</v>
      </c>
      <c r="CY919" s="27" t="s">
        <v>166</v>
      </c>
      <c r="CZ919" s="27" t="s">
        <v>166</v>
      </c>
      <c r="DA919" s="27" t="s">
        <v>166</v>
      </c>
      <c r="DB919" s="27" t="s">
        <v>166</v>
      </c>
      <c r="DC919" s="27" t="s">
        <v>166</v>
      </c>
      <c r="DD919" s="27" t="s">
        <v>166</v>
      </c>
      <c r="DE919" s="28" t="s">
        <v>166</v>
      </c>
      <c r="DF919" s="33" t="s">
        <v>166</v>
      </c>
      <c r="DG919" s="25" t="s">
        <v>5319</v>
      </c>
      <c r="DH919" s="25" t="s">
        <v>193</v>
      </c>
      <c r="DI919" s="25" t="s">
        <v>194</v>
      </c>
      <c r="DJ919" s="25" t="s">
        <v>5320</v>
      </c>
      <c r="DK919" s="25" t="s">
        <v>4671</v>
      </c>
      <c r="DL919" s="32" t="s">
        <v>5321</v>
      </c>
      <c r="DM919" s="25" t="s">
        <v>198</v>
      </c>
      <c r="DN919" s="24" t="s">
        <v>17426</v>
      </c>
      <c r="DO919" s="31">
        <v>2022</v>
      </c>
      <c r="DP919" s="25" t="s">
        <v>166</v>
      </c>
      <c r="DQ919" s="25" t="s">
        <v>166</v>
      </c>
      <c r="DR919" s="29" t="s">
        <v>166</v>
      </c>
      <c r="DS919" s="27" t="s">
        <v>166</v>
      </c>
      <c r="DT919" s="30" t="s">
        <v>166</v>
      </c>
      <c r="DU919" s="25" t="s">
        <v>166</v>
      </c>
      <c r="DV919" s="29" t="s">
        <v>166</v>
      </c>
      <c r="DW919" s="29" t="s">
        <v>166</v>
      </c>
      <c r="DX919" s="27" t="s">
        <v>166</v>
      </c>
      <c r="DY919" s="27" t="s">
        <v>166</v>
      </c>
      <c r="DZ919" s="28" t="s">
        <v>166</v>
      </c>
      <c r="EA919" s="27" t="s">
        <v>166</v>
      </c>
      <c r="EB919" s="27" t="s">
        <v>166</v>
      </c>
      <c r="EC919" s="27" t="s">
        <v>166</v>
      </c>
      <c r="ED919" s="28" t="s">
        <v>166</v>
      </c>
      <c r="EE919" s="28" t="s">
        <v>166</v>
      </c>
      <c r="EF919" s="28" t="s">
        <v>166</v>
      </c>
      <c r="EG919" s="28" t="s">
        <v>166</v>
      </c>
      <c r="EH919" s="27" t="s">
        <v>166</v>
      </c>
      <c r="EI919" s="27" t="s">
        <v>166</v>
      </c>
      <c r="EJ919" s="27" t="s">
        <v>166</v>
      </c>
      <c r="EK919" s="27" t="s">
        <v>166</v>
      </c>
      <c r="EL919" s="27" t="s">
        <v>166</v>
      </c>
      <c r="EM919" s="27" t="s">
        <v>166</v>
      </c>
      <c r="EN919" s="27" t="s">
        <v>166</v>
      </c>
      <c r="EO919" s="27" t="s">
        <v>166</v>
      </c>
      <c r="EP919" s="27" t="s">
        <v>166</v>
      </c>
      <c r="EQ919" s="27" t="s">
        <v>166</v>
      </c>
      <c r="ER919" s="27" t="s">
        <v>166</v>
      </c>
      <c r="ES919" s="27" t="s">
        <v>166</v>
      </c>
      <c r="ET919" s="25" t="s">
        <v>166</v>
      </c>
      <c r="EU919" s="27" t="s">
        <v>166</v>
      </c>
      <c r="EV919" s="27" t="s">
        <v>166</v>
      </c>
      <c r="EW919" s="27" t="s">
        <v>166</v>
      </c>
      <c r="EX919" s="25" t="s">
        <v>190</v>
      </c>
      <c r="EY919" s="25" t="s">
        <v>166</v>
      </c>
      <c r="EZ919" s="27" t="s">
        <v>166</v>
      </c>
      <c r="FA919" s="26" t="s">
        <v>166</v>
      </c>
      <c r="FB919" s="26" t="s">
        <v>166</v>
      </c>
      <c r="FC919" s="26" t="s">
        <v>166</v>
      </c>
      <c r="FD919" s="26" t="s">
        <v>166</v>
      </c>
      <c r="FE919" s="26" t="s">
        <v>166</v>
      </c>
      <c r="FF919" s="26" t="s">
        <v>166</v>
      </c>
      <c r="FG919" s="25" t="s">
        <v>166</v>
      </c>
      <c r="FH919" s="4">
        <f>HYPERLINK("https://my.pitchbook.com?c=245092-87T","View Company Online")</f>
      </c>
    </row>
    <row r="920">
      <c r="A920" s="14" t="s">
        <v>17427</v>
      </c>
      <c r="B920" s="14" t="s">
        <v>17428</v>
      </c>
      <c r="C920" s="14" t="s">
        <v>17429</v>
      </c>
      <c r="D920" s="14" t="s">
        <v>166</v>
      </c>
      <c r="E920" s="23" t="s">
        <v>17430</v>
      </c>
      <c r="F920" s="21">
        <v>7</v>
      </c>
      <c r="G920" s="14" t="s">
        <v>17431</v>
      </c>
      <c r="H920" s="14" t="s">
        <v>166</v>
      </c>
      <c r="I920" s="14" t="s">
        <v>17432</v>
      </c>
      <c r="J920" s="14" t="s">
        <v>17433</v>
      </c>
      <c r="K920" s="14" t="s">
        <v>1455</v>
      </c>
      <c r="L920" s="14" t="s">
        <v>1984</v>
      </c>
      <c r="M920" s="14" t="s">
        <v>1985</v>
      </c>
      <c r="N920" s="14" t="s">
        <v>2661</v>
      </c>
      <c r="O920" s="14" t="s">
        <v>2394</v>
      </c>
      <c r="P920" s="14" t="s">
        <v>17434</v>
      </c>
      <c r="Q920" s="14" t="s">
        <v>166</v>
      </c>
      <c r="R920" s="14" t="s">
        <v>177</v>
      </c>
      <c r="S920" s="14" t="s">
        <v>178</v>
      </c>
      <c r="T920" s="14" t="s">
        <v>179</v>
      </c>
      <c r="U920" s="14" t="s">
        <v>17435</v>
      </c>
      <c r="V920" s="14" t="s">
        <v>17436</v>
      </c>
      <c r="W920" s="21" t="s">
        <v>17437</v>
      </c>
      <c r="X920" s="14" t="s">
        <v>17438</v>
      </c>
      <c r="Y920" s="14" t="s">
        <v>17439</v>
      </c>
      <c r="Z920" s="14" t="s">
        <v>166</v>
      </c>
      <c r="AA920" s="14" t="s">
        <v>166</v>
      </c>
      <c r="AB920" s="14" t="s">
        <v>166</v>
      </c>
      <c r="AC920" s="14" t="s">
        <v>166</v>
      </c>
      <c r="AD920" s="14" t="s">
        <v>166</v>
      </c>
      <c r="AE920" s="14" t="s">
        <v>166</v>
      </c>
      <c r="AF920" s="14" t="s">
        <v>166</v>
      </c>
      <c r="AG920" s="14" t="s">
        <v>166</v>
      </c>
      <c r="AH920" s="21">
        <v>1</v>
      </c>
      <c r="AI920" s="3">
        <f>HYPERLINK("https://my.pitchbook.com/?d=192080-17T","192080-17T")</f>
      </c>
      <c r="AJ920" s="19" t="s">
        <v>166</v>
      </c>
      <c r="AK920" s="19">
        <v>44666</v>
      </c>
      <c r="AL920" s="18">
        <v>1.27</v>
      </c>
      <c r="AM920" s="14" t="s">
        <v>185</v>
      </c>
      <c r="AN920" s="18" t="s">
        <v>166</v>
      </c>
      <c r="AO920" s="18" t="s">
        <v>166</v>
      </c>
      <c r="AP920" s="14" t="s">
        <v>166</v>
      </c>
      <c r="AQ920" s="21" t="s">
        <v>166</v>
      </c>
      <c r="AR920" s="21" t="s">
        <v>166</v>
      </c>
      <c r="AS920" s="17" t="s">
        <v>166</v>
      </c>
      <c r="AT920" s="18">
        <v>1.27</v>
      </c>
      <c r="AU920" s="21" t="s">
        <v>186</v>
      </c>
      <c r="AV920" s="21" t="s">
        <v>166</v>
      </c>
      <c r="AW920" s="18" t="s">
        <v>166</v>
      </c>
      <c r="AX920" s="21" t="s">
        <v>746</v>
      </c>
      <c r="AY920" s="14" t="s">
        <v>217</v>
      </c>
      <c r="AZ920" s="14" t="s">
        <v>746</v>
      </c>
      <c r="BA920" s="14" t="s">
        <v>166</v>
      </c>
      <c r="BB920" s="21" t="s">
        <v>166</v>
      </c>
      <c r="BC920" s="14" t="s">
        <v>179</v>
      </c>
      <c r="BD920" s="14" t="s">
        <v>17440</v>
      </c>
      <c r="BE920" s="14" t="s">
        <v>189</v>
      </c>
      <c r="BF920" s="18">
        <v>1.27</v>
      </c>
      <c r="BG920" s="14" t="s">
        <v>190</v>
      </c>
      <c r="BH920" s="14" t="s">
        <v>166</v>
      </c>
      <c r="BI920" s="14" t="s">
        <v>166</v>
      </c>
      <c r="BJ920" s="18" t="s">
        <v>166</v>
      </c>
      <c r="BK920" s="18" t="s">
        <v>166</v>
      </c>
      <c r="BL920" s="14" t="s">
        <v>191</v>
      </c>
      <c r="BM920" s="14" t="s">
        <v>178</v>
      </c>
      <c r="BN920" s="14" t="s">
        <v>177</v>
      </c>
      <c r="BO920" s="22" t="s">
        <v>166</v>
      </c>
      <c r="BP920" s="14" t="s">
        <v>17441</v>
      </c>
      <c r="BQ920" s="21">
        <v>7</v>
      </c>
      <c r="BR920" s="14" t="s">
        <v>166</v>
      </c>
      <c r="BS920" s="21" t="s">
        <v>166</v>
      </c>
      <c r="BT920" s="14" t="s">
        <v>17442</v>
      </c>
      <c r="BU920" s="14" t="s">
        <v>166</v>
      </c>
      <c r="BV920" s="14" t="s">
        <v>166</v>
      </c>
      <c r="BW920" s="14" t="s">
        <v>166</v>
      </c>
      <c r="BX920" s="14" t="s">
        <v>166</v>
      </c>
      <c r="BY920" s="14" t="s">
        <v>166</v>
      </c>
      <c r="BZ920" s="14" t="s">
        <v>17443</v>
      </c>
      <c r="CA920" s="14" t="s">
        <v>166</v>
      </c>
      <c r="CB920" s="14" t="s">
        <v>166</v>
      </c>
      <c r="CC920" s="14" t="s">
        <v>17443</v>
      </c>
      <c r="CD920" s="14" t="s">
        <v>166</v>
      </c>
      <c r="CE920" s="18" t="s">
        <v>166</v>
      </c>
      <c r="CF920" s="16" t="s">
        <v>166</v>
      </c>
      <c r="CG920" s="17" t="s">
        <v>166</v>
      </c>
      <c r="CH920" s="16" t="s">
        <v>166</v>
      </c>
      <c r="CI920" s="16" t="s">
        <v>166</v>
      </c>
      <c r="CJ920" s="16" t="s">
        <v>166</v>
      </c>
      <c r="CK920" s="16" t="s">
        <v>166</v>
      </c>
      <c r="CL920" s="16" t="s">
        <v>166</v>
      </c>
      <c r="CM920" s="20" t="s">
        <v>166</v>
      </c>
      <c r="CN920" s="16" t="s">
        <v>166</v>
      </c>
      <c r="CO920" s="16" t="s">
        <v>166</v>
      </c>
      <c r="CP920" s="16" t="s">
        <v>166</v>
      </c>
      <c r="CQ920" s="16" t="s">
        <v>166</v>
      </c>
      <c r="CR920" s="16" t="s">
        <v>166</v>
      </c>
      <c r="CS920" s="16" t="s">
        <v>166</v>
      </c>
      <c r="CT920" s="16" t="s">
        <v>166</v>
      </c>
      <c r="CU920" s="16" t="s">
        <v>166</v>
      </c>
      <c r="CV920" s="16" t="s">
        <v>166</v>
      </c>
      <c r="CW920" s="16" t="s">
        <v>166</v>
      </c>
      <c r="CX920" s="16" t="s">
        <v>166</v>
      </c>
      <c r="CY920" s="16" t="s">
        <v>166</v>
      </c>
      <c r="CZ920" s="16" t="s">
        <v>166</v>
      </c>
      <c r="DA920" s="16" t="s">
        <v>166</v>
      </c>
      <c r="DB920" s="16" t="s">
        <v>166</v>
      </c>
      <c r="DC920" s="16" t="s">
        <v>166</v>
      </c>
      <c r="DD920" s="16" t="s">
        <v>166</v>
      </c>
      <c r="DE920" s="17" t="s">
        <v>166</v>
      </c>
      <c r="DF920" s="22">
        <v>10</v>
      </c>
      <c r="DG920" s="14" t="s">
        <v>384</v>
      </c>
      <c r="DH920" s="14" t="s">
        <v>193</v>
      </c>
      <c r="DI920" s="14" t="s">
        <v>194</v>
      </c>
      <c r="DJ920" s="14" t="s">
        <v>385</v>
      </c>
      <c r="DK920" s="14" t="s">
        <v>386</v>
      </c>
      <c r="DL920" s="21" t="s">
        <v>16224</v>
      </c>
      <c r="DM920" s="14" t="s">
        <v>198</v>
      </c>
      <c r="DN920" s="13" t="s">
        <v>17444</v>
      </c>
      <c r="DO920" s="20">
        <v>2018</v>
      </c>
      <c r="DP920" s="14" t="s">
        <v>166</v>
      </c>
      <c r="DQ920" s="14" t="s">
        <v>166</v>
      </c>
      <c r="DR920" s="18" t="s">
        <v>166</v>
      </c>
      <c r="DS920" s="16" t="s">
        <v>166</v>
      </c>
      <c r="DT920" s="19" t="s">
        <v>166</v>
      </c>
      <c r="DU920" s="14" t="s">
        <v>166</v>
      </c>
      <c r="DV920" s="18" t="s">
        <v>166</v>
      </c>
      <c r="DW920" s="18" t="s">
        <v>166</v>
      </c>
      <c r="DX920" s="16" t="s">
        <v>166</v>
      </c>
      <c r="DY920" s="16" t="s">
        <v>166</v>
      </c>
      <c r="DZ920" s="17" t="s">
        <v>166</v>
      </c>
      <c r="EA920" s="16" t="s">
        <v>166</v>
      </c>
      <c r="EB920" s="16" t="s">
        <v>166</v>
      </c>
      <c r="EC920" s="16" t="s">
        <v>166</v>
      </c>
      <c r="ED920" s="17" t="s">
        <v>166</v>
      </c>
      <c r="EE920" s="17" t="s">
        <v>166</v>
      </c>
      <c r="EF920" s="17" t="s">
        <v>166</v>
      </c>
      <c r="EG920" s="17" t="s">
        <v>166</v>
      </c>
      <c r="EH920" s="16" t="s">
        <v>166</v>
      </c>
      <c r="EI920" s="16" t="s">
        <v>166</v>
      </c>
      <c r="EJ920" s="16" t="s">
        <v>166</v>
      </c>
      <c r="EK920" s="16" t="s">
        <v>166</v>
      </c>
      <c r="EL920" s="16" t="s">
        <v>166</v>
      </c>
      <c r="EM920" s="16" t="s">
        <v>166</v>
      </c>
      <c r="EN920" s="16" t="s">
        <v>166</v>
      </c>
      <c r="EO920" s="16" t="s">
        <v>166</v>
      </c>
      <c r="EP920" s="16" t="s">
        <v>166</v>
      </c>
      <c r="EQ920" s="16" t="s">
        <v>166</v>
      </c>
      <c r="ER920" s="16" t="s">
        <v>166</v>
      </c>
      <c r="ES920" s="16" t="s">
        <v>166</v>
      </c>
      <c r="ET920" s="14" t="s">
        <v>166</v>
      </c>
      <c r="EU920" s="16" t="s">
        <v>166</v>
      </c>
      <c r="EV920" s="16" t="s">
        <v>166</v>
      </c>
      <c r="EW920" s="16" t="s">
        <v>166</v>
      </c>
      <c r="EX920" s="14" t="s">
        <v>190</v>
      </c>
      <c r="EY920" s="14" t="s">
        <v>166</v>
      </c>
      <c r="EZ920" s="16" t="s">
        <v>166</v>
      </c>
      <c r="FA920" s="15">
        <v>2</v>
      </c>
      <c r="FB920" s="15">
        <v>2</v>
      </c>
      <c r="FC920" s="15" t="s">
        <v>166</v>
      </c>
      <c r="FD920" s="15">
        <v>1</v>
      </c>
      <c r="FE920" s="15" t="s">
        <v>166</v>
      </c>
      <c r="FF920" s="15">
        <v>1</v>
      </c>
      <c r="FG920" s="14" t="s">
        <v>17445</v>
      </c>
      <c r="FH920" s="3">
        <f>HYPERLINK("https://my.pitchbook.com?c=192080-17T","View Company Online")</f>
      </c>
    </row>
    <row r="921">
      <c r="A921" s="25" t="s">
        <v>17446</v>
      </c>
      <c r="B921" s="25" t="s">
        <v>17447</v>
      </c>
      <c r="C921" s="25" t="s">
        <v>17448</v>
      </c>
      <c r="D921" s="25" t="s">
        <v>166</v>
      </c>
      <c r="E921" s="34" t="s">
        <v>17449</v>
      </c>
      <c r="F921" s="32">
        <v>1</v>
      </c>
      <c r="G921" s="25" t="s">
        <v>166</v>
      </c>
      <c r="H921" s="25" t="s">
        <v>166</v>
      </c>
      <c r="I921" s="25" t="s">
        <v>17450</v>
      </c>
      <c r="J921" s="25" t="s">
        <v>17451</v>
      </c>
      <c r="K921" s="25" t="s">
        <v>171</v>
      </c>
      <c r="L921" s="25" t="s">
        <v>172</v>
      </c>
      <c r="M921" s="25" t="s">
        <v>173</v>
      </c>
      <c r="N921" s="25" t="s">
        <v>1088</v>
      </c>
      <c r="O921" s="25" t="s">
        <v>166</v>
      </c>
      <c r="P921" s="25" t="s">
        <v>17452</v>
      </c>
      <c r="Q921" s="25" t="s">
        <v>166</v>
      </c>
      <c r="R921" s="25" t="s">
        <v>177</v>
      </c>
      <c r="S921" s="25" t="s">
        <v>178</v>
      </c>
      <c r="T921" s="25" t="s">
        <v>179</v>
      </c>
      <c r="U921" s="25" t="s">
        <v>17453</v>
      </c>
      <c r="V921" s="25" t="s">
        <v>17454</v>
      </c>
      <c r="W921" s="32" t="s">
        <v>17455</v>
      </c>
      <c r="X921" s="25" t="s">
        <v>17456</v>
      </c>
      <c r="Y921" s="25" t="s">
        <v>17457</v>
      </c>
      <c r="Z921" s="25" t="s">
        <v>166</v>
      </c>
      <c r="AA921" s="25" t="s">
        <v>166</v>
      </c>
      <c r="AB921" s="25" t="s">
        <v>166</v>
      </c>
      <c r="AC921" s="25" t="s">
        <v>166</v>
      </c>
      <c r="AD921" s="25" t="s">
        <v>166</v>
      </c>
      <c r="AE921" s="25" t="s">
        <v>166</v>
      </c>
      <c r="AF921" s="25" t="s">
        <v>166</v>
      </c>
      <c r="AG921" s="25" t="s">
        <v>166</v>
      </c>
      <c r="AH921" s="32">
        <v>3</v>
      </c>
      <c r="AI921" s="4">
        <f>HYPERLINK("https://my.pitchbook.com/?d=232904-89T","232904-89T")</f>
      </c>
      <c r="AJ921" s="30" t="s">
        <v>166</v>
      </c>
      <c r="AK921" s="30">
        <v>45041</v>
      </c>
      <c r="AL921" s="29">
        <v>0.49</v>
      </c>
      <c r="AM921" s="25" t="s">
        <v>185</v>
      </c>
      <c r="AN921" s="29" t="s">
        <v>166</v>
      </c>
      <c r="AO921" s="29" t="s">
        <v>166</v>
      </c>
      <c r="AP921" s="25" t="s">
        <v>166</v>
      </c>
      <c r="AQ921" s="32" t="s">
        <v>166</v>
      </c>
      <c r="AR921" s="32" t="s">
        <v>166</v>
      </c>
      <c r="AS921" s="28" t="s">
        <v>166</v>
      </c>
      <c r="AT921" s="29">
        <v>0.55</v>
      </c>
      <c r="AU921" s="32" t="s">
        <v>186</v>
      </c>
      <c r="AV921" s="32" t="s">
        <v>166</v>
      </c>
      <c r="AW921" s="29" t="s">
        <v>166</v>
      </c>
      <c r="AX921" s="32" t="s">
        <v>166</v>
      </c>
      <c r="AY921" s="25" t="s">
        <v>217</v>
      </c>
      <c r="AZ921" s="25" t="s">
        <v>217</v>
      </c>
      <c r="BA921" s="25" t="s">
        <v>166</v>
      </c>
      <c r="BB921" s="32" t="s">
        <v>166</v>
      </c>
      <c r="BC921" s="25" t="s">
        <v>179</v>
      </c>
      <c r="BD921" s="25" t="s">
        <v>17458</v>
      </c>
      <c r="BE921" s="25" t="s">
        <v>189</v>
      </c>
      <c r="BF921" s="29">
        <v>0.49</v>
      </c>
      <c r="BG921" s="25" t="s">
        <v>190</v>
      </c>
      <c r="BH921" s="25" t="s">
        <v>166</v>
      </c>
      <c r="BI921" s="25" t="s">
        <v>166</v>
      </c>
      <c r="BJ921" s="29" t="s">
        <v>166</v>
      </c>
      <c r="BK921" s="29" t="s">
        <v>166</v>
      </c>
      <c r="BL921" s="25" t="s">
        <v>191</v>
      </c>
      <c r="BM921" s="25" t="s">
        <v>178</v>
      </c>
      <c r="BN921" s="25" t="s">
        <v>177</v>
      </c>
      <c r="BO921" s="33" t="s">
        <v>166</v>
      </c>
      <c r="BP921" s="25" t="s">
        <v>17449</v>
      </c>
      <c r="BQ921" s="32">
        <v>1</v>
      </c>
      <c r="BR921" s="25" t="s">
        <v>166</v>
      </c>
      <c r="BS921" s="32" t="s">
        <v>166</v>
      </c>
      <c r="BT921" s="25" t="s">
        <v>166</v>
      </c>
      <c r="BU921" s="25" t="s">
        <v>166</v>
      </c>
      <c r="BV921" s="25" t="s">
        <v>3301</v>
      </c>
      <c r="BW921" s="25" t="s">
        <v>166</v>
      </c>
      <c r="BX921" s="25" t="s">
        <v>166</v>
      </c>
      <c r="BY921" s="25" t="s">
        <v>166</v>
      </c>
      <c r="BZ921" s="25" t="s">
        <v>166</v>
      </c>
      <c r="CA921" s="25" t="s">
        <v>166</v>
      </c>
      <c r="CB921" s="25" t="s">
        <v>166</v>
      </c>
      <c r="CC921" s="25" t="s">
        <v>166</v>
      </c>
      <c r="CD921" s="25" t="s">
        <v>166</v>
      </c>
      <c r="CE921" s="29" t="s">
        <v>166</v>
      </c>
      <c r="CF921" s="27" t="s">
        <v>166</v>
      </c>
      <c r="CG921" s="28" t="s">
        <v>166</v>
      </c>
      <c r="CH921" s="27" t="s">
        <v>166</v>
      </c>
      <c r="CI921" s="27" t="s">
        <v>166</v>
      </c>
      <c r="CJ921" s="27" t="s">
        <v>166</v>
      </c>
      <c r="CK921" s="27" t="s">
        <v>166</v>
      </c>
      <c r="CL921" s="27" t="s">
        <v>166</v>
      </c>
      <c r="CM921" s="31" t="s">
        <v>166</v>
      </c>
      <c r="CN921" s="27" t="s">
        <v>166</v>
      </c>
      <c r="CO921" s="27" t="s">
        <v>166</v>
      </c>
      <c r="CP921" s="27" t="s">
        <v>166</v>
      </c>
      <c r="CQ921" s="27" t="s">
        <v>166</v>
      </c>
      <c r="CR921" s="27" t="s">
        <v>166</v>
      </c>
      <c r="CS921" s="27" t="s">
        <v>166</v>
      </c>
      <c r="CT921" s="27" t="s">
        <v>166</v>
      </c>
      <c r="CU921" s="27" t="s">
        <v>166</v>
      </c>
      <c r="CV921" s="27" t="s">
        <v>166</v>
      </c>
      <c r="CW921" s="27" t="s">
        <v>166</v>
      </c>
      <c r="CX921" s="27" t="s">
        <v>166</v>
      </c>
      <c r="CY921" s="27" t="s">
        <v>166</v>
      </c>
      <c r="CZ921" s="27" t="s">
        <v>166</v>
      </c>
      <c r="DA921" s="27" t="s">
        <v>166</v>
      </c>
      <c r="DB921" s="27" t="s">
        <v>166</v>
      </c>
      <c r="DC921" s="27" t="s">
        <v>166</v>
      </c>
      <c r="DD921" s="27" t="s">
        <v>166</v>
      </c>
      <c r="DE921" s="28" t="s">
        <v>166</v>
      </c>
      <c r="DF921" s="33">
        <v>10</v>
      </c>
      <c r="DG921" s="25" t="s">
        <v>309</v>
      </c>
      <c r="DH921" s="25" t="s">
        <v>193</v>
      </c>
      <c r="DI921" s="25" t="s">
        <v>194</v>
      </c>
      <c r="DJ921" s="25" t="s">
        <v>310</v>
      </c>
      <c r="DK921" s="25" t="s">
        <v>310</v>
      </c>
      <c r="DL921" s="32" t="s">
        <v>5163</v>
      </c>
      <c r="DM921" s="25" t="s">
        <v>198</v>
      </c>
      <c r="DN921" s="24" t="s">
        <v>17459</v>
      </c>
      <c r="DO921" s="31">
        <v>2019</v>
      </c>
      <c r="DP921" s="25" t="s">
        <v>166</v>
      </c>
      <c r="DQ921" s="25" t="s">
        <v>166</v>
      </c>
      <c r="DR921" s="29" t="s">
        <v>166</v>
      </c>
      <c r="DS921" s="27" t="s">
        <v>166</v>
      </c>
      <c r="DT921" s="30" t="s">
        <v>166</v>
      </c>
      <c r="DU921" s="25" t="s">
        <v>166</v>
      </c>
      <c r="DV921" s="29" t="s">
        <v>166</v>
      </c>
      <c r="DW921" s="29" t="s">
        <v>166</v>
      </c>
      <c r="DX921" s="27" t="s">
        <v>166</v>
      </c>
      <c r="DY921" s="27" t="s">
        <v>166</v>
      </c>
      <c r="DZ921" s="28" t="s">
        <v>166</v>
      </c>
      <c r="EA921" s="27" t="s">
        <v>166</v>
      </c>
      <c r="EB921" s="27" t="s">
        <v>166</v>
      </c>
      <c r="EC921" s="27" t="s">
        <v>166</v>
      </c>
      <c r="ED921" s="28" t="s">
        <v>166</v>
      </c>
      <c r="EE921" s="28" t="s">
        <v>166</v>
      </c>
      <c r="EF921" s="28" t="s">
        <v>166</v>
      </c>
      <c r="EG921" s="28" t="s">
        <v>166</v>
      </c>
      <c r="EH921" s="27" t="s">
        <v>166</v>
      </c>
      <c r="EI921" s="27" t="s">
        <v>166</v>
      </c>
      <c r="EJ921" s="27" t="s">
        <v>166</v>
      </c>
      <c r="EK921" s="27" t="s">
        <v>166</v>
      </c>
      <c r="EL921" s="27" t="s">
        <v>166</v>
      </c>
      <c r="EM921" s="27" t="s">
        <v>166</v>
      </c>
      <c r="EN921" s="27" t="s">
        <v>166</v>
      </c>
      <c r="EO921" s="27" t="s">
        <v>166</v>
      </c>
      <c r="EP921" s="27" t="s">
        <v>166</v>
      </c>
      <c r="EQ921" s="27" t="s">
        <v>166</v>
      </c>
      <c r="ER921" s="27" t="s">
        <v>166</v>
      </c>
      <c r="ES921" s="27" t="s">
        <v>166</v>
      </c>
      <c r="ET921" s="25" t="s">
        <v>166</v>
      </c>
      <c r="EU921" s="27" t="s">
        <v>166</v>
      </c>
      <c r="EV921" s="27" t="s">
        <v>166</v>
      </c>
      <c r="EW921" s="27" t="s">
        <v>166</v>
      </c>
      <c r="EX921" s="25" t="s">
        <v>190</v>
      </c>
      <c r="EY921" s="25" t="s">
        <v>166</v>
      </c>
      <c r="EZ921" s="27" t="s">
        <v>166</v>
      </c>
      <c r="FA921" s="26" t="s">
        <v>166</v>
      </c>
      <c r="FB921" s="26" t="s">
        <v>166</v>
      </c>
      <c r="FC921" s="26" t="s">
        <v>166</v>
      </c>
      <c r="FD921" s="26" t="s">
        <v>166</v>
      </c>
      <c r="FE921" s="26" t="s">
        <v>166</v>
      </c>
      <c r="FF921" s="26" t="s">
        <v>166</v>
      </c>
      <c r="FG921" s="25" t="s">
        <v>166</v>
      </c>
      <c r="FH921" s="4">
        <f>HYPERLINK("https://my.pitchbook.com?c=232904-89T","View Company Online")</f>
      </c>
    </row>
    <row r="922">
      <c r="A922" s="14" t="s">
        <v>17460</v>
      </c>
      <c r="B922" s="14" t="s">
        <v>17461</v>
      </c>
      <c r="C922" s="14" t="s">
        <v>17462</v>
      </c>
      <c r="D922" s="14" t="s">
        <v>166</v>
      </c>
      <c r="E922" s="23" t="s">
        <v>17463</v>
      </c>
      <c r="F922" s="21">
        <v>9</v>
      </c>
      <c r="G922" s="14" t="s">
        <v>17464</v>
      </c>
      <c r="H922" s="14" t="s">
        <v>166</v>
      </c>
      <c r="I922" s="14" t="s">
        <v>17465</v>
      </c>
      <c r="J922" s="14" t="s">
        <v>17466</v>
      </c>
      <c r="K922" s="14" t="s">
        <v>207</v>
      </c>
      <c r="L922" s="14" t="s">
        <v>208</v>
      </c>
      <c r="M922" s="14" t="s">
        <v>1766</v>
      </c>
      <c r="N922" s="14" t="s">
        <v>2393</v>
      </c>
      <c r="O922" s="14" t="s">
        <v>9758</v>
      </c>
      <c r="P922" s="14" t="s">
        <v>17467</v>
      </c>
      <c r="Q922" s="14" t="s">
        <v>166</v>
      </c>
      <c r="R922" s="14" t="s">
        <v>177</v>
      </c>
      <c r="S922" s="14" t="s">
        <v>178</v>
      </c>
      <c r="T922" s="14" t="s">
        <v>179</v>
      </c>
      <c r="U922" s="14" t="s">
        <v>17468</v>
      </c>
      <c r="V922" s="14" t="s">
        <v>17469</v>
      </c>
      <c r="W922" s="21" t="s">
        <v>166</v>
      </c>
      <c r="X922" s="14" t="s">
        <v>17470</v>
      </c>
      <c r="Y922" s="14" t="s">
        <v>17471</v>
      </c>
      <c r="Z922" s="14" t="s">
        <v>17472</v>
      </c>
      <c r="AA922" s="14" t="s">
        <v>242</v>
      </c>
      <c r="AB922" s="14" t="s">
        <v>243</v>
      </c>
      <c r="AC922" s="14" t="s">
        <v>244</v>
      </c>
      <c r="AD922" s="14" t="s">
        <v>243</v>
      </c>
      <c r="AE922" s="14" t="s">
        <v>243</v>
      </c>
      <c r="AF922" s="14" t="s">
        <v>245</v>
      </c>
      <c r="AG922" s="14" t="s">
        <v>246</v>
      </c>
      <c r="AH922" s="21">
        <v>1</v>
      </c>
      <c r="AI922" s="3">
        <f>HYPERLINK("https://my.pitchbook.com/?d=181930-15T","181930-15T")</f>
      </c>
      <c r="AJ922" s="19" t="s">
        <v>166</v>
      </c>
      <c r="AK922" s="19">
        <v>44832</v>
      </c>
      <c r="AL922" s="18">
        <v>8.5</v>
      </c>
      <c r="AM922" s="14" t="s">
        <v>185</v>
      </c>
      <c r="AN922" s="18">
        <v>18.5</v>
      </c>
      <c r="AO922" s="18">
        <v>24</v>
      </c>
      <c r="AP922" s="14" t="s">
        <v>185</v>
      </c>
      <c r="AQ922" s="21" t="s">
        <v>166</v>
      </c>
      <c r="AR922" s="21" t="s">
        <v>166</v>
      </c>
      <c r="AS922" s="17">
        <v>22.92</v>
      </c>
      <c r="AT922" s="18">
        <v>8.5</v>
      </c>
      <c r="AU922" s="21" t="s">
        <v>186</v>
      </c>
      <c r="AV922" s="21" t="s">
        <v>166</v>
      </c>
      <c r="AW922" s="18">
        <v>1.65</v>
      </c>
      <c r="AX922" s="21" t="s">
        <v>166</v>
      </c>
      <c r="AY922" s="14" t="s">
        <v>217</v>
      </c>
      <c r="AZ922" s="14" t="s">
        <v>217</v>
      </c>
      <c r="BA922" s="14" t="s">
        <v>166</v>
      </c>
      <c r="BB922" s="21" t="s">
        <v>166</v>
      </c>
      <c r="BC922" s="14" t="s">
        <v>179</v>
      </c>
      <c r="BD922" s="14" t="s">
        <v>17473</v>
      </c>
      <c r="BE922" s="14" t="s">
        <v>189</v>
      </c>
      <c r="BF922" s="18">
        <v>5.5</v>
      </c>
      <c r="BG922" s="14" t="s">
        <v>190</v>
      </c>
      <c r="BH922" s="14" t="s">
        <v>166</v>
      </c>
      <c r="BI922" s="14" t="s">
        <v>166</v>
      </c>
      <c r="BJ922" s="18">
        <v>3</v>
      </c>
      <c r="BK922" s="18" t="s">
        <v>166</v>
      </c>
      <c r="BL922" s="14" t="s">
        <v>191</v>
      </c>
      <c r="BM922" s="14" t="s">
        <v>178</v>
      </c>
      <c r="BN922" s="14" t="s">
        <v>177</v>
      </c>
      <c r="BO922" s="22" t="s">
        <v>166</v>
      </c>
      <c r="BP922" s="14" t="s">
        <v>17474</v>
      </c>
      <c r="BQ922" s="21">
        <v>9</v>
      </c>
      <c r="BR922" s="14" t="s">
        <v>166</v>
      </c>
      <c r="BS922" s="21" t="s">
        <v>166</v>
      </c>
      <c r="BT922" s="14" t="s">
        <v>17475</v>
      </c>
      <c r="BU922" s="14" t="s">
        <v>166</v>
      </c>
      <c r="BV922" s="14" t="s">
        <v>17476</v>
      </c>
      <c r="BW922" s="14" t="s">
        <v>166</v>
      </c>
      <c r="BX922" s="14" t="s">
        <v>166</v>
      </c>
      <c r="BY922" s="14" t="s">
        <v>166</v>
      </c>
      <c r="BZ922" s="14" t="s">
        <v>996</v>
      </c>
      <c r="CA922" s="14" t="s">
        <v>996</v>
      </c>
      <c r="CB922" s="14" t="s">
        <v>166</v>
      </c>
      <c r="CC922" s="14" t="s">
        <v>166</v>
      </c>
      <c r="CD922" s="14" t="s">
        <v>166</v>
      </c>
      <c r="CE922" s="18" t="s">
        <v>166</v>
      </c>
      <c r="CF922" s="16" t="s">
        <v>166</v>
      </c>
      <c r="CG922" s="17" t="s">
        <v>166</v>
      </c>
      <c r="CH922" s="16" t="s">
        <v>166</v>
      </c>
      <c r="CI922" s="16" t="s">
        <v>166</v>
      </c>
      <c r="CJ922" s="16" t="s">
        <v>166</v>
      </c>
      <c r="CK922" s="16" t="s">
        <v>166</v>
      </c>
      <c r="CL922" s="16" t="s">
        <v>166</v>
      </c>
      <c r="CM922" s="20" t="s">
        <v>166</v>
      </c>
      <c r="CN922" s="16" t="s">
        <v>166</v>
      </c>
      <c r="CO922" s="16" t="s">
        <v>166</v>
      </c>
      <c r="CP922" s="16" t="s">
        <v>166</v>
      </c>
      <c r="CQ922" s="16" t="s">
        <v>166</v>
      </c>
      <c r="CR922" s="16" t="s">
        <v>166</v>
      </c>
      <c r="CS922" s="16" t="s">
        <v>166</v>
      </c>
      <c r="CT922" s="16" t="s">
        <v>166</v>
      </c>
      <c r="CU922" s="16" t="s">
        <v>166</v>
      </c>
      <c r="CV922" s="16" t="s">
        <v>166</v>
      </c>
      <c r="CW922" s="16" t="s">
        <v>166</v>
      </c>
      <c r="CX922" s="16" t="s">
        <v>166</v>
      </c>
      <c r="CY922" s="16">
        <v>0.55</v>
      </c>
      <c r="CZ922" s="16" t="s">
        <v>166</v>
      </c>
      <c r="DA922" s="16" t="s">
        <v>166</v>
      </c>
      <c r="DB922" s="16" t="s">
        <v>166</v>
      </c>
      <c r="DC922" s="16" t="s">
        <v>166</v>
      </c>
      <c r="DD922" s="16" t="s">
        <v>166</v>
      </c>
      <c r="DE922" s="17" t="s">
        <v>166</v>
      </c>
      <c r="DF922" s="22">
        <v>17</v>
      </c>
      <c r="DG922" s="14" t="s">
        <v>673</v>
      </c>
      <c r="DH922" s="14" t="s">
        <v>193</v>
      </c>
      <c r="DI922" s="14" t="s">
        <v>194</v>
      </c>
      <c r="DJ922" s="14" t="s">
        <v>674</v>
      </c>
      <c r="DK922" s="14" t="s">
        <v>257</v>
      </c>
      <c r="DL922" s="21" t="s">
        <v>675</v>
      </c>
      <c r="DM922" s="14" t="s">
        <v>198</v>
      </c>
      <c r="DN922" s="13" t="s">
        <v>17477</v>
      </c>
      <c r="DO922" s="20">
        <v>2021</v>
      </c>
      <c r="DP922" s="14" t="s">
        <v>166</v>
      </c>
      <c r="DQ922" s="14" t="s">
        <v>17478</v>
      </c>
      <c r="DR922" s="18">
        <v>3</v>
      </c>
      <c r="DS922" s="16" t="s">
        <v>166</v>
      </c>
      <c r="DT922" s="19" t="s">
        <v>166</v>
      </c>
      <c r="DU922" s="14" t="s">
        <v>166</v>
      </c>
      <c r="DV922" s="18" t="s">
        <v>166</v>
      </c>
      <c r="DW922" s="18" t="s">
        <v>166</v>
      </c>
      <c r="DX922" s="16" t="s">
        <v>166</v>
      </c>
      <c r="DY922" s="16" t="s">
        <v>166</v>
      </c>
      <c r="DZ922" s="17" t="s">
        <v>166</v>
      </c>
      <c r="EA922" s="16" t="s">
        <v>166</v>
      </c>
      <c r="EB922" s="16" t="s">
        <v>166</v>
      </c>
      <c r="EC922" s="16" t="s">
        <v>166</v>
      </c>
      <c r="ED922" s="17" t="s">
        <v>166</v>
      </c>
      <c r="EE922" s="17" t="s">
        <v>166</v>
      </c>
      <c r="EF922" s="17" t="s">
        <v>166</v>
      </c>
      <c r="EG922" s="17" t="s">
        <v>166</v>
      </c>
      <c r="EH922" s="16" t="s">
        <v>166</v>
      </c>
      <c r="EI922" s="16" t="s">
        <v>166</v>
      </c>
      <c r="EJ922" s="16" t="s">
        <v>166</v>
      </c>
      <c r="EK922" s="16" t="s">
        <v>166</v>
      </c>
      <c r="EL922" s="16" t="s">
        <v>166</v>
      </c>
      <c r="EM922" s="16" t="s">
        <v>166</v>
      </c>
      <c r="EN922" s="16" t="s">
        <v>166</v>
      </c>
      <c r="EO922" s="16" t="s">
        <v>166</v>
      </c>
      <c r="EP922" s="16" t="s">
        <v>166</v>
      </c>
      <c r="EQ922" s="16" t="s">
        <v>166</v>
      </c>
      <c r="ER922" s="16" t="s">
        <v>166</v>
      </c>
      <c r="ES922" s="16" t="s">
        <v>166</v>
      </c>
      <c r="ET922" s="14" t="s">
        <v>166</v>
      </c>
      <c r="EU922" s="16" t="s">
        <v>166</v>
      </c>
      <c r="EV922" s="16" t="s">
        <v>166</v>
      </c>
      <c r="EW922" s="16" t="s">
        <v>166</v>
      </c>
      <c r="EX922" s="14" t="s">
        <v>190</v>
      </c>
      <c r="EY922" s="14" t="s">
        <v>190</v>
      </c>
      <c r="EZ922" s="16" t="s">
        <v>166</v>
      </c>
      <c r="FA922" s="15" t="s">
        <v>166</v>
      </c>
      <c r="FB922" s="15" t="s">
        <v>166</v>
      </c>
      <c r="FC922" s="15" t="s">
        <v>166</v>
      </c>
      <c r="FD922" s="15" t="s">
        <v>166</v>
      </c>
      <c r="FE922" s="15" t="s">
        <v>166</v>
      </c>
      <c r="FF922" s="15" t="s">
        <v>166</v>
      </c>
      <c r="FG922" s="14" t="s">
        <v>166</v>
      </c>
      <c r="FH922" s="3">
        <f>HYPERLINK("https://my.pitchbook.com?c=181930-15T","View Company Online")</f>
      </c>
    </row>
    <row r="923">
      <c r="A923" s="25" t="s">
        <v>17479</v>
      </c>
      <c r="B923" s="25" t="s">
        <v>17480</v>
      </c>
      <c r="C923" s="25" t="s">
        <v>17481</v>
      </c>
      <c r="D923" s="25" t="s">
        <v>166</v>
      </c>
      <c r="E923" s="34" t="s">
        <v>17482</v>
      </c>
      <c r="F923" s="32">
        <v>15</v>
      </c>
      <c r="G923" s="25" t="s">
        <v>17483</v>
      </c>
      <c r="H923" s="25" t="s">
        <v>166</v>
      </c>
      <c r="I923" s="25" t="s">
        <v>17484</v>
      </c>
      <c r="J923" s="25" t="s">
        <v>17485</v>
      </c>
      <c r="K923" s="25" t="s">
        <v>321</v>
      </c>
      <c r="L923" s="25" t="s">
        <v>322</v>
      </c>
      <c r="M923" s="25" t="s">
        <v>322</v>
      </c>
      <c r="N923" s="25" t="s">
        <v>2410</v>
      </c>
      <c r="O923" s="25" t="s">
        <v>945</v>
      </c>
      <c r="P923" s="25" t="s">
        <v>17486</v>
      </c>
      <c r="Q923" s="25" t="s">
        <v>166</v>
      </c>
      <c r="R923" s="25" t="s">
        <v>177</v>
      </c>
      <c r="S923" s="25" t="s">
        <v>178</v>
      </c>
      <c r="T923" s="25" t="s">
        <v>179</v>
      </c>
      <c r="U923" s="25" t="s">
        <v>17487</v>
      </c>
      <c r="V923" s="25" t="s">
        <v>17488</v>
      </c>
      <c r="W923" s="32" t="s">
        <v>166</v>
      </c>
      <c r="X923" s="25" t="s">
        <v>17489</v>
      </c>
      <c r="Y923" s="25" t="s">
        <v>17490</v>
      </c>
      <c r="Z923" s="25" t="s">
        <v>17491</v>
      </c>
      <c r="AA923" s="25" t="s">
        <v>242</v>
      </c>
      <c r="AB923" s="25" t="s">
        <v>243</v>
      </c>
      <c r="AC923" s="25" t="s">
        <v>244</v>
      </c>
      <c r="AD923" s="25" t="s">
        <v>243</v>
      </c>
      <c r="AE923" s="25" t="s">
        <v>243</v>
      </c>
      <c r="AF923" s="25" t="s">
        <v>166</v>
      </c>
      <c r="AG923" s="25" t="s">
        <v>246</v>
      </c>
      <c r="AH923" s="32">
        <v>1</v>
      </c>
      <c r="AI923" s="4">
        <f>HYPERLINK("https://my.pitchbook.com/?d=181115-02T","181115-02T")</f>
      </c>
      <c r="AJ923" s="30" t="s">
        <v>166</v>
      </c>
      <c r="AK923" s="30">
        <v>44753</v>
      </c>
      <c r="AL923" s="29">
        <v>1.4</v>
      </c>
      <c r="AM923" s="25" t="s">
        <v>185</v>
      </c>
      <c r="AN923" s="29">
        <v>8.6</v>
      </c>
      <c r="AO923" s="29">
        <v>10</v>
      </c>
      <c r="AP923" s="25" t="s">
        <v>185</v>
      </c>
      <c r="AQ923" s="32" t="s">
        <v>166</v>
      </c>
      <c r="AR923" s="32" t="s">
        <v>166</v>
      </c>
      <c r="AS923" s="28">
        <v>14.04</v>
      </c>
      <c r="AT923" s="29">
        <v>1.4</v>
      </c>
      <c r="AU923" s="32" t="s">
        <v>186</v>
      </c>
      <c r="AV923" s="32" t="s">
        <v>166</v>
      </c>
      <c r="AW923" s="29">
        <v>1.25</v>
      </c>
      <c r="AX923" s="32" t="s">
        <v>166</v>
      </c>
      <c r="AY923" s="25" t="s">
        <v>217</v>
      </c>
      <c r="AZ923" s="25" t="s">
        <v>217</v>
      </c>
      <c r="BA923" s="25" t="s">
        <v>166</v>
      </c>
      <c r="BB923" s="32" t="s">
        <v>166</v>
      </c>
      <c r="BC923" s="25" t="s">
        <v>179</v>
      </c>
      <c r="BD923" s="25" t="s">
        <v>17492</v>
      </c>
      <c r="BE923" s="25" t="s">
        <v>189</v>
      </c>
      <c r="BF923" s="29">
        <v>1.4</v>
      </c>
      <c r="BG923" s="25" t="s">
        <v>190</v>
      </c>
      <c r="BH923" s="25" t="s">
        <v>166</v>
      </c>
      <c r="BI923" s="25" t="s">
        <v>166</v>
      </c>
      <c r="BJ923" s="29" t="s">
        <v>166</v>
      </c>
      <c r="BK923" s="29" t="s">
        <v>166</v>
      </c>
      <c r="BL923" s="25" t="s">
        <v>191</v>
      </c>
      <c r="BM923" s="25" t="s">
        <v>178</v>
      </c>
      <c r="BN923" s="25" t="s">
        <v>177</v>
      </c>
      <c r="BO923" s="33" t="s">
        <v>166</v>
      </c>
      <c r="BP923" s="25" t="s">
        <v>17493</v>
      </c>
      <c r="BQ923" s="32">
        <v>15</v>
      </c>
      <c r="BR923" s="25" t="s">
        <v>166</v>
      </c>
      <c r="BS923" s="32" t="s">
        <v>166</v>
      </c>
      <c r="BT923" s="25" t="s">
        <v>17494</v>
      </c>
      <c r="BU923" s="25" t="s">
        <v>166</v>
      </c>
      <c r="BV923" s="25" t="s">
        <v>17495</v>
      </c>
      <c r="BW923" s="25" t="s">
        <v>166</v>
      </c>
      <c r="BX923" s="25" t="s">
        <v>166</v>
      </c>
      <c r="BY923" s="25" t="s">
        <v>166</v>
      </c>
      <c r="BZ923" s="25" t="s">
        <v>1327</v>
      </c>
      <c r="CA923" s="25" t="s">
        <v>1327</v>
      </c>
      <c r="CB923" s="25" t="s">
        <v>166</v>
      </c>
      <c r="CC923" s="25" t="s">
        <v>166</v>
      </c>
      <c r="CD923" s="25" t="s">
        <v>166</v>
      </c>
      <c r="CE923" s="29" t="s">
        <v>166</v>
      </c>
      <c r="CF923" s="27" t="s">
        <v>166</v>
      </c>
      <c r="CG923" s="28" t="s">
        <v>166</v>
      </c>
      <c r="CH923" s="27" t="s">
        <v>166</v>
      </c>
      <c r="CI923" s="27" t="s">
        <v>166</v>
      </c>
      <c r="CJ923" s="27" t="s">
        <v>166</v>
      </c>
      <c r="CK923" s="27" t="s">
        <v>166</v>
      </c>
      <c r="CL923" s="27" t="s">
        <v>166</v>
      </c>
      <c r="CM923" s="31" t="s">
        <v>166</v>
      </c>
      <c r="CN923" s="27" t="s">
        <v>166</v>
      </c>
      <c r="CO923" s="27" t="s">
        <v>166</v>
      </c>
      <c r="CP923" s="27" t="s">
        <v>166</v>
      </c>
      <c r="CQ923" s="27" t="s">
        <v>166</v>
      </c>
      <c r="CR923" s="27" t="s">
        <v>166</v>
      </c>
      <c r="CS923" s="27" t="s">
        <v>166</v>
      </c>
      <c r="CT923" s="27" t="s">
        <v>166</v>
      </c>
      <c r="CU923" s="27" t="s">
        <v>166</v>
      </c>
      <c r="CV923" s="27" t="s">
        <v>166</v>
      </c>
      <c r="CW923" s="27" t="s">
        <v>166</v>
      </c>
      <c r="CX923" s="27" t="s">
        <v>166</v>
      </c>
      <c r="CY923" s="27" t="s">
        <v>166</v>
      </c>
      <c r="CZ923" s="27" t="s">
        <v>166</v>
      </c>
      <c r="DA923" s="27" t="s">
        <v>166</v>
      </c>
      <c r="DB923" s="27" t="s">
        <v>166</v>
      </c>
      <c r="DC923" s="27" t="s">
        <v>166</v>
      </c>
      <c r="DD923" s="27" t="s">
        <v>166</v>
      </c>
      <c r="DE923" s="28" t="s">
        <v>166</v>
      </c>
      <c r="DF923" s="33">
        <v>8</v>
      </c>
      <c r="DG923" s="25" t="s">
        <v>673</v>
      </c>
      <c r="DH923" s="25" t="s">
        <v>193</v>
      </c>
      <c r="DI923" s="25" t="s">
        <v>194</v>
      </c>
      <c r="DJ923" s="25" t="s">
        <v>674</v>
      </c>
      <c r="DK923" s="25" t="s">
        <v>257</v>
      </c>
      <c r="DL923" s="32" t="s">
        <v>1329</v>
      </c>
      <c r="DM923" s="25" t="s">
        <v>198</v>
      </c>
      <c r="DN923" s="24" t="s">
        <v>17496</v>
      </c>
      <c r="DO923" s="31">
        <v>2020</v>
      </c>
      <c r="DP923" s="25" t="s">
        <v>166</v>
      </c>
      <c r="DQ923" s="25" t="s">
        <v>166</v>
      </c>
      <c r="DR923" s="29" t="s">
        <v>166</v>
      </c>
      <c r="DS923" s="27" t="s">
        <v>166</v>
      </c>
      <c r="DT923" s="30" t="s">
        <v>166</v>
      </c>
      <c r="DU923" s="25" t="s">
        <v>166</v>
      </c>
      <c r="DV923" s="29" t="s">
        <v>166</v>
      </c>
      <c r="DW923" s="29" t="s">
        <v>166</v>
      </c>
      <c r="DX923" s="27" t="s">
        <v>166</v>
      </c>
      <c r="DY923" s="27" t="s">
        <v>166</v>
      </c>
      <c r="DZ923" s="28" t="s">
        <v>166</v>
      </c>
      <c r="EA923" s="27" t="s">
        <v>166</v>
      </c>
      <c r="EB923" s="27" t="s">
        <v>166</v>
      </c>
      <c r="EC923" s="27" t="s">
        <v>166</v>
      </c>
      <c r="ED923" s="28" t="s">
        <v>166</v>
      </c>
      <c r="EE923" s="28" t="s">
        <v>166</v>
      </c>
      <c r="EF923" s="28" t="s">
        <v>166</v>
      </c>
      <c r="EG923" s="28" t="s">
        <v>166</v>
      </c>
      <c r="EH923" s="27" t="s">
        <v>166</v>
      </c>
      <c r="EI923" s="27" t="s">
        <v>166</v>
      </c>
      <c r="EJ923" s="27" t="s">
        <v>166</v>
      </c>
      <c r="EK923" s="27" t="s">
        <v>166</v>
      </c>
      <c r="EL923" s="27" t="s">
        <v>166</v>
      </c>
      <c r="EM923" s="27" t="s">
        <v>166</v>
      </c>
      <c r="EN923" s="27" t="s">
        <v>166</v>
      </c>
      <c r="EO923" s="27" t="s">
        <v>166</v>
      </c>
      <c r="EP923" s="27" t="s">
        <v>166</v>
      </c>
      <c r="EQ923" s="27" t="s">
        <v>166</v>
      </c>
      <c r="ER923" s="27" t="s">
        <v>166</v>
      </c>
      <c r="ES923" s="27" t="s">
        <v>166</v>
      </c>
      <c r="ET923" s="25" t="s">
        <v>166</v>
      </c>
      <c r="EU923" s="27" t="s">
        <v>166</v>
      </c>
      <c r="EV923" s="27" t="s">
        <v>166</v>
      </c>
      <c r="EW923" s="27" t="s">
        <v>166</v>
      </c>
      <c r="EX923" s="25" t="s">
        <v>190</v>
      </c>
      <c r="EY923" s="25" t="s">
        <v>166</v>
      </c>
      <c r="EZ923" s="27" t="s">
        <v>166</v>
      </c>
      <c r="FA923" s="26" t="s">
        <v>166</v>
      </c>
      <c r="FB923" s="26" t="s">
        <v>166</v>
      </c>
      <c r="FC923" s="26" t="s">
        <v>166</v>
      </c>
      <c r="FD923" s="26" t="s">
        <v>166</v>
      </c>
      <c r="FE923" s="26" t="s">
        <v>166</v>
      </c>
      <c r="FF923" s="26" t="s">
        <v>166</v>
      </c>
      <c r="FG923" s="25" t="s">
        <v>166</v>
      </c>
      <c r="FH923" s="4">
        <f>HYPERLINK("https://my.pitchbook.com?c=181115-02T","View Company Online")</f>
      </c>
    </row>
    <row r="924">
      <c r="A924" s="14" t="s">
        <v>17497</v>
      </c>
      <c r="B924" s="14" t="s">
        <v>17498</v>
      </c>
      <c r="C924" s="14" t="s">
        <v>17499</v>
      </c>
      <c r="D924" s="14" t="s">
        <v>166</v>
      </c>
      <c r="E924" s="23" t="s">
        <v>17500</v>
      </c>
      <c r="F924" s="21">
        <v>10</v>
      </c>
      <c r="G924" s="14" t="s">
        <v>17501</v>
      </c>
      <c r="H924" s="14" t="s">
        <v>166</v>
      </c>
      <c r="I924" s="14" t="s">
        <v>17502</v>
      </c>
      <c r="J924" s="14" t="s">
        <v>17503</v>
      </c>
      <c r="K924" s="14" t="s">
        <v>1455</v>
      </c>
      <c r="L924" s="14" t="s">
        <v>1456</v>
      </c>
      <c r="M924" s="14" t="s">
        <v>1457</v>
      </c>
      <c r="N924" s="14" t="s">
        <v>17504</v>
      </c>
      <c r="O924" s="14" t="s">
        <v>166</v>
      </c>
      <c r="P924" s="14" t="s">
        <v>17505</v>
      </c>
      <c r="Q924" s="14" t="s">
        <v>166</v>
      </c>
      <c r="R924" s="14" t="s">
        <v>177</v>
      </c>
      <c r="S924" s="14" t="s">
        <v>785</v>
      </c>
      <c r="T924" s="14" t="s">
        <v>179</v>
      </c>
      <c r="U924" s="14" t="s">
        <v>17506</v>
      </c>
      <c r="V924" s="14" t="s">
        <v>17507</v>
      </c>
      <c r="W924" s="21" t="s">
        <v>17508</v>
      </c>
      <c r="X924" s="14" t="s">
        <v>17509</v>
      </c>
      <c r="Y924" s="14" t="s">
        <v>17510</v>
      </c>
      <c r="Z924" s="14" t="s">
        <v>17511</v>
      </c>
      <c r="AA924" s="14" t="s">
        <v>242</v>
      </c>
      <c r="AB924" s="14" t="s">
        <v>243</v>
      </c>
      <c r="AC924" s="14" t="s">
        <v>244</v>
      </c>
      <c r="AD924" s="14" t="s">
        <v>243</v>
      </c>
      <c r="AE924" s="14" t="s">
        <v>243</v>
      </c>
      <c r="AF924" s="14" t="s">
        <v>166</v>
      </c>
      <c r="AG924" s="14" t="s">
        <v>246</v>
      </c>
      <c r="AH924" s="21">
        <v>1</v>
      </c>
      <c r="AI924" s="3">
        <f>HYPERLINK("https://my.pitchbook.com/?d=228632-77T","228632-77T")</f>
      </c>
      <c r="AJ924" s="19">
        <v>45099</v>
      </c>
      <c r="AK924" s="19">
        <v>45152</v>
      </c>
      <c r="AL924" s="18">
        <v>9.24</v>
      </c>
      <c r="AM924" s="14" t="s">
        <v>185</v>
      </c>
      <c r="AN924" s="18">
        <v>18</v>
      </c>
      <c r="AO924" s="18">
        <v>27.24</v>
      </c>
      <c r="AP924" s="14" t="s">
        <v>185</v>
      </c>
      <c r="AQ924" s="21" t="s">
        <v>166</v>
      </c>
      <c r="AR924" s="21" t="s">
        <v>166</v>
      </c>
      <c r="AS924" s="17">
        <v>42.83</v>
      </c>
      <c r="AT924" s="18">
        <v>9.24</v>
      </c>
      <c r="AU924" s="21" t="s">
        <v>186</v>
      </c>
      <c r="AV924" s="21" t="s">
        <v>166</v>
      </c>
      <c r="AW924" s="18">
        <v>1.26</v>
      </c>
      <c r="AX924" s="21" t="s">
        <v>166</v>
      </c>
      <c r="AY924" s="14" t="s">
        <v>217</v>
      </c>
      <c r="AZ924" s="14" t="s">
        <v>217</v>
      </c>
      <c r="BA924" s="14" t="s">
        <v>166</v>
      </c>
      <c r="BB924" s="21" t="s">
        <v>166</v>
      </c>
      <c r="BC924" s="14" t="s">
        <v>179</v>
      </c>
      <c r="BD924" s="14" t="s">
        <v>17512</v>
      </c>
      <c r="BE924" s="14" t="s">
        <v>189</v>
      </c>
      <c r="BF924" s="18">
        <v>9.24</v>
      </c>
      <c r="BG924" s="14" t="s">
        <v>190</v>
      </c>
      <c r="BH924" s="14" t="s">
        <v>166</v>
      </c>
      <c r="BI924" s="14" t="s">
        <v>166</v>
      </c>
      <c r="BJ924" s="18" t="s">
        <v>166</v>
      </c>
      <c r="BK924" s="18" t="s">
        <v>166</v>
      </c>
      <c r="BL924" s="14" t="s">
        <v>191</v>
      </c>
      <c r="BM924" s="14" t="s">
        <v>785</v>
      </c>
      <c r="BN924" s="14" t="s">
        <v>177</v>
      </c>
      <c r="BO924" s="22" t="s">
        <v>166</v>
      </c>
      <c r="BP924" s="14" t="s">
        <v>17513</v>
      </c>
      <c r="BQ924" s="21">
        <v>10</v>
      </c>
      <c r="BR924" s="14" t="s">
        <v>166</v>
      </c>
      <c r="BS924" s="21" t="s">
        <v>166</v>
      </c>
      <c r="BT924" s="14" t="s">
        <v>17514</v>
      </c>
      <c r="BU924" s="14" t="s">
        <v>166</v>
      </c>
      <c r="BV924" s="14" t="s">
        <v>17515</v>
      </c>
      <c r="BW924" s="14" t="s">
        <v>166</v>
      </c>
      <c r="BX924" s="14" t="s">
        <v>166</v>
      </c>
      <c r="BY924" s="14" t="s">
        <v>166</v>
      </c>
      <c r="BZ924" s="14" t="s">
        <v>17516</v>
      </c>
      <c r="CA924" s="14" t="s">
        <v>1232</v>
      </c>
      <c r="CB924" s="14" t="s">
        <v>166</v>
      </c>
      <c r="CC924" s="14" t="s">
        <v>3645</v>
      </c>
      <c r="CD924" s="14" t="s">
        <v>166</v>
      </c>
      <c r="CE924" s="18" t="s">
        <v>166</v>
      </c>
      <c r="CF924" s="16" t="s">
        <v>166</v>
      </c>
      <c r="CG924" s="17" t="s">
        <v>166</v>
      </c>
      <c r="CH924" s="16" t="s">
        <v>166</v>
      </c>
      <c r="CI924" s="16" t="s">
        <v>166</v>
      </c>
      <c r="CJ924" s="16" t="s">
        <v>166</v>
      </c>
      <c r="CK924" s="16" t="s">
        <v>166</v>
      </c>
      <c r="CL924" s="16" t="s">
        <v>166</v>
      </c>
      <c r="CM924" s="20" t="s">
        <v>166</v>
      </c>
      <c r="CN924" s="16" t="s">
        <v>166</v>
      </c>
      <c r="CO924" s="16" t="s">
        <v>166</v>
      </c>
      <c r="CP924" s="16" t="s">
        <v>166</v>
      </c>
      <c r="CQ924" s="16" t="s">
        <v>166</v>
      </c>
      <c r="CR924" s="16" t="s">
        <v>166</v>
      </c>
      <c r="CS924" s="16" t="s">
        <v>166</v>
      </c>
      <c r="CT924" s="16" t="s">
        <v>166</v>
      </c>
      <c r="CU924" s="16" t="s">
        <v>166</v>
      </c>
      <c r="CV924" s="16" t="s">
        <v>166</v>
      </c>
      <c r="CW924" s="16" t="s">
        <v>166</v>
      </c>
      <c r="CX924" s="16" t="s">
        <v>166</v>
      </c>
      <c r="CY924" s="16" t="s">
        <v>166</v>
      </c>
      <c r="CZ924" s="16" t="s">
        <v>166</v>
      </c>
      <c r="DA924" s="16" t="s">
        <v>166</v>
      </c>
      <c r="DB924" s="16" t="s">
        <v>166</v>
      </c>
      <c r="DC924" s="16" t="s">
        <v>166</v>
      </c>
      <c r="DD924" s="16" t="s">
        <v>166</v>
      </c>
      <c r="DE924" s="17" t="s">
        <v>166</v>
      </c>
      <c r="DF924" s="22">
        <v>10</v>
      </c>
      <c r="DG924" s="14" t="s">
        <v>17517</v>
      </c>
      <c r="DH924" s="14" t="s">
        <v>193</v>
      </c>
      <c r="DI924" s="14" t="s">
        <v>194</v>
      </c>
      <c r="DJ924" s="14" t="s">
        <v>17518</v>
      </c>
      <c r="DK924" s="14" t="s">
        <v>4671</v>
      </c>
      <c r="DL924" s="21" t="s">
        <v>17519</v>
      </c>
      <c r="DM924" s="14" t="s">
        <v>198</v>
      </c>
      <c r="DN924" s="13" t="s">
        <v>17520</v>
      </c>
      <c r="DO924" s="20">
        <v>2022</v>
      </c>
      <c r="DP924" s="14" t="s">
        <v>166</v>
      </c>
      <c r="DQ924" s="14" t="s">
        <v>166</v>
      </c>
      <c r="DR924" s="18" t="s">
        <v>166</v>
      </c>
      <c r="DS924" s="16" t="s">
        <v>166</v>
      </c>
      <c r="DT924" s="19" t="s">
        <v>166</v>
      </c>
      <c r="DU924" s="14" t="s">
        <v>166</v>
      </c>
      <c r="DV924" s="18" t="s">
        <v>166</v>
      </c>
      <c r="DW924" s="18" t="s">
        <v>166</v>
      </c>
      <c r="DX924" s="16" t="s">
        <v>166</v>
      </c>
      <c r="DY924" s="16" t="s">
        <v>166</v>
      </c>
      <c r="DZ924" s="17" t="s">
        <v>166</v>
      </c>
      <c r="EA924" s="16" t="s">
        <v>166</v>
      </c>
      <c r="EB924" s="16" t="s">
        <v>166</v>
      </c>
      <c r="EC924" s="16" t="s">
        <v>166</v>
      </c>
      <c r="ED924" s="17" t="s">
        <v>166</v>
      </c>
      <c r="EE924" s="17" t="s">
        <v>166</v>
      </c>
      <c r="EF924" s="17" t="s">
        <v>166</v>
      </c>
      <c r="EG924" s="17" t="s">
        <v>166</v>
      </c>
      <c r="EH924" s="16" t="s">
        <v>166</v>
      </c>
      <c r="EI924" s="16" t="s">
        <v>166</v>
      </c>
      <c r="EJ924" s="16" t="s">
        <v>166</v>
      </c>
      <c r="EK924" s="16" t="s">
        <v>166</v>
      </c>
      <c r="EL924" s="16" t="s">
        <v>166</v>
      </c>
      <c r="EM924" s="16" t="s">
        <v>166</v>
      </c>
      <c r="EN924" s="16" t="s">
        <v>166</v>
      </c>
      <c r="EO924" s="16" t="s">
        <v>166</v>
      </c>
      <c r="EP924" s="16" t="s">
        <v>166</v>
      </c>
      <c r="EQ924" s="16" t="s">
        <v>166</v>
      </c>
      <c r="ER924" s="16" t="s">
        <v>166</v>
      </c>
      <c r="ES924" s="16" t="s">
        <v>166</v>
      </c>
      <c r="ET924" s="14" t="s">
        <v>166</v>
      </c>
      <c r="EU924" s="16" t="s">
        <v>166</v>
      </c>
      <c r="EV924" s="16" t="s">
        <v>166</v>
      </c>
      <c r="EW924" s="16" t="s">
        <v>166</v>
      </c>
      <c r="EX924" s="14" t="s">
        <v>190</v>
      </c>
      <c r="EY924" s="14" t="s">
        <v>166</v>
      </c>
      <c r="EZ924" s="16" t="s">
        <v>166</v>
      </c>
      <c r="FA924" s="15" t="s">
        <v>166</v>
      </c>
      <c r="FB924" s="15" t="s">
        <v>166</v>
      </c>
      <c r="FC924" s="15" t="s">
        <v>166</v>
      </c>
      <c r="FD924" s="15" t="s">
        <v>166</v>
      </c>
      <c r="FE924" s="15" t="s">
        <v>166</v>
      </c>
      <c r="FF924" s="15" t="s">
        <v>166</v>
      </c>
      <c r="FG924" s="14" t="s">
        <v>166</v>
      </c>
      <c r="FH924" s="3">
        <f>HYPERLINK("https://my.pitchbook.com?c=228632-77T","View Company Online")</f>
      </c>
    </row>
    <row r="925">
      <c r="A925" s="25" t="s">
        <v>17521</v>
      </c>
      <c r="B925" s="25" t="s">
        <v>17522</v>
      </c>
      <c r="C925" s="25" t="s">
        <v>17523</v>
      </c>
      <c r="D925" s="25" t="s">
        <v>166</v>
      </c>
      <c r="E925" s="34" t="s">
        <v>17524</v>
      </c>
      <c r="F925" s="32">
        <v>1</v>
      </c>
      <c r="G925" s="25" t="s">
        <v>166</v>
      </c>
      <c r="H925" s="25" t="s">
        <v>166</v>
      </c>
      <c r="I925" s="25" t="s">
        <v>17525</v>
      </c>
      <c r="J925" s="25" t="s">
        <v>17526</v>
      </c>
      <c r="K925" s="25" t="s">
        <v>13747</v>
      </c>
      <c r="L925" s="25" t="s">
        <v>13748</v>
      </c>
      <c r="M925" s="25" t="s">
        <v>17527</v>
      </c>
      <c r="N925" s="25" t="s">
        <v>17528</v>
      </c>
      <c r="O925" s="25" t="s">
        <v>17529</v>
      </c>
      <c r="P925" s="25" t="s">
        <v>17530</v>
      </c>
      <c r="Q925" s="25" t="s">
        <v>166</v>
      </c>
      <c r="R925" s="25" t="s">
        <v>177</v>
      </c>
      <c r="S925" s="25" t="s">
        <v>178</v>
      </c>
      <c r="T925" s="25" t="s">
        <v>179</v>
      </c>
      <c r="U925" s="25" t="s">
        <v>17531</v>
      </c>
      <c r="V925" s="25" t="s">
        <v>17532</v>
      </c>
      <c r="W925" s="32" t="s">
        <v>17533</v>
      </c>
      <c r="X925" s="25" t="s">
        <v>17534</v>
      </c>
      <c r="Y925" s="25" t="s">
        <v>17535</v>
      </c>
      <c r="Z925" s="25" t="s">
        <v>166</v>
      </c>
      <c r="AA925" s="25" t="s">
        <v>242</v>
      </c>
      <c r="AB925" s="25" t="s">
        <v>243</v>
      </c>
      <c r="AC925" s="25" t="s">
        <v>244</v>
      </c>
      <c r="AD925" s="25" t="s">
        <v>243</v>
      </c>
      <c r="AE925" s="25" t="s">
        <v>243</v>
      </c>
      <c r="AF925" s="25" t="s">
        <v>166</v>
      </c>
      <c r="AG925" s="25" t="s">
        <v>246</v>
      </c>
      <c r="AH925" s="32">
        <v>3</v>
      </c>
      <c r="AI925" s="4">
        <f>HYPERLINK("https://my.pitchbook.com/?d=260776-54T","260776-54T")</f>
      </c>
      <c r="AJ925" s="30">
        <v>45427</v>
      </c>
      <c r="AK925" s="30">
        <v>45442</v>
      </c>
      <c r="AL925" s="29">
        <v>5.72</v>
      </c>
      <c r="AM925" s="25" t="s">
        <v>185</v>
      </c>
      <c r="AN925" s="29">
        <v>14.28</v>
      </c>
      <c r="AO925" s="29">
        <v>20</v>
      </c>
      <c r="AP925" s="25" t="s">
        <v>185</v>
      </c>
      <c r="AQ925" s="32" t="s">
        <v>166</v>
      </c>
      <c r="AR925" s="32" t="s">
        <v>166</v>
      </c>
      <c r="AS925" s="28">
        <v>30.5</v>
      </c>
      <c r="AT925" s="29">
        <v>5.75</v>
      </c>
      <c r="AU925" s="32" t="s">
        <v>186</v>
      </c>
      <c r="AV925" s="32" t="s">
        <v>166</v>
      </c>
      <c r="AW925" s="29">
        <v>1.02</v>
      </c>
      <c r="AX925" s="32" t="s">
        <v>248</v>
      </c>
      <c r="AY925" s="25" t="s">
        <v>187</v>
      </c>
      <c r="AZ925" s="25" t="s">
        <v>248</v>
      </c>
      <c r="BA925" s="25" t="s">
        <v>166</v>
      </c>
      <c r="BB925" s="32" t="s">
        <v>166</v>
      </c>
      <c r="BC925" s="25" t="s">
        <v>179</v>
      </c>
      <c r="BD925" s="25" t="s">
        <v>17526</v>
      </c>
      <c r="BE925" s="25" t="s">
        <v>189</v>
      </c>
      <c r="BF925" s="29">
        <v>5.72</v>
      </c>
      <c r="BG925" s="25" t="s">
        <v>190</v>
      </c>
      <c r="BH925" s="25" t="s">
        <v>166</v>
      </c>
      <c r="BI925" s="25" t="s">
        <v>166</v>
      </c>
      <c r="BJ925" s="29" t="s">
        <v>166</v>
      </c>
      <c r="BK925" s="29" t="s">
        <v>166</v>
      </c>
      <c r="BL925" s="25" t="s">
        <v>191</v>
      </c>
      <c r="BM925" s="25" t="s">
        <v>178</v>
      </c>
      <c r="BN925" s="25" t="s">
        <v>177</v>
      </c>
      <c r="BO925" s="33" t="s">
        <v>166</v>
      </c>
      <c r="BP925" s="25" t="s">
        <v>17536</v>
      </c>
      <c r="BQ925" s="32">
        <v>1</v>
      </c>
      <c r="BR925" s="25" t="s">
        <v>166</v>
      </c>
      <c r="BS925" s="32" t="s">
        <v>166</v>
      </c>
      <c r="BT925" s="25" t="s">
        <v>166</v>
      </c>
      <c r="BU925" s="25" t="s">
        <v>166</v>
      </c>
      <c r="BV925" s="25" t="s">
        <v>166</v>
      </c>
      <c r="BW925" s="25" t="s">
        <v>166</v>
      </c>
      <c r="BX925" s="25" t="s">
        <v>166</v>
      </c>
      <c r="BY925" s="25" t="s">
        <v>166</v>
      </c>
      <c r="BZ925" s="25" t="s">
        <v>166</v>
      </c>
      <c r="CA925" s="25" t="s">
        <v>166</v>
      </c>
      <c r="CB925" s="25" t="s">
        <v>166</v>
      </c>
      <c r="CC925" s="25" t="s">
        <v>166</v>
      </c>
      <c r="CD925" s="25" t="s">
        <v>166</v>
      </c>
      <c r="CE925" s="29" t="s">
        <v>166</v>
      </c>
      <c r="CF925" s="27" t="s">
        <v>166</v>
      </c>
      <c r="CG925" s="28" t="s">
        <v>166</v>
      </c>
      <c r="CH925" s="27" t="s">
        <v>166</v>
      </c>
      <c r="CI925" s="27" t="s">
        <v>166</v>
      </c>
      <c r="CJ925" s="27" t="s">
        <v>166</v>
      </c>
      <c r="CK925" s="27" t="s">
        <v>166</v>
      </c>
      <c r="CL925" s="27" t="s">
        <v>166</v>
      </c>
      <c r="CM925" s="31" t="s">
        <v>166</v>
      </c>
      <c r="CN925" s="27" t="s">
        <v>166</v>
      </c>
      <c r="CO925" s="27" t="s">
        <v>166</v>
      </c>
      <c r="CP925" s="27" t="s">
        <v>166</v>
      </c>
      <c r="CQ925" s="27" t="s">
        <v>166</v>
      </c>
      <c r="CR925" s="27" t="s">
        <v>166</v>
      </c>
      <c r="CS925" s="27" t="s">
        <v>166</v>
      </c>
      <c r="CT925" s="27" t="s">
        <v>166</v>
      </c>
      <c r="CU925" s="27" t="s">
        <v>166</v>
      </c>
      <c r="CV925" s="27" t="s">
        <v>166</v>
      </c>
      <c r="CW925" s="27" t="s">
        <v>166</v>
      </c>
      <c r="CX925" s="27" t="s">
        <v>166</v>
      </c>
      <c r="CY925" s="27" t="s">
        <v>166</v>
      </c>
      <c r="CZ925" s="27" t="s">
        <v>166</v>
      </c>
      <c r="DA925" s="27" t="s">
        <v>166</v>
      </c>
      <c r="DB925" s="27" t="s">
        <v>166</v>
      </c>
      <c r="DC925" s="27" t="s">
        <v>166</v>
      </c>
      <c r="DD925" s="27" t="s">
        <v>166</v>
      </c>
      <c r="DE925" s="28" t="s">
        <v>166</v>
      </c>
      <c r="DF925" s="33">
        <v>5</v>
      </c>
      <c r="DG925" s="25" t="s">
        <v>4592</v>
      </c>
      <c r="DH925" s="25" t="s">
        <v>193</v>
      </c>
      <c r="DI925" s="25" t="s">
        <v>194</v>
      </c>
      <c r="DJ925" s="25" t="s">
        <v>4593</v>
      </c>
      <c r="DK925" s="25" t="s">
        <v>1023</v>
      </c>
      <c r="DL925" s="32" t="s">
        <v>1193</v>
      </c>
      <c r="DM925" s="25" t="s">
        <v>198</v>
      </c>
      <c r="DN925" s="24" t="s">
        <v>17537</v>
      </c>
      <c r="DO925" s="31">
        <v>2021</v>
      </c>
      <c r="DP925" s="25" t="s">
        <v>166</v>
      </c>
      <c r="DQ925" s="25" t="s">
        <v>166</v>
      </c>
      <c r="DR925" s="29" t="s">
        <v>166</v>
      </c>
      <c r="DS925" s="27" t="s">
        <v>166</v>
      </c>
      <c r="DT925" s="30" t="s">
        <v>166</v>
      </c>
      <c r="DU925" s="25" t="s">
        <v>166</v>
      </c>
      <c r="DV925" s="29" t="s">
        <v>166</v>
      </c>
      <c r="DW925" s="29" t="s">
        <v>166</v>
      </c>
      <c r="DX925" s="27" t="s">
        <v>166</v>
      </c>
      <c r="DY925" s="27" t="s">
        <v>166</v>
      </c>
      <c r="DZ925" s="28" t="s">
        <v>166</v>
      </c>
      <c r="EA925" s="27" t="s">
        <v>166</v>
      </c>
      <c r="EB925" s="27" t="s">
        <v>166</v>
      </c>
      <c r="EC925" s="27" t="s">
        <v>166</v>
      </c>
      <c r="ED925" s="28" t="s">
        <v>166</v>
      </c>
      <c r="EE925" s="28" t="s">
        <v>166</v>
      </c>
      <c r="EF925" s="28" t="s">
        <v>166</v>
      </c>
      <c r="EG925" s="28" t="s">
        <v>166</v>
      </c>
      <c r="EH925" s="27" t="s">
        <v>166</v>
      </c>
      <c r="EI925" s="27" t="s">
        <v>166</v>
      </c>
      <c r="EJ925" s="27" t="s">
        <v>166</v>
      </c>
      <c r="EK925" s="27" t="s">
        <v>166</v>
      </c>
      <c r="EL925" s="27" t="s">
        <v>166</v>
      </c>
      <c r="EM925" s="27" t="s">
        <v>166</v>
      </c>
      <c r="EN925" s="27" t="s">
        <v>166</v>
      </c>
      <c r="EO925" s="27" t="s">
        <v>166</v>
      </c>
      <c r="EP925" s="27" t="s">
        <v>166</v>
      </c>
      <c r="EQ925" s="27" t="s">
        <v>166</v>
      </c>
      <c r="ER925" s="27" t="s">
        <v>166</v>
      </c>
      <c r="ES925" s="27" t="s">
        <v>166</v>
      </c>
      <c r="ET925" s="25" t="s">
        <v>166</v>
      </c>
      <c r="EU925" s="27" t="s">
        <v>166</v>
      </c>
      <c r="EV925" s="27" t="s">
        <v>166</v>
      </c>
      <c r="EW925" s="27" t="s">
        <v>166</v>
      </c>
      <c r="EX925" s="25" t="s">
        <v>190</v>
      </c>
      <c r="EY925" s="25" t="s">
        <v>166</v>
      </c>
      <c r="EZ925" s="27" t="s">
        <v>166</v>
      </c>
      <c r="FA925" s="26" t="s">
        <v>166</v>
      </c>
      <c r="FB925" s="26" t="s">
        <v>166</v>
      </c>
      <c r="FC925" s="26" t="s">
        <v>166</v>
      </c>
      <c r="FD925" s="26" t="s">
        <v>166</v>
      </c>
      <c r="FE925" s="26" t="s">
        <v>166</v>
      </c>
      <c r="FF925" s="26" t="s">
        <v>166</v>
      </c>
      <c r="FG925" s="25" t="s">
        <v>166</v>
      </c>
      <c r="FH925" s="4">
        <f>HYPERLINK("https://my.pitchbook.com?c=260776-54T","View Company Online")</f>
      </c>
    </row>
    <row r="926">
      <c r="A926" s="14" t="s">
        <v>17538</v>
      </c>
      <c r="B926" s="14" t="s">
        <v>17539</v>
      </c>
      <c r="C926" s="14" t="s">
        <v>17540</v>
      </c>
      <c r="D926" s="14" t="s">
        <v>166</v>
      </c>
      <c r="E926" s="23" t="s">
        <v>3565</v>
      </c>
      <c r="F926" s="21">
        <v>1</v>
      </c>
      <c r="G926" s="14" t="s">
        <v>3566</v>
      </c>
      <c r="H926" s="14" t="s">
        <v>166</v>
      </c>
      <c r="I926" s="14" t="s">
        <v>17541</v>
      </c>
      <c r="J926" s="14" t="s">
        <v>17542</v>
      </c>
      <c r="K926" s="14" t="s">
        <v>207</v>
      </c>
      <c r="L926" s="14" t="s">
        <v>208</v>
      </c>
      <c r="M926" s="14" t="s">
        <v>209</v>
      </c>
      <c r="N926" s="14" t="s">
        <v>684</v>
      </c>
      <c r="O926" s="14" t="s">
        <v>17543</v>
      </c>
      <c r="P926" s="14" t="s">
        <v>17544</v>
      </c>
      <c r="Q926" s="14" t="s">
        <v>166</v>
      </c>
      <c r="R926" s="14" t="s">
        <v>177</v>
      </c>
      <c r="S926" s="14" t="s">
        <v>178</v>
      </c>
      <c r="T926" s="14" t="s">
        <v>179</v>
      </c>
      <c r="U926" s="14" t="s">
        <v>17545</v>
      </c>
      <c r="V926" s="14" t="s">
        <v>17546</v>
      </c>
      <c r="W926" s="21" t="s">
        <v>17547</v>
      </c>
      <c r="X926" s="14" t="s">
        <v>17548</v>
      </c>
      <c r="Y926" s="14" t="s">
        <v>17549</v>
      </c>
      <c r="Z926" s="14" t="s">
        <v>166</v>
      </c>
      <c r="AA926" s="14" t="s">
        <v>166</v>
      </c>
      <c r="AB926" s="14" t="s">
        <v>166</v>
      </c>
      <c r="AC926" s="14" t="s">
        <v>166</v>
      </c>
      <c r="AD926" s="14" t="s">
        <v>166</v>
      </c>
      <c r="AE926" s="14" t="s">
        <v>166</v>
      </c>
      <c r="AF926" s="14" t="s">
        <v>166</v>
      </c>
      <c r="AG926" s="14" t="s">
        <v>166</v>
      </c>
      <c r="AH926" s="21">
        <v>1</v>
      </c>
      <c r="AI926" s="3">
        <f>HYPERLINK("https://my.pitchbook.com/?d=188775-82T","188775-82T")</f>
      </c>
      <c r="AJ926" s="19" t="s">
        <v>166</v>
      </c>
      <c r="AK926" s="19">
        <v>44553</v>
      </c>
      <c r="AL926" s="18">
        <v>0.02</v>
      </c>
      <c r="AM926" s="14" t="s">
        <v>185</v>
      </c>
      <c r="AN926" s="18" t="s">
        <v>166</v>
      </c>
      <c r="AO926" s="18" t="s">
        <v>166</v>
      </c>
      <c r="AP926" s="14" t="s">
        <v>166</v>
      </c>
      <c r="AQ926" s="21" t="s">
        <v>166</v>
      </c>
      <c r="AR926" s="21" t="s">
        <v>166</v>
      </c>
      <c r="AS926" s="17" t="s">
        <v>166</v>
      </c>
      <c r="AT926" s="18">
        <v>0.02</v>
      </c>
      <c r="AU926" s="21" t="s">
        <v>186</v>
      </c>
      <c r="AV926" s="21" t="s">
        <v>166</v>
      </c>
      <c r="AW926" s="18" t="s">
        <v>166</v>
      </c>
      <c r="AX926" s="21" t="s">
        <v>166</v>
      </c>
      <c r="AY926" s="14" t="s">
        <v>217</v>
      </c>
      <c r="AZ926" s="14" t="s">
        <v>217</v>
      </c>
      <c r="BA926" s="14" t="s">
        <v>166</v>
      </c>
      <c r="BB926" s="21" t="s">
        <v>166</v>
      </c>
      <c r="BC926" s="14" t="s">
        <v>179</v>
      </c>
      <c r="BD926" s="14" t="s">
        <v>17550</v>
      </c>
      <c r="BE926" s="14" t="s">
        <v>189</v>
      </c>
      <c r="BF926" s="18">
        <v>0.02</v>
      </c>
      <c r="BG926" s="14" t="s">
        <v>190</v>
      </c>
      <c r="BH926" s="14" t="s">
        <v>166</v>
      </c>
      <c r="BI926" s="14" t="s">
        <v>166</v>
      </c>
      <c r="BJ926" s="18" t="s">
        <v>166</v>
      </c>
      <c r="BK926" s="18" t="s">
        <v>166</v>
      </c>
      <c r="BL926" s="14" t="s">
        <v>191</v>
      </c>
      <c r="BM926" s="14" t="s">
        <v>178</v>
      </c>
      <c r="BN926" s="14" t="s">
        <v>177</v>
      </c>
      <c r="BO926" s="22" t="s">
        <v>166</v>
      </c>
      <c r="BP926" s="14" t="s">
        <v>3565</v>
      </c>
      <c r="BQ926" s="21">
        <v>1</v>
      </c>
      <c r="BR926" s="14" t="s">
        <v>166</v>
      </c>
      <c r="BS926" s="21" t="s">
        <v>166</v>
      </c>
      <c r="BT926" s="14" t="s">
        <v>166</v>
      </c>
      <c r="BU926" s="14" t="s">
        <v>166</v>
      </c>
      <c r="BV926" s="14" t="s">
        <v>166</v>
      </c>
      <c r="BW926" s="14" t="s">
        <v>166</v>
      </c>
      <c r="BX926" s="14" t="s">
        <v>166</v>
      </c>
      <c r="BY926" s="14" t="s">
        <v>166</v>
      </c>
      <c r="BZ926" s="14" t="s">
        <v>166</v>
      </c>
      <c r="CA926" s="14" t="s">
        <v>166</v>
      </c>
      <c r="CB926" s="14" t="s">
        <v>166</v>
      </c>
      <c r="CC926" s="14" t="s">
        <v>166</v>
      </c>
      <c r="CD926" s="14" t="s">
        <v>166</v>
      </c>
      <c r="CE926" s="18" t="s">
        <v>166</v>
      </c>
      <c r="CF926" s="16" t="s">
        <v>166</v>
      </c>
      <c r="CG926" s="17" t="s">
        <v>166</v>
      </c>
      <c r="CH926" s="16" t="s">
        <v>166</v>
      </c>
      <c r="CI926" s="16" t="s">
        <v>166</v>
      </c>
      <c r="CJ926" s="16" t="s">
        <v>166</v>
      </c>
      <c r="CK926" s="16" t="s">
        <v>166</v>
      </c>
      <c r="CL926" s="16" t="s">
        <v>166</v>
      </c>
      <c r="CM926" s="20" t="s">
        <v>166</v>
      </c>
      <c r="CN926" s="16" t="s">
        <v>166</v>
      </c>
      <c r="CO926" s="16" t="s">
        <v>166</v>
      </c>
      <c r="CP926" s="16" t="s">
        <v>166</v>
      </c>
      <c r="CQ926" s="16" t="s">
        <v>166</v>
      </c>
      <c r="CR926" s="16" t="s">
        <v>166</v>
      </c>
      <c r="CS926" s="16" t="s">
        <v>166</v>
      </c>
      <c r="CT926" s="16" t="s">
        <v>166</v>
      </c>
      <c r="CU926" s="16" t="s">
        <v>166</v>
      </c>
      <c r="CV926" s="16" t="s">
        <v>166</v>
      </c>
      <c r="CW926" s="16" t="s">
        <v>166</v>
      </c>
      <c r="CX926" s="16" t="s">
        <v>166</v>
      </c>
      <c r="CY926" s="16" t="s">
        <v>166</v>
      </c>
      <c r="CZ926" s="16" t="s">
        <v>166</v>
      </c>
      <c r="DA926" s="16" t="s">
        <v>166</v>
      </c>
      <c r="DB926" s="16" t="s">
        <v>166</v>
      </c>
      <c r="DC926" s="16" t="s">
        <v>166</v>
      </c>
      <c r="DD926" s="16" t="s">
        <v>166</v>
      </c>
      <c r="DE926" s="17" t="s">
        <v>166</v>
      </c>
      <c r="DF926" s="22" t="s">
        <v>166</v>
      </c>
      <c r="DG926" s="14" t="s">
        <v>706</v>
      </c>
      <c r="DH926" s="14" t="s">
        <v>193</v>
      </c>
      <c r="DI926" s="14" t="s">
        <v>194</v>
      </c>
      <c r="DJ926" s="14" t="s">
        <v>707</v>
      </c>
      <c r="DK926" s="14" t="s">
        <v>386</v>
      </c>
      <c r="DL926" s="21" t="s">
        <v>17551</v>
      </c>
      <c r="DM926" s="14" t="s">
        <v>198</v>
      </c>
      <c r="DN926" s="13" t="s">
        <v>17552</v>
      </c>
      <c r="DO926" s="20">
        <v>2016</v>
      </c>
      <c r="DP926" s="14" t="s">
        <v>166</v>
      </c>
      <c r="DQ926" s="14" t="s">
        <v>166</v>
      </c>
      <c r="DR926" s="18" t="s">
        <v>166</v>
      </c>
      <c r="DS926" s="16" t="s">
        <v>166</v>
      </c>
      <c r="DT926" s="19" t="s">
        <v>166</v>
      </c>
      <c r="DU926" s="14" t="s">
        <v>166</v>
      </c>
      <c r="DV926" s="18" t="s">
        <v>166</v>
      </c>
      <c r="DW926" s="18" t="s">
        <v>166</v>
      </c>
      <c r="DX926" s="16" t="s">
        <v>166</v>
      </c>
      <c r="DY926" s="16" t="s">
        <v>166</v>
      </c>
      <c r="DZ926" s="17" t="s">
        <v>166</v>
      </c>
      <c r="EA926" s="16" t="s">
        <v>166</v>
      </c>
      <c r="EB926" s="16" t="s">
        <v>166</v>
      </c>
      <c r="EC926" s="16" t="s">
        <v>166</v>
      </c>
      <c r="ED926" s="17" t="s">
        <v>166</v>
      </c>
      <c r="EE926" s="17" t="s">
        <v>166</v>
      </c>
      <c r="EF926" s="17" t="s">
        <v>166</v>
      </c>
      <c r="EG926" s="17" t="s">
        <v>166</v>
      </c>
      <c r="EH926" s="16" t="s">
        <v>166</v>
      </c>
      <c r="EI926" s="16" t="s">
        <v>166</v>
      </c>
      <c r="EJ926" s="16" t="s">
        <v>166</v>
      </c>
      <c r="EK926" s="16" t="s">
        <v>166</v>
      </c>
      <c r="EL926" s="16" t="s">
        <v>166</v>
      </c>
      <c r="EM926" s="16" t="s">
        <v>166</v>
      </c>
      <c r="EN926" s="16" t="s">
        <v>166</v>
      </c>
      <c r="EO926" s="16" t="s">
        <v>166</v>
      </c>
      <c r="EP926" s="16" t="s">
        <v>166</v>
      </c>
      <c r="EQ926" s="16" t="s">
        <v>166</v>
      </c>
      <c r="ER926" s="16" t="s">
        <v>166</v>
      </c>
      <c r="ES926" s="16" t="s">
        <v>166</v>
      </c>
      <c r="ET926" s="14" t="s">
        <v>166</v>
      </c>
      <c r="EU926" s="16" t="s">
        <v>166</v>
      </c>
      <c r="EV926" s="16" t="s">
        <v>166</v>
      </c>
      <c r="EW926" s="16" t="s">
        <v>166</v>
      </c>
      <c r="EX926" s="14" t="s">
        <v>190</v>
      </c>
      <c r="EY926" s="14" t="s">
        <v>166</v>
      </c>
      <c r="EZ926" s="16" t="s">
        <v>166</v>
      </c>
      <c r="FA926" s="15" t="s">
        <v>166</v>
      </c>
      <c r="FB926" s="15" t="s">
        <v>166</v>
      </c>
      <c r="FC926" s="15" t="s">
        <v>166</v>
      </c>
      <c r="FD926" s="15" t="s">
        <v>166</v>
      </c>
      <c r="FE926" s="15" t="s">
        <v>166</v>
      </c>
      <c r="FF926" s="15" t="s">
        <v>166</v>
      </c>
      <c r="FG926" s="14" t="s">
        <v>166</v>
      </c>
      <c r="FH926" s="3">
        <f>HYPERLINK("https://my.pitchbook.com?c=188775-82T","View Company Online")</f>
      </c>
    </row>
    <row r="927">
      <c r="A927" s="25" t="s">
        <v>17553</v>
      </c>
      <c r="B927" s="25" t="s">
        <v>17554</v>
      </c>
      <c r="C927" s="25" t="s">
        <v>17555</v>
      </c>
      <c r="D927" s="25" t="s">
        <v>166</v>
      </c>
      <c r="E927" s="34" t="s">
        <v>17556</v>
      </c>
      <c r="F927" s="32">
        <v>2</v>
      </c>
      <c r="G927" s="25" t="s">
        <v>17557</v>
      </c>
      <c r="H927" s="25" t="s">
        <v>166</v>
      </c>
      <c r="I927" s="25" t="s">
        <v>17558</v>
      </c>
      <c r="J927" s="25" t="s">
        <v>17559</v>
      </c>
      <c r="K927" s="25" t="s">
        <v>207</v>
      </c>
      <c r="L927" s="25" t="s">
        <v>208</v>
      </c>
      <c r="M927" s="25" t="s">
        <v>209</v>
      </c>
      <c r="N927" s="25" t="s">
        <v>13555</v>
      </c>
      <c r="O927" s="25" t="s">
        <v>17560</v>
      </c>
      <c r="P927" s="25" t="s">
        <v>17561</v>
      </c>
      <c r="Q927" s="25" t="s">
        <v>166</v>
      </c>
      <c r="R927" s="25" t="s">
        <v>177</v>
      </c>
      <c r="S927" s="25" t="s">
        <v>358</v>
      </c>
      <c r="T927" s="25" t="s">
        <v>179</v>
      </c>
      <c r="U927" s="25" t="s">
        <v>17562</v>
      </c>
      <c r="V927" s="25" t="s">
        <v>17563</v>
      </c>
      <c r="W927" s="32" t="s">
        <v>17564</v>
      </c>
      <c r="X927" s="25" t="s">
        <v>17565</v>
      </c>
      <c r="Y927" s="25" t="s">
        <v>17566</v>
      </c>
      <c r="Z927" s="25" t="s">
        <v>166</v>
      </c>
      <c r="AA927" s="25" t="s">
        <v>166</v>
      </c>
      <c r="AB927" s="25" t="s">
        <v>166</v>
      </c>
      <c r="AC927" s="25" t="s">
        <v>166</v>
      </c>
      <c r="AD927" s="25" t="s">
        <v>166</v>
      </c>
      <c r="AE927" s="25" t="s">
        <v>166</v>
      </c>
      <c r="AF927" s="25" t="s">
        <v>166</v>
      </c>
      <c r="AG927" s="25" t="s">
        <v>166</v>
      </c>
      <c r="AH927" s="32">
        <v>3</v>
      </c>
      <c r="AI927" s="4">
        <f>HYPERLINK("https://my.pitchbook.com/?d=192580-57T","192580-57T")</f>
      </c>
      <c r="AJ927" s="30" t="s">
        <v>166</v>
      </c>
      <c r="AK927" s="30">
        <v>44671</v>
      </c>
      <c r="AL927" s="29">
        <v>0.76</v>
      </c>
      <c r="AM927" s="25" t="s">
        <v>185</v>
      </c>
      <c r="AN927" s="29" t="s">
        <v>166</v>
      </c>
      <c r="AO927" s="29" t="s">
        <v>166</v>
      </c>
      <c r="AP927" s="25" t="s">
        <v>166</v>
      </c>
      <c r="AQ927" s="32" t="s">
        <v>166</v>
      </c>
      <c r="AR927" s="32" t="s">
        <v>166</v>
      </c>
      <c r="AS927" s="28" t="s">
        <v>166</v>
      </c>
      <c r="AT927" s="29">
        <v>0.76</v>
      </c>
      <c r="AU927" s="32" t="s">
        <v>186</v>
      </c>
      <c r="AV927" s="32" t="s">
        <v>166</v>
      </c>
      <c r="AW927" s="29" t="s">
        <v>166</v>
      </c>
      <c r="AX927" s="32" t="s">
        <v>166</v>
      </c>
      <c r="AY927" s="25" t="s">
        <v>217</v>
      </c>
      <c r="AZ927" s="25" t="s">
        <v>217</v>
      </c>
      <c r="BA927" s="25" t="s">
        <v>166</v>
      </c>
      <c r="BB927" s="32" t="s">
        <v>166</v>
      </c>
      <c r="BC927" s="25" t="s">
        <v>179</v>
      </c>
      <c r="BD927" s="25" t="s">
        <v>17567</v>
      </c>
      <c r="BE927" s="25" t="s">
        <v>189</v>
      </c>
      <c r="BF927" s="29">
        <v>0.76</v>
      </c>
      <c r="BG927" s="25" t="s">
        <v>190</v>
      </c>
      <c r="BH927" s="25" t="s">
        <v>166</v>
      </c>
      <c r="BI927" s="25" t="s">
        <v>166</v>
      </c>
      <c r="BJ927" s="29" t="s">
        <v>166</v>
      </c>
      <c r="BK927" s="29" t="s">
        <v>166</v>
      </c>
      <c r="BL927" s="25" t="s">
        <v>191</v>
      </c>
      <c r="BM927" s="25" t="s">
        <v>358</v>
      </c>
      <c r="BN927" s="25" t="s">
        <v>177</v>
      </c>
      <c r="BO927" s="33" t="s">
        <v>166</v>
      </c>
      <c r="BP927" s="25" t="s">
        <v>17568</v>
      </c>
      <c r="BQ927" s="32">
        <v>2</v>
      </c>
      <c r="BR927" s="25" t="s">
        <v>166</v>
      </c>
      <c r="BS927" s="32" t="s">
        <v>166</v>
      </c>
      <c r="BT927" s="25" t="s">
        <v>166</v>
      </c>
      <c r="BU927" s="25" t="s">
        <v>166</v>
      </c>
      <c r="BV927" s="25" t="s">
        <v>10738</v>
      </c>
      <c r="BW927" s="25" t="s">
        <v>166</v>
      </c>
      <c r="BX927" s="25" t="s">
        <v>166</v>
      </c>
      <c r="BY927" s="25" t="s">
        <v>166</v>
      </c>
      <c r="BZ927" s="25" t="s">
        <v>166</v>
      </c>
      <c r="CA927" s="25" t="s">
        <v>166</v>
      </c>
      <c r="CB927" s="25" t="s">
        <v>166</v>
      </c>
      <c r="CC927" s="25" t="s">
        <v>166</v>
      </c>
      <c r="CD927" s="25" t="s">
        <v>166</v>
      </c>
      <c r="CE927" s="29" t="s">
        <v>166</v>
      </c>
      <c r="CF927" s="27" t="s">
        <v>166</v>
      </c>
      <c r="CG927" s="28" t="s">
        <v>166</v>
      </c>
      <c r="CH927" s="27" t="s">
        <v>166</v>
      </c>
      <c r="CI927" s="27" t="s">
        <v>166</v>
      </c>
      <c r="CJ927" s="27" t="s">
        <v>166</v>
      </c>
      <c r="CK927" s="27" t="s">
        <v>166</v>
      </c>
      <c r="CL927" s="27" t="s">
        <v>166</v>
      </c>
      <c r="CM927" s="31" t="s">
        <v>166</v>
      </c>
      <c r="CN927" s="27" t="s">
        <v>166</v>
      </c>
      <c r="CO927" s="27" t="s">
        <v>166</v>
      </c>
      <c r="CP927" s="27" t="s">
        <v>166</v>
      </c>
      <c r="CQ927" s="27" t="s">
        <v>166</v>
      </c>
      <c r="CR927" s="27" t="s">
        <v>166</v>
      </c>
      <c r="CS927" s="27" t="s">
        <v>166</v>
      </c>
      <c r="CT927" s="27" t="s">
        <v>166</v>
      </c>
      <c r="CU927" s="27" t="s">
        <v>166</v>
      </c>
      <c r="CV927" s="27" t="s">
        <v>166</v>
      </c>
      <c r="CW927" s="27" t="s">
        <v>166</v>
      </c>
      <c r="CX927" s="27" t="s">
        <v>166</v>
      </c>
      <c r="CY927" s="27" t="s">
        <v>166</v>
      </c>
      <c r="CZ927" s="27" t="s">
        <v>166</v>
      </c>
      <c r="DA927" s="27" t="s">
        <v>166</v>
      </c>
      <c r="DB927" s="27" t="s">
        <v>166</v>
      </c>
      <c r="DC927" s="27" t="s">
        <v>166</v>
      </c>
      <c r="DD927" s="27" t="s">
        <v>166</v>
      </c>
      <c r="DE927" s="28" t="s">
        <v>166</v>
      </c>
      <c r="DF927" s="33">
        <v>10</v>
      </c>
      <c r="DG927" s="25" t="s">
        <v>309</v>
      </c>
      <c r="DH927" s="25" t="s">
        <v>193</v>
      </c>
      <c r="DI927" s="25" t="s">
        <v>194</v>
      </c>
      <c r="DJ927" s="25" t="s">
        <v>310</v>
      </c>
      <c r="DK927" s="25" t="s">
        <v>310</v>
      </c>
      <c r="DL927" s="32" t="s">
        <v>1172</v>
      </c>
      <c r="DM927" s="25" t="s">
        <v>198</v>
      </c>
      <c r="DN927" s="24" t="s">
        <v>17569</v>
      </c>
      <c r="DO927" s="31">
        <v>2021</v>
      </c>
      <c r="DP927" s="25" t="s">
        <v>166</v>
      </c>
      <c r="DQ927" s="25" t="s">
        <v>166</v>
      </c>
      <c r="DR927" s="29" t="s">
        <v>166</v>
      </c>
      <c r="DS927" s="27" t="s">
        <v>166</v>
      </c>
      <c r="DT927" s="30" t="s">
        <v>166</v>
      </c>
      <c r="DU927" s="25" t="s">
        <v>166</v>
      </c>
      <c r="DV927" s="29" t="s">
        <v>166</v>
      </c>
      <c r="DW927" s="29" t="s">
        <v>166</v>
      </c>
      <c r="DX927" s="27" t="s">
        <v>166</v>
      </c>
      <c r="DY927" s="27" t="s">
        <v>166</v>
      </c>
      <c r="DZ927" s="28" t="s">
        <v>166</v>
      </c>
      <c r="EA927" s="27" t="s">
        <v>166</v>
      </c>
      <c r="EB927" s="27" t="s">
        <v>166</v>
      </c>
      <c r="EC927" s="27" t="s">
        <v>166</v>
      </c>
      <c r="ED927" s="28" t="s">
        <v>166</v>
      </c>
      <c r="EE927" s="28" t="s">
        <v>166</v>
      </c>
      <c r="EF927" s="28" t="s">
        <v>166</v>
      </c>
      <c r="EG927" s="28" t="s">
        <v>166</v>
      </c>
      <c r="EH927" s="27" t="s">
        <v>166</v>
      </c>
      <c r="EI927" s="27" t="s">
        <v>166</v>
      </c>
      <c r="EJ927" s="27" t="s">
        <v>166</v>
      </c>
      <c r="EK927" s="27" t="s">
        <v>166</v>
      </c>
      <c r="EL927" s="27" t="s">
        <v>166</v>
      </c>
      <c r="EM927" s="27" t="s">
        <v>166</v>
      </c>
      <c r="EN927" s="27" t="s">
        <v>166</v>
      </c>
      <c r="EO927" s="27" t="s">
        <v>166</v>
      </c>
      <c r="EP927" s="27" t="s">
        <v>166</v>
      </c>
      <c r="EQ927" s="27" t="s">
        <v>166</v>
      </c>
      <c r="ER927" s="27" t="s">
        <v>166</v>
      </c>
      <c r="ES927" s="27" t="s">
        <v>166</v>
      </c>
      <c r="ET927" s="25" t="s">
        <v>166</v>
      </c>
      <c r="EU927" s="27" t="s">
        <v>166</v>
      </c>
      <c r="EV927" s="27" t="s">
        <v>166</v>
      </c>
      <c r="EW927" s="27" t="s">
        <v>166</v>
      </c>
      <c r="EX927" s="25" t="s">
        <v>190</v>
      </c>
      <c r="EY927" s="25" t="s">
        <v>166</v>
      </c>
      <c r="EZ927" s="27" t="s">
        <v>166</v>
      </c>
      <c r="FA927" s="26" t="s">
        <v>166</v>
      </c>
      <c r="FB927" s="26" t="s">
        <v>166</v>
      </c>
      <c r="FC927" s="26" t="s">
        <v>166</v>
      </c>
      <c r="FD927" s="26" t="s">
        <v>166</v>
      </c>
      <c r="FE927" s="26" t="s">
        <v>166</v>
      </c>
      <c r="FF927" s="26" t="s">
        <v>166</v>
      </c>
      <c r="FG927" s="25" t="s">
        <v>166</v>
      </c>
      <c r="FH927" s="4">
        <f>HYPERLINK("https://my.pitchbook.com?c=192580-57T","View Company Online")</f>
      </c>
    </row>
    <row r="928">
      <c r="A928" s="14" t="s">
        <v>17570</v>
      </c>
      <c r="B928" s="14" t="s">
        <v>17571</v>
      </c>
      <c r="C928" s="14" t="s">
        <v>17572</v>
      </c>
      <c r="D928" s="14" t="s">
        <v>166</v>
      </c>
      <c r="E928" s="23" t="s">
        <v>17573</v>
      </c>
      <c r="F928" s="21">
        <v>3</v>
      </c>
      <c r="G928" s="14" t="s">
        <v>17574</v>
      </c>
      <c r="H928" s="14" t="s">
        <v>166</v>
      </c>
      <c r="I928" s="14" t="s">
        <v>17575</v>
      </c>
      <c r="J928" s="14" t="s">
        <v>17576</v>
      </c>
      <c r="K928" s="14" t="s">
        <v>207</v>
      </c>
      <c r="L928" s="14" t="s">
        <v>208</v>
      </c>
      <c r="M928" s="14" t="s">
        <v>209</v>
      </c>
      <c r="N928" s="14" t="s">
        <v>269</v>
      </c>
      <c r="O928" s="14" t="s">
        <v>665</v>
      </c>
      <c r="P928" s="14" t="s">
        <v>17577</v>
      </c>
      <c r="Q928" s="14" t="s">
        <v>166</v>
      </c>
      <c r="R928" s="14" t="s">
        <v>177</v>
      </c>
      <c r="S928" s="14" t="s">
        <v>178</v>
      </c>
      <c r="T928" s="14" t="s">
        <v>179</v>
      </c>
      <c r="U928" s="14" t="s">
        <v>17578</v>
      </c>
      <c r="V928" s="14" t="s">
        <v>17579</v>
      </c>
      <c r="W928" s="21" t="s">
        <v>17580</v>
      </c>
      <c r="X928" s="14" t="s">
        <v>17581</v>
      </c>
      <c r="Y928" s="14" t="s">
        <v>17582</v>
      </c>
      <c r="Z928" s="14" t="s">
        <v>17583</v>
      </c>
      <c r="AA928" s="14" t="s">
        <v>242</v>
      </c>
      <c r="AB928" s="14" t="s">
        <v>243</v>
      </c>
      <c r="AC928" s="14" t="s">
        <v>244</v>
      </c>
      <c r="AD928" s="14" t="s">
        <v>243</v>
      </c>
      <c r="AE928" s="14" t="s">
        <v>243</v>
      </c>
      <c r="AF928" s="14" t="s">
        <v>245</v>
      </c>
      <c r="AG928" s="14" t="s">
        <v>246</v>
      </c>
      <c r="AH928" s="21">
        <v>1</v>
      </c>
      <c r="AI928" s="3">
        <f>HYPERLINK("https://my.pitchbook.com/?d=191611-63T","191611-63T")</f>
      </c>
      <c r="AJ928" s="19" t="s">
        <v>166</v>
      </c>
      <c r="AK928" s="19">
        <v>44467</v>
      </c>
      <c r="AL928" s="18">
        <v>5.5</v>
      </c>
      <c r="AM928" s="14" t="s">
        <v>247</v>
      </c>
      <c r="AN928" s="18">
        <v>12</v>
      </c>
      <c r="AO928" s="18">
        <v>17.5</v>
      </c>
      <c r="AP928" s="14" t="s">
        <v>247</v>
      </c>
      <c r="AQ928" s="21" t="s">
        <v>166</v>
      </c>
      <c r="AR928" s="21" t="s">
        <v>166</v>
      </c>
      <c r="AS928" s="17">
        <v>33.83</v>
      </c>
      <c r="AT928" s="18">
        <v>5.5</v>
      </c>
      <c r="AU928" s="21" t="s">
        <v>186</v>
      </c>
      <c r="AV928" s="21" t="s">
        <v>166</v>
      </c>
      <c r="AW928" s="18">
        <v>2.15</v>
      </c>
      <c r="AX928" s="21" t="s">
        <v>166</v>
      </c>
      <c r="AY928" s="14" t="s">
        <v>217</v>
      </c>
      <c r="AZ928" s="14" t="s">
        <v>217</v>
      </c>
      <c r="BA928" s="14" t="s">
        <v>166</v>
      </c>
      <c r="BB928" s="21" t="s">
        <v>166</v>
      </c>
      <c r="BC928" s="14" t="s">
        <v>179</v>
      </c>
      <c r="BD928" s="14" t="s">
        <v>17584</v>
      </c>
      <c r="BE928" s="14" t="s">
        <v>189</v>
      </c>
      <c r="BF928" s="18">
        <v>5.5</v>
      </c>
      <c r="BG928" s="14" t="s">
        <v>190</v>
      </c>
      <c r="BH928" s="14" t="s">
        <v>166</v>
      </c>
      <c r="BI928" s="14" t="s">
        <v>166</v>
      </c>
      <c r="BJ928" s="18" t="s">
        <v>166</v>
      </c>
      <c r="BK928" s="18" t="s">
        <v>166</v>
      </c>
      <c r="BL928" s="14" t="s">
        <v>191</v>
      </c>
      <c r="BM928" s="14" t="s">
        <v>178</v>
      </c>
      <c r="BN928" s="14" t="s">
        <v>177</v>
      </c>
      <c r="BO928" s="22" t="s">
        <v>166</v>
      </c>
      <c r="BP928" s="14" t="s">
        <v>17573</v>
      </c>
      <c r="BQ928" s="21">
        <v>3</v>
      </c>
      <c r="BR928" s="14" t="s">
        <v>166</v>
      </c>
      <c r="BS928" s="21" t="s">
        <v>166</v>
      </c>
      <c r="BT928" s="14" t="s">
        <v>166</v>
      </c>
      <c r="BU928" s="14" t="s">
        <v>166</v>
      </c>
      <c r="BV928" s="14" t="s">
        <v>166</v>
      </c>
      <c r="BW928" s="14" t="s">
        <v>166</v>
      </c>
      <c r="BX928" s="14" t="s">
        <v>166</v>
      </c>
      <c r="BY928" s="14" t="s">
        <v>166</v>
      </c>
      <c r="BZ928" s="14" t="s">
        <v>166</v>
      </c>
      <c r="CA928" s="14" t="s">
        <v>166</v>
      </c>
      <c r="CB928" s="14" t="s">
        <v>166</v>
      </c>
      <c r="CC928" s="14" t="s">
        <v>166</v>
      </c>
      <c r="CD928" s="14" t="s">
        <v>166</v>
      </c>
      <c r="CE928" s="18" t="s">
        <v>166</v>
      </c>
      <c r="CF928" s="16" t="s">
        <v>166</v>
      </c>
      <c r="CG928" s="17" t="s">
        <v>166</v>
      </c>
      <c r="CH928" s="16" t="s">
        <v>166</v>
      </c>
      <c r="CI928" s="16" t="s">
        <v>166</v>
      </c>
      <c r="CJ928" s="16" t="s">
        <v>166</v>
      </c>
      <c r="CK928" s="16" t="s">
        <v>166</v>
      </c>
      <c r="CL928" s="16" t="s">
        <v>166</v>
      </c>
      <c r="CM928" s="20" t="s">
        <v>166</v>
      </c>
      <c r="CN928" s="16" t="s">
        <v>166</v>
      </c>
      <c r="CO928" s="16" t="s">
        <v>166</v>
      </c>
      <c r="CP928" s="16" t="s">
        <v>166</v>
      </c>
      <c r="CQ928" s="16" t="s">
        <v>166</v>
      </c>
      <c r="CR928" s="16" t="s">
        <v>166</v>
      </c>
      <c r="CS928" s="16" t="s">
        <v>166</v>
      </c>
      <c r="CT928" s="16" t="s">
        <v>166</v>
      </c>
      <c r="CU928" s="16" t="s">
        <v>166</v>
      </c>
      <c r="CV928" s="16" t="s">
        <v>166</v>
      </c>
      <c r="CW928" s="16" t="s">
        <v>166</v>
      </c>
      <c r="CX928" s="16" t="s">
        <v>166</v>
      </c>
      <c r="CY928" s="16" t="s">
        <v>166</v>
      </c>
      <c r="CZ928" s="16" t="s">
        <v>166</v>
      </c>
      <c r="DA928" s="16" t="s">
        <v>166</v>
      </c>
      <c r="DB928" s="16" t="s">
        <v>166</v>
      </c>
      <c r="DC928" s="16" t="s">
        <v>166</v>
      </c>
      <c r="DD928" s="16" t="s">
        <v>166</v>
      </c>
      <c r="DE928" s="17" t="s">
        <v>166</v>
      </c>
      <c r="DF928" s="22">
        <v>29</v>
      </c>
      <c r="DG928" s="14" t="s">
        <v>673</v>
      </c>
      <c r="DH928" s="14" t="s">
        <v>193</v>
      </c>
      <c r="DI928" s="14" t="s">
        <v>194</v>
      </c>
      <c r="DJ928" s="14" t="s">
        <v>674</v>
      </c>
      <c r="DK928" s="14" t="s">
        <v>257</v>
      </c>
      <c r="DL928" s="21" t="s">
        <v>1329</v>
      </c>
      <c r="DM928" s="14" t="s">
        <v>198</v>
      </c>
      <c r="DN928" s="13" t="s">
        <v>17585</v>
      </c>
      <c r="DO928" s="20">
        <v>2020</v>
      </c>
      <c r="DP928" s="14" t="s">
        <v>166</v>
      </c>
      <c r="DQ928" s="14" t="s">
        <v>166</v>
      </c>
      <c r="DR928" s="18" t="s">
        <v>166</v>
      </c>
      <c r="DS928" s="16" t="s">
        <v>166</v>
      </c>
      <c r="DT928" s="19" t="s">
        <v>166</v>
      </c>
      <c r="DU928" s="14" t="s">
        <v>166</v>
      </c>
      <c r="DV928" s="18" t="s">
        <v>166</v>
      </c>
      <c r="DW928" s="18" t="s">
        <v>166</v>
      </c>
      <c r="DX928" s="16" t="s">
        <v>166</v>
      </c>
      <c r="DY928" s="16" t="s">
        <v>166</v>
      </c>
      <c r="DZ928" s="17" t="s">
        <v>166</v>
      </c>
      <c r="EA928" s="16" t="s">
        <v>166</v>
      </c>
      <c r="EB928" s="16" t="s">
        <v>166</v>
      </c>
      <c r="EC928" s="16" t="s">
        <v>166</v>
      </c>
      <c r="ED928" s="17" t="s">
        <v>166</v>
      </c>
      <c r="EE928" s="17" t="s">
        <v>166</v>
      </c>
      <c r="EF928" s="17" t="s">
        <v>166</v>
      </c>
      <c r="EG928" s="17" t="s">
        <v>166</v>
      </c>
      <c r="EH928" s="16" t="s">
        <v>166</v>
      </c>
      <c r="EI928" s="16" t="s">
        <v>166</v>
      </c>
      <c r="EJ928" s="16" t="s">
        <v>166</v>
      </c>
      <c r="EK928" s="16" t="s">
        <v>166</v>
      </c>
      <c r="EL928" s="16" t="s">
        <v>166</v>
      </c>
      <c r="EM928" s="16" t="s">
        <v>166</v>
      </c>
      <c r="EN928" s="16" t="s">
        <v>166</v>
      </c>
      <c r="EO928" s="16" t="s">
        <v>166</v>
      </c>
      <c r="EP928" s="16" t="s">
        <v>166</v>
      </c>
      <c r="EQ928" s="16" t="s">
        <v>166</v>
      </c>
      <c r="ER928" s="16" t="s">
        <v>166</v>
      </c>
      <c r="ES928" s="16" t="s">
        <v>166</v>
      </c>
      <c r="ET928" s="14" t="s">
        <v>166</v>
      </c>
      <c r="EU928" s="16" t="s">
        <v>166</v>
      </c>
      <c r="EV928" s="16" t="s">
        <v>166</v>
      </c>
      <c r="EW928" s="16" t="s">
        <v>166</v>
      </c>
      <c r="EX928" s="14" t="s">
        <v>190</v>
      </c>
      <c r="EY928" s="14" t="s">
        <v>166</v>
      </c>
      <c r="EZ928" s="16" t="s">
        <v>166</v>
      </c>
      <c r="FA928" s="15" t="s">
        <v>166</v>
      </c>
      <c r="FB928" s="15" t="s">
        <v>166</v>
      </c>
      <c r="FC928" s="15" t="s">
        <v>166</v>
      </c>
      <c r="FD928" s="15" t="s">
        <v>166</v>
      </c>
      <c r="FE928" s="15" t="s">
        <v>166</v>
      </c>
      <c r="FF928" s="15" t="s">
        <v>166</v>
      </c>
      <c r="FG928" s="14" t="s">
        <v>166</v>
      </c>
      <c r="FH928" s="3">
        <f>HYPERLINK("https://my.pitchbook.com?c=191611-63T","View Company Online")</f>
      </c>
    </row>
    <row r="929">
      <c r="A929" s="25" t="s">
        <v>17586</v>
      </c>
      <c r="B929" s="25" t="s">
        <v>17587</v>
      </c>
      <c r="C929" s="25" t="s">
        <v>17588</v>
      </c>
      <c r="D929" s="25" t="s">
        <v>166</v>
      </c>
      <c r="E929" s="34" t="s">
        <v>17589</v>
      </c>
      <c r="F929" s="32">
        <v>5</v>
      </c>
      <c r="G929" s="25" t="s">
        <v>17590</v>
      </c>
      <c r="H929" s="25" t="s">
        <v>166</v>
      </c>
      <c r="I929" s="25" t="s">
        <v>17591</v>
      </c>
      <c r="J929" s="25" t="s">
        <v>17592</v>
      </c>
      <c r="K929" s="25" t="s">
        <v>207</v>
      </c>
      <c r="L929" s="25" t="s">
        <v>208</v>
      </c>
      <c r="M929" s="25" t="s">
        <v>209</v>
      </c>
      <c r="N929" s="25" t="s">
        <v>269</v>
      </c>
      <c r="O929" s="25" t="s">
        <v>17593</v>
      </c>
      <c r="P929" s="25" t="s">
        <v>17594</v>
      </c>
      <c r="Q929" s="25" t="s">
        <v>166</v>
      </c>
      <c r="R929" s="25" t="s">
        <v>177</v>
      </c>
      <c r="S929" s="25" t="s">
        <v>178</v>
      </c>
      <c r="T929" s="25" t="s">
        <v>179</v>
      </c>
      <c r="U929" s="25" t="s">
        <v>17595</v>
      </c>
      <c r="V929" s="25" t="s">
        <v>17596</v>
      </c>
      <c r="W929" s="32" t="s">
        <v>17597</v>
      </c>
      <c r="X929" s="25" t="s">
        <v>17598</v>
      </c>
      <c r="Y929" s="25" t="s">
        <v>17599</v>
      </c>
      <c r="Z929" s="25" t="s">
        <v>17600</v>
      </c>
      <c r="AA929" s="25" t="s">
        <v>242</v>
      </c>
      <c r="AB929" s="25" t="s">
        <v>243</v>
      </c>
      <c r="AC929" s="25" t="s">
        <v>244</v>
      </c>
      <c r="AD929" s="25" t="s">
        <v>243</v>
      </c>
      <c r="AE929" s="25" t="s">
        <v>243</v>
      </c>
      <c r="AF929" s="25" t="s">
        <v>245</v>
      </c>
      <c r="AG929" s="25" t="s">
        <v>246</v>
      </c>
      <c r="AH929" s="32">
        <v>1</v>
      </c>
      <c r="AI929" s="4">
        <f>HYPERLINK("https://my.pitchbook.com/?d=241308-91T","241308-91T")</f>
      </c>
      <c r="AJ929" s="30">
        <v>45153</v>
      </c>
      <c r="AK929" s="30">
        <v>45170</v>
      </c>
      <c r="AL929" s="29">
        <v>1.1</v>
      </c>
      <c r="AM929" s="25" t="s">
        <v>185</v>
      </c>
      <c r="AN929" s="29">
        <v>2.9</v>
      </c>
      <c r="AO929" s="29">
        <v>4</v>
      </c>
      <c r="AP929" s="25" t="s">
        <v>185</v>
      </c>
      <c r="AQ929" s="32" t="s">
        <v>166</v>
      </c>
      <c r="AR929" s="32" t="s">
        <v>166</v>
      </c>
      <c r="AS929" s="28">
        <v>27.59</v>
      </c>
      <c r="AT929" s="29">
        <v>1.1</v>
      </c>
      <c r="AU929" s="32" t="s">
        <v>186</v>
      </c>
      <c r="AV929" s="32" t="s">
        <v>166</v>
      </c>
      <c r="AW929" s="29">
        <v>1.41</v>
      </c>
      <c r="AX929" s="32" t="s">
        <v>166</v>
      </c>
      <c r="AY929" s="25" t="s">
        <v>217</v>
      </c>
      <c r="AZ929" s="25" t="s">
        <v>217</v>
      </c>
      <c r="BA929" s="25" t="s">
        <v>166</v>
      </c>
      <c r="BB929" s="32" t="s">
        <v>166</v>
      </c>
      <c r="BC929" s="25" t="s">
        <v>179</v>
      </c>
      <c r="BD929" s="25" t="s">
        <v>17592</v>
      </c>
      <c r="BE929" s="25" t="s">
        <v>189</v>
      </c>
      <c r="BF929" s="29">
        <v>1.1</v>
      </c>
      <c r="BG929" s="25" t="s">
        <v>190</v>
      </c>
      <c r="BH929" s="25" t="s">
        <v>166</v>
      </c>
      <c r="BI929" s="25" t="s">
        <v>166</v>
      </c>
      <c r="BJ929" s="29" t="s">
        <v>166</v>
      </c>
      <c r="BK929" s="29" t="s">
        <v>166</v>
      </c>
      <c r="BL929" s="25" t="s">
        <v>191</v>
      </c>
      <c r="BM929" s="25" t="s">
        <v>178</v>
      </c>
      <c r="BN929" s="25" t="s">
        <v>177</v>
      </c>
      <c r="BO929" s="33">
        <v>3</v>
      </c>
      <c r="BP929" s="25" t="s">
        <v>17589</v>
      </c>
      <c r="BQ929" s="32">
        <v>5</v>
      </c>
      <c r="BR929" s="25" t="s">
        <v>166</v>
      </c>
      <c r="BS929" s="32" t="s">
        <v>166</v>
      </c>
      <c r="BT929" s="25" t="s">
        <v>17601</v>
      </c>
      <c r="BU929" s="25" t="s">
        <v>166</v>
      </c>
      <c r="BV929" s="25" t="s">
        <v>17602</v>
      </c>
      <c r="BW929" s="25" t="s">
        <v>166</v>
      </c>
      <c r="BX929" s="25" t="s">
        <v>166</v>
      </c>
      <c r="BY929" s="25" t="s">
        <v>166</v>
      </c>
      <c r="BZ929" s="25" t="s">
        <v>17603</v>
      </c>
      <c r="CA929" s="25" t="s">
        <v>17603</v>
      </c>
      <c r="CB929" s="25" t="s">
        <v>166</v>
      </c>
      <c r="CC929" s="25" t="s">
        <v>166</v>
      </c>
      <c r="CD929" s="25" t="s">
        <v>166</v>
      </c>
      <c r="CE929" s="29" t="s">
        <v>166</v>
      </c>
      <c r="CF929" s="27" t="s">
        <v>166</v>
      </c>
      <c r="CG929" s="28" t="s">
        <v>166</v>
      </c>
      <c r="CH929" s="27" t="s">
        <v>166</v>
      </c>
      <c r="CI929" s="27" t="s">
        <v>166</v>
      </c>
      <c r="CJ929" s="27" t="s">
        <v>166</v>
      </c>
      <c r="CK929" s="27" t="s">
        <v>166</v>
      </c>
      <c r="CL929" s="27" t="s">
        <v>166</v>
      </c>
      <c r="CM929" s="31" t="s">
        <v>166</v>
      </c>
      <c r="CN929" s="27" t="s">
        <v>166</v>
      </c>
      <c r="CO929" s="27" t="s">
        <v>166</v>
      </c>
      <c r="CP929" s="27" t="s">
        <v>166</v>
      </c>
      <c r="CQ929" s="27" t="s">
        <v>166</v>
      </c>
      <c r="CR929" s="27" t="s">
        <v>166</v>
      </c>
      <c r="CS929" s="27" t="s">
        <v>166</v>
      </c>
      <c r="CT929" s="27" t="s">
        <v>166</v>
      </c>
      <c r="CU929" s="27" t="s">
        <v>166</v>
      </c>
      <c r="CV929" s="27" t="s">
        <v>166</v>
      </c>
      <c r="CW929" s="27" t="s">
        <v>166</v>
      </c>
      <c r="CX929" s="27" t="s">
        <v>166</v>
      </c>
      <c r="CY929" s="27" t="s">
        <v>166</v>
      </c>
      <c r="CZ929" s="27" t="s">
        <v>166</v>
      </c>
      <c r="DA929" s="27" t="s">
        <v>166</v>
      </c>
      <c r="DB929" s="27" t="s">
        <v>166</v>
      </c>
      <c r="DC929" s="27" t="s">
        <v>166</v>
      </c>
      <c r="DD929" s="27" t="s">
        <v>166</v>
      </c>
      <c r="DE929" s="28" t="s">
        <v>166</v>
      </c>
      <c r="DF929" s="33">
        <v>14</v>
      </c>
      <c r="DG929" s="25" t="s">
        <v>17604</v>
      </c>
      <c r="DH929" s="25" t="s">
        <v>193</v>
      </c>
      <c r="DI929" s="25" t="s">
        <v>194</v>
      </c>
      <c r="DJ929" s="25" t="s">
        <v>17605</v>
      </c>
      <c r="DK929" s="25" t="s">
        <v>1023</v>
      </c>
      <c r="DL929" s="32" t="s">
        <v>17606</v>
      </c>
      <c r="DM929" s="25" t="s">
        <v>198</v>
      </c>
      <c r="DN929" s="24" t="s">
        <v>17607</v>
      </c>
      <c r="DO929" s="31">
        <v>2022</v>
      </c>
      <c r="DP929" s="25" t="s">
        <v>166</v>
      </c>
      <c r="DQ929" s="25" t="s">
        <v>166</v>
      </c>
      <c r="DR929" s="29" t="s">
        <v>166</v>
      </c>
      <c r="DS929" s="27" t="s">
        <v>166</v>
      </c>
      <c r="DT929" s="30" t="s">
        <v>166</v>
      </c>
      <c r="DU929" s="25" t="s">
        <v>166</v>
      </c>
      <c r="DV929" s="29" t="s">
        <v>166</v>
      </c>
      <c r="DW929" s="29" t="s">
        <v>166</v>
      </c>
      <c r="DX929" s="27" t="s">
        <v>166</v>
      </c>
      <c r="DY929" s="27" t="s">
        <v>166</v>
      </c>
      <c r="DZ929" s="28" t="s">
        <v>166</v>
      </c>
      <c r="EA929" s="27" t="s">
        <v>166</v>
      </c>
      <c r="EB929" s="27" t="s">
        <v>166</v>
      </c>
      <c r="EC929" s="27" t="s">
        <v>166</v>
      </c>
      <c r="ED929" s="28" t="s">
        <v>166</v>
      </c>
      <c r="EE929" s="28" t="s">
        <v>166</v>
      </c>
      <c r="EF929" s="28" t="s">
        <v>166</v>
      </c>
      <c r="EG929" s="28" t="s">
        <v>166</v>
      </c>
      <c r="EH929" s="27" t="s">
        <v>166</v>
      </c>
      <c r="EI929" s="27" t="s">
        <v>166</v>
      </c>
      <c r="EJ929" s="27" t="s">
        <v>166</v>
      </c>
      <c r="EK929" s="27" t="s">
        <v>166</v>
      </c>
      <c r="EL929" s="27" t="s">
        <v>166</v>
      </c>
      <c r="EM929" s="27" t="s">
        <v>166</v>
      </c>
      <c r="EN929" s="27" t="s">
        <v>166</v>
      </c>
      <c r="EO929" s="27" t="s">
        <v>166</v>
      </c>
      <c r="EP929" s="27" t="s">
        <v>166</v>
      </c>
      <c r="EQ929" s="27" t="s">
        <v>166</v>
      </c>
      <c r="ER929" s="27" t="s">
        <v>166</v>
      </c>
      <c r="ES929" s="27" t="s">
        <v>166</v>
      </c>
      <c r="ET929" s="25" t="s">
        <v>166</v>
      </c>
      <c r="EU929" s="27" t="s">
        <v>166</v>
      </c>
      <c r="EV929" s="27" t="s">
        <v>166</v>
      </c>
      <c r="EW929" s="27" t="s">
        <v>166</v>
      </c>
      <c r="EX929" s="25" t="s">
        <v>190</v>
      </c>
      <c r="EY929" s="25" t="s">
        <v>166</v>
      </c>
      <c r="EZ929" s="27" t="s">
        <v>166</v>
      </c>
      <c r="FA929" s="26" t="s">
        <v>166</v>
      </c>
      <c r="FB929" s="26" t="s">
        <v>166</v>
      </c>
      <c r="FC929" s="26" t="s">
        <v>166</v>
      </c>
      <c r="FD929" s="26" t="s">
        <v>166</v>
      </c>
      <c r="FE929" s="26" t="s">
        <v>166</v>
      </c>
      <c r="FF929" s="26" t="s">
        <v>166</v>
      </c>
      <c r="FG929" s="25" t="s">
        <v>166</v>
      </c>
      <c r="FH929" s="4">
        <f>HYPERLINK("https://my.pitchbook.com?c=241308-91T","View Company Online")</f>
      </c>
    </row>
    <row r="930">
      <c r="A930" s="14" t="s">
        <v>17608</v>
      </c>
      <c r="B930" s="14" t="s">
        <v>17609</v>
      </c>
      <c r="C930" s="14" t="s">
        <v>17610</v>
      </c>
      <c r="D930" s="14" t="s">
        <v>166</v>
      </c>
      <c r="E930" s="23" t="s">
        <v>17611</v>
      </c>
      <c r="F930" s="21">
        <v>1</v>
      </c>
      <c r="G930" s="14" t="s">
        <v>17612</v>
      </c>
      <c r="H930" s="14" t="s">
        <v>166</v>
      </c>
      <c r="I930" s="14" t="s">
        <v>17613</v>
      </c>
      <c r="J930" s="14" t="s">
        <v>17614</v>
      </c>
      <c r="K930" s="14" t="s">
        <v>207</v>
      </c>
      <c r="L930" s="14" t="s">
        <v>208</v>
      </c>
      <c r="M930" s="14" t="s">
        <v>209</v>
      </c>
      <c r="N930" s="14" t="s">
        <v>6334</v>
      </c>
      <c r="O930" s="14" t="s">
        <v>325</v>
      </c>
      <c r="P930" s="14" t="s">
        <v>17615</v>
      </c>
      <c r="Q930" s="14" t="s">
        <v>8717</v>
      </c>
      <c r="R930" s="14" t="s">
        <v>177</v>
      </c>
      <c r="S930" s="14" t="s">
        <v>178</v>
      </c>
      <c r="T930" s="14" t="s">
        <v>179</v>
      </c>
      <c r="U930" s="14" t="s">
        <v>17616</v>
      </c>
      <c r="V930" s="14" t="s">
        <v>17617</v>
      </c>
      <c r="W930" s="21" t="s">
        <v>17618</v>
      </c>
      <c r="X930" s="14" t="s">
        <v>166</v>
      </c>
      <c r="Y930" s="14" t="s">
        <v>17619</v>
      </c>
      <c r="Z930" s="14" t="s">
        <v>17620</v>
      </c>
      <c r="AA930" s="14" t="s">
        <v>166</v>
      </c>
      <c r="AB930" s="14" t="s">
        <v>166</v>
      </c>
      <c r="AC930" s="14" t="s">
        <v>166</v>
      </c>
      <c r="AD930" s="14" t="s">
        <v>166</v>
      </c>
      <c r="AE930" s="14" t="s">
        <v>166</v>
      </c>
      <c r="AF930" s="14" t="s">
        <v>166</v>
      </c>
      <c r="AG930" s="14" t="s">
        <v>166</v>
      </c>
      <c r="AH930" s="21">
        <v>2</v>
      </c>
      <c r="AI930" s="3">
        <f>HYPERLINK("https://my.pitchbook.com/?d=269081-83T","269081-83T")</f>
      </c>
      <c r="AJ930" s="19" t="s">
        <v>166</v>
      </c>
      <c r="AK930" s="19">
        <v>45509</v>
      </c>
      <c r="AL930" s="18">
        <v>0.6</v>
      </c>
      <c r="AM930" s="14" t="s">
        <v>185</v>
      </c>
      <c r="AN930" s="18" t="s">
        <v>166</v>
      </c>
      <c r="AO930" s="18" t="s">
        <v>166</v>
      </c>
      <c r="AP930" s="14" t="s">
        <v>166</v>
      </c>
      <c r="AQ930" s="21" t="s">
        <v>166</v>
      </c>
      <c r="AR930" s="21">
        <v>0.89</v>
      </c>
      <c r="AS930" s="17" t="s">
        <v>166</v>
      </c>
      <c r="AT930" s="18">
        <v>2.3</v>
      </c>
      <c r="AU930" s="21" t="s">
        <v>186</v>
      </c>
      <c r="AV930" s="21" t="s">
        <v>166</v>
      </c>
      <c r="AW930" s="18" t="s">
        <v>166</v>
      </c>
      <c r="AX930" s="21" t="s">
        <v>166</v>
      </c>
      <c r="AY930" s="14" t="s">
        <v>187</v>
      </c>
      <c r="AZ930" s="14" t="s">
        <v>166</v>
      </c>
      <c r="BA930" s="14" t="s">
        <v>166</v>
      </c>
      <c r="BB930" s="21" t="s">
        <v>166</v>
      </c>
      <c r="BC930" s="14" t="s">
        <v>179</v>
      </c>
      <c r="BD930" s="14" t="s">
        <v>17621</v>
      </c>
      <c r="BE930" s="14" t="s">
        <v>189</v>
      </c>
      <c r="BF930" s="18" t="s">
        <v>166</v>
      </c>
      <c r="BG930" s="14" t="s">
        <v>190</v>
      </c>
      <c r="BH930" s="14" t="s">
        <v>166</v>
      </c>
      <c r="BI930" s="14" t="s">
        <v>166</v>
      </c>
      <c r="BJ930" s="18" t="s">
        <v>166</v>
      </c>
      <c r="BK930" s="18" t="s">
        <v>166</v>
      </c>
      <c r="BL930" s="14" t="s">
        <v>191</v>
      </c>
      <c r="BM930" s="14" t="s">
        <v>178</v>
      </c>
      <c r="BN930" s="14" t="s">
        <v>177</v>
      </c>
      <c r="BO930" s="22" t="s">
        <v>166</v>
      </c>
      <c r="BP930" s="14" t="s">
        <v>17611</v>
      </c>
      <c r="BQ930" s="21">
        <v>1</v>
      </c>
      <c r="BR930" s="14" t="s">
        <v>166</v>
      </c>
      <c r="BS930" s="21" t="s">
        <v>166</v>
      </c>
      <c r="BT930" s="14" t="s">
        <v>166</v>
      </c>
      <c r="BU930" s="14" t="s">
        <v>166</v>
      </c>
      <c r="BV930" s="14" t="s">
        <v>166</v>
      </c>
      <c r="BW930" s="14" t="s">
        <v>166</v>
      </c>
      <c r="BX930" s="14" t="s">
        <v>166</v>
      </c>
      <c r="BY930" s="14" t="s">
        <v>166</v>
      </c>
      <c r="BZ930" s="14" t="s">
        <v>166</v>
      </c>
      <c r="CA930" s="14" t="s">
        <v>166</v>
      </c>
      <c r="CB930" s="14" t="s">
        <v>166</v>
      </c>
      <c r="CC930" s="14" t="s">
        <v>166</v>
      </c>
      <c r="CD930" s="14" t="s">
        <v>166</v>
      </c>
      <c r="CE930" s="18" t="s">
        <v>166</v>
      </c>
      <c r="CF930" s="16" t="s">
        <v>166</v>
      </c>
      <c r="CG930" s="17" t="s">
        <v>166</v>
      </c>
      <c r="CH930" s="16" t="s">
        <v>166</v>
      </c>
      <c r="CI930" s="16" t="s">
        <v>166</v>
      </c>
      <c r="CJ930" s="16" t="s">
        <v>166</v>
      </c>
      <c r="CK930" s="16" t="s">
        <v>166</v>
      </c>
      <c r="CL930" s="16" t="s">
        <v>166</v>
      </c>
      <c r="CM930" s="20" t="s">
        <v>166</v>
      </c>
      <c r="CN930" s="16" t="s">
        <v>166</v>
      </c>
      <c r="CO930" s="16" t="s">
        <v>166</v>
      </c>
      <c r="CP930" s="16" t="s">
        <v>166</v>
      </c>
      <c r="CQ930" s="16" t="s">
        <v>166</v>
      </c>
      <c r="CR930" s="16" t="s">
        <v>166</v>
      </c>
      <c r="CS930" s="16" t="s">
        <v>166</v>
      </c>
      <c r="CT930" s="16" t="s">
        <v>166</v>
      </c>
      <c r="CU930" s="16" t="s">
        <v>166</v>
      </c>
      <c r="CV930" s="16" t="s">
        <v>166</v>
      </c>
      <c r="CW930" s="16" t="s">
        <v>166</v>
      </c>
      <c r="CX930" s="16" t="s">
        <v>166</v>
      </c>
      <c r="CY930" s="16" t="s">
        <v>166</v>
      </c>
      <c r="CZ930" s="16" t="s">
        <v>166</v>
      </c>
      <c r="DA930" s="16" t="s">
        <v>166</v>
      </c>
      <c r="DB930" s="16" t="s">
        <v>166</v>
      </c>
      <c r="DC930" s="16" t="s">
        <v>166</v>
      </c>
      <c r="DD930" s="16" t="s">
        <v>166</v>
      </c>
      <c r="DE930" s="17" t="s">
        <v>166</v>
      </c>
      <c r="DF930" s="22">
        <v>10</v>
      </c>
      <c r="DG930" s="14" t="s">
        <v>10561</v>
      </c>
      <c r="DH930" s="14" t="s">
        <v>193</v>
      </c>
      <c r="DI930" s="14" t="s">
        <v>194</v>
      </c>
      <c r="DJ930" s="14" t="s">
        <v>10562</v>
      </c>
      <c r="DK930" s="14" t="s">
        <v>8633</v>
      </c>
      <c r="DL930" s="21" t="s">
        <v>17622</v>
      </c>
      <c r="DM930" s="14" t="s">
        <v>198</v>
      </c>
      <c r="DN930" s="13" t="s">
        <v>17623</v>
      </c>
      <c r="DO930" s="20">
        <v>2023</v>
      </c>
      <c r="DP930" s="14" t="s">
        <v>166</v>
      </c>
      <c r="DQ930" s="14" t="s">
        <v>166</v>
      </c>
      <c r="DR930" s="18" t="s">
        <v>166</v>
      </c>
      <c r="DS930" s="16" t="s">
        <v>166</v>
      </c>
      <c r="DT930" s="19" t="s">
        <v>166</v>
      </c>
      <c r="DU930" s="14" t="s">
        <v>166</v>
      </c>
      <c r="DV930" s="18" t="s">
        <v>166</v>
      </c>
      <c r="DW930" s="18" t="s">
        <v>166</v>
      </c>
      <c r="DX930" s="16" t="s">
        <v>166</v>
      </c>
      <c r="DY930" s="16" t="s">
        <v>166</v>
      </c>
      <c r="DZ930" s="17" t="s">
        <v>166</v>
      </c>
      <c r="EA930" s="16" t="s">
        <v>166</v>
      </c>
      <c r="EB930" s="16" t="s">
        <v>166</v>
      </c>
      <c r="EC930" s="16" t="s">
        <v>166</v>
      </c>
      <c r="ED930" s="17" t="s">
        <v>166</v>
      </c>
      <c r="EE930" s="17" t="s">
        <v>166</v>
      </c>
      <c r="EF930" s="17" t="s">
        <v>166</v>
      </c>
      <c r="EG930" s="17" t="s">
        <v>166</v>
      </c>
      <c r="EH930" s="16" t="s">
        <v>166</v>
      </c>
      <c r="EI930" s="16" t="s">
        <v>166</v>
      </c>
      <c r="EJ930" s="16" t="s">
        <v>166</v>
      </c>
      <c r="EK930" s="16" t="s">
        <v>166</v>
      </c>
      <c r="EL930" s="16" t="s">
        <v>166</v>
      </c>
      <c r="EM930" s="16" t="s">
        <v>166</v>
      </c>
      <c r="EN930" s="16" t="s">
        <v>166</v>
      </c>
      <c r="EO930" s="16" t="s">
        <v>166</v>
      </c>
      <c r="EP930" s="16" t="s">
        <v>166</v>
      </c>
      <c r="EQ930" s="16" t="s">
        <v>166</v>
      </c>
      <c r="ER930" s="16" t="s">
        <v>166</v>
      </c>
      <c r="ES930" s="16" t="s">
        <v>166</v>
      </c>
      <c r="ET930" s="14" t="s">
        <v>166</v>
      </c>
      <c r="EU930" s="16" t="s">
        <v>166</v>
      </c>
      <c r="EV930" s="16" t="s">
        <v>166</v>
      </c>
      <c r="EW930" s="16" t="s">
        <v>166</v>
      </c>
      <c r="EX930" s="14" t="s">
        <v>190</v>
      </c>
      <c r="EY930" s="14" t="s">
        <v>166</v>
      </c>
      <c r="EZ930" s="16" t="s">
        <v>166</v>
      </c>
      <c r="FA930" s="15" t="s">
        <v>166</v>
      </c>
      <c r="FB930" s="15" t="s">
        <v>166</v>
      </c>
      <c r="FC930" s="15" t="s">
        <v>166</v>
      </c>
      <c r="FD930" s="15" t="s">
        <v>166</v>
      </c>
      <c r="FE930" s="15" t="s">
        <v>166</v>
      </c>
      <c r="FF930" s="15" t="s">
        <v>166</v>
      </c>
      <c r="FG930" s="14" t="s">
        <v>166</v>
      </c>
      <c r="FH930" s="3">
        <f>HYPERLINK("https://my.pitchbook.com?c=269081-83T","View Company Online")</f>
      </c>
    </row>
    <row r="931">
      <c r="A931" s="25" t="s">
        <v>17624</v>
      </c>
      <c r="B931" s="25" t="s">
        <v>17625</v>
      </c>
      <c r="C931" s="25" t="s">
        <v>17626</v>
      </c>
      <c r="D931" s="25" t="s">
        <v>166</v>
      </c>
      <c r="E931" s="34" t="s">
        <v>17627</v>
      </c>
      <c r="F931" s="32">
        <v>7</v>
      </c>
      <c r="G931" s="25" t="s">
        <v>17628</v>
      </c>
      <c r="H931" s="25" t="s">
        <v>166</v>
      </c>
      <c r="I931" s="25" t="s">
        <v>17629</v>
      </c>
      <c r="J931" s="25" t="s">
        <v>17630</v>
      </c>
      <c r="K931" s="25" t="s">
        <v>207</v>
      </c>
      <c r="L931" s="25" t="s">
        <v>208</v>
      </c>
      <c r="M931" s="25" t="s">
        <v>209</v>
      </c>
      <c r="N931" s="25" t="s">
        <v>17631</v>
      </c>
      <c r="O931" s="25" t="s">
        <v>1648</v>
      </c>
      <c r="P931" s="25" t="s">
        <v>17632</v>
      </c>
      <c r="Q931" s="25" t="s">
        <v>166</v>
      </c>
      <c r="R931" s="25" t="s">
        <v>177</v>
      </c>
      <c r="S931" s="25" t="s">
        <v>178</v>
      </c>
      <c r="T931" s="25" t="s">
        <v>179</v>
      </c>
      <c r="U931" s="25" t="s">
        <v>17633</v>
      </c>
      <c r="V931" s="25" t="s">
        <v>17634</v>
      </c>
      <c r="W931" s="32" t="s">
        <v>166</v>
      </c>
      <c r="X931" s="25" t="s">
        <v>17635</v>
      </c>
      <c r="Y931" s="25" t="s">
        <v>17636</v>
      </c>
      <c r="Z931" s="25" t="s">
        <v>166</v>
      </c>
      <c r="AA931" s="25" t="s">
        <v>166</v>
      </c>
      <c r="AB931" s="25" t="s">
        <v>166</v>
      </c>
      <c r="AC931" s="25" t="s">
        <v>166</v>
      </c>
      <c r="AD931" s="25" t="s">
        <v>166</v>
      </c>
      <c r="AE931" s="25" t="s">
        <v>166</v>
      </c>
      <c r="AF931" s="25" t="s">
        <v>166</v>
      </c>
      <c r="AG931" s="25" t="s">
        <v>166</v>
      </c>
      <c r="AH931" s="32">
        <v>1</v>
      </c>
      <c r="AI931" s="4">
        <f>HYPERLINK("https://my.pitchbook.com/?d=219783-70T","219783-70T")</f>
      </c>
      <c r="AJ931" s="30" t="s">
        <v>166</v>
      </c>
      <c r="AK931" s="30">
        <v>44986</v>
      </c>
      <c r="AL931" s="29">
        <v>7</v>
      </c>
      <c r="AM931" s="25" t="s">
        <v>185</v>
      </c>
      <c r="AN931" s="29" t="s">
        <v>166</v>
      </c>
      <c r="AO931" s="29" t="s">
        <v>166</v>
      </c>
      <c r="AP931" s="25" t="s">
        <v>166</v>
      </c>
      <c r="AQ931" s="32" t="s">
        <v>166</v>
      </c>
      <c r="AR931" s="32" t="s">
        <v>166</v>
      </c>
      <c r="AS931" s="28" t="s">
        <v>166</v>
      </c>
      <c r="AT931" s="29">
        <v>7</v>
      </c>
      <c r="AU931" s="32" t="s">
        <v>186</v>
      </c>
      <c r="AV931" s="32" t="s">
        <v>166</v>
      </c>
      <c r="AW931" s="29" t="s">
        <v>166</v>
      </c>
      <c r="AX931" s="32" t="s">
        <v>166</v>
      </c>
      <c r="AY931" s="25" t="s">
        <v>217</v>
      </c>
      <c r="AZ931" s="25" t="s">
        <v>217</v>
      </c>
      <c r="BA931" s="25" t="s">
        <v>166</v>
      </c>
      <c r="BB931" s="32" t="s">
        <v>166</v>
      </c>
      <c r="BC931" s="25" t="s">
        <v>179</v>
      </c>
      <c r="BD931" s="25" t="s">
        <v>17637</v>
      </c>
      <c r="BE931" s="25" t="s">
        <v>189</v>
      </c>
      <c r="BF931" s="29">
        <v>7</v>
      </c>
      <c r="BG931" s="25" t="s">
        <v>190</v>
      </c>
      <c r="BH931" s="25" t="s">
        <v>166</v>
      </c>
      <c r="BI931" s="25" t="s">
        <v>166</v>
      </c>
      <c r="BJ931" s="29" t="s">
        <v>166</v>
      </c>
      <c r="BK931" s="29" t="s">
        <v>166</v>
      </c>
      <c r="BL931" s="25" t="s">
        <v>191</v>
      </c>
      <c r="BM931" s="25" t="s">
        <v>178</v>
      </c>
      <c r="BN931" s="25" t="s">
        <v>177</v>
      </c>
      <c r="BO931" s="33" t="s">
        <v>166</v>
      </c>
      <c r="BP931" s="25" t="s">
        <v>17638</v>
      </c>
      <c r="BQ931" s="32">
        <v>7</v>
      </c>
      <c r="BR931" s="25" t="s">
        <v>166</v>
      </c>
      <c r="BS931" s="32" t="s">
        <v>166</v>
      </c>
      <c r="BT931" s="25" t="s">
        <v>17639</v>
      </c>
      <c r="BU931" s="25" t="s">
        <v>166</v>
      </c>
      <c r="BV931" s="25" t="s">
        <v>166</v>
      </c>
      <c r="BW931" s="25" t="s">
        <v>166</v>
      </c>
      <c r="BX931" s="25" t="s">
        <v>166</v>
      </c>
      <c r="BY931" s="25" t="s">
        <v>166</v>
      </c>
      <c r="BZ931" s="25" t="s">
        <v>17640</v>
      </c>
      <c r="CA931" s="25" t="s">
        <v>166</v>
      </c>
      <c r="CB931" s="25" t="s">
        <v>166</v>
      </c>
      <c r="CC931" s="25" t="s">
        <v>17640</v>
      </c>
      <c r="CD931" s="25" t="s">
        <v>166</v>
      </c>
      <c r="CE931" s="29" t="s">
        <v>166</v>
      </c>
      <c r="CF931" s="27" t="s">
        <v>166</v>
      </c>
      <c r="CG931" s="28" t="s">
        <v>166</v>
      </c>
      <c r="CH931" s="27" t="s">
        <v>166</v>
      </c>
      <c r="CI931" s="27" t="s">
        <v>166</v>
      </c>
      <c r="CJ931" s="27" t="s">
        <v>166</v>
      </c>
      <c r="CK931" s="27" t="s">
        <v>166</v>
      </c>
      <c r="CL931" s="27" t="s">
        <v>166</v>
      </c>
      <c r="CM931" s="31" t="s">
        <v>166</v>
      </c>
      <c r="CN931" s="27" t="s">
        <v>166</v>
      </c>
      <c r="CO931" s="27" t="s">
        <v>166</v>
      </c>
      <c r="CP931" s="27" t="s">
        <v>166</v>
      </c>
      <c r="CQ931" s="27" t="s">
        <v>166</v>
      </c>
      <c r="CR931" s="27" t="s">
        <v>166</v>
      </c>
      <c r="CS931" s="27" t="s">
        <v>166</v>
      </c>
      <c r="CT931" s="27" t="s">
        <v>166</v>
      </c>
      <c r="CU931" s="27" t="s">
        <v>166</v>
      </c>
      <c r="CV931" s="27" t="s">
        <v>166</v>
      </c>
      <c r="CW931" s="27" t="s">
        <v>166</v>
      </c>
      <c r="CX931" s="27" t="s">
        <v>166</v>
      </c>
      <c r="CY931" s="27" t="s">
        <v>166</v>
      </c>
      <c r="CZ931" s="27" t="s">
        <v>166</v>
      </c>
      <c r="DA931" s="27" t="s">
        <v>166</v>
      </c>
      <c r="DB931" s="27" t="s">
        <v>166</v>
      </c>
      <c r="DC931" s="27" t="s">
        <v>166</v>
      </c>
      <c r="DD931" s="27" t="s">
        <v>166</v>
      </c>
      <c r="DE931" s="28" t="s">
        <v>166</v>
      </c>
      <c r="DF931" s="33">
        <v>10</v>
      </c>
      <c r="DG931" s="25" t="s">
        <v>17641</v>
      </c>
      <c r="DH931" s="25" t="s">
        <v>193</v>
      </c>
      <c r="DI931" s="25" t="s">
        <v>194</v>
      </c>
      <c r="DJ931" s="25" t="s">
        <v>17642</v>
      </c>
      <c r="DK931" s="25" t="s">
        <v>310</v>
      </c>
      <c r="DL931" s="32" t="s">
        <v>166</v>
      </c>
      <c r="DM931" s="25" t="s">
        <v>198</v>
      </c>
      <c r="DN931" s="24" t="s">
        <v>17643</v>
      </c>
      <c r="DO931" s="31">
        <v>2022</v>
      </c>
      <c r="DP931" s="25" t="s">
        <v>166</v>
      </c>
      <c r="DQ931" s="25" t="s">
        <v>166</v>
      </c>
      <c r="DR931" s="29" t="s">
        <v>166</v>
      </c>
      <c r="DS931" s="27" t="s">
        <v>166</v>
      </c>
      <c r="DT931" s="30" t="s">
        <v>166</v>
      </c>
      <c r="DU931" s="25" t="s">
        <v>166</v>
      </c>
      <c r="DV931" s="29" t="s">
        <v>166</v>
      </c>
      <c r="DW931" s="29" t="s">
        <v>166</v>
      </c>
      <c r="DX931" s="27" t="s">
        <v>166</v>
      </c>
      <c r="DY931" s="27" t="s">
        <v>166</v>
      </c>
      <c r="DZ931" s="28" t="s">
        <v>166</v>
      </c>
      <c r="EA931" s="27" t="s">
        <v>166</v>
      </c>
      <c r="EB931" s="27" t="s">
        <v>166</v>
      </c>
      <c r="EC931" s="27" t="s">
        <v>166</v>
      </c>
      <c r="ED931" s="28" t="s">
        <v>166</v>
      </c>
      <c r="EE931" s="28" t="s">
        <v>166</v>
      </c>
      <c r="EF931" s="28" t="s">
        <v>166</v>
      </c>
      <c r="EG931" s="28" t="s">
        <v>166</v>
      </c>
      <c r="EH931" s="27" t="s">
        <v>166</v>
      </c>
      <c r="EI931" s="27" t="s">
        <v>166</v>
      </c>
      <c r="EJ931" s="27" t="s">
        <v>166</v>
      </c>
      <c r="EK931" s="27" t="s">
        <v>166</v>
      </c>
      <c r="EL931" s="27" t="s">
        <v>166</v>
      </c>
      <c r="EM931" s="27" t="s">
        <v>166</v>
      </c>
      <c r="EN931" s="27" t="s">
        <v>166</v>
      </c>
      <c r="EO931" s="27" t="s">
        <v>166</v>
      </c>
      <c r="EP931" s="27" t="s">
        <v>166</v>
      </c>
      <c r="EQ931" s="27" t="s">
        <v>166</v>
      </c>
      <c r="ER931" s="27" t="s">
        <v>166</v>
      </c>
      <c r="ES931" s="27" t="s">
        <v>166</v>
      </c>
      <c r="ET931" s="25" t="s">
        <v>166</v>
      </c>
      <c r="EU931" s="27" t="s">
        <v>166</v>
      </c>
      <c r="EV931" s="27" t="s">
        <v>166</v>
      </c>
      <c r="EW931" s="27" t="s">
        <v>166</v>
      </c>
      <c r="EX931" s="25" t="s">
        <v>190</v>
      </c>
      <c r="EY931" s="25" t="s">
        <v>166</v>
      </c>
      <c r="EZ931" s="27" t="s">
        <v>166</v>
      </c>
      <c r="FA931" s="26" t="s">
        <v>166</v>
      </c>
      <c r="FB931" s="26" t="s">
        <v>166</v>
      </c>
      <c r="FC931" s="26" t="s">
        <v>166</v>
      </c>
      <c r="FD931" s="26" t="s">
        <v>166</v>
      </c>
      <c r="FE931" s="26" t="s">
        <v>166</v>
      </c>
      <c r="FF931" s="26" t="s">
        <v>166</v>
      </c>
      <c r="FG931" s="25" t="s">
        <v>166</v>
      </c>
      <c r="FH931" s="4">
        <f>HYPERLINK("https://my.pitchbook.com?c=219783-70T","View Company Online")</f>
      </c>
    </row>
    <row r="932">
      <c r="A932" s="14" t="s">
        <v>17644</v>
      </c>
      <c r="B932" s="14" t="s">
        <v>17645</v>
      </c>
      <c r="C932" s="14" t="s">
        <v>17646</v>
      </c>
      <c r="D932" s="14" t="s">
        <v>166</v>
      </c>
      <c r="E932" s="23" t="s">
        <v>17647</v>
      </c>
      <c r="F932" s="21">
        <v>6</v>
      </c>
      <c r="G932" s="14" t="s">
        <v>17648</v>
      </c>
      <c r="H932" s="14" t="s">
        <v>166</v>
      </c>
      <c r="I932" s="14" t="s">
        <v>17649</v>
      </c>
      <c r="J932" s="14" t="s">
        <v>17650</v>
      </c>
      <c r="K932" s="14" t="s">
        <v>207</v>
      </c>
      <c r="L932" s="14" t="s">
        <v>208</v>
      </c>
      <c r="M932" s="14" t="s">
        <v>209</v>
      </c>
      <c r="N932" s="14" t="s">
        <v>396</v>
      </c>
      <c r="O932" s="14" t="s">
        <v>580</v>
      </c>
      <c r="P932" s="14" t="s">
        <v>17651</v>
      </c>
      <c r="Q932" s="14" t="s">
        <v>166</v>
      </c>
      <c r="R932" s="14" t="s">
        <v>177</v>
      </c>
      <c r="S932" s="14" t="s">
        <v>178</v>
      </c>
      <c r="T932" s="14" t="s">
        <v>179</v>
      </c>
      <c r="U932" s="14" t="s">
        <v>17652</v>
      </c>
      <c r="V932" s="14" t="s">
        <v>17653</v>
      </c>
      <c r="W932" s="21" t="s">
        <v>17654</v>
      </c>
      <c r="X932" s="14" t="s">
        <v>17655</v>
      </c>
      <c r="Y932" s="14" t="s">
        <v>17656</v>
      </c>
      <c r="Z932" s="14" t="s">
        <v>166</v>
      </c>
      <c r="AA932" s="14" t="s">
        <v>166</v>
      </c>
      <c r="AB932" s="14" t="s">
        <v>166</v>
      </c>
      <c r="AC932" s="14" t="s">
        <v>166</v>
      </c>
      <c r="AD932" s="14" t="s">
        <v>166</v>
      </c>
      <c r="AE932" s="14" t="s">
        <v>166</v>
      </c>
      <c r="AF932" s="14" t="s">
        <v>166</v>
      </c>
      <c r="AG932" s="14" t="s">
        <v>166</v>
      </c>
      <c r="AH932" s="21">
        <v>2</v>
      </c>
      <c r="AI932" s="3">
        <f>HYPERLINK("https://my.pitchbook.com/?d=175122-55T","175122-55T")</f>
      </c>
      <c r="AJ932" s="19">
        <v>44237</v>
      </c>
      <c r="AK932" s="19">
        <v>44348</v>
      </c>
      <c r="AL932" s="18">
        <v>1.1</v>
      </c>
      <c r="AM932" s="14" t="s">
        <v>185</v>
      </c>
      <c r="AN932" s="18" t="s">
        <v>166</v>
      </c>
      <c r="AO932" s="18" t="s">
        <v>166</v>
      </c>
      <c r="AP932" s="14" t="s">
        <v>166</v>
      </c>
      <c r="AQ932" s="21" t="s">
        <v>166</v>
      </c>
      <c r="AR932" s="21" t="s">
        <v>166</v>
      </c>
      <c r="AS932" s="17" t="s">
        <v>166</v>
      </c>
      <c r="AT932" s="18">
        <v>1.1</v>
      </c>
      <c r="AU932" s="21" t="s">
        <v>186</v>
      </c>
      <c r="AV932" s="21" t="s">
        <v>166</v>
      </c>
      <c r="AW932" s="18" t="s">
        <v>166</v>
      </c>
      <c r="AX932" s="21" t="s">
        <v>166</v>
      </c>
      <c r="AY932" s="14" t="s">
        <v>217</v>
      </c>
      <c r="AZ932" s="14" t="s">
        <v>217</v>
      </c>
      <c r="BA932" s="14" t="s">
        <v>166</v>
      </c>
      <c r="BB932" s="21" t="s">
        <v>166</v>
      </c>
      <c r="BC932" s="14" t="s">
        <v>179</v>
      </c>
      <c r="BD932" s="14" t="s">
        <v>17657</v>
      </c>
      <c r="BE932" s="14" t="s">
        <v>189</v>
      </c>
      <c r="BF932" s="18">
        <v>1.1</v>
      </c>
      <c r="BG932" s="14" t="s">
        <v>190</v>
      </c>
      <c r="BH932" s="14" t="s">
        <v>166</v>
      </c>
      <c r="BI932" s="14" t="s">
        <v>166</v>
      </c>
      <c r="BJ932" s="18" t="s">
        <v>166</v>
      </c>
      <c r="BK932" s="18" t="s">
        <v>166</v>
      </c>
      <c r="BL932" s="14" t="s">
        <v>191</v>
      </c>
      <c r="BM932" s="14" t="s">
        <v>178</v>
      </c>
      <c r="BN932" s="14" t="s">
        <v>177</v>
      </c>
      <c r="BO932" s="22" t="s">
        <v>166</v>
      </c>
      <c r="BP932" s="14" t="s">
        <v>17658</v>
      </c>
      <c r="BQ932" s="21">
        <v>6</v>
      </c>
      <c r="BR932" s="14" t="s">
        <v>166</v>
      </c>
      <c r="BS932" s="21" t="s">
        <v>166</v>
      </c>
      <c r="BT932" s="14" t="s">
        <v>166</v>
      </c>
      <c r="BU932" s="14" t="s">
        <v>166</v>
      </c>
      <c r="BV932" s="14" t="s">
        <v>17659</v>
      </c>
      <c r="BW932" s="14" t="s">
        <v>166</v>
      </c>
      <c r="BX932" s="14" t="s">
        <v>166</v>
      </c>
      <c r="BY932" s="14" t="s">
        <v>166</v>
      </c>
      <c r="BZ932" s="14" t="s">
        <v>166</v>
      </c>
      <c r="CA932" s="14" t="s">
        <v>166</v>
      </c>
      <c r="CB932" s="14" t="s">
        <v>166</v>
      </c>
      <c r="CC932" s="14" t="s">
        <v>166</v>
      </c>
      <c r="CD932" s="14" t="s">
        <v>166</v>
      </c>
      <c r="CE932" s="18" t="s">
        <v>166</v>
      </c>
      <c r="CF932" s="16" t="s">
        <v>166</v>
      </c>
      <c r="CG932" s="17" t="s">
        <v>166</v>
      </c>
      <c r="CH932" s="16" t="s">
        <v>166</v>
      </c>
      <c r="CI932" s="16" t="s">
        <v>166</v>
      </c>
      <c r="CJ932" s="16" t="s">
        <v>166</v>
      </c>
      <c r="CK932" s="16" t="s">
        <v>166</v>
      </c>
      <c r="CL932" s="16" t="s">
        <v>166</v>
      </c>
      <c r="CM932" s="20" t="s">
        <v>166</v>
      </c>
      <c r="CN932" s="16" t="s">
        <v>166</v>
      </c>
      <c r="CO932" s="16" t="s">
        <v>166</v>
      </c>
      <c r="CP932" s="16" t="s">
        <v>166</v>
      </c>
      <c r="CQ932" s="16" t="s">
        <v>166</v>
      </c>
      <c r="CR932" s="16" t="s">
        <v>166</v>
      </c>
      <c r="CS932" s="16" t="s">
        <v>166</v>
      </c>
      <c r="CT932" s="16" t="s">
        <v>166</v>
      </c>
      <c r="CU932" s="16" t="s">
        <v>166</v>
      </c>
      <c r="CV932" s="16" t="s">
        <v>166</v>
      </c>
      <c r="CW932" s="16" t="s">
        <v>166</v>
      </c>
      <c r="CX932" s="16" t="s">
        <v>166</v>
      </c>
      <c r="CY932" s="16" t="s">
        <v>166</v>
      </c>
      <c r="CZ932" s="16" t="s">
        <v>166</v>
      </c>
      <c r="DA932" s="16" t="s">
        <v>166</v>
      </c>
      <c r="DB932" s="16" t="s">
        <v>166</v>
      </c>
      <c r="DC932" s="16" t="s">
        <v>166</v>
      </c>
      <c r="DD932" s="16" t="s">
        <v>166</v>
      </c>
      <c r="DE932" s="17" t="s">
        <v>166</v>
      </c>
      <c r="DF932" s="22">
        <v>14</v>
      </c>
      <c r="DG932" s="14" t="s">
        <v>309</v>
      </c>
      <c r="DH932" s="14" t="s">
        <v>193</v>
      </c>
      <c r="DI932" s="14" t="s">
        <v>194</v>
      </c>
      <c r="DJ932" s="14" t="s">
        <v>310</v>
      </c>
      <c r="DK932" s="14" t="s">
        <v>310</v>
      </c>
      <c r="DL932" s="21" t="s">
        <v>166</v>
      </c>
      <c r="DM932" s="14" t="s">
        <v>198</v>
      </c>
      <c r="DN932" s="13" t="s">
        <v>17660</v>
      </c>
      <c r="DO932" s="20">
        <v>2020</v>
      </c>
      <c r="DP932" s="14" t="s">
        <v>166</v>
      </c>
      <c r="DQ932" s="14" t="s">
        <v>166</v>
      </c>
      <c r="DR932" s="18" t="s">
        <v>166</v>
      </c>
      <c r="DS932" s="16" t="s">
        <v>166</v>
      </c>
      <c r="DT932" s="19" t="s">
        <v>166</v>
      </c>
      <c r="DU932" s="14" t="s">
        <v>166</v>
      </c>
      <c r="DV932" s="18" t="s">
        <v>166</v>
      </c>
      <c r="DW932" s="18" t="s">
        <v>166</v>
      </c>
      <c r="DX932" s="16" t="s">
        <v>166</v>
      </c>
      <c r="DY932" s="16" t="s">
        <v>166</v>
      </c>
      <c r="DZ932" s="17" t="s">
        <v>166</v>
      </c>
      <c r="EA932" s="16" t="s">
        <v>166</v>
      </c>
      <c r="EB932" s="16" t="s">
        <v>166</v>
      </c>
      <c r="EC932" s="16" t="s">
        <v>166</v>
      </c>
      <c r="ED932" s="17" t="s">
        <v>166</v>
      </c>
      <c r="EE932" s="17" t="s">
        <v>166</v>
      </c>
      <c r="EF932" s="17" t="s">
        <v>166</v>
      </c>
      <c r="EG932" s="17" t="s">
        <v>166</v>
      </c>
      <c r="EH932" s="16" t="s">
        <v>166</v>
      </c>
      <c r="EI932" s="16" t="s">
        <v>166</v>
      </c>
      <c r="EJ932" s="16" t="s">
        <v>166</v>
      </c>
      <c r="EK932" s="16" t="s">
        <v>166</v>
      </c>
      <c r="EL932" s="16" t="s">
        <v>166</v>
      </c>
      <c r="EM932" s="16" t="s">
        <v>166</v>
      </c>
      <c r="EN932" s="16" t="s">
        <v>166</v>
      </c>
      <c r="EO932" s="16" t="s">
        <v>166</v>
      </c>
      <c r="EP932" s="16" t="s">
        <v>166</v>
      </c>
      <c r="EQ932" s="16" t="s">
        <v>166</v>
      </c>
      <c r="ER932" s="16" t="s">
        <v>166</v>
      </c>
      <c r="ES932" s="16" t="s">
        <v>166</v>
      </c>
      <c r="ET932" s="14" t="s">
        <v>166</v>
      </c>
      <c r="EU932" s="16" t="s">
        <v>166</v>
      </c>
      <c r="EV932" s="16" t="s">
        <v>166</v>
      </c>
      <c r="EW932" s="16" t="s">
        <v>166</v>
      </c>
      <c r="EX932" s="14" t="s">
        <v>190</v>
      </c>
      <c r="EY932" s="14" t="s">
        <v>166</v>
      </c>
      <c r="EZ932" s="16" t="s">
        <v>166</v>
      </c>
      <c r="FA932" s="15" t="s">
        <v>166</v>
      </c>
      <c r="FB932" s="15" t="s">
        <v>166</v>
      </c>
      <c r="FC932" s="15" t="s">
        <v>166</v>
      </c>
      <c r="FD932" s="15" t="s">
        <v>166</v>
      </c>
      <c r="FE932" s="15" t="s">
        <v>166</v>
      </c>
      <c r="FF932" s="15" t="s">
        <v>166</v>
      </c>
      <c r="FG932" s="14" t="s">
        <v>166</v>
      </c>
      <c r="FH932" s="3">
        <f>HYPERLINK("https://my.pitchbook.com?c=175122-55T","View Company Online")</f>
      </c>
    </row>
    <row r="933">
      <c r="A933" s="25" t="s">
        <v>17661</v>
      </c>
      <c r="B933" s="25" t="s">
        <v>17662</v>
      </c>
      <c r="C933" s="25" t="s">
        <v>17663</v>
      </c>
      <c r="D933" s="25" t="s">
        <v>166</v>
      </c>
      <c r="E933" s="34" t="s">
        <v>17664</v>
      </c>
      <c r="F933" s="32">
        <v>1</v>
      </c>
      <c r="G933" s="25" t="s">
        <v>17665</v>
      </c>
      <c r="H933" s="25" t="s">
        <v>166</v>
      </c>
      <c r="I933" s="25" t="s">
        <v>17666</v>
      </c>
      <c r="J933" s="25" t="s">
        <v>17667</v>
      </c>
      <c r="K933" s="25" t="s">
        <v>207</v>
      </c>
      <c r="L933" s="25" t="s">
        <v>208</v>
      </c>
      <c r="M933" s="25" t="s">
        <v>209</v>
      </c>
      <c r="N933" s="25" t="s">
        <v>3221</v>
      </c>
      <c r="O933" s="25" t="s">
        <v>17668</v>
      </c>
      <c r="P933" s="25" t="s">
        <v>17669</v>
      </c>
      <c r="Q933" s="25" t="s">
        <v>166</v>
      </c>
      <c r="R933" s="25" t="s">
        <v>177</v>
      </c>
      <c r="S933" s="25" t="s">
        <v>178</v>
      </c>
      <c r="T933" s="25" t="s">
        <v>179</v>
      </c>
      <c r="U933" s="25" t="s">
        <v>17670</v>
      </c>
      <c r="V933" s="25" t="s">
        <v>17671</v>
      </c>
      <c r="W933" s="32" t="s">
        <v>17672</v>
      </c>
      <c r="X933" s="25" t="s">
        <v>17673</v>
      </c>
      <c r="Y933" s="25" t="s">
        <v>17674</v>
      </c>
      <c r="Z933" s="25" t="s">
        <v>17675</v>
      </c>
      <c r="AA933" s="25" t="s">
        <v>166</v>
      </c>
      <c r="AB933" s="25" t="s">
        <v>166</v>
      </c>
      <c r="AC933" s="25" t="s">
        <v>166</v>
      </c>
      <c r="AD933" s="25" t="s">
        <v>166</v>
      </c>
      <c r="AE933" s="25" t="s">
        <v>166</v>
      </c>
      <c r="AF933" s="25" t="s">
        <v>166</v>
      </c>
      <c r="AG933" s="25" t="s">
        <v>166</v>
      </c>
      <c r="AH933" s="32">
        <v>1</v>
      </c>
      <c r="AI933" s="4">
        <f>HYPERLINK("https://my.pitchbook.com/?d=169825-78T","169825-78T")</f>
      </c>
      <c r="AJ933" s="30" t="s">
        <v>166</v>
      </c>
      <c r="AK933" s="30">
        <v>44256</v>
      </c>
      <c r="AL933" s="29">
        <v>100</v>
      </c>
      <c r="AM933" s="25" t="s">
        <v>185</v>
      </c>
      <c r="AN933" s="29" t="s">
        <v>166</v>
      </c>
      <c r="AO933" s="29" t="s">
        <v>166</v>
      </c>
      <c r="AP933" s="25" t="s">
        <v>166</v>
      </c>
      <c r="AQ933" s="32" t="s">
        <v>166</v>
      </c>
      <c r="AR933" s="32" t="s">
        <v>166</v>
      </c>
      <c r="AS933" s="28" t="s">
        <v>166</v>
      </c>
      <c r="AT933" s="29">
        <v>100</v>
      </c>
      <c r="AU933" s="32" t="s">
        <v>186</v>
      </c>
      <c r="AV933" s="32" t="s">
        <v>166</v>
      </c>
      <c r="AW933" s="29" t="s">
        <v>166</v>
      </c>
      <c r="AX933" s="32" t="s">
        <v>248</v>
      </c>
      <c r="AY933" s="25" t="s">
        <v>249</v>
      </c>
      <c r="AZ933" s="25" t="s">
        <v>248</v>
      </c>
      <c r="BA933" s="25" t="s">
        <v>166</v>
      </c>
      <c r="BB933" s="32" t="s">
        <v>166</v>
      </c>
      <c r="BC933" s="25" t="s">
        <v>179</v>
      </c>
      <c r="BD933" s="25" t="s">
        <v>17676</v>
      </c>
      <c r="BE933" s="25" t="s">
        <v>189</v>
      </c>
      <c r="BF933" s="29">
        <v>100</v>
      </c>
      <c r="BG933" s="25" t="s">
        <v>190</v>
      </c>
      <c r="BH933" s="25" t="s">
        <v>166</v>
      </c>
      <c r="BI933" s="25" t="s">
        <v>166</v>
      </c>
      <c r="BJ933" s="29" t="s">
        <v>166</v>
      </c>
      <c r="BK933" s="29" t="s">
        <v>166</v>
      </c>
      <c r="BL933" s="25" t="s">
        <v>191</v>
      </c>
      <c r="BM933" s="25" t="s">
        <v>178</v>
      </c>
      <c r="BN933" s="25" t="s">
        <v>177</v>
      </c>
      <c r="BO933" s="33" t="s">
        <v>166</v>
      </c>
      <c r="BP933" s="25" t="s">
        <v>17677</v>
      </c>
      <c r="BQ933" s="32">
        <v>1</v>
      </c>
      <c r="BR933" s="25" t="s">
        <v>166</v>
      </c>
      <c r="BS933" s="32" t="s">
        <v>166</v>
      </c>
      <c r="BT933" s="25" t="s">
        <v>166</v>
      </c>
      <c r="BU933" s="25" t="s">
        <v>166</v>
      </c>
      <c r="BV933" s="25" t="s">
        <v>166</v>
      </c>
      <c r="BW933" s="25" t="s">
        <v>166</v>
      </c>
      <c r="BX933" s="25" t="s">
        <v>166</v>
      </c>
      <c r="BY933" s="25" t="s">
        <v>166</v>
      </c>
      <c r="BZ933" s="25" t="s">
        <v>17678</v>
      </c>
      <c r="CA933" s="25" t="s">
        <v>1232</v>
      </c>
      <c r="CB933" s="25" t="s">
        <v>166</v>
      </c>
      <c r="CC933" s="25" t="s">
        <v>17679</v>
      </c>
      <c r="CD933" s="25" t="s">
        <v>166</v>
      </c>
      <c r="CE933" s="29" t="s">
        <v>166</v>
      </c>
      <c r="CF933" s="27" t="s">
        <v>166</v>
      </c>
      <c r="CG933" s="28" t="s">
        <v>166</v>
      </c>
      <c r="CH933" s="27" t="s">
        <v>166</v>
      </c>
      <c r="CI933" s="27" t="s">
        <v>166</v>
      </c>
      <c r="CJ933" s="27" t="s">
        <v>166</v>
      </c>
      <c r="CK933" s="27" t="s">
        <v>166</v>
      </c>
      <c r="CL933" s="27" t="s">
        <v>166</v>
      </c>
      <c r="CM933" s="31" t="s">
        <v>166</v>
      </c>
      <c r="CN933" s="27" t="s">
        <v>166</v>
      </c>
      <c r="CO933" s="27" t="s">
        <v>166</v>
      </c>
      <c r="CP933" s="27" t="s">
        <v>166</v>
      </c>
      <c r="CQ933" s="27" t="s">
        <v>166</v>
      </c>
      <c r="CR933" s="27" t="s">
        <v>166</v>
      </c>
      <c r="CS933" s="27" t="s">
        <v>166</v>
      </c>
      <c r="CT933" s="27" t="s">
        <v>166</v>
      </c>
      <c r="CU933" s="27" t="s">
        <v>166</v>
      </c>
      <c r="CV933" s="27" t="s">
        <v>166</v>
      </c>
      <c r="CW933" s="27" t="s">
        <v>166</v>
      </c>
      <c r="CX933" s="27" t="s">
        <v>166</v>
      </c>
      <c r="CY933" s="27" t="s">
        <v>166</v>
      </c>
      <c r="CZ933" s="27" t="s">
        <v>166</v>
      </c>
      <c r="DA933" s="27" t="s">
        <v>166</v>
      </c>
      <c r="DB933" s="27" t="s">
        <v>166</v>
      </c>
      <c r="DC933" s="27" t="s">
        <v>166</v>
      </c>
      <c r="DD933" s="27" t="s">
        <v>166</v>
      </c>
      <c r="DE933" s="28" t="s">
        <v>166</v>
      </c>
      <c r="DF933" s="33">
        <v>990</v>
      </c>
      <c r="DG933" s="25" t="s">
        <v>2439</v>
      </c>
      <c r="DH933" s="25" t="s">
        <v>193</v>
      </c>
      <c r="DI933" s="25" t="s">
        <v>194</v>
      </c>
      <c r="DJ933" s="25" t="s">
        <v>2440</v>
      </c>
      <c r="DK933" s="25" t="s">
        <v>454</v>
      </c>
      <c r="DL933" s="32" t="s">
        <v>6195</v>
      </c>
      <c r="DM933" s="25" t="s">
        <v>198</v>
      </c>
      <c r="DN933" s="24" t="s">
        <v>17680</v>
      </c>
      <c r="DO933" s="31">
        <v>2014</v>
      </c>
      <c r="DP933" s="25" t="s">
        <v>166</v>
      </c>
      <c r="DQ933" s="25" t="s">
        <v>166</v>
      </c>
      <c r="DR933" s="29" t="s">
        <v>166</v>
      </c>
      <c r="DS933" s="27" t="s">
        <v>166</v>
      </c>
      <c r="DT933" s="30" t="s">
        <v>166</v>
      </c>
      <c r="DU933" s="25" t="s">
        <v>166</v>
      </c>
      <c r="DV933" s="29" t="s">
        <v>166</v>
      </c>
      <c r="DW933" s="29" t="s">
        <v>166</v>
      </c>
      <c r="DX933" s="27" t="s">
        <v>166</v>
      </c>
      <c r="DY933" s="27" t="s">
        <v>166</v>
      </c>
      <c r="DZ933" s="28" t="s">
        <v>166</v>
      </c>
      <c r="EA933" s="27" t="s">
        <v>166</v>
      </c>
      <c r="EB933" s="27" t="s">
        <v>166</v>
      </c>
      <c r="EC933" s="27" t="s">
        <v>166</v>
      </c>
      <c r="ED933" s="28" t="s">
        <v>166</v>
      </c>
      <c r="EE933" s="28" t="s">
        <v>166</v>
      </c>
      <c r="EF933" s="28" t="s">
        <v>166</v>
      </c>
      <c r="EG933" s="28" t="s">
        <v>166</v>
      </c>
      <c r="EH933" s="27" t="s">
        <v>166</v>
      </c>
      <c r="EI933" s="27" t="s">
        <v>166</v>
      </c>
      <c r="EJ933" s="27" t="s">
        <v>166</v>
      </c>
      <c r="EK933" s="27" t="s">
        <v>166</v>
      </c>
      <c r="EL933" s="27" t="s">
        <v>166</v>
      </c>
      <c r="EM933" s="27" t="s">
        <v>166</v>
      </c>
      <c r="EN933" s="27" t="s">
        <v>166</v>
      </c>
      <c r="EO933" s="27" t="s">
        <v>166</v>
      </c>
      <c r="EP933" s="27" t="s">
        <v>166</v>
      </c>
      <c r="EQ933" s="27" t="s">
        <v>166</v>
      </c>
      <c r="ER933" s="27" t="s">
        <v>166</v>
      </c>
      <c r="ES933" s="27" t="s">
        <v>166</v>
      </c>
      <c r="ET933" s="25" t="s">
        <v>166</v>
      </c>
      <c r="EU933" s="27" t="s">
        <v>166</v>
      </c>
      <c r="EV933" s="27" t="s">
        <v>166</v>
      </c>
      <c r="EW933" s="27" t="s">
        <v>166</v>
      </c>
      <c r="EX933" s="25" t="s">
        <v>190</v>
      </c>
      <c r="EY933" s="25" t="s">
        <v>166</v>
      </c>
      <c r="EZ933" s="27" t="s">
        <v>166</v>
      </c>
      <c r="FA933" s="26" t="s">
        <v>166</v>
      </c>
      <c r="FB933" s="26" t="s">
        <v>166</v>
      </c>
      <c r="FC933" s="26" t="s">
        <v>166</v>
      </c>
      <c r="FD933" s="26" t="s">
        <v>166</v>
      </c>
      <c r="FE933" s="26" t="s">
        <v>166</v>
      </c>
      <c r="FF933" s="26" t="s">
        <v>166</v>
      </c>
      <c r="FG933" s="25" t="s">
        <v>166</v>
      </c>
      <c r="FH933" s="4">
        <f>HYPERLINK("https://my.pitchbook.com?c=169825-78T","View Company Online")</f>
      </c>
    </row>
    <row r="934">
      <c r="A934" s="14" t="s">
        <v>17681</v>
      </c>
      <c r="B934" s="14" t="s">
        <v>17682</v>
      </c>
      <c r="C934" s="14" t="s">
        <v>17683</v>
      </c>
      <c r="D934" s="14" t="s">
        <v>166</v>
      </c>
      <c r="E934" s="23" t="s">
        <v>16029</v>
      </c>
      <c r="F934" s="21">
        <v>1</v>
      </c>
      <c r="G934" s="14" t="s">
        <v>16030</v>
      </c>
      <c r="H934" s="14" t="s">
        <v>166</v>
      </c>
      <c r="I934" s="14" t="s">
        <v>17684</v>
      </c>
      <c r="J934" s="14" t="s">
        <v>17685</v>
      </c>
      <c r="K934" s="14" t="s">
        <v>321</v>
      </c>
      <c r="L934" s="14" t="s">
        <v>1645</v>
      </c>
      <c r="M934" s="14" t="s">
        <v>12824</v>
      </c>
      <c r="N934" s="14" t="s">
        <v>17686</v>
      </c>
      <c r="O934" s="14" t="s">
        <v>17687</v>
      </c>
      <c r="P934" s="14" t="s">
        <v>17688</v>
      </c>
      <c r="Q934" s="14" t="s">
        <v>166</v>
      </c>
      <c r="R934" s="14" t="s">
        <v>177</v>
      </c>
      <c r="S934" s="14" t="s">
        <v>178</v>
      </c>
      <c r="T934" s="14" t="s">
        <v>179</v>
      </c>
      <c r="U934" s="14" t="s">
        <v>17689</v>
      </c>
      <c r="V934" s="14" t="s">
        <v>17690</v>
      </c>
      <c r="W934" s="21" t="s">
        <v>17691</v>
      </c>
      <c r="X934" s="14" t="s">
        <v>17692</v>
      </c>
      <c r="Y934" s="14" t="s">
        <v>17693</v>
      </c>
      <c r="Z934" s="14" t="s">
        <v>17694</v>
      </c>
      <c r="AA934" s="14" t="s">
        <v>242</v>
      </c>
      <c r="AB934" s="14" t="s">
        <v>243</v>
      </c>
      <c r="AC934" s="14" t="s">
        <v>244</v>
      </c>
      <c r="AD934" s="14" t="s">
        <v>243</v>
      </c>
      <c r="AE934" s="14" t="s">
        <v>243</v>
      </c>
      <c r="AF934" s="14" t="s">
        <v>166</v>
      </c>
      <c r="AG934" s="14" t="s">
        <v>246</v>
      </c>
      <c r="AH934" s="21">
        <v>3</v>
      </c>
      <c r="AI934" s="3">
        <f>HYPERLINK("https://my.pitchbook.com/?d=166185-19T","166185-19T")</f>
      </c>
      <c r="AJ934" s="19">
        <v>44228</v>
      </c>
      <c r="AK934" s="19">
        <v>44500</v>
      </c>
      <c r="AL934" s="18">
        <v>6</v>
      </c>
      <c r="AM934" s="14" t="s">
        <v>185</v>
      </c>
      <c r="AN934" s="18">
        <v>18</v>
      </c>
      <c r="AO934" s="18">
        <v>24</v>
      </c>
      <c r="AP934" s="14" t="s">
        <v>185</v>
      </c>
      <c r="AQ934" s="21" t="s">
        <v>166</v>
      </c>
      <c r="AR934" s="21" t="s">
        <v>166</v>
      </c>
      <c r="AS934" s="17">
        <v>35.39</v>
      </c>
      <c r="AT934" s="18">
        <v>6.12</v>
      </c>
      <c r="AU934" s="21" t="s">
        <v>186</v>
      </c>
      <c r="AV934" s="21" t="s">
        <v>166</v>
      </c>
      <c r="AW934" s="18">
        <v>0.76</v>
      </c>
      <c r="AX934" s="21" t="s">
        <v>166</v>
      </c>
      <c r="AY934" s="14" t="s">
        <v>217</v>
      </c>
      <c r="AZ934" s="14" t="s">
        <v>217</v>
      </c>
      <c r="BA934" s="14" t="s">
        <v>166</v>
      </c>
      <c r="BB934" s="21" t="s">
        <v>166</v>
      </c>
      <c r="BC934" s="14" t="s">
        <v>179</v>
      </c>
      <c r="BD934" s="14" t="s">
        <v>17695</v>
      </c>
      <c r="BE934" s="14" t="s">
        <v>189</v>
      </c>
      <c r="BF934" s="18">
        <v>6</v>
      </c>
      <c r="BG934" s="14" t="s">
        <v>190</v>
      </c>
      <c r="BH934" s="14" t="s">
        <v>166</v>
      </c>
      <c r="BI934" s="14" t="s">
        <v>166</v>
      </c>
      <c r="BJ934" s="18" t="s">
        <v>166</v>
      </c>
      <c r="BK934" s="18" t="s">
        <v>166</v>
      </c>
      <c r="BL934" s="14" t="s">
        <v>191</v>
      </c>
      <c r="BM934" s="14" t="s">
        <v>178</v>
      </c>
      <c r="BN934" s="14" t="s">
        <v>177</v>
      </c>
      <c r="BO934" s="22">
        <v>3</v>
      </c>
      <c r="BP934" s="14" t="s">
        <v>16029</v>
      </c>
      <c r="BQ934" s="21">
        <v>1</v>
      </c>
      <c r="BR934" s="14" t="s">
        <v>166</v>
      </c>
      <c r="BS934" s="21" t="s">
        <v>166</v>
      </c>
      <c r="BT934" s="14" t="s">
        <v>166</v>
      </c>
      <c r="BU934" s="14" t="s">
        <v>166</v>
      </c>
      <c r="BV934" s="14" t="s">
        <v>166</v>
      </c>
      <c r="BW934" s="14" t="s">
        <v>166</v>
      </c>
      <c r="BX934" s="14" t="s">
        <v>166</v>
      </c>
      <c r="BY934" s="14" t="s">
        <v>166</v>
      </c>
      <c r="BZ934" s="14" t="s">
        <v>770</v>
      </c>
      <c r="CA934" s="14" t="s">
        <v>770</v>
      </c>
      <c r="CB934" s="14" t="s">
        <v>166</v>
      </c>
      <c r="CC934" s="14" t="s">
        <v>166</v>
      </c>
      <c r="CD934" s="14" t="s">
        <v>166</v>
      </c>
      <c r="CE934" s="18" t="s">
        <v>166</v>
      </c>
      <c r="CF934" s="16" t="s">
        <v>166</v>
      </c>
      <c r="CG934" s="17" t="s">
        <v>166</v>
      </c>
      <c r="CH934" s="16" t="s">
        <v>166</v>
      </c>
      <c r="CI934" s="16" t="s">
        <v>166</v>
      </c>
      <c r="CJ934" s="16" t="s">
        <v>166</v>
      </c>
      <c r="CK934" s="16" t="s">
        <v>166</v>
      </c>
      <c r="CL934" s="16" t="s">
        <v>166</v>
      </c>
      <c r="CM934" s="20" t="s">
        <v>166</v>
      </c>
      <c r="CN934" s="16" t="s">
        <v>166</v>
      </c>
      <c r="CO934" s="16" t="s">
        <v>166</v>
      </c>
      <c r="CP934" s="16" t="s">
        <v>166</v>
      </c>
      <c r="CQ934" s="16" t="s">
        <v>166</v>
      </c>
      <c r="CR934" s="16" t="s">
        <v>166</v>
      </c>
      <c r="CS934" s="16" t="s">
        <v>166</v>
      </c>
      <c r="CT934" s="16" t="s">
        <v>166</v>
      </c>
      <c r="CU934" s="16" t="s">
        <v>166</v>
      </c>
      <c r="CV934" s="16" t="s">
        <v>166</v>
      </c>
      <c r="CW934" s="16" t="s">
        <v>166</v>
      </c>
      <c r="CX934" s="16" t="s">
        <v>166</v>
      </c>
      <c r="CY934" s="16" t="s">
        <v>166</v>
      </c>
      <c r="CZ934" s="16" t="s">
        <v>166</v>
      </c>
      <c r="DA934" s="16" t="s">
        <v>166</v>
      </c>
      <c r="DB934" s="16" t="s">
        <v>166</v>
      </c>
      <c r="DC934" s="16" t="s">
        <v>166</v>
      </c>
      <c r="DD934" s="16" t="s">
        <v>166</v>
      </c>
      <c r="DE934" s="17" t="s">
        <v>166</v>
      </c>
      <c r="DF934" s="22">
        <v>48</v>
      </c>
      <c r="DG934" s="14" t="s">
        <v>5921</v>
      </c>
      <c r="DH934" s="14" t="s">
        <v>193</v>
      </c>
      <c r="DI934" s="14" t="s">
        <v>194</v>
      </c>
      <c r="DJ934" s="14" t="s">
        <v>5922</v>
      </c>
      <c r="DK934" s="14" t="s">
        <v>257</v>
      </c>
      <c r="DL934" s="21" t="s">
        <v>12529</v>
      </c>
      <c r="DM934" s="14" t="s">
        <v>198</v>
      </c>
      <c r="DN934" s="13" t="s">
        <v>17696</v>
      </c>
      <c r="DO934" s="20">
        <v>2021</v>
      </c>
      <c r="DP934" s="14" t="s">
        <v>166</v>
      </c>
      <c r="DQ934" s="14" t="s">
        <v>166</v>
      </c>
      <c r="DR934" s="18" t="s">
        <v>166</v>
      </c>
      <c r="DS934" s="16" t="s">
        <v>166</v>
      </c>
      <c r="DT934" s="19" t="s">
        <v>166</v>
      </c>
      <c r="DU934" s="14" t="s">
        <v>166</v>
      </c>
      <c r="DV934" s="18" t="s">
        <v>166</v>
      </c>
      <c r="DW934" s="18" t="s">
        <v>166</v>
      </c>
      <c r="DX934" s="16" t="s">
        <v>166</v>
      </c>
      <c r="DY934" s="16" t="s">
        <v>166</v>
      </c>
      <c r="DZ934" s="17" t="s">
        <v>166</v>
      </c>
      <c r="EA934" s="16" t="s">
        <v>166</v>
      </c>
      <c r="EB934" s="16" t="s">
        <v>166</v>
      </c>
      <c r="EC934" s="16" t="s">
        <v>166</v>
      </c>
      <c r="ED934" s="17" t="s">
        <v>166</v>
      </c>
      <c r="EE934" s="17" t="s">
        <v>166</v>
      </c>
      <c r="EF934" s="17" t="s">
        <v>166</v>
      </c>
      <c r="EG934" s="17" t="s">
        <v>166</v>
      </c>
      <c r="EH934" s="16" t="s">
        <v>166</v>
      </c>
      <c r="EI934" s="16" t="s">
        <v>166</v>
      </c>
      <c r="EJ934" s="16" t="s">
        <v>166</v>
      </c>
      <c r="EK934" s="16" t="s">
        <v>166</v>
      </c>
      <c r="EL934" s="16" t="s">
        <v>166</v>
      </c>
      <c r="EM934" s="16" t="s">
        <v>166</v>
      </c>
      <c r="EN934" s="16" t="s">
        <v>166</v>
      </c>
      <c r="EO934" s="16" t="s">
        <v>166</v>
      </c>
      <c r="EP934" s="16" t="s">
        <v>166</v>
      </c>
      <c r="EQ934" s="16" t="s">
        <v>166</v>
      </c>
      <c r="ER934" s="16" t="s">
        <v>166</v>
      </c>
      <c r="ES934" s="16" t="s">
        <v>166</v>
      </c>
      <c r="ET934" s="14" t="s">
        <v>166</v>
      </c>
      <c r="EU934" s="16" t="s">
        <v>166</v>
      </c>
      <c r="EV934" s="16" t="s">
        <v>166</v>
      </c>
      <c r="EW934" s="16" t="s">
        <v>166</v>
      </c>
      <c r="EX934" s="14" t="s">
        <v>190</v>
      </c>
      <c r="EY934" s="14" t="s">
        <v>166</v>
      </c>
      <c r="EZ934" s="16" t="s">
        <v>166</v>
      </c>
      <c r="FA934" s="15" t="s">
        <v>166</v>
      </c>
      <c r="FB934" s="15" t="s">
        <v>166</v>
      </c>
      <c r="FC934" s="15" t="s">
        <v>166</v>
      </c>
      <c r="FD934" s="15" t="s">
        <v>166</v>
      </c>
      <c r="FE934" s="15" t="s">
        <v>166</v>
      </c>
      <c r="FF934" s="15" t="s">
        <v>166</v>
      </c>
      <c r="FG934" s="14" t="s">
        <v>166</v>
      </c>
      <c r="FH934" s="3">
        <f>HYPERLINK("https://my.pitchbook.com?c=166185-19T","View Company Online")</f>
      </c>
    </row>
    <row r="935">
      <c r="A935" s="25" t="s">
        <v>17697</v>
      </c>
      <c r="B935" s="25" t="s">
        <v>17698</v>
      </c>
      <c r="C935" s="25" t="s">
        <v>17699</v>
      </c>
      <c r="D935" s="25" t="s">
        <v>166</v>
      </c>
      <c r="E935" s="34" t="s">
        <v>17700</v>
      </c>
      <c r="F935" s="32">
        <v>7</v>
      </c>
      <c r="G935" s="25" t="s">
        <v>17701</v>
      </c>
      <c r="H935" s="25" t="s">
        <v>166</v>
      </c>
      <c r="I935" s="25" t="s">
        <v>17702</v>
      </c>
      <c r="J935" s="25" t="s">
        <v>17703</v>
      </c>
      <c r="K935" s="25" t="s">
        <v>1455</v>
      </c>
      <c r="L935" s="25" t="s">
        <v>10416</v>
      </c>
      <c r="M935" s="25" t="s">
        <v>10417</v>
      </c>
      <c r="N935" s="25" t="s">
        <v>17704</v>
      </c>
      <c r="O935" s="25" t="s">
        <v>17705</v>
      </c>
      <c r="P935" s="25" t="s">
        <v>17706</v>
      </c>
      <c r="Q935" s="25" t="s">
        <v>166</v>
      </c>
      <c r="R935" s="25" t="s">
        <v>177</v>
      </c>
      <c r="S935" s="25" t="s">
        <v>178</v>
      </c>
      <c r="T935" s="25" t="s">
        <v>1401</v>
      </c>
      <c r="U935" s="25" t="s">
        <v>17707</v>
      </c>
      <c r="V935" s="25" t="s">
        <v>17708</v>
      </c>
      <c r="W935" s="32" t="s">
        <v>17709</v>
      </c>
      <c r="X935" s="25" t="s">
        <v>17710</v>
      </c>
      <c r="Y935" s="25" t="s">
        <v>17711</v>
      </c>
      <c r="Z935" s="25" t="s">
        <v>17712</v>
      </c>
      <c r="AA935" s="25" t="s">
        <v>242</v>
      </c>
      <c r="AB935" s="25" t="s">
        <v>243</v>
      </c>
      <c r="AC935" s="25" t="s">
        <v>244</v>
      </c>
      <c r="AD935" s="25" t="s">
        <v>243</v>
      </c>
      <c r="AE935" s="25" t="s">
        <v>243</v>
      </c>
      <c r="AF935" s="25" t="s">
        <v>245</v>
      </c>
      <c r="AG935" s="25" t="s">
        <v>246</v>
      </c>
      <c r="AH935" s="32">
        <v>2</v>
      </c>
      <c r="AI935" s="4">
        <f>HYPERLINK("https://my.pitchbook.com/?d=176365-54T","176365-54T")</f>
      </c>
      <c r="AJ935" s="30">
        <v>44333</v>
      </c>
      <c r="AK935" s="30">
        <v>44365</v>
      </c>
      <c r="AL935" s="29">
        <v>16.05</v>
      </c>
      <c r="AM935" s="25" t="s">
        <v>185</v>
      </c>
      <c r="AN935" s="29">
        <v>50</v>
      </c>
      <c r="AO935" s="29">
        <v>61.52</v>
      </c>
      <c r="AP935" s="25" t="s">
        <v>185</v>
      </c>
      <c r="AQ935" s="32" t="s">
        <v>166</v>
      </c>
      <c r="AR935" s="32" t="s">
        <v>166</v>
      </c>
      <c r="AS935" s="28">
        <v>21.72</v>
      </c>
      <c r="AT935" s="29">
        <v>16.05</v>
      </c>
      <c r="AU935" s="32" t="s">
        <v>186</v>
      </c>
      <c r="AV935" s="32" t="s">
        <v>166</v>
      </c>
      <c r="AW935" s="29">
        <v>3.76</v>
      </c>
      <c r="AX935" s="32" t="s">
        <v>248</v>
      </c>
      <c r="AY935" s="25" t="s">
        <v>187</v>
      </c>
      <c r="AZ935" s="25" t="s">
        <v>248</v>
      </c>
      <c r="BA935" s="25" t="s">
        <v>166</v>
      </c>
      <c r="BB935" s="32" t="s">
        <v>166</v>
      </c>
      <c r="BC935" s="25" t="s">
        <v>179</v>
      </c>
      <c r="BD935" s="25" t="s">
        <v>17713</v>
      </c>
      <c r="BE935" s="25" t="s">
        <v>189</v>
      </c>
      <c r="BF935" s="29">
        <v>11.52</v>
      </c>
      <c r="BG935" s="25" t="s">
        <v>190</v>
      </c>
      <c r="BH935" s="25" t="s">
        <v>166</v>
      </c>
      <c r="BI935" s="25" t="s">
        <v>166</v>
      </c>
      <c r="BJ935" s="29">
        <v>4.53</v>
      </c>
      <c r="BK935" s="29" t="s">
        <v>166</v>
      </c>
      <c r="BL935" s="25" t="s">
        <v>191</v>
      </c>
      <c r="BM935" s="25" t="s">
        <v>178</v>
      </c>
      <c r="BN935" s="25" t="s">
        <v>177</v>
      </c>
      <c r="BO935" s="33" t="s">
        <v>166</v>
      </c>
      <c r="BP935" s="25" t="s">
        <v>17714</v>
      </c>
      <c r="BQ935" s="32">
        <v>7</v>
      </c>
      <c r="BR935" s="25" t="s">
        <v>166</v>
      </c>
      <c r="BS935" s="32" t="s">
        <v>166</v>
      </c>
      <c r="BT935" s="25" t="s">
        <v>17715</v>
      </c>
      <c r="BU935" s="25" t="s">
        <v>166</v>
      </c>
      <c r="BV935" s="25" t="s">
        <v>17716</v>
      </c>
      <c r="BW935" s="25" t="s">
        <v>166</v>
      </c>
      <c r="BX935" s="25" t="s">
        <v>166</v>
      </c>
      <c r="BY935" s="25" t="s">
        <v>166</v>
      </c>
      <c r="BZ935" s="25" t="s">
        <v>17717</v>
      </c>
      <c r="CA935" s="25" t="s">
        <v>770</v>
      </c>
      <c r="CB935" s="25" t="s">
        <v>166</v>
      </c>
      <c r="CC935" s="25" t="s">
        <v>17718</v>
      </c>
      <c r="CD935" s="25" t="s">
        <v>166</v>
      </c>
      <c r="CE935" s="29" t="s">
        <v>166</v>
      </c>
      <c r="CF935" s="27" t="s">
        <v>166</v>
      </c>
      <c r="CG935" s="28" t="s">
        <v>166</v>
      </c>
      <c r="CH935" s="27" t="s">
        <v>166</v>
      </c>
      <c r="CI935" s="27" t="s">
        <v>166</v>
      </c>
      <c r="CJ935" s="27" t="s">
        <v>166</v>
      </c>
      <c r="CK935" s="27" t="s">
        <v>166</v>
      </c>
      <c r="CL935" s="27" t="s">
        <v>166</v>
      </c>
      <c r="CM935" s="31" t="s">
        <v>166</v>
      </c>
      <c r="CN935" s="27" t="s">
        <v>166</v>
      </c>
      <c r="CO935" s="27" t="s">
        <v>166</v>
      </c>
      <c r="CP935" s="27" t="s">
        <v>166</v>
      </c>
      <c r="CQ935" s="27" t="s">
        <v>166</v>
      </c>
      <c r="CR935" s="27" t="s">
        <v>166</v>
      </c>
      <c r="CS935" s="27" t="s">
        <v>166</v>
      </c>
      <c r="CT935" s="27" t="s">
        <v>166</v>
      </c>
      <c r="CU935" s="27" t="s">
        <v>166</v>
      </c>
      <c r="CV935" s="27" t="s">
        <v>166</v>
      </c>
      <c r="CW935" s="27" t="s">
        <v>166</v>
      </c>
      <c r="CX935" s="27" t="s">
        <v>166</v>
      </c>
      <c r="CY935" s="27">
        <v>0.39</v>
      </c>
      <c r="CZ935" s="27" t="s">
        <v>166</v>
      </c>
      <c r="DA935" s="27" t="s">
        <v>166</v>
      </c>
      <c r="DB935" s="27" t="s">
        <v>166</v>
      </c>
      <c r="DC935" s="27" t="s">
        <v>166</v>
      </c>
      <c r="DD935" s="27" t="s">
        <v>166</v>
      </c>
      <c r="DE935" s="28" t="s">
        <v>166</v>
      </c>
      <c r="DF935" s="33">
        <v>211</v>
      </c>
      <c r="DG935" s="25" t="s">
        <v>518</v>
      </c>
      <c r="DH935" s="25" t="s">
        <v>193</v>
      </c>
      <c r="DI935" s="25" t="s">
        <v>194</v>
      </c>
      <c r="DJ935" s="25" t="s">
        <v>519</v>
      </c>
      <c r="DK935" s="25" t="s">
        <v>257</v>
      </c>
      <c r="DL935" s="32" t="s">
        <v>1583</v>
      </c>
      <c r="DM935" s="25" t="s">
        <v>198</v>
      </c>
      <c r="DN935" s="24" t="s">
        <v>17719</v>
      </c>
      <c r="DO935" s="31">
        <v>2017</v>
      </c>
      <c r="DP935" s="25" t="s">
        <v>166</v>
      </c>
      <c r="DQ935" s="25" t="s">
        <v>17720</v>
      </c>
      <c r="DR935" s="29">
        <v>4.53</v>
      </c>
      <c r="DS935" s="27" t="s">
        <v>166</v>
      </c>
      <c r="DT935" s="30" t="s">
        <v>166</v>
      </c>
      <c r="DU935" s="25" t="s">
        <v>166</v>
      </c>
      <c r="DV935" s="29" t="s">
        <v>166</v>
      </c>
      <c r="DW935" s="29" t="s">
        <v>166</v>
      </c>
      <c r="DX935" s="27" t="s">
        <v>166</v>
      </c>
      <c r="DY935" s="27" t="s">
        <v>166</v>
      </c>
      <c r="DZ935" s="28" t="s">
        <v>166</v>
      </c>
      <c r="EA935" s="27" t="s">
        <v>166</v>
      </c>
      <c r="EB935" s="27" t="s">
        <v>166</v>
      </c>
      <c r="EC935" s="27" t="s">
        <v>166</v>
      </c>
      <c r="ED935" s="28" t="s">
        <v>166</v>
      </c>
      <c r="EE935" s="28" t="s">
        <v>166</v>
      </c>
      <c r="EF935" s="28" t="s">
        <v>166</v>
      </c>
      <c r="EG935" s="28" t="s">
        <v>166</v>
      </c>
      <c r="EH935" s="27" t="s">
        <v>166</v>
      </c>
      <c r="EI935" s="27" t="s">
        <v>166</v>
      </c>
      <c r="EJ935" s="27" t="s">
        <v>166</v>
      </c>
      <c r="EK935" s="27" t="s">
        <v>166</v>
      </c>
      <c r="EL935" s="27" t="s">
        <v>166</v>
      </c>
      <c r="EM935" s="27" t="s">
        <v>166</v>
      </c>
      <c r="EN935" s="27" t="s">
        <v>166</v>
      </c>
      <c r="EO935" s="27" t="s">
        <v>166</v>
      </c>
      <c r="EP935" s="27" t="s">
        <v>166</v>
      </c>
      <c r="EQ935" s="27" t="s">
        <v>166</v>
      </c>
      <c r="ER935" s="27" t="s">
        <v>166</v>
      </c>
      <c r="ES935" s="27" t="s">
        <v>166</v>
      </c>
      <c r="ET935" s="25" t="s">
        <v>166</v>
      </c>
      <c r="EU935" s="27" t="s">
        <v>166</v>
      </c>
      <c r="EV935" s="27" t="s">
        <v>166</v>
      </c>
      <c r="EW935" s="27" t="s">
        <v>166</v>
      </c>
      <c r="EX935" s="25" t="s">
        <v>190</v>
      </c>
      <c r="EY935" s="25" t="s">
        <v>190</v>
      </c>
      <c r="EZ935" s="27" t="s">
        <v>166</v>
      </c>
      <c r="FA935" s="26">
        <v>4</v>
      </c>
      <c r="FB935" s="26">
        <v>3</v>
      </c>
      <c r="FC935" s="26">
        <v>4</v>
      </c>
      <c r="FD935" s="26" t="s">
        <v>166</v>
      </c>
      <c r="FE935" s="26" t="s">
        <v>166</v>
      </c>
      <c r="FF935" s="26" t="s">
        <v>166</v>
      </c>
      <c r="FG935" s="25" t="s">
        <v>17721</v>
      </c>
      <c r="FH935" s="4">
        <f>HYPERLINK("https://my.pitchbook.com?c=176365-54T","View Company Online")</f>
      </c>
    </row>
    <row r="936">
      <c r="A936" s="14" t="s">
        <v>17722</v>
      </c>
      <c r="B936" s="14" t="s">
        <v>17723</v>
      </c>
      <c r="C936" s="14" t="s">
        <v>17724</v>
      </c>
      <c r="D936" s="14" t="s">
        <v>166</v>
      </c>
      <c r="E936" s="23" t="s">
        <v>17725</v>
      </c>
      <c r="F936" s="21">
        <v>15</v>
      </c>
      <c r="G936" s="14" t="s">
        <v>17726</v>
      </c>
      <c r="H936" s="14" t="s">
        <v>166</v>
      </c>
      <c r="I936" s="14" t="s">
        <v>17727</v>
      </c>
      <c r="J936" s="14" t="s">
        <v>17728</v>
      </c>
      <c r="K936" s="14" t="s">
        <v>207</v>
      </c>
      <c r="L936" s="14" t="s">
        <v>208</v>
      </c>
      <c r="M936" s="14" t="s">
        <v>209</v>
      </c>
      <c r="N936" s="14" t="s">
        <v>396</v>
      </c>
      <c r="O936" s="14" t="s">
        <v>8841</v>
      </c>
      <c r="P936" s="14" t="s">
        <v>17729</v>
      </c>
      <c r="Q936" s="14" t="s">
        <v>926</v>
      </c>
      <c r="R936" s="14" t="s">
        <v>177</v>
      </c>
      <c r="S936" s="14" t="s">
        <v>178</v>
      </c>
      <c r="T936" s="14" t="s">
        <v>179</v>
      </c>
      <c r="U936" s="14" t="s">
        <v>17730</v>
      </c>
      <c r="V936" s="14" t="s">
        <v>17731</v>
      </c>
      <c r="W936" s="21" t="s">
        <v>166</v>
      </c>
      <c r="X936" s="14" t="s">
        <v>17732</v>
      </c>
      <c r="Y936" s="14" t="s">
        <v>17733</v>
      </c>
      <c r="Z936" s="14" t="s">
        <v>166</v>
      </c>
      <c r="AA936" s="14" t="s">
        <v>242</v>
      </c>
      <c r="AB936" s="14" t="s">
        <v>243</v>
      </c>
      <c r="AC936" s="14" t="s">
        <v>244</v>
      </c>
      <c r="AD936" s="14" t="s">
        <v>243</v>
      </c>
      <c r="AE936" s="14" t="s">
        <v>243</v>
      </c>
      <c r="AF936" s="14" t="s">
        <v>245</v>
      </c>
      <c r="AG936" s="14" t="s">
        <v>246</v>
      </c>
      <c r="AH936" s="21">
        <v>1</v>
      </c>
      <c r="AI936" s="3">
        <f>HYPERLINK("https://my.pitchbook.com/?d=233611-75T","233611-75T")</f>
      </c>
      <c r="AJ936" s="19" t="s">
        <v>166</v>
      </c>
      <c r="AK936" s="19">
        <v>45133</v>
      </c>
      <c r="AL936" s="18">
        <v>3.3</v>
      </c>
      <c r="AM936" s="14" t="s">
        <v>185</v>
      </c>
      <c r="AN936" s="18">
        <v>8.02</v>
      </c>
      <c r="AO936" s="18">
        <v>11.32</v>
      </c>
      <c r="AP936" s="14" t="s">
        <v>185</v>
      </c>
      <c r="AQ936" s="21" t="s">
        <v>166</v>
      </c>
      <c r="AR936" s="21" t="s">
        <v>166</v>
      </c>
      <c r="AS936" s="17">
        <v>29.14</v>
      </c>
      <c r="AT936" s="18">
        <v>3.3</v>
      </c>
      <c r="AU936" s="21" t="s">
        <v>186</v>
      </c>
      <c r="AV936" s="21" t="s">
        <v>166</v>
      </c>
      <c r="AW936" s="18" t="s">
        <v>166</v>
      </c>
      <c r="AX936" s="21" t="s">
        <v>166</v>
      </c>
      <c r="AY936" s="14" t="s">
        <v>217</v>
      </c>
      <c r="AZ936" s="14" t="s">
        <v>217</v>
      </c>
      <c r="BA936" s="14" t="s">
        <v>166</v>
      </c>
      <c r="BB936" s="21" t="s">
        <v>166</v>
      </c>
      <c r="BC936" s="14" t="s">
        <v>179</v>
      </c>
      <c r="BD936" s="14" t="s">
        <v>17734</v>
      </c>
      <c r="BE936" s="14" t="s">
        <v>189</v>
      </c>
      <c r="BF936" s="18">
        <v>3.3</v>
      </c>
      <c r="BG936" s="14" t="s">
        <v>190</v>
      </c>
      <c r="BH936" s="14" t="s">
        <v>166</v>
      </c>
      <c r="BI936" s="14" t="s">
        <v>166</v>
      </c>
      <c r="BJ936" s="18" t="s">
        <v>166</v>
      </c>
      <c r="BK936" s="18" t="s">
        <v>166</v>
      </c>
      <c r="BL936" s="14" t="s">
        <v>191</v>
      </c>
      <c r="BM936" s="14" t="s">
        <v>178</v>
      </c>
      <c r="BN936" s="14" t="s">
        <v>177</v>
      </c>
      <c r="BO936" s="22" t="s">
        <v>166</v>
      </c>
      <c r="BP936" s="14" t="s">
        <v>17735</v>
      </c>
      <c r="BQ936" s="21">
        <v>15</v>
      </c>
      <c r="BR936" s="14" t="s">
        <v>166</v>
      </c>
      <c r="BS936" s="21" t="s">
        <v>166</v>
      </c>
      <c r="BT936" s="14" t="s">
        <v>17736</v>
      </c>
      <c r="BU936" s="14" t="s">
        <v>166</v>
      </c>
      <c r="BV936" s="14" t="s">
        <v>17737</v>
      </c>
      <c r="BW936" s="14" t="s">
        <v>166</v>
      </c>
      <c r="BX936" s="14" t="s">
        <v>166</v>
      </c>
      <c r="BY936" s="14" t="s">
        <v>166</v>
      </c>
      <c r="BZ936" s="14" t="s">
        <v>17738</v>
      </c>
      <c r="CA936" s="14" t="s">
        <v>996</v>
      </c>
      <c r="CB936" s="14" t="s">
        <v>166</v>
      </c>
      <c r="CC936" s="14" t="s">
        <v>17739</v>
      </c>
      <c r="CD936" s="14" t="s">
        <v>166</v>
      </c>
      <c r="CE936" s="18" t="s">
        <v>166</v>
      </c>
      <c r="CF936" s="16" t="s">
        <v>166</v>
      </c>
      <c r="CG936" s="17" t="s">
        <v>166</v>
      </c>
      <c r="CH936" s="16" t="s">
        <v>166</v>
      </c>
      <c r="CI936" s="16" t="s">
        <v>166</v>
      </c>
      <c r="CJ936" s="16" t="s">
        <v>166</v>
      </c>
      <c r="CK936" s="16" t="s">
        <v>166</v>
      </c>
      <c r="CL936" s="16" t="s">
        <v>166</v>
      </c>
      <c r="CM936" s="20" t="s">
        <v>166</v>
      </c>
      <c r="CN936" s="16" t="s">
        <v>166</v>
      </c>
      <c r="CO936" s="16" t="s">
        <v>166</v>
      </c>
      <c r="CP936" s="16" t="s">
        <v>166</v>
      </c>
      <c r="CQ936" s="16" t="s">
        <v>166</v>
      </c>
      <c r="CR936" s="16" t="s">
        <v>166</v>
      </c>
      <c r="CS936" s="16" t="s">
        <v>166</v>
      </c>
      <c r="CT936" s="16" t="s">
        <v>166</v>
      </c>
      <c r="CU936" s="16" t="s">
        <v>166</v>
      </c>
      <c r="CV936" s="16" t="s">
        <v>166</v>
      </c>
      <c r="CW936" s="16" t="s">
        <v>166</v>
      </c>
      <c r="CX936" s="16" t="s">
        <v>166</v>
      </c>
      <c r="CY936" s="16" t="s">
        <v>166</v>
      </c>
      <c r="CZ936" s="16" t="s">
        <v>166</v>
      </c>
      <c r="DA936" s="16" t="s">
        <v>166</v>
      </c>
      <c r="DB936" s="16" t="s">
        <v>166</v>
      </c>
      <c r="DC936" s="16" t="s">
        <v>166</v>
      </c>
      <c r="DD936" s="16" t="s">
        <v>166</v>
      </c>
      <c r="DE936" s="17" t="s">
        <v>166</v>
      </c>
      <c r="DF936" s="22">
        <v>5</v>
      </c>
      <c r="DG936" s="14" t="s">
        <v>309</v>
      </c>
      <c r="DH936" s="14" t="s">
        <v>193</v>
      </c>
      <c r="DI936" s="14" t="s">
        <v>194</v>
      </c>
      <c r="DJ936" s="14" t="s">
        <v>310</v>
      </c>
      <c r="DK936" s="14" t="s">
        <v>310</v>
      </c>
      <c r="DL936" s="21" t="s">
        <v>9717</v>
      </c>
      <c r="DM936" s="14" t="s">
        <v>198</v>
      </c>
      <c r="DN936" s="13" t="s">
        <v>17740</v>
      </c>
      <c r="DO936" s="20">
        <v>2021</v>
      </c>
      <c r="DP936" s="14" t="s">
        <v>166</v>
      </c>
      <c r="DQ936" s="14" t="s">
        <v>166</v>
      </c>
      <c r="DR936" s="18" t="s">
        <v>166</v>
      </c>
      <c r="DS936" s="16" t="s">
        <v>166</v>
      </c>
      <c r="DT936" s="19" t="s">
        <v>166</v>
      </c>
      <c r="DU936" s="14" t="s">
        <v>166</v>
      </c>
      <c r="DV936" s="18" t="s">
        <v>166</v>
      </c>
      <c r="DW936" s="18" t="s">
        <v>166</v>
      </c>
      <c r="DX936" s="16" t="s">
        <v>166</v>
      </c>
      <c r="DY936" s="16" t="s">
        <v>166</v>
      </c>
      <c r="DZ936" s="17" t="s">
        <v>166</v>
      </c>
      <c r="EA936" s="16" t="s">
        <v>166</v>
      </c>
      <c r="EB936" s="16" t="s">
        <v>166</v>
      </c>
      <c r="EC936" s="16" t="s">
        <v>166</v>
      </c>
      <c r="ED936" s="17" t="s">
        <v>166</v>
      </c>
      <c r="EE936" s="17" t="s">
        <v>166</v>
      </c>
      <c r="EF936" s="17" t="s">
        <v>166</v>
      </c>
      <c r="EG936" s="17" t="s">
        <v>166</v>
      </c>
      <c r="EH936" s="16" t="s">
        <v>166</v>
      </c>
      <c r="EI936" s="16" t="s">
        <v>166</v>
      </c>
      <c r="EJ936" s="16" t="s">
        <v>166</v>
      </c>
      <c r="EK936" s="16" t="s">
        <v>166</v>
      </c>
      <c r="EL936" s="16" t="s">
        <v>166</v>
      </c>
      <c r="EM936" s="16" t="s">
        <v>166</v>
      </c>
      <c r="EN936" s="16" t="s">
        <v>166</v>
      </c>
      <c r="EO936" s="16" t="s">
        <v>166</v>
      </c>
      <c r="EP936" s="16" t="s">
        <v>166</v>
      </c>
      <c r="EQ936" s="16" t="s">
        <v>166</v>
      </c>
      <c r="ER936" s="16" t="s">
        <v>166</v>
      </c>
      <c r="ES936" s="16" t="s">
        <v>166</v>
      </c>
      <c r="ET936" s="14" t="s">
        <v>166</v>
      </c>
      <c r="EU936" s="16" t="s">
        <v>166</v>
      </c>
      <c r="EV936" s="16" t="s">
        <v>166</v>
      </c>
      <c r="EW936" s="16" t="s">
        <v>166</v>
      </c>
      <c r="EX936" s="14" t="s">
        <v>190</v>
      </c>
      <c r="EY936" s="14" t="s">
        <v>166</v>
      </c>
      <c r="EZ936" s="16" t="s">
        <v>166</v>
      </c>
      <c r="FA936" s="15" t="s">
        <v>166</v>
      </c>
      <c r="FB936" s="15" t="s">
        <v>166</v>
      </c>
      <c r="FC936" s="15" t="s">
        <v>166</v>
      </c>
      <c r="FD936" s="15" t="s">
        <v>166</v>
      </c>
      <c r="FE936" s="15" t="s">
        <v>166</v>
      </c>
      <c r="FF936" s="15" t="s">
        <v>166</v>
      </c>
      <c r="FG936" s="14" t="s">
        <v>166</v>
      </c>
      <c r="FH936" s="3">
        <f>HYPERLINK("https://my.pitchbook.com?c=233611-75T","View Company Online")</f>
      </c>
    </row>
    <row r="937">
      <c r="A937" s="25" t="s">
        <v>17741</v>
      </c>
      <c r="B937" s="25" t="s">
        <v>17742</v>
      </c>
      <c r="C937" s="25" t="s">
        <v>17743</v>
      </c>
      <c r="D937" s="25" t="s">
        <v>166</v>
      </c>
      <c r="E937" s="34" t="s">
        <v>17744</v>
      </c>
      <c r="F937" s="32">
        <v>1</v>
      </c>
      <c r="G937" s="25" t="s">
        <v>17745</v>
      </c>
      <c r="H937" s="25" t="s">
        <v>166</v>
      </c>
      <c r="I937" s="25" t="s">
        <v>17746</v>
      </c>
      <c r="J937" s="25" t="s">
        <v>17747</v>
      </c>
      <c r="K937" s="25" t="s">
        <v>207</v>
      </c>
      <c r="L937" s="25" t="s">
        <v>208</v>
      </c>
      <c r="M937" s="25" t="s">
        <v>209</v>
      </c>
      <c r="N937" s="25" t="s">
        <v>684</v>
      </c>
      <c r="O937" s="25" t="s">
        <v>17748</v>
      </c>
      <c r="P937" s="25" t="s">
        <v>17749</v>
      </c>
      <c r="Q937" s="25" t="s">
        <v>166</v>
      </c>
      <c r="R937" s="25" t="s">
        <v>177</v>
      </c>
      <c r="S937" s="25" t="s">
        <v>178</v>
      </c>
      <c r="T937" s="25" t="s">
        <v>179</v>
      </c>
      <c r="U937" s="25" t="s">
        <v>17750</v>
      </c>
      <c r="V937" s="25" t="s">
        <v>17751</v>
      </c>
      <c r="W937" s="32" t="s">
        <v>17752</v>
      </c>
      <c r="X937" s="25" t="s">
        <v>17753</v>
      </c>
      <c r="Y937" s="25" t="s">
        <v>17754</v>
      </c>
      <c r="Z937" s="25" t="s">
        <v>17755</v>
      </c>
      <c r="AA937" s="25" t="s">
        <v>379</v>
      </c>
      <c r="AB937" s="25" t="s">
        <v>243</v>
      </c>
      <c r="AC937" s="25" t="s">
        <v>244</v>
      </c>
      <c r="AD937" s="25" t="s">
        <v>243</v>
      </c>
      <c r="AE937" s="25" t="s">
        <v>243</v>
      </c>
      <c r="AF937" s="25" t="s">
        <v>166</v>
      </c>
      <c r="AG937" s="25" t="s">
        <v>246</v>
      </c>
      <c r="AH937" s="32">
        <v>3</v>
      </c>
      <c r="AI937" s="4">
        <f>HYPERLINK("https://my.pitchbook.com/?d=200512-54T","200512-54T")</f>
      </c>
      <c r="AJ937" s="30" t="s">
        <v>166</v>
      </c>
      <c r="AK937" s="30">
        <v>44769</v>
      </c>
      <c r="AL937" s="29">
        <v>3.5</v>
      </c>
      <c r="AM937" s="25" t="s">
        <v>185</v>
      </c>
      <c r="AN937" s="29">
        <v>4</v>
      </c>
      <c r="AO937" s="29">
        <v>7.5</v>
      </c>
      <c r="AP937" s="25" t="s">
        <v>185</v>
      </c>
      <c r="AQ937" s="32" t="s">
        <v>166</v>
      </c>
      <c r="AR937" s="32" t="s">
        <v>166</v>
      </c>
      <c r="AS937" s="28">
        <v>47</v>
      </c>
      <c r="AT937" s="29">
        <v>3.5</v>
      </c>
      <c r="AU937" s="32" t="s">
        <v>186</v>
      </c>
      <c r="AV937" s="32" t="s">
        <v>166</v>
      </c>
      <c r="AW937" s="29">
        <v>0.38</v>
      </c>
      <c r="AX937" s="32" t="s">
        <v>248</v>
      </c>
      <c r="AY937" s="25" t="s">
        <v>187</v>
      </c>
      <c r="AZ937" s="25" t="s">
        <v>248</v>
      </c>
      <c r="BA937" s="25" t="s">
        <v>166</v>
      </c>
      <c r="BB937" s="32" t="s">
        <v>166</v>
      </c>
      <c r="BC937" s="25" t="s">
        <v>179</v>
      </c>
      <c r="BD937" s="25" t="s">
        <v>17747</v>
      </c>
      <c r="BE937" s="25" t="s">
        <v>189</v>
      </c>
      <c r="BF937" s="29">
        <v>3.5</v>
      </c>
      <c r="BG937" s="25" t="s">
        <v>190</v>
      </c>
      <c r="BH937" s="25" t="s">
        <v>166</v>
      </c>
      <c r="BI937" s="25" t="s">
        <v>166</v>
      </c>
      <c r="BJ937" s="29" t="s">
        <v>166</v>
      </c>
      <c r="BK937" s="29" t="s">
        <v>166</v>
      </c>
      <c r="BL937" s="25" t="s">
        <v>191</v>
      </c>
      <c r="BM937" s="25" t="s">
        <v>178</v>
      </c>
      <c r="BN937" s="25" t="s">
        <v>177</v>
      </c>
      <c r="BO937" s="33" t="s">
        <v>166</v>
      </c>
      <c r="BP937" s="25" t="s">
        <v>17756</v>
      </c>
      <c r="BQ937" s="32">
        <v>1</v>
      </c>
      <c r="BR937" s="25" t="s">
        <v>166</v>
      </c>
      <c r="BS937" s="32" t="s">
        <v>166</v>
      </c>
      <c r="BT937" s="25" t="s">
        <v>17744</v>
      </c>
      <c r="BU937" s="25" t="s">
        <v>166</v>
      </c>
      <c r="BV937" s="25" t="s">
        <v>166</v>
      </c>
      <c r="BW937" s="25" t="s">
        <v>166</v>
      </c>
      <c r="BX937" s="25" t="s">
        <v>166</v>
      </c>
      <c r="BY937" s="25" t="s">
        <v>166</v>
      </c>
      <c r="BZ937" s="25" t="s">
        <v>166</v>
      </c>
      <c r="CA937" s="25" t="s">
        <v>166</v>
      </c>
      <c r="CB937" s="25" t="s">
        <v>166</v>
      </c>
      <c r="CC937" s="25" t="s">
        <v>166</v>
      </c>
      <c r="CD937" s="25" t="s">
        <v>166</v>
      </c>
      <c r="CE937" s="29" t="s">
        <v>166</v>
      </c>
      <c r="CF937" s="27" t="s">
        <v>166</v>
      </c>
      <c r="CG937" s="28" t="s">
        <v>166</v>
      </c>
      <c r="CH937" s="27" t="s">
        <v>166</v>
      </c>
      <c r="CI937" s="27" t="s">
        <v>166</v>
      </c>
      <c r="CJ937" s="27" t="s">
        <v>166</v>
      </c>
      <c r="CK937" s="27" t="s">
        <v>166</v>
      </c>
      <c r="CL937" s="27" t="s">
        <v>166</v>
      </c>
      <c r="CM937" s="31" t="s">
        <v>166</v>
      </c>
      <c r="CN937" s="27" t="s">
        <v>166</v>
      </c>
      <c r="CO937" s="27" t="s">
        <v>166</v>
      </c>
      <c r="CP937" s="27" t="s">
        <v>166</v>
      </c>
      <c r="CQ937" s="27" t="s">
        <v>166</v>
      </c>
      <c r="CR937" s="27" t="s">
        <v>166</v>
      </c>
      <c r="CS937" s="27" t="s">
        <v>166</v>
      </c>
      <c r="CT937" s="27" t="s">
        <v>166</v>
      </c>
      <c r="CU937" s="27" t="s">
        <v>166</v>
      </c>
      <c r="CV937" s="27" t="s">
        <v>166</v>
      </c>
      <c r="CW937" s="27" t="s">
        <v>166</v>
      </c>
      <c r="CX937" s="27" t="s">
        <v>166</v>
      </c>
      <c r="CY937" s="27" t="s">
        <v>166</v>
      </c>
      <c r="CZ937" s="27" t="s">
        <v>166</v>
      </c>
      <c r="DA937" s="27" t="s">
        <v>166</v>
      </c>
      <c r="DB937" s="27" t="s">
        <v>166</v>
      </c>
      <c r="DC937" s="27" t="s">
        <v>166</v>
      </c>
      <c r="DD937" s="27" t="s">
        <v>166</v>
      </c>
      <c r="DE937" s="28" t="s">
        <v>166</v>
      </c>
      <c r="DF937" s="33">
        <v>4</v>
      </c>
      <c r="DG937" s="25" t="s">
        <v>17757</v>
      </c>
      <c r="DH937" s="25" t="s">
        <v>193</v>
      </c>
      <c r="DI937" s="25" t="s">
        <v>194</v>
      </c>
      <c r="DJ937" s="25" t="s">
        <v>17758</v>
      </c>
      <c r="DK937" s="25" t="s">
        <v>1888</v>
      </c>
      <c r="DL937" s="32" t="s">
        <v>17759</v>
      </c>
      <c r="DM937" s="25" t="s">
        <v>198</v>
      </c>
      <c r="DN937" s="24" t="s">
        <v>17760</v>
      </c>
      <c r="DO937" s="31">
        <v>2018</v>
      </c>
      <c r="DP937" s="25" t="s">
        <v>166</v>
      </c>
      <c r="DQ937" s="25" t="s">
        <v>166</v>
      </c>
      <c r="DR937" s="29" t="s">
        <v>166</v>
      </c>
      <c r="DS937" s="27" t="s">
        <v>166</v>
      </c>
      <c r="DT937" s="30" t="s">
        <v>166</v>
      </c>
      <c r="DU937" s="25" t="s">
        <v>166</v>
      </c>
      <c r="DV937" s="29" t="s">
        <v>166</v>
      </c>
      <c r="DW937" s="29" t="s">
        <v>166</v>
      </c>
      <c r="DX937" s="27" t="s">
        <v>166</v>
      </c>
      <c r="DY937" s="27" t="s">
        <v>166</v>
      </c>
      <c r="DZ937" s="28" t="s">
        <v>166</v>
      </c>
      <c r="EA937" s="27" t="s">
        <v>166</v>
      </c>
      <c r="EB937" s="27" t="s">
        <v>166</v>
      </c>
      <c r="EC937" s="27" t="s">
        <v>166</v>
      </c>
      <c r="ED937" s="28" t="s">
        <v>166</v>
      </c>
      <c r="EE937" s="28" t="s">
        <v>166</v>
      </c>
      <c r="EF937" s="28" t="s">
        <v>166</v>
      </c>
      <c r="EG937" s="28" t="s">
        <v>166</v>
      </c>
      <c r="EH937" s="27" t="s">
        <v>166</v>
      </c>
      <c r="EI937" s="27" t="s">
        <v>166</v>
      </c>
      <c r="EJ937" s="27" t="s">
        <v>166</v>
      </c>
      <c r="EK937" s="27" t="s">
        <v>166</v>
      </c>
      <c r="EL937" s="27" t="s">
        <v>166</v>
      </c>
      <c r="EM937" s="27" t="s">
        <v>166</v>
      </c>
      <c r="EN937" s="27" t="s">
        <v>166</v>
      </c>
      <c r="EO937" s="27" t="s">
        <v>166</v>
      </c>
      <c r="EP937" s="27" t="s">
        <v>166</v>
      </c>
      <c r="EQ937" s="27" t="s">
        <v>166</v>
      </c>
      <c r="ER937" s="27" t="s">
        <v>166</v>
      </c>
      <c r="ES937" s="27" t="s">
        <v>166</v>
      </c>
      <c r="ET937" s="25" t="s">
        <v>166</v>
      </c>
      <c r="EU937" s="27" t="s">
        <v>166</v>
      </c>
      <c r="EV937" s="27" t="s">
        <v>166</v>
      </c>
      <c r="EW937" s="27" t="s">
        <v>166</v>
      </c>
      <c r="EX937" s="25" t="s">
        <v>190</v>
      </c>
      <c r="EY937" s="25" t="s">
        <v>166</v>
      </c>
      <c r="EZ937" s="27" t="s">
        <v>166</v>
      </c>
      <c r="FA937" s="26" t="s">
        <v>166</v>
      </c>
      <c r="FB937" s="26" t="s">
        <v>166</v>
      </c>
      <c r="FC937" s="26" t="s">
        <v>166</v>
      </c>
      <c r="FD937" s="26" t="s">
        <v>166</v>
      </c>
      <c r="FE937" s="26" t="s">
        <v>166</v>
      </c>
      <c r="FF937" s="26" t="s">
        <v>166</v>
      </c>
      <c r="FG937" s="25" t="s">
        <v>166</v>
      </c>
      <c r="FH937" s="4">
        <f>HYPERLINK("https://my.pitchbook.com?c=200512-54T","View Company Online")</f>
      </c>
    </row>
    <row r="938">
      <c r="A938" s="14" t="s">
        <v>17761</v>
      </c>
      <c r="B938" s="14" t="s">
        <v>17762</v>
      </c>
      <c r="C938" s="14" t="s">
        <v>17763</v>
      </c>
      <c r="D938" s="14" t="s">
        <v>166</v>
      </c>
      <c r="E938" s="23" t="s">
        <v>17764</v>
      </c>
      <c r="F938" s="21">
        <v>7</v>
      </c>
      <c r="G938" s="14" t="s">
        <v>17765</v>
      </c>
      <c r="H938" s="14" t="s">
        <v>166</v>
      </c>
      <c r="I938" s="14" t="s">
        <v>17766</v>
      </c>
      <c r="J938" s="14" t="s">
        <v>17767</v>
      </c>
      <c r="K938" s="14" t="s">
        <v>1455</v>
      </c>
      <c r="L938" s="14" t="s">
        <v>1456</v>
      </c>
      <c r="M938" s="14" t="s">
        <v>1457</v>
      </c>
      <c r="N938" s="14" t="s">
        <v>17768</v>
      </c>
      <c r="O938" s="14" t="s">
        <v>17769</v>
      </c>
      <c r="P938" s="14" t="s">
        <v>17770</v>
      </c>
      <c r="Q938" s="14" t="s">
        <v>166</v>
      </c>
      <c r="R938" s="14" t="s">
        <v>177</v>
      </c>
      <c r="S938" s="14" t="s">
        <v>178</v>
      </c>
      <c r="T938" s="14" t="s">
        <v>179</v>
      </c>
      <c r="U938" s="14" t="s">
        <v>17771</v>
      </c>
      <c r="V938" s="14" t="s">
        <v>17772</v>
      </c>
      <c r="W938" s="21" t="s">
        <v>17773</v>
      </c>
      <c r="X938" s="14" t="s">
        <v>17774</v>
      </c>
      <c r="Y938" s="14" t="s">
        <v>17775</v>
      </c>
      <c r="Z938" s="14" t="s">
        <v>17776</v>
      </c>
      <c r="AA938" s="14" t="s">
        <v>166</v>
      </c>
      <c r="AB938" s="14" t="s">
        <v>166</v>
      </c>
      <c r="AC938" s="14" t="s">
        <v>166</v>
      </c>
      <c r="AD938" s="14" t="s">
        <v>166</v>
      </c>
      <c r="AE938" s="14" t="s">
        <v>166</v>
      </c>
      <c r="AF938" s="14" t="s">
        <v>166</v>
      </c>
      <c r="AG938" s="14" t="s">
        <v>166</v>
      </c>
      <c r="AH938" s="21">
        <v>2</v>
      </c>
      <c r="AI938" s="3">
        <f>HYPERLINK("https://my.pitchbook.com/?d=219232-72T","219232-72T")</f>
      </c>
      <c r="AJ938" s="19" t="s">
        <v>166</v>
      </c>
      <c r="AK938" s="19">
        <v>44999</v>
      </c>
      <c r="AL938" s="18">
        <v>40</v>
      </c>
      <c r="AM938" s="14" t="s">
        <v>185</v>
      </c>
      <c r="AN938" s="18" t="s">
        <v>166</v>
      </c>
      <c r="AO938" s="18" t="s">
        <v>166</v>
      </c>
      <c r="AP938" s="14" t="s">
        <v>166</v>
      </c>
      <c r="AQ938" s="21" t="s">
        <v>166</v>
      </c>
      <c r="AR938" s="21" t="s">
        <v>166</v>
      </c>
      <c r="AS938" s="17" t="s">
        <v>166</v>
      </c>
      <c r="AT938" s="18">
        <v>40</v>
      </c>
      <c r="AU938" s="21" t="s">
        <v>186</v>
      </c>
      <c r="AV938" s="21" t="s">
        <v>166</v>
      </c>
      <c r="AW938" s="18" t="s">
        <v>166</v>
      </c>
      <c r="AX938" s="21" t="s">
        <v>17777</v>
      </c>
      <c r="AY938" s="14" t="s">
        <v>249</v>
      </c>
      <c r="AZ938" s="14" t="s">
        <v>17777</v>
      </c>
      <c r="BA938" s="14" t="s">
        <v>166</v>
      </c>
      <c r="BB938" s="21" t="s">
        <v>166</v>
      </c>
      <c r="BC938" s="14" t="s">
        <v>179</v>
      </c>
      <c r="BD938" s="14" t="s">
        <v>17778</v>
      </c>
      <c r="BE938" s="14" t="s">
        <v>189</v>
      </c>
      <c r="BF938" s="18">
        <v>40</v>
      </c>
      <c r="BG938" s="14" t="s">
        <v>190</v>
      </c>
      <c r="BH938" s="14" t="s">
        <v>166</v>
      </c>
      <c r="BI938" s="14" t="s">
        <v>166</v>
      </c>
      <c r="BJ938" s="18" t="s">
        <v>166</v>
      </c>
      <c r="BK938" s="18" t="s">
        <v>166</v>
      </c>
      <c r="BL938" s="14" t="s">
        <v>191</v>
      </c>
      <c r="BM938" s="14" t="s">
        <v>178</v>
      </c>
      <c r="BN938" s="14" t="s">
        <v>177</v>
      </c>
      <c r="BO938" s="22" t="s">
        <v>166</v>
      </c>
      <c r="BP938" s="14" t="s">
        <v>17779</v>
      </c>
      <c r="BQ938" s="21">
        <v>4</v>
      </c>
      <c r="BR938" s="14" t="s">
        <v>17780</v>
      </c>
      <c r="BS938" s="21">
        <v>3</v>
      </c>
      <c r="BT938" s="14" t="s">
        <v>17781</v>
      </c>
      <c r="BU938" s="14" t="s">
        <v>166</v>
      </c>
      <c r="BV938" s="14" t="s">
        <v>166</v>
      </c>
      <c r="BW938" s="14" t="s">
        <v>166</v>
      </c>
      <c r="BX938" s="14" t="s">
        <v>166</v>
      </c>
      <c r="BY938" s="14" t="s">
        <v>166</v>
      </c>
      <c r="BZ938" s="14" t="s">
        <v>17782</v>
      </c>
      <c r="CA938" s="14" t="s">
        <v>17783</v>
      </c>
      <c r="CB938" s="14" t="s">
        <v>166</v>
      </c>
      <c r="CC938" s="14" t="s">
        <v>17784</v>
      </c>
      <c r="CD938" s="14" t="s">
        <v>166</v>
      </c>
      <c r="CE938" s="18" t="s">
        <v>166</v>
      </c>
      <c r="CF938" s="16" t="s">
        <v>166</v>
      </c>
      <c r="CG938" s="17" t="s">
        <v>166</v>
      </c>
      <c r="CH938" s="16" t="s">
        <v>166</v>
      </c>
      <c r="CI938" s="16" t="s">
        <v>166</v>
      </c>
      <c r="CJ938" s="16" t="s">
        <v>166</v>
      </c>
      <c r="CK938" s="16" t="s">
        <v>166</v>
      </c>
      <c r="CL938" s="16" t="s">
        <v>166</v>
      </c>
      <c r="CM938" s="20" t="s">
        <v>166</v>
      </c>
      <c r="CN938" s="16" t="s">
        <v>166</v>
      </c>
      <c r="CO938" s="16" t="s">
        <v>166</v>
      </c>
      <c r="CP938" s="16" t="s">
        <v>166</v>
      </c>
      <c r="CQ938" s="16" t="s">
        <v>166</v>
      </c>
      <c r="CR938" s="16" t="s">
        <v>166</v>
      </c>
      <c r="CS938" s="16" t="s">
        <v>166</v>
      </c>
      <c r="CT938" s="16" t="s">
        <v>166</v>
      </c>
      <c r="CU938" s="16" t="s">
        <v>166</v>
      </c>
      <c r="CV938" s="16" t="s">
        <v>166</v>
      </c>
      <c r="CW938" s="16" t="s">
        <v>166</v>
      </c>
      <c r="CX938" s="16" t="s">
        <v>166</v>
      </c>
      <c r="CY938" s="16" t="s">
        <v>166</v>
      </c>
      <c r="CZ938" s="16" t="s">
        <v>166</v>
      </c>
      <c r="DA938" s="16" t="s">
        <v>166</v>
      </c>
      <c r="DB938" s="16" t="s">
        <v>166</v>
      </c>
      <c r="DC938" s="16" t="s">
        <v>166</v>
      </c>
      <c r="DD938" s="16" t="s">
        <v>166</v>
      </c>
      <c r="DE938" s="17" t="s">
        <v>166</v>
      </c>
      <c r="DF938" s="22">
        <v>72</v>
      </c>
      <c r="DG938" s="14" t="s">
        <v>309</v>
      </c>
      <c r="DH938" s="14" t="s">
        <v>193</v>
      </c>
      <c r="DI938" s="14" t="s">
        <v>194</v>
      </c>
      <c r="DJ938" s="14" t="s">
        <v>310</v>
      </c>
      <c r="DK938" s="14" t="s">
        <v>310</v>
      </c>
      <c r="DL938" s="21" t="s">
        <v>1154</v>
      </c>
      <c r="DM938" s="14" t="s">
        <v>198</v>
      </c>
      <c r="DN938" s="13" t="s">
        <v>17785</v>
      </c>
      <c r="DO938" s="20">
        <v>2021</v>
      </c>
      <c r="DP938" s="14" t="s">
        <v>166</v>
      </c>
      <c r="DQ938" s="14" t="s">
        <v>166</v>
      </c>
      <c r="DR938" s="18" t="s">
        <v>166</v>
      </c>
      <c r="DS938" s="16" t="s">
        <v>166</v>
      </c>
      <c r="DT938" s="19" t="s">
        <v>166</v>
      </c>
      <c r="DU938" s="14" t="s">
        <v>166</v>
      </c>
      <c r="DV938" s="18" t="s">
        <v>166</v>
      </c>
      <c r="DW938" s="18" t="s">
        <v>166</v>
      </c>
      <c r="DX938" s="16" t="s">
        <v>166</v>
      </c>
      <c r="DY938" s="16" t="s">
        <v>166</v>
      </c>
      <c r="DZ938" s="17" t="s">
        <v>166</v>
      </c>
      <c r="EA938" s="16" t="s">
        <v>166</v>
      </c>
      <c r="EB938" s="16" t="s">
        <v>166</v>
      </c>
      <c r="EC938" s="16" t="s">
        <v>166</v>
      </c>
      <c r="ED938" s="17" t="s">
        <v>166</v>
      </c>
      <c r="EE938" s="17" t="s">
        <v>166</v>
      </c>
      <c r="EF938" s="17" t="s">
        <v>166</v>
      </c>
      <c r="EG938" s="17" t="s">
        <v>166</v>
      </c>
      <c r="EH938" s="16" t="s">
        <v>166</v>
      </c>
      <c r="EI938" s="16" t="s">
        <v>166</v>
      </c>
      <c r="EJ938" s="16" t="s">
        <v>166</v>
      </c>
      <c r="EK938" s="16" t="s">
        <v>166</v>
      </c>
      <c r="EL938" s="16" t="s">
        <v>166</v>
      </c>
      <c r="EM938" s="16" t="s">
        <v>166</v>
      </c>
      <c r="EN938" s="16" t="s">
        <v>166</v>
      </c>
      <c r="EO938" s="16" t="s">
        <v>166</v>
      </c>
      <c r="EP938" s="16" t="s">
        <v>166</v>
      </c>
      <c r="EQ938" s="16" t="s">
        <v>166</v>
      </c>
      <c r="ER938" s="16" t="s">
        <v>166</v>
      </c>
      <c r="ES938" s="16" t="s">
        <v>166</v>
      </c>
      <c r="ET938" s="14" t="s">
        <v>166</v>
      </c>
      <c r="EU938" s="16" t="s">
        <v>166</v>
      </c>
      <c r="EV938" s="16" t="s">
        <v>166</v>
      </c>
      <c r="EW938" s="16" t="s">
        <v>166</v>
      </c>
      <c r="EX938" s="14" t="s">
        <v>190</v>
      </c>
      <c r="EY938" s="14" t="s">
        <v>166</v>
      </c>
      <c r="EZ938" s="16" t="s">
        <v>166</v>
      </c>
      <c r="FA938" s="15" t="s">
        <v>166</v>
      </c>
      <c r="FB938" s="15" t="s">
        <v>166</v>
      </c>
      <c r="FC938" s="15" t="s">
        <v>166</v>
      </c>
      <c r="FD938" s="15" t="s">
        <v>166</v>
      </c>
      <c r="FE938" s="15" t="s">
        <v>166</v>
      </c>
      <c r="FF938" s="15" t="s">
        <v>166</v>
      </c>
      <c r="FG938" s="14" t="s">
        <v>166</v>
      </c>
      <c r="FH938" s="3">
        <f>HYPERLINK("https://my.pitchbook.com?c=219232-72T","View Company Online")</f>
      </c>
    </row>
    <row r="939">
      <c r="A939" s="25" t="s">
        <v>17786</v>
      </c>
      <c r="B939" s="25" t="s">
        <v>17787</v>
      </c>
      <c r="C939" s="25" t="s">
        <v>17788</v>
      </c>
      <c r="D939" s="25" t="s">
        <v>166</v>
      </c>
      <c r="E939" s="34" t="s">
        <v>17789</v>
      </c>
      <c r="F939" s="32">
        <v>5</v>
      </c>
      <c r="G939" s="25" t="s">
        <v>17790</v>
      </c>
      <c r="H939" s="25" t="s">
        <v>166</v>
      </c>
      <c r="I939" s="25" t="s">
        <v>17791</v>
      </c>
      <c r="J939" s="25" t="s">
        <v>17792</v>
      </c>
      <c r="K939" s="25" t="s">
        <v>207</v>
      </c>
      <c r="L939" s="25" t="s">
        <v>208</v>
      </c>
      <c r="M939" s="25" t="s">
        <v>209</v>
      </c>
      <c r="N939" s="25" t="s">
        <v>17793</v>
      </c>
      <c r="O939" s="25" t="s">
        <v>4158</v>
      </c>
      <c r="P939" s="25" t="s">
        <v>17794</v>
      </c>
      <c r="Q939" s="25" t="s">
        <v>166</v>
      </c>
      <c r="R939" s="25" t="s">
        <v>177</v>
      </c>
      <c r="S939" s="25" t="s">
        <v>358</v>
      </c>
      <c r="T939" s="25" t="s">
        <v>179</v>
      </c>
      <c r="U939" s="25" t="s">
        <v>17795</v>
      </c>
      <c r="V939" s="25" t="s">
        <v>17796</v>
      </c>
      <c r="W939" s="32" t="s">
        <v>17797</v>
      </c>
      <c r="X939" s="25" t="s">
        <v>166</v>
      </c>
      <c r="Y939" s="25" t="s">
        <v>17798</v>
      </c>
      <c r="Z939" s="25" t="s">
        <v>725</v>
      </c>
      <c r="AA939" s="25" t="s">
        <v>242</v>
      </c>
      <c r="AB939" s="25" t="s">
        <v>243</v>
      </c>
      <c r="AC939" s="25" t="s">
        <v>244</v>
      </c>
      <c r="AD939" s="25" t="s">
        <v>243</v>
      </c>
      <c r="AE939" s="25" t="s">
        <v>243</v>
      </c>
      <c r="AF939" s="25" t="s">
        <v>166</v>
      </c>
      <c r="AG939" s="25" t="s">
        <v>807</v>
      </c>
      <c r="AH939" s="32">
        <v>1</v>
      </c>
      <c r="AI939" s="4">
        <f>HYPERLINK("https://my.pitchbook.com/?d=199180-90T","199180-90T")</f>
      </c>
      <c r="AJ939" s="30" t="s">
        <v>166</v>
      </c>
      <c r="AK939" s="30">
        <v>44743</v>
      </c>
      <c r="AL939" s="29">
        <v>4</v>
      </c>
      <c r="AM939" s="25" t="s">
        <v>185</v>
      </c>
      <c r="AN939" s="29">
        <v>6</v>
      </c>
      <c r="AO939" s="29">
        <v>9</v>
      </c>
      <c r="AP939" s="25" t="s">
        <v>185</v>
      </c>
      <c r="AQ939" s="32" t="s">
        <v>166</v>
      </c>
      <c r="AR939" s="32" t="s">
        <v>166</v>
      </c>
      <c r="AS939" s="28">
        <v>33.33</v>
      </c>
      <c r="AT939" s="29">
        <v>4</v>
      </c>
      <c r="AU939" s="32" t="s">
        <v>186</v>
      </c>
      <c r="AV939" s="32" t="s">
        <v>166</v>
      </c>
      <c r="AW939" s="29">
        <v>0.98</v>
      </c>
      <c r="AX939" s="32" t="s">
        <v>166</v>
      </c>
      <c r="AY939" s="25" t="s">
        <v>217</v>
      </c>
      <c r="AZ939" s="25" t="s">
        <v>217</v>
      </c>
      <c r="BA939" s="25" t="s">
        <v>166</v>
      </c>
      <c r="BB939" s="32" t="s">
        <v>166</v>
      </c>
      <c r="BC939" s="25" t="s">
        <v>179</v>
      </c>
      <c r="BD939" s="25" t="s">
        <v>17799</v>
      </c>
      <c r="BE939" s="25" t="s">
        <v>189</v>
      </c>
      <c r="BF939" s="29">
        <v>3</v>
      </c>
      <c r="BG939" s="25" t="s">
        <v>190</v>
      </c>
      <c r="BH939" s="25" t="s">
        <v>166</v>
      </c>
      <c r="BI939" s="25" t="s">
        <v>166</v>
      </c>
      <c r="BJ939" s="29">
        <v>1</v>
      </c>
      <c r="BK939" s="29" t="s">
        <v>166</v>
      </c>
      <c r="BL939" s="25" t="s">
        <v>191</v>
      </c>
      <c r="BM939" s="25" t="s">
        <v>358</v>
      </c>
      <c r="BN939" s="25" t="s">
        <v>177</v>
      </c>
      <c r="BO939" s="33" t="s">
        <v>166</v>
      </c>
      <c r="BP939" s="25" t="s">
        <v>17800</v>
      </c>
      <c r="BQ939" s="32">
        <v>5</v>
      </c>
      <c r="BR939" s="25" t="s">
        <v>166</v>
      </c>
      <c r="BS939" s="32" t="s">
        <v>166</v>
      </c>
      <c r="BT939" s="25" t="s">
        <v>17801</v>
      </c>
      <c r="BU939" s="25" t="s">
        <v>166</v>
      </c>
      <c r="BV939" s="25" t="s">
        <v>17802</v>
      </c>
      <c r="BW939" s="25" t="s">
        <v>166</v>
      </c>
      <c r="BX939" s="25" t="s">
        <v>166</v>
      </c>
      <c r="BY939" s="25" t="s">
        <v>166</v>
      </c>
      <c r="BZ939" s="25" t="s">
        <v>17803</v>
      </c>
      <c r="CA939" s="25" t="s">
        <v>17804</v>
      </c>
      <c r="CB939" s="25" t="s">
        <v>166</v>
      </c>
      <c r="CC939" s="25" t="s">
        <v>17805</v>
      </c>
      <c r="CD939" s="25" t="s">
        <v>166</v>
      </c>
      <c r="CE939" s="29" t="s">
        <v>166</v>
      </c>
      <c r="CF939" s="27" t="s">
        <v>166</v>
      </c>
      <c r="CG939" s="28" t="s">
        <v>166</v>
      </c>
      <c r="CH939" s="27" t="s">
        <v>166</v>
      </c>
      <c r="CI939" s="27" t="s">
        <v>166</v>
      </c>
      <c r="CJ939" s="27" t="s">
        <v>166</v>
      </c>
      <c r="CK939" s="27" t="s">
        <v>166</v>
      </c>
      <c r="CL939" s="27" t="s">
        <v>166</v>
      </c>
      <c r="CM939" s="31" t="s">
        <v>166</v>
      </c>
      <c r="CN939" s="27" t="s">
        <v>166</v>
      </c>
      <c r="CO939" s="27" t="s">
        <v>166</v>
      </c>
      <c r="CP939" s="27" t="s">
        <v>166</v>
      </c>
      <c r="CQ939" s="27" t="s">
        <v>166</v>
      </c>
      <c r="CR939" s="27" t="s">
        <v>166</v>
      </c>
      <c r="CS939" s="27" t="s">
        <v>166</v>
      </c>
      <c r="CT939" s="27" t="s">
        <v>166</v>
      </c>
      <c r="CU939" s="27" t="s">
        <v>166</v>
      </c>
      <c r="CV939" s="27" t="s">
        <v>166</v>
      </c>
      <c r="CW939" s="27" t="s">
        <v>166</v>
      </c>
      <c r="CX939" s="27" t="s">
        <v>166</v>
      </c>
      <c r="CY939" s="27">
        <v>0.33</v>
      </c>
      <c r="CZ939" s="27" t="s">
        <v>166</v>
      </c>
      <c r="DA939" s="27" t="s">
        <v>166</v>
      </c>
      <c r="DB939" s="27" t="s">
        <v>166</v>
      </c>
      <c r="DC939" s="27" t="s">
        <v>166</v>
      </c>
      <c r="DD939" s="27" t="s">
        <v>166</v>
      </c>
      <c r="DE939" s="28" t="s">
        <v>166</v>
      </c>
      <c r="DF939" s="33">
        <v>11</v>
      </c>
      <c r="DG939" s="25" t="s">
        <v>673</v>
      </c>
      <c r="DH939" s="25" t="s">
        <v>193</v>
      </c>
      <c r="DI939" s="25" t="s">
        <v>194</v>
      </c>
      <c r="DJ939" s="25" t="s">
        <v>674</v>
      </c>
      <c r="DK939" s="25" t="s">
        <v>257</v>
      </c>
      <c r="DL939" s="32" t="s">
        <v>675</v>
      </c>
      <c r="DM939" s="25" t="s">
        <v>198</v>
      </c>
      <c r="DN939" s="24" t="s">
        <v>17806</v>
      </c>
      <c r="DO939" s="31">
        <v>2021</v>
      </c>
      <c r="DP939" s="25" t="s">
        <v>166</v>
      </c>
      <c r="DQ939" s="25" t="s">
        <v>17807</v>
      </c>
      <c r="DR939" s="29">
        <v>1</v>
      </c>
      <c r="DS939" s="27" t="s">
        <v>166</v>
      </c>
      <c r="DT939" s="30" t="s">
        <v>166</v>
      </c>
      <c r="DU939" s="25" t="s">
        <v>166</v>
      </c>
      <c r="DV939" s="29" t="s">
        <v>166</v>
      </c>
      <c r="DW939" s="29" t="s">
        <v>166</v>
      </c>
      <c r="DX939" s="27" t="s">
        <v>166</v>
      </c>
      <c r="DY939" s="27" t="s">
        <v>166</v>
      </c>
      <c r="DZ939" s="28" t="s">
        <v>166</v>
      </c>
      <c r="EA939" s="27" t="s">
        <v>166</v>
      </c>
      <c r="EB939" s="27" t="s">
        <v>166</v>
      </c>
      <c r="EC939" s="27" t="s">
        <v>166</v>
      </c>
      <c r="ED939" s="28" t="s">
        <v>166</v>
      </c>
      <c r="EE939" s="28" t="s">
        <v>166</v>
      </c>
      <c r="EF939" s="28" t="s">
        <v>166</v>
      </c>
      <c r="EG939" s="28" t="s">
        <v>166</v>
      </c>
      <c r="EH939" s="27" t="s">
        <v>166</v>
      </c>
      <c r="EI939" s="27" t="s">
        <v>166</v>
      </c>
      <c r="EJ939" s="27" t="s">
        <v>166</v>
      </c>
      <c r="EK939" s="27" t="s">
        <v>166</v>
      </c>
      <c r="EL939" s="27" t="s">
        <v>166</v>
      </c>
      <c r="EM939" s="27" t="s">
        <v>166</v>
      </c>
      <c r="EN939" s="27" t="s">
        <v>166</v>
      </c>
      <c r="EO939" s="27" t="s">
        <v>166</v>
      </c>
      <c r="EP939" s="27" t="s">
        <v>166</v>
      </c>
      <c r="EQ939" s="27" t="s">
        <v>166</v>
      </c>
      <c r="ER939" s="27" t="s">
        <v>166</v>
      </c>
      <c r="ES939" s="27" t="s">
        <v>166</v>
      </c>
      <c r="ET939" s="25" t="s">
        <v>166</v>
      </c>
      <c r="EU939" s="27" t="s">
        <v>166</v>
      </c>
      <c r="EV939" s="27" t="s">
        <v>166</v>
      </c>
      <c r="EW939" s="27" t="s">
        <v>166</v>
      </c>
      <c r="EX939" s="25" t="s">
        <v>190</v>
      </c>
      <c r="EY939" s="25" t="s">
        <v>190</v>
      </c>
      <c r="EZ939" s="27" t="s">
        <v>166</v>
      </c>
      <c r="FA939" s="26" t="s">
        <v>166</v>
      </c>
      <c r="FB939" s="26" t="s">
        <v>166</v>
      </c>
      <c r="FC939" s="26" t="s">
        <v>166</v>
      </c>
      <c r="FD939" s="26" t="s">
        <v>166</v>
      </c>
      <c r="FE939" s="26" t="s">
        <v>166</v>
      </c>
      <c r="FF939" s="26" t="s">
        <v>166</v>
      </c>
      <c r="FG939" s="25" t="s">
        <v>166</v>
      </c>
      <c r="FH939" s="4">
        <f>HYPERLINK("https://my.pitchbook.com?c=199180-90T","View Company Online")</f>
      </c>
    </row>
    <row r="940">
      <c r="A940" s="14" t="s">
        <v>17808</v>
      </c>
      <c r="B940" s="14" t="s">
        <v>17809</v>
      </c>
      <c r="C940" s="14" t="s">
        <v>17810</v>
      </c>
      <c r="D940" s="14" t="s">
        <v>166</v>
      </c>
      <c r="E940" s="23" t="s">
        <v>17811</v>
      </c>
      <c r="F940" s="21">
        <v>1</v>
      </c>
      <c r="G940" s="14" t="s">
        <v>17812</v>
      </c>
      <c r="H940" s="14" t="s">
        <v>166</v>
      </c>
      <c r="I940" s="14" t="s">
        <v>17813</v>
      </c>
      <c r="J940" s="14" t="s">
        <v>17814</v>
      </c>
      <c r="K940" s="14" t="s">
        <v>1500</v>
      </c>
      <c r="L940" s="14" t="s">
        <v>2334</v>
      </c>
      <c r="M940" s="14" t="s">
        <v>7683</v>
      </c>
      <c r="N940" s="14" t="s">
        <v>17815</v>
      </c>
      <c r="O940" s="14" t="s">
        <v>4926</v>
      </c>
      <c r="P940" s="14" t="s">
        <v>17816</v>
      </c>
      <c r="Q940" s="14" t="s">
        <v>166</v>
      </c>
      <c r="R940" s="14" t="s">
        <v>177</v>
      </c>
      <c r="S940" s="14" t="s">
        <v>178</v>
      </c>
      <c r="T940" s="14" t="s">
        <v>179</v>
      </c>
      <c r="U940" s="14" t="s">
        <v>17817</v>
      </c>
      <c r="V940" s="14" t="s">
        <v>17818</v>
      </c>
      <c r="W940" s="21" t="s">
        <v>17819</v>
      </c>
      <c r="X940" s="14" t="s">
        <v>17820</v>
      </c>
      <c r="Y940" s="14" t="s">
        <v>17821</v>
      </c>
      <c r="Z940" s="14" t="s">
        <v>17822</v>
      </c>
      <c r="AA940" s="14" t="s">
        <v>166</v>
      </c>
      <c r="AB940" s="14" t="s">
        <v>166</v>
      </c>
      <c r="AC940" s="14" t="s">
        <v>166</v>
      </c>
      <c r="AD940" s="14" t="s">
        <v>166</v>
      </c>
      <c r="AE940" s="14" t="s">
        <v>166</v>
      </c>
      <c r="AF940" s="14" t="s">
        <v>166</v>
      </c>
      <c r="AG940" s="14" t="s">
        <v>166</v>
      </c>
      <c r="AH940" s="21">
        <v>5</v>
      </c>
      <c r="AI940" s="3">
        <f>HYPERLINK("https://my.pitchbook.com/?d=212172-76T","212172-76T")</f>
      </c>
      <c r="AJ940" s="19" t="s">
        <v>166</v>
      </c>
      <c r="AK940" s="19">
        <v>44685</v>
      </c>
      <c r="AL940" s="18">
        <v>0.08</v>
      </c>
      <c r="AM940" s="14" t="s">
        <v>185</v>
      </c>
      <c r="AN940" s="18" t="s">
        <v>166</v>
      </c>
      <c r="AO940" s="18" t="s">
        <v>166</v>
      </c>
      <c r="AP940" s="14" t="s">
        <v>166</v>
      </c>
      <c r="AQ940" s="21" t="s">
        <v>166</v>
      </c>
      <c r="AR940" s="21" t="s">
        <v>166</v>
      </c>
      <c r="AS940" s="17" t="s">
        <v>166</v>
      </c>
      <c r="AT940" s="18">
        <v>0.08</v>
      </c>
      <c r="AU940" s="21" t="s">
        <v>186</v>
      </c>
      <c r="AV940" s="21" t="s">
        <v>166</v>
      </c>
      <c r="AW940" s="18" t="s">
        <v>166</v>
      </c>
      <c r="AX940" s="21" t="s">
        <v>166</v>
      </c>
      <c r="AY940" s="14" t="s">
        <v>217</v>
      </c>
      <c r="AZ940" s="14" t="s">
        <v>217</v>
      </c>
      <c r="BA940" s="14" t="s">
        <v>166</v>
      </c>
      <c r="BB940" s="21" t="s">
        <v>166</v>
      </c>
      <c r="BC940" s="14" t="s">
        <v>179</v>
      </c>
      <c r="BD940" s="14" t="s">
        <v>17823</v>
      </c>
      <c r="BE940" s="14" t="s">
        <v>189</v>
      </c>
      <c r="BF940" s="18">
        <v>0.08</v>
      </c>
      <c r="BG940" s="14" t="s">
        <v>190</v>
      </c>
      <c r="BH940" s="14" t="s">
        <v>166</v>
      </c>
      <c r="BI940" s="14" t="s">
        <v>166</v>
      </c>
      <c r="BJ940" s="18" t="s">
        <v>166</v>
      </c>
      <c r="BK940" s="18" t="s">
        <v>166</v>
      </c>
      <c r="BL940" s="14" t="s">
        <v>191</v>
      </c>
      <c r="BM940" s="14" t="s">
        <v>178</v>
      </c>
      <c r="BN940" s="14" t="s">
        <v>177</v>
      </c>
      <c r="BO940" s="22" t="s">
        <v>166</v>
      </c>
      <c r="BP940" s="14" t="s">
        <v>17811</v>
      </c>
      <c r="BQ940" s="21">
        <v>1</v>
      </c>
      <c r="BR940" s="14" t="s">
        <v>166</v>
      </c>
      <c r="BS940" s="21" t="s">
        <v>166</v>
      </c>
      <c r="BT940" s="14" t="s">
        <v>166</v>
      </c>
      <c r="BU940" s="14" t="s">
        <v>166</v>
      </c>
      <c r="BV940" s="14" t="s">
        <v>166</v>
      </c>
      <c r="BW940" s="14" t="s">
        <v>166</v>
      </c>
      <c r="BX940" s="14" t="s">
        <v>166</v>
      </c>
      <c r="BY940" s="14" t="s">
        <v>166</v>
      </c>
      <c r="BZ940" s="14" t="s">
        <v>166</v>
      </c>
      <c r="CA940" s="14" t="s">
        <v>166</v>
      </c>
      <c r="CB940" s="14" t="s">
        <v>166</v>
      </c>
      <c r="CC940" s="14" t="s">
        <v>166</v>
      </c>
      <c r="CD940" s="14" t="s">
        <v>166</v>
      </c>
      <c r="CE940" s="18" t="s">
        <v>166</v>
      </c>
      <c r="CF940" s="16" t="s">
        <v>166</v>
      </c>
      <c r="CG940" s="17" t="s">
        <v>166</v>
      </c>
      <c r="CH940" s="16" t="s">
        <v>166</v>
      </c>
      <c r="CI940" s="16" t="s">
        <v>166</v>
      </c>
      <c r="CJ940" s="16" t="s">
        <v>166</v>
      </c>
      <c r="CK940" s="16" t="s">
        <v>166</v>
      </c>
      <c r="CL940" s="16" t="s">
        <v>166</v>
      </c>
      <c r="CM940" s="20" t="s">
        <v>166</v>
      </c>
      <c r="CN940" s="16" t="s">
        <v>166</v>
      </c>
      <c r="CO940" s="16" t="s">
        <v>166</v>
      </c>
      <c r="CP940" s="16" t="s">
        <v>166</v>
      </c>
      <c r="CQ940" s="16" t="s">
        <v>166</v>
      </c>
      <c r="CR940" s="16" t="s">
        <v>166</v>
      </c>
      <c r="CS940" s="16" t="s">
        <v>166</v>
      </c>
      <c r="CT940" s="16" t="s">
        <v>166</v>
      </c>
      <c r="CU940" s="16" t="s">
        <v>166</v>
      </c>
      <c r="CV940" s="16" t="s">
        <v>166</v>
      </c>
      <c r="CW940" s="16" t="s">
        <v>166</v>
      </c>
      <c r="CX940" s="16" t="s">
        <v>166</v>
      </c>
      <c r="CY940" s="16" t="s">
        <v>166</v>
      </c>
      <c r="CZ940" s="16" t="s">
        <v>166</v>
      </c>
      <c r="DA940" s="16" t="s">
        <v>166</v>
      </c>
      <c r="DB940" s="16" t="s">
        <v>166</v>
      </c>
      <c r="DC940" s="16" t="s">
        <v>166</v>
      </c>
      <c r="DD940" s="16" t="s">
        <v>166</v>
      </c>
      <c r="DE940" s="17" t="s">
        <v>166</v>
      </c>
      <c r="DF940" s="22">
        <v>3</v>
      </c>
      <c r="DG940" s="14" t="s">
        <v>1929</v>
      </c>
      <c r="DH940" s="14" t="s">
        <v>193</v>
      </c>
      <c r="DI940" s="14" t="s">
        <v>194</v>
      </c>
      <c r="DJ940" s="14" t="s">
        <v>1930</v>
      </c>
      <c r="DK940" s="14" t="s">
        <v>545</v>
      </c>
      <c r="DL940" s="21" t="s">
        <v>166</v>
      </c>
      <c r="DM940" s="14" t="s">
        <v>198</v>
      </c>
      <c r="DN940" s="13" t="s">
        <v>17824</v>
      </c>
      <c r="DO940" s="20">
        <v>2018</v>
      </c>
      <c r="DP940" s="14" t="s">
        <v>166</v>
      </c>
      <c r="DQ940" s="14" t="s">
        <v>166</v>
      </c>
      <c r="DR940" s="18" t="s">
        <v>166</v>
      </c>
      <c r="DS940" s="16" t="s">
        <v>166</v>
      </c>
      <c r="DT940" s="19" t="s">
        <v>166</v>
      </c>
      <c r="DU940" s="14" t="s">
        <v>166</v>
      </c>
      <c r="DV940" s="18" t="s">
        <v>166</v>
      </c>
      <c r="DW940" s="18" t="s">
        <v>166</v>
      </c>
      <c r="DX940" s="16" t="s">
        <v>166</v>
      </c>
      <c r="DY940" s="16" t="s">
        <v>166</v>
      </c>
      <c r="DZ940" s="17" t="s">
        <v>166</v>
      </c>
      <c r="EA940" s="16" t="s">
        <v>166</v>
      </c>
      <c r="EB940" s="16" t="s">
        <v>166</v>
      </c>
      <c r="EC940" s="16" t="s">
        <v>166</v>
      </c>
      <c r="ED940" s="17" t="s">
        <v>166</v>
      </c>
      <c r="EE940" s="17" t="s">
        <v>166</v>
      </c>
      <c r="EF940" s="17" t="s">
        <v>166</v>
      </c>
      <c r="EG940" s="17" t="s">
        <v>166</v>
      </c>
      <c r="EH940" s="16" t="s">
        <v>166</v>
      </c>
      <c r="EI940" s="16" t="s">
        <v>166</v>
      </c>
      <c r="EJ940" s="16" t="s">
        <v>166</v>
      </c>
      <c r="EK940" s="16" t="s">
        <v>166</v>
      </c>
      <c r="EL940" s="16" t="s">
        <v>166</v>
      </c>
      <c r="EM940" s="16" t="s">
        <v>166</v>
      </c>
      <c r="EN940" s="16" t="s">
        <v>166</v>
      </c>
      <c r="EO940" s="16" t="s">
        <v>166</v>
      </c>
      <c r="EP940" s="16" t="s">
        <v>166</v>
      </c>
      <c r="EQ940" s="16" t="s">
        <v>166</v>
      </c>
      <c r="ER940" s="16" t="s">
        <v>166</v>
      </c>
      <c r="ES940" s="16" t="s">
        <v>166</v>
      </c>
      <c r="ET940" s="14" t="s">
        <v>166</v>
      </c>
      <c r="EU940" s="16" t="s">
        <v>166</v>
      </c>
      <c r="EV940" s="16" t="s">
        <v>166</v>
      </c>
      <c r="EW940" s="16" t="s">
        <v>166</v>
      </c>
      <c r="EX940" s="14" t="s">
        <v>190</v>
      </c>
      <c r="EY940" s="14" t="s">
        <v>166</v>
      </c>
      <c r="EZ940" s="16" t="s">
        <v>166</v>
      </c>
      <c r="FA940" s="15" t="s">
        <v>166</v>
      </c>
      <c r="FB940" s="15" t="s">
        <v>166</v>
      </c>
      <c r="FC940" s="15" t="s">
        <v>166</v>
      </c>
      <c r="FD940" s="15" t="s">
        <v>166</v>
      </c>
      <c r="FE940" s="15" t="s">
        <v>166</v>
      </c>
      <c r="FF940" s="15" t="s">
        <v>166</v>
      </c>
      <c r="FG940" s="14" t="s">
        <v>166</v>
      </c>
      <c r="FH940" s="3">
        <f>HYPERLINK("https://my.pitchbook.com?c=212172-76T","View Company Online")</f>
      </c>
    </row>
    <row r="941">
      <c r="A941" s="25" t="s">
        <v>17825</v>
      </c>
      <c r="B941" s="25" t="s">
        <v>17826</v>
      </c>
      <c r="C941" s="25" t="s">
        <v>17827</v>
      </c>
      <c r="D941" s="25" t="s">
        <v>166</v>
      </c>
      <c r="E941" s="34" t="s">
        <v>17828</v>
      </c>
      <c r="F941" s="32">
        <v>5</v>
      </c>
      <c r="G941" s="25" t="s">
        <v>17829</v>
      </c>
      <c r="H941" s="25" t="s">
        <v>166</v>
      </c>
      <c r="I941" s="25" t="s">
        <v>17830</v>
      </c>
      <c r="J941" s="25" t="s">
        <v>17831</v>
      </c>
      <c r="K941" s="25" t="s">
        <v>207</v>
      </c>
      <c r="L941" s="25" t="s">
        <v>208</v>
      </c>
      <c r="M941" s="25" t="s">
        <v>209</v>
      </c>
      <c r="N941" s="25" t="s">
        <v>17832</v>
      </c>
      <c r="O941" s="25" t="s">
        <v>1628</v>
      </c>
      <c r="P941" s="25" t="s">
        <v>17833</v>
      </c>
      <c r="Q941" s="25" t="s">
        <v>166</v>
      </c>
      <c r="R941" s="25" t="s">
        <v>177</v>
      </c>
      <c r="S941" s="25" t="s">
        <v>178</v>
      </c>
      <c r="T941" s="25" t="s">
        <v>179</v>
      </c>
      <c r="U941" s="25" t="s">
        <v>17834</v>
      </c>
      <c r="V941" s="25" t="s">
        <v>17835</v>
      </c>
      <c r="W941" s="32" t="s">
        <v>17836</v>
      </c>
      <c r="X941" s="25" t="s">
        <v>17837</v>
      </c>
      <c r="Y941" s="25" t="s">
        <v>17838</v>
      </c>
      <c r="Z941" s="25" t="s">
        <v>166</v>
      </c>
      <c r="AA941" s="25" t="s">
        <v>166</v>
      </c>
      <c r="AB941" s="25" t="s">
        <v>166</v>
      </c>
      <c r="AC941" s="25" t="s">
        <v>166</v>
      </c>
      <c r="AD941" s="25" t="s">
        <v>166</v>
      </c>
      <c r="AE941" s="25" t="s">
        <v>166</v>
      </c>
      <c r="AF941" s="25" t="s">
        <v>166</v>
      </c>
      <c r="AG941" s="25" t="s">
        <v>166</v>
      </c>
      <c r="AH941" s="32">
        <v>3</v>
      </c>
      <c r="AI941" s="4">
        <f>HYPERLINK("https://my.pitchbook.com/?d=212043-70T","212043-70T")</f>
      </c>
      <c r="AJ941" s="30" t="s">
        <v>166</v>
      </c>
      <c r="AK941" s="30">
        <v>44959</v>
      </c>
      <c r="AL941" s="29">
        <v>1.5</v>
      </c>
      <c r="AM941" s="25" t="s">
        <v>185</v>
      </c>
      <c r="AN941" s="29">
        <v>8</v>
      </c>
      <c r="AO941" s="29">
        <v>9.5</v>
      </c>
      <c r="AP941" s="25" t="s">
        <v>185</v>
      </c>
      <c r="AQ941" s="32" t="s">
        <v>166</v>
      </c>
      <c r="AR941" s="32" t="s">
        <v>166</v>
      </c>
      <c r="AS941" s="28" t="s">
        <v>166</v>
      </c>
      <c r="AT941" s="29">
        <v>1.52</v>
      </c>
      <c r="AU941" s="32" t="s">
        <v>186</v>
      </c>
      <c r="AV941" s="32" t="s">
        <v>166</v>
      </c>
      <c r="AW941" s="29" t="s">
        <v>166</v>
      </c>
      <c r="AX941" s="32" t="s">
        <v>166</v>
      </c>
      <c r="AY941" s="25" t="s">
        <v>217</v>
      </c>
      <c r="AZ941" s="25" t="s">
        <v>217</v>
      </c>
      <c r="BA941" s="25" t="s">
        <v>166</v>
      </c>
      <c r="BB941" s="32" t="s">
        <v>166</v>
      </c>
      <c r="BC941" s="25" t="s">
        <v>179</v>
      </c>
      <c r="BD941" s="25" t="s">
        <v>17839</v>
      </c>
      <c r="BE941" s="25" t="s">
        <v>189</v>
      </c>
      <c r="BF941" s="29">
        <v>1.5</v>
      </c>
      <c r="BG941" s="25" t="s">
        <v>190</v>
      </c>
      <c r="BH941" s="25" t="s">
        <v>166</v>
      </c>
      <c r="BI941" s="25" t="s">
        <v>166</v>
      </c>
      <c r="BJ941" s="29" t="s">
        <v>166</v>
      </c>
      <c r="BK941" s="29" t="s">
        <v>166</v>
      </c>
      <c r="BL941" s="25" t="s">
        <v>191</v>
      </c>
      <c r="BM941" s="25" t="s">
        <v>178</v>
      </c>
      <c r="BN941" s="25" t="s">
        <v>177</v>
      </c>
      <c r="BO941" s="33" t="s">
        <v>166</v>
      </c>
      <c r="BP941" s="25" t="s">
        <v>17840</v>
      </c>
      <c r="BQ941" s="32">
        <v>4</v>
      </c>
      <c r="BR941" s="25" t="s">
        <v>252</v>
      </c>
      <c r="BS941" s="32">
        <v>1</v>
      </c>
      <c r="BT941" s="25" t="s">
        <v>17841</v>
      </c>
      <c r="BU941" s="25" t="s">
        <v>166</v>
      </c>
      <c r="BV941" s="25" t="s">
        <v>17842</v>
      </c>
      <c r="BW941" s="25" t="s">
        <v>166</v>
      </c>
      <c r="BX941" s="25" t="s">
        <v>166</v>
      </c>
      <c r="BY941" s="25" t="s">
        <v>166</v>
      </c>
      <c r="BZ941" s="25" t="s">
        <v>17843</v>
      </c>
      <c r="CA941" s="25" t="s">
        <v>166</v>
      </c>
      <c r="CB941" s="25" t="s">
        <v>166</v>
      </c>
      <c r="CC941" s="25" t="s">
        <v>17843</v>
      </c>
      <c r="CD941" s="25" t="s">
        <v>166</v>
      </c>
      <c r="CE941" s="29" t="s">
        <v>166</v>
      </c>
      <c r="CF941" s="27" t="s">
        <v>166</v>
      </c>
      <c r="CG941" s="28" t="s">
        <v>166</v>
      </c>
      <c r="CH941" s="27" t="s">
        <v>166</v>
      </c>
      <c r="CI941" s="27" t="s">
        <v>166</v>
      </c>
      <c r="CJ941" s="27" t="s">
        <v>166</v>
      </c>
      <c r="CK941" s="27" t="s">
        <v>166</v>
      </c>
      <c r="CL941" s="27" t="s">
        <v>166</v>
      </c>
      <c r="CM941" s="31" t="s">
        <v>166</v>
      </c>
      <c r="CN941" s="27" t="s">
        <v>166</v>
      </c>
      <c r="CO941" s="27" t="s">
        <v>166</v>
      </c>
      <c r="CP941" s="27" t="s">
        <v>166</v>
      </c>
      <c r="CQ941" s="27" t="s">
        <v>166</v>
      </c>
      <c r="CR941" s="27" t="s">
        <v>166</v>
      </c>
      <c r="CS941" s="27" t="s">
        <v>166</v>
      </c>
      <c r="CT941" s="27" t="s">
        <v>166</v>
      </c>
      <c r="CU941" s="27" t="s">
        <v>166</v>
      </c>
      <c r="CV941" s="27" t="s">
        <v>166</v>
      </c>
      <c r="CW941" s="27" t="s">
        <v>166</v>
      </c>
      <c r="CX941" s="27" t="s">
        <v>166</v>
      </c>
      <c r="CY941" s="27" t="s">
        <v>166</v>
      </c>
      <c r="CZ941" s="27" t="s">
        <v>166</v>
      </c>
      <c r="DA941" s="27" t="s">
        <v>166</v>
      </c>
      <c r="DB941" s="27" t="s">
        <v>166</v>
      </c>
      <c r="DC941" s="27" t="s">
        <v>166</v>
      </c>
      <c r="DD941" s="27" t="s">
        <v>166</v>
      </c>
      <c r="DE941" s="28" t="s">
        <v>166</v>
      </c>
      <c r="DF941" s="33">
        <v>10</v>
      </c>
      <c r="DG941" s="25" t="s">
        <v>17844</v>
      </c>
      <c r="DH941" s="25" t="s">
        <v>193</v>
      </c>
      <c r="DI941" s="25" t="s">
        <v>194</v>
      </c>
      <c r="DJ941" s="25" t="s">
        <v>17845</v>
      </c>
      <c r="DK941" s="25" t="s">
        <v>4226</v>
      </c>
      <c r="DL941" s="32" t="s">
        <v>17846</v>
      </c>
      <c r="DM941" s="25" t="s">
        <v>198</v>
      </c>
      <c r="DN941" s="24" t="s">
        <v>17847</v>
      </c>
      <c r="DO941" s="31">
        <v>2021</v>
      </c>
      <c r="DP941" s="25" t="s">
        <v>166</v>
      </c>
      <c r="DQ941" s="25" t="s">
        <v>166</v>
      </c>
      <c r="DR941" s="29" t="s">
        <v>166</v>
      </c>
      <c r="DS941" s="27" t="s">
        <v>166</v>
      </c>
      <c r="DT941" s="30" t="s">
        <v>166</v>
      </c>
      <c r="DU941" s="25" t="s">
        <v>166</v>
      </c>
      <c r="DV941" s="29" t="s">
        <v>166</v>
      </c>
      <c r="DW941" s="29" t="s">
        <v>166</v>
      </c>
      <c r="DX941" s="27" t="s">
        <v>166</v>
      </c>
      <c r="DY941" s="27" t="s">
        <v>166</v>
      </c>
      <c r="DZ941" s="28" t="s">
        <v>166</v>
      </c>
      <c r="EA941" s="27" t="s">
        <v>166</v>
      </c>
      <c r="EB941" s="27" t="s">
        <v>166</v>
      </c>
      <c r="EC941" s="27" t="s">
        <v>166</v>
      </c>
      <c r="ED941" s="28" t="s">
        <v>166</v>
      </c>
      <c r="EE941" s="28" t="s">
        <v>166</v>
      </c>
      <c r="EF941" s="28" t="s">
        <v>166</v>
      </c>
      <c r="EG941" s="28" t="s">
        <v>166</v>
      </c>
      <c r="EH941" s="27" t="s">
        <v>166</v>
      </c>
      <c r="EI941" s="27" t="s">
        <v>166</v>
      </c>
      <c r="EJ941" s="27" t="s">
        <v>166</v>
      </c>
      <c r="EK941" s="27" t="s">
        <v>166</v>
      </c>
      <c r="EL941" s="27" t="s">
        <v>166</v>
      </c>
      <c r="EM941" s="27" t="s">
        <v>166</v>
      </c>
      <c r="EN941" s="27" t="s">
        <v>166</v>
      </c>
      <c r="EO941" s="27" t="s">
        <v>166</v>
      </c>
      <c r="EP941" s="27" t="s">
        <v>166</v>
      </c>
      <c r="EQ941" s="27" t="s">
        <v>166</v>
      </c>
      <c r="ER941" s="27" t="s">
        <v>166</v>
      </c>
      <c r="ES941" s="27" t="s">
        <v>166</v>
      </c>
      <c r="ET941" s="25" t="s">
        <v>166</v>
      </c>
      <c r="EU941" s="27" t="s">
        <v>166</v>
      </c>
      <c r="EV941" s="27" t="s">
        <v>166</v>
      </c>
      <c r="EW941" s="27" t="s">
        <v>166</v>
      </c>
      <c r="EX941" s="25" t="s">
        <v>190</v>
      </c>
      <c r="EY941" s="25" t="s">
        <v>166</v>
      </c>
      <c r="EZ941" s="27" t="s">
        <v>166</v>
      </c>
      <c r="FA941" s="26" t="s">
        <v>166</v>
      </c>
      <c r="FB941" s="26" t="s">
        <v>166</v>
      </c>
      <c r="FC941" s="26" t="s">
        <v>166</v>
      </c>
      <c r="FD941" s="26" t="s">
        <v>166</v>
      </c>
      <c r="FE941" s="26" t="s">
        <v>166</v>
      </c>
      <c r="FF941" s="26" t="s">
        <v>166</v>
      </c>
      <c r="FG941" s="25" t="s">
        <v>166</v>
      </c>
      <c r="FH941" s="4">
        <f>HYPERLINK("https://my.pitchbook.com?c=212043-70T","View Company Online")</f>
      </c>
    </row>
    <row r="942">
      <c r="A942" s="14" t="s">
        <v>17848</v>
      </c>
      <c r="B942" s="14" t="s">
        <v>17849</v>
      </c>
      <c r="C942" s="14" t="s">
        <v>17850</v>
      </c>
      <c r="D942" s="14" t="s">
        <v>166</v>
      </c>
      <c r="E942" s="23" t="s">
        <v>17851</v>
      </c>
      <c r="F942" s="21">
        <v>9</v>
      </c>
      <c r="G942" s="14" t="s">
        <v>17852</v>
      </c>
      <c r="H942" s="14" t="s">
        <v>166</v>
      </c>
      <c r="I942" s="14" t="s">
        <v>17853</v>
      </c>
      <c r="J942" s="14" t="s">
        <v>17854</v>
      </c>
      <c r="K942" s="14" t="s">
        <v>171</v>
      </c>
      <c r="L942" s="14" t="s">
        <v>172</v>
      </c>
      <c r="M942" s="14" t="s">
        <v>1033</v>
      </c>
      <c r="N942" s="14" t="s">
        <v>17855</v>
      </c>
      <c r="O942" s="14" t="s">
        <v>17856</v>
      </c>
      <c r="P942" s="14" t="s">
        <v>17857</v>
      </c>
      <c r="Q942" s="14" t="s">
        <v>166</v>
      </c>
      <c r="R942" s="14" t="s">
        <v>177</v>
      </c>
      <c r="S942" s="14" t="s">
        <v>178</v>
      </c>
      <c r="T942" s="14" t="s">
        <v>179</v>
      </c>
      <c r="U942" s="14" t="s">
        <v>17858</v>
      </c>
      <c r="V942" s="14" t="s">
        <v>17859</v>
      </c>
      <c r="W942" s="21" t="s">
        <v>17860</v>
      </c>
      <c r="X942" s="14" t="s">
        <v>17861</v>
      </c>
      <c r="Y942" s="14" t="s">
        <v>17862</v>
      </c>
      <c r="Z942" s="14" t="s">
        <v>17863</v>
      </c>
      <c r="AA942" s="14" t="s">
        <v>242</v>
      </c>
      <c r="AB942" s="14" t="s">
        <v>243</v>
      </c>
      <c r="AC942" s="14" t="s">
        <v>244</v>
      </c>
      <c r="AD942" s="14" t="s">
        <v>243</v>
      </c>
      <c r="AE942" s="14" t="s">
        <v>243</v>
      </c>
      <c r="AF942" s="14" t="s">
        <v>306</v>
      </c>
      <c r="AG942" s="14" t="s">
        <v>807</v>
      </c>
      <c r="AH942" s="21">
        <v>3</v>
      </c>
      <c r="AI942" s="3">
        <f>HYPERLINK("https://my.pitchbook.com/?d=156367-27T","156367-27T")</f>
      </c>
      <c r="AJ942" s="19">
        <v>43817</v>
      </c>
      <c r="AK942" s="19">
        <v>44508</v>
      </c>
      <c r="AL942" s="18">
        <v>1.4</v>
      </c>
      <c r="AM942" s="14" t="s">
        <v>185</v>
      </c>
      <c r="AN942" s="18">
        <v>4</v>
      </c>
      <c r="AO942" s="18">
        <v>5.4</v>
      </c>
      <c r="AP942" s="14" t="s">
        <v>185</v>
      </c>
      <c r="AQ942" s="21" t="s">
        <v>166</v>
      </c>
      <c r="AR942" s="21" t="s">
        <v>166</v>
      </c>
      <c r="AS942" s="17">
        <v>25.93</v>
      </c>
      <c r="AT942" s="18">
        <v>1.4</v>
      </c>
      <c r="AU942" s="21" t="s">
        <v>186</v>
      </c>
      <c r="AV942" s="21" t="s">
        <v>166</v>
      </c>
      <c r="AW942" s="18">
        <v>0.42</v>
      </c>
      <c r="AX942" s="21" t="s">
        <v>166</v>
      </c>
      <c r="AY942" s="14" t="s">
        <v>217</v>
      </c>
      <c r="AZ942" s="14" t="s">
        <v>217</v>
      </c>
      <c r="BA942" s="14" t="s">
        <v>166</v>
      </c>
      <c r="BB942" s="21" t="s">
        <v>166</v>
      </c>
      <c r="BC942" s="14" t="s">
        <v>179</v>
      </c>
      <c r="BD942" s="14" t="s">
        <v>17864</v>
      </c>
      <c r="BE942" s="14" t="s">
        <v>189</v>
      </c>
      <c r="BF942" s="18">
        <v>1.4</v>
      </c>
      <c r="BG942" s="14" t="s">
        <v>190</v>
      </c>
      <c r="BH942" s="14" t="s">
        <v>166</v>
      </c>
      <c r="BI942" s="14" t="s">
        <v>166</v>
      </c>
      <c r="BJ942" s="18" t="s">
        <v>166</v>
      </c>
      <c r="BK942" s="18" t="s">
        <v>166</v>
      </c>
      <c r="BL942" s="14" t="s">
        <v>191</v>
      </c>
      <c r="BM942" s="14" t="s">
        <v>178</v>
      </c>
      <c r="BN942" s="14" t="s">
        <v>177</v>
      </c>
      <c r="BO942" s="22" t="s">
        <v>166</v>
      </c>
      <c r="BP942" s="14" t="s">
        <v>17865</v>
      </c>
      <c r="BQ942" s="21">
        <v>9</v>
      </c>
      <c r="BR942" s="14" t="s">
        <v>166</v>
      </c>
      <c r="BS942" s="21" t="s">
        <v>166</v>
      </c>
      <c r="BT942" s="14" t="s">
        <v>166</v>
      </c>
      <c r="BU942" s="14" t="s">
        <v>166</v>
      </c>
      <c r="BV942" s="14" t="s">
        <v>17866</v>
      </c>
      <c r="BW942" s="14" t="s">
        <v>166</v>
      </c>
      <c r="BX942" s="14" t="s">
        <v>166</v>
      </c>
      <c r="BY942" s="14" t="s">
        <v>166</v>
      </c>
      <c r="BZ942" s="14" t="s">
        <v>17867</v>
      </c>
      <c r="CA942" s="14" t="s">
        <v>17867</v>
      </c>
      <c r="CB942" s="14" t="s">
        <v>166</v>
      </c>
      <c r="CC942" s="14" t="s">
        <v>166</v>
      </c>
      <c r="CD942" s="14" t="s">
        <v>166</v>
      </c>
      <c r="CE942" s="18" t="s">
        <v>166</v>
      </c>
      <c r="CF942" s="16" t="s">
        <v>166</v>
      </c>
      <c r="CG942" s="17" t="s">
        <v>166</v>
      </c>
      <c r="CH942" s="16" t="s">
        <v>166</v>
      </c>
      <c r="CI942" s="16" t="s">
        <v>166</v>
      </c>
      <c r="CJ942" s="16" t="s">
        <v>166</v>
      </c>
      <c r="CK942" s="16" t="s">
        <v>166</v>
      </c>
      <c r="CL942" s="16" t="s">
        <v>166</v>
      </c>
      <c r="CM942" s="20" t="s">
        <v>166</v>
      </c>
      <c r="CN942" s="16" t="s">
        <v>166</v>
      </c>
      <c r="CO942" s="16" t="s">
        <v>166</v>
      </c>
      <c r="CP942" s="16" t="s">
        <v>166</v>
      </c>
      <c r="CQ942" s="16" t="s">
        <v>166</v>
      </c>
      <c r="CR942" s="16" t="s">
        <v>166</v>
      </c>
      <c r="CS942" s="16" t="s">
        <v>166</v>
      </c>
      <c r="CT942" s="16" t="s">
        <v>166</v>
      </c>
      <c r="CU942" s="16" t="s">
        <v>166</v>
      </c>
      <c r="CV942" s="16" t="s">
        <v>166</v>
      </c>
      <c r="CW942" s="16" t="s">
        <v>166</v>
      </c>
      <c r="CX942" s="16" t="s">
        <v>166</v>
      </c>
      <c r="CY942" s="16" t="s">
        <v>166</v>
      </c>
      <c r="CZ942" s="16" t="s">
        <v>166</v>
      </c>
      <c r="DA942" s="16" t="s">
        <v>166</v>
      </c>
      <c r="DB942" s="16" t="s">
        <v>166</v>
      </c>
      <c r="DC942" s="16" t="s">
        <v>166</v>
      </c>
      <c r="DD942" s="16" t="s">
        <v>166</v>
      </c>
      <c r="DE942" s="17" t="s">
        <v>166</v>
      </c>
      <c r="DF942" s="22">
        <v>13</v>
      </c>
      <c r="DG942" s="14" t="s">
        <v>17868</v>
      </c>
      <c r="DH942" s="14" t="s">
        <v>193</v>
      </c>
      <c r="DI942" s="14" t="s">
        <v>194</v>
      </c>
      <c r="DJ942" s="14" t="s">
        <v>17869</v>
      </c>
      <c r="DK942" s="14" t="s">
        <v>257</v>
      </c>
      <c r="DL942" s="21" t="s">
        <v>17870</v>
      </c>
      <c r="DM942" s="14" t="s">
        <v>198</v>
      </c>
      <c r="DN942" s="13" t="s">
        <v>17871</v>
      </c>
      <c r="DO942" s="20">
        <v>2015</v>
      </c>
      <c r="DP942" s="14" t="s">
        <v>166</v>
      </c>
      <c r="DQ942" s="14" t="s">
        <v>166</v>
      </c>
      <c r="DR942" s="18" t="s">
        <v>166</v>
      </c>
      <c r="DS942" s="16" t="s">
        <v>166</v>
      </c>
      <c r="DT942" s="19" t="s">
        <v>166</v>
      </c>
      <c r="DU942" s="14" t="s">
        <v>166</v>
      </c>
      <c r="DV942" s="18" t="s">
        <v>166</v>
      </c>
      <c r="DW942" s="18" t="s">
        <v>166</v>
      </c>
      <c r="DX942" s="16" t="s">
        <v>166</v>
      </c>
      <c r="DY942" s="16" t="s">
        <v>166</v>
      </c>
      <c r="DZ942" s="17" t="s">
        <v>166</v>
      </c>
      <c r="EA942" s="16" t="s">
        <v>166</v>
      </c>
      <c r="EB942" s="16" t="s">
        <v>166</v>
      </c>
      <c r="EC942" s="16" t="s">
        <v>166</v>
      </c>
      <c r="ED942" s="17" t="s">
        <v>166</v>
      </c>
      <c r="EE942" s="17" t="s">
        <v>166</v>
      </c>
      <c r="EF942" s="17" t="s">
        <v>166</v>
      </c>
      <c r="EG942" s="17" t="s">
        <v>166</v>
      </c>
      <c r="EH942" s="16" t="s">
        <v>166</v>
      </c>
      <c r="EI942" s="16" t="s">
        <v>166</v>
      </c>
      <c r="EJ942" s="16" t="s">
        <v>166</v>
      </c>
      <c r="EK942" s="16" t="s">
        <v>166</v>
      </c>
      <c r="EL942" s="16" t="s">
        <v>166</v>
      </c>
      <c r="EM942" s="16" t="s">
        <v>166</v>
      </c>
      <c r="EN942" s="16" t="s">
        <v>166</v>
      </c>
      <c r="EO942" s="16" t="s">
        <v>166</v>
      </c>
      <c r="EP942" s="16" t="s">
        <v>166</v>
      </c>
      <c r="EQ942" s="16" t="s">
        <v>166</v>
      </c>
      <c r="ER942" s="16" t="s">
        <v>166</v>
      </c>
      <c r="ES942" s="16" t="s">
        <v>166</v>
      </c>
      <c r="ET942" s="14" t="s">
        <v>166</v>
      </c>
      <c r="EU942" s="16" t="s">
        <v>166</v>
      </c>
      <c r="EV942" s="16" t="s">
        <v>166</v>
      </c>
      <c r="EW942" s="16" t="s">
        <v>166</v>
      </c>
      <c r="EX942" s="14" t="s">
        <v>190</v>
      </c>
      <c r="EY942" s="14" t="s">
        <v>166</v>
      </c>
      <c r="EZ942" s="16" t="s">
        <v>166</v>
      </c>
      <c r="FA942" s="15" t="s">
        <v>166</v>
      </c>
      <c r="FB942" s="15" t="s">
        <v>166</v>
      </c>
      <c r="FC942" s="15" t="s">
        <v>166</v>
      </c>
      <c r="FD942" s="15" t="s">
        <v>166</v>
      </c>
      <c r="FE942" s="15" t="s">
        <v>166</v>
      </c>
      <c r="FF942" s="15" t="s">
        <v>166</v>
      </c>
      <c r="FG942" s="14" t="s">
        <v>166</v>
      </c>
      <c r="FH942" s="3">
        <f>HYPERLINK("https://my.pitchbook.com?c=156367-27T","View Company Online")</f>
      </c>
    </row>
    <row r="943">
      <c r="A943" s="25" t="s">
        <v>17872</v>
      </c>
      <c r="B943" s="25" t="s">
        <v>17873</v>
      </c>
      <c r="C943" s="25" t="s">
        <v>17874</v>
      </c>
      <c r="D943" s="25" t="s">
        <v>166</v>
      </c>
      <c r="E943" s="34" t="s">
        <v>17875</v>
      </c>
      <c r="F943" s="32">
        <v>1</v>
      </c>
      <c r="G943" s="25" t="s">
        <v>17876</v>
      </c>
      <c r="H943" s="25" t="s">
        <v>166</v>
      </c>
      <c r="I943" s="25" t="s">
        <v>17877</v>
      </c>
      <c r="J943" s="25" t="s">
        <v>17878</v>
      </c>
      <c r="K943" s="25" t="s">
        <v>207</v>
      </c>
      <c r="L943" s="25" t="s">
        <v>208</v>
      </c>
      <c r="M943" s="25" t="s">
        <v>1181</v>
      </c>
      <c r="N943" s="25" t="s">
        <v>17879</v>
      </c>
      <c r="O943" s="25" t="s">
        <v>1127</v>
      </c>
      <c r="P943" s="25" t="s">
        <v>17880</v>
      </c>
      <c r="Q943" s="25" t="s">
        <v>166</v>
      </c>
      <c r="R943" s="25" t="s">
        <v>177</v>
      </c>
      <c r="S943" s="25" t="s">
        <v>178</v>
      </c>
      <c r="T943" s="25" t="s">
        <v>179</v>
      </c>
      <c r="U943" s="25" t="s">
        <v>17881</v>
      </c>
      <c r="V943" s="25" t="s">
        <v>17882</v>
      </c>
      <c r="W943" s="32" t="s">
        <v>17883</v>
      </c>
      <c r="X943" s="25" t="s">
        <v>17884</v>
      </c>
      <c r="Y943" s="25" t="s">
        <v>17885</v>
      </c>
      <c r="Z943" s="25" t="s">
        <v>166</v>
      </c>
      <c r="AA943" s="25" t="s">
        <v>166</v>
      </c>
      <c r="AB943" s="25" t="s">
        <v>166</v>
      </c>
      <c r="AC943" s="25" t="s">
        <v>166</v>
      </c>
      <c r="AD943" s="25" t="s">
        <v>166</v>
      </c>
      <c r="AE943" s="25" t="s">
        <v>166</v>
      </c>
      <c r="AF943" s="25" t="s">
        <v>166</v>
      </c>
      <c r="AG943" s="25" t="s">
        <v>166</v>
      </c>
      <c r="AH943" s="32">
        <v>1</v>
      </c>
      <c r="AI943" s="4">
        <f>HYPERLINK("https://my.pitchbook.com/?d=225034-03T","225034-03T")</f>
      </c>
      <c r="AJ943" s="30" t="s">
        <v>166</v>
      </c>
      <c r="AK943" s="30">
        <v>44287</v>
      </c>
      <c r="AL943" s="29">
        <v>0.25</v>
      </c>
      <c r="AM943" s="25" t="s">
        <v>185</v>
      </c>
      <c r="AN943" s="29" t="s">
        <v>166</v>
      </c>
      <c r="AO943" s="29" t="s">
        <v>166</v>
      </c>
      <c r="AP943" s="25" t="s">
        <v>166</v>
      </c>
      <c r="AQ943" s="32" t="s">
        <v>166</v>
      </c>
      <c r="AR943" s="32" t="s">
        <v>166</v>
      </c>
      <c r="AS943" s="28" t="s">
        <v>166</v>
      </c>
      <c r="AT943" s="29">
        <v>0.25</v>
      </c>
      <c r="AU943" s="32" t="s">
        <v>186</v>
      </c>
      <c r="AV943" s="32" t="s">
        <v>166</v>
      </c>
      <c r="AW943" s="29" t="s">
        <v>166</v>
      </c>
      <c r="AX943" s="32" t="s">
        <v>166</v>
      </c>
      <c r="AY943" s="25" t="s">
        <v>217</v>
      </c>
      <c r="AZ943" s="25" t="s">
        <v>217</v>
      </c>
      <c r="BA943" s="25" t="s">
        <v>166</v>
      </c>
      <c r="BB943" s="32" t="s">
        <v>166</v>
      </c>
      <c r="BC943" s="25" t="s">
        <v>179</v>
      </c>
      <c r="BD943" s="25" t="s">
        <v>17886</v>
      </c>
      <c r="BE943" s="25" t="s">
        <v>189</v>
      </c>
      <c r="BF943" s="29">
        <v>0.25</v>
      </c>
      <c r="BG943" s="25" t="s">
        <v>190</v>
      </c>
      <c r="BH943" s="25" t="s">
        <v>166</v>
      </c>
      <c r="BI943" s="25" t="s">
        <v>166</v>
      </c>
      <c r="BJ943" s="29" t="s">
        <v>166</v>
      </c>
      <c r="BK943" s="29" t="s">
        <v>166</v>
      </c>
      <c r="BL943" s="25" t="s">
        <v>191</v>
      </c>
      <c r="BM943" s="25" t="s">
        <v>358</v>
      </c>
      <c r="BN943" s="25" t="s">
        <v>177</v>
      </c>
      <c r="BO943" s="33">
        <v>3</v>
      </c>
      <c r="BP943" s="25" t="s">
        <v>17875</v>
      </c>
      <c r="BQ943" s="32">
        <v>1</v>
      </c>
      <c r="BR943" s="25" t="s">
        <v>166</v>
      </c>
      <c r="BS943" s="32" t="s">
        <v>166</v>
      </c>
      <c r="BT943" s="25" t="s">
        <v>166</v>
      </c>
      <c r="BU943" s="25" t="s">
        <v>166</v>
      </c>
      <c r="BV943" s="25" t="s">
        <v>166</v>
      </c>
      <c r="BW943" s="25" t="s">
        <v>166</v>
      </c>
      <c r="BX943" s="25" t="s">
        <v>166</v>
      </c>
      <c r="BY943" s="25" t="s">
        <v>166</v>
      </c>
      <c r="BZ943" s="25" t="s">
        <v>166</v>
      </c>
      <c r="CA943" s="25" t="s">
        <v>166</v>
      </c>
      <c r="CB943" s="25" t="s">
        <v>166</v>
      </c>
      <c r="CC943" s="25" t="s">
        <v>166</v>
      </c>
      <c r="CD943" s="25" t="s">
        <v>166</v>
      </c>
      <c r="CE943" s="29" t="s">
        <v>166</v>
      </c>
      <c r="CF943" s="27">
        <v>0</v>
      </c>
      <c r="CG943" s="28" t="s">
        <v>166</v>
      </c>
      <c r="CH943" s="27" t="s">
        <v>166</v>
      </c>
      <c r="CI943" s="27">
        <v>-0.02</v>
      </c>
      <c r="CJ943" s="27" t="s">
        <v>166</v>
      </c>
      <c r="CK943" s="27" t="s">
        <v>166</v>
      </c>
      <c r="CL943" s="27" t="s">
        <v>166</v>
      </c>
      <c r="CM943" s="31">
        <v>2020</v>
      </c>
      <c r="CN943" s="27" t="s">
        <v>166</v>
      </c>
      <c r="CO943" s="27" t="s">
        <v>166</v>
      </c>
      <c r="CP943" s="27" t="s">
        <v>166</v>
      </c>
      <c r="CQ943" s="27" t="s">
        <v>166</v>
      </c>
      <c r="CR943" s="27" t="s">
        <v>166</v>
      </c>
      <c r="CS943" s="27" t="s">
        <v>166</v>
      </c>
      <c r="CT943" s="27" t="s">
        <v>166</v>
      </c>
      <c r="CU943" s="27">
        <v>-16.03</v>
      </c>
      <c r="CV943" s="27" t="s">
        <v>166</v>
      </c>
      <c r="CW943" s="27" t="s">
        <v>166</v>
      </c>
      <c r="CX943" s="27" t="s">
        <v>166</v>
      </c>
      <c r="CY943" s="27" t="s">
        <v>166</v>
      </c>
      <c r="CZ943" s="27" t="s">
        <v>166</v>
      </c>
      <c r="DA943" s="27" t="s">
        <v>166</v>
      </c>
      <c r="DB943" s="27" t="s">
        <v>166</v>
      </c>
      <c r="DC943" s="27" t="s">
        <v>166</v>
      </c>
      <c r="DD943" s="27" t="s">
        <v>166</v>
      </c>
      <c r="DE943" s="28" t="s">
        <v>166</v>
      </c>
      <c r="DF943" s="33">
        <v>5</v>
      </c>
      <c r="DG943" s="25" t="s">
        <v>17887</v>
      </c>
      <c r="DH943" s="25" t="s">
        <v>193</v>
      </c>
      <c r="DI943" s="25" t="s">
        <v>194</v>
      </c>
      <c r="DJ943" s="25" t="s">
        <v>17888</v>
      </c>
      <c r="DK943" s="25" t="s">
        <v>1023</v>
      </c>
      <c r="DL943" s="32" t="s">
        <v>17889</v>
      </c>
      <c r="DM943" s="25" t="s">
        <v>198</v>
      </c>
      <c r="DN943" s="24" t="s">
        <v>17890</v>
      </c>
      <c r="DO943" s="31">
        <v>2020</v>
      </c>
      <c r="DP943" s="25" t="s">
        <v>166</v>
      </c>
      <c r="DQ943" s="25" t="s">
        <v>166</v>
      </c>
      <c r="DR943" s="29" t="s">
        <v>166</v>
      </c>
      <c r="DS943" s="27" t="s">
        <v>166</v>
      </c>
      <c r="DT943" s="30" t="s">
        <v>166</v>
      </c>
      <c r="DU943" s="25" t="s">
        <v>166</v>
      </c>
      <c r="DV943" s="29" t="s">
        <v>166</v>
      </c>
      <c r="DW943" s="29" t="s">
        <v>166</v>
      </c>
      <c r="DX943" s="27" t="s">
        <v>166</v>
      </c>
      <c r="DY943" s="27" t="s">
        <v>166</v>
      </c>
      <c r="DZ943" s="28" t="s">
        <v>166</v>
      </c>
      <c r="EA943" s="27" t="s">
        <v>166</v>
      </c>
      <c r="EB943" s="27" t="s">
        <v>166</v>
      </c>
      <c r="EC943" s="27" t="s">
        <v>166</v>
      </c>
      <c r="ED943" s="28" t="s">
        <v>166</v>
      </c>
      <c r="EE943" s="28" t="s">
        <v>166</v>
      </c>
      <c r="EF943" s="28" t="s">
        <v>166</v>
      </c>
      <c r="EG943" s="28" t="s">
        <v>166</v>
      </c>
      <c r="EH943" s="27" t="s">
        <v>166</v>
      </c>
      <c r="EI943" s="27" t="s">
        <v>166</v>
      </c>
      <c r="EJ943" s="27" t="s">
        <v>166</v>
      </c>
      <c r="EK943" s="27" t="s">
        <v>166</v>
      </c>
      <c r="EL943" s="27" t="s">
        <v>166</v>
      </c>
      <c r="EM943" s="27" t="s">
        <v>166</v>
      </c>
      <c r="EN943" s="27" t="s">
        <v>166</v>
      </c>
      <c r="EO943" s="27" t="s">
        <v>166</v>
      </c>
      <c r="EP943" s="27" t="s">
        <v>166</v>
      </c>
      <c r="EQ943" s="27" t="s">
        <v>166</v>
      </c>
      <c r="ER943" s="27" t="s">
        <v>166</v>
      </c>
      <c r="ES943" s="27" t="s">
        <v>166</v>
      </c>
      <c r="ET943" s="25" t="s">
        <v>166</v>
      </c>
      <c r="EU943" s="27" t="s">
        <v>166</v>
      </c>
      <c r="EV943" s="27" t="s">
        <v>166</v>
      </c>
      <c r="EW943" s="27" t="s">
        <v>166</v>
      </c>
      <c r="EX943" s="25" t="s">
        <v>190</v>
      </c>
      <c r="EY943" s="25" t="s">
        <v>166</v>
      </c>
      <c r="EZ943" s="27" t="s">
        <v>166</v>
      </c>
      <c r="FA943" s="26">
        <v>2</v>
      </c>
      <c r="FB943" s="26">
        <v>1</v>
      </c>
      <c r="FC943" s="26">
        <v>2</v>
      </c>
      <c r="FD943" s="26" t="s">
        <v>166</v>
      </c>
      <c r="FE943" s="26" t="s">
        <v>166</v>
      </c>
      <c r="FF943" s="26" t="s">
        <v>166</v>
      </c>
      <c r="FG943" s="25" t="s">
        <v>5962</v>
      </c>
      <c r="FH943" s="4">
        <f>HYPERLINK("https://my.pitchbook.com?c=225034-03T","View Company Online")</f>
      </c>
    </row>
    <row r="944">
      <c r="A944" s="14" t="s">
        <v>17891</v>
      </c>
      <c r="B944" s="14" t="s">
        <v>17892</v>
      </c>
      <c r="C944" s="14" t="s">
        <v>17893</v>
      </c>
      <c r="D944" s="14" t="s">
        <v>166</v>
      </c>
      <c r="E944" s="23" t="s">
        <v>17894</v>
      </c>
      <c r="F944" s="21">
        <v>1</v>
      </c>
      <c r="G944" s="14" t="s">
        <v>17895</v>
      </c>
      <c r="H944" s="14" t="s">
        <v>166</v>
      </c>
      <c r="I944" s="14" t="s">
        <v>17896</v>
      </c>
      <c r="J944" s="14" t="s">
        <v>17897</v>
      </c>
      <c r="K944" s="14" t="s">
        <v>207</v>
      </c>
      <c r="L944" s="14" t="s">
        <v>208</v>
      </c>
      <c r="M944" s="14" t="s">
        <v>209</v>
      </c>
      <c r="N944" s="14" t="s">
        <v>269</v>
      </c>
      <c r="O944" s="14" t="s">
        <v>17898</v>
      </c>
      <c r="P944" s="14" t="s">
        <v>17899</v>
      </c>
      <c r="Q944" s="14" t="s">
        <v>166</v>
      </c>
      <c r="R944" s="14" t="s">
        <v>177</v>
      </c>
      <c r="S944" s="14" t="s">
        <v>178</v>
      </c>
      <c r="T944" s="14" t="s">
        <v>1401</v>
      </c>
      <c r="U944" s="14" t="s">
        <v>17900</v>
      </c>
      <c r="V944" s="14" t="s">
        <v>17901</v>
      </c>
      <c r="W944" s="21" t="s">
        <v>17902</v>
      </c>
      <c r="X944" s="14" t="s">
        <v>17903</v>
      </c>
      <c r="Y944" s="14" t="s">
        <v>17904</v>
      </c>
      <c r="Z944" s="14" t="s">
        <v>166</v>
      </c>
      <c r="AA944" s="14" t="s">
        <v>166</v>
      </c>
      <c r="AB944" s="14" t="s">
        <v>166</v>
      </c>
      <c r="AC944" s="14" t="s">
        <v>166</v>
      </c>
      <c r="AD944" s="14" t="s">
        <v>166</v>
      </c>
      <c r="AE944" s="14" t="s">
        <v>166</v>
      </c>
      <c r="AF944" s="14" t="s">
        <v>166</v>
      </c>
      <c r="AG944" s="14" t="s">
        <v>166</v>
      </c>
      <c r="AH944" s="21">
        <v>5</v>
      </c>
      <c r="AI944" s="3">
        <f>HYPERLINK("https://my.pitchbook.com/?d=139346-56T","139346-56T")</f>
      </c>
      <c r="AJ944" s="19">
        <v>44012</v>
      </c>
      <c r="AK944" s="19">
        <v>44025</v>
      </c>
      <c r="AL944" s="18">
        <v>0.55</v>
      </c>
      <c r="AM944" s="14" t="s">
        <v>185</v>
      </c>
      <c r="AN944" s="18" t="s">
        <v>166</v>
      </c>
      <c r="AO944" s="18" t="s">
        <v>166</v>
      </c>
      <c r="AP944" s="14" t="s">
        <v>166</v>
      </c>
      <c r="AQ944" s="21" t="s">
        <v>166</v>
      </c>
      <c r="AR944" s="21">
        <v>0.53</v>
      </c>
      <c r="AS944" s="17" t="s">
        <v>166</v>
      </c>
      <c r="AT944" s="18">
        <v>1.75</v>
      </c>
      <c r="AU944" s="21" t="s">
        <v>186</v>
      </c>
      <c r="AV944" s="21" t="s">
        <v>166</v>
      </c>
      <c r="AW944" s="18" t="s">
        <v>166</v>
      </c>
      <c r="AX944" s="21" t="s">
        <v>248</v>
      </c>
      <c r="AY944" s="14" t="s">
        <v>187</v>
      </c>
      <c r="AZ944" s="14" t="s">
        <v>248</v>
      </c>
      <c r="BA944" s="14" t="s">
        <v>166</v>
      </c>
      <c r="BB944" s="21" t="s">
        <v>166</v>
      </c>
      <c r="BC944" s="14" t="s">
        <v>179</v>
      </c>
      <c r="BD944" s="14" t="s">
        <v>17905</v>
      </c>
      <c r="BE944" s="14" t="s">
        <v>189</v>
      </c>
      <c r="BF944" s="18">
        <v>0.55</v>
      </c>
      <c r="BG944" s="14" t="s">
        <v>190</v>
      </c>
      <c r="BH944" s="14" t="s">
        <v>166</v>
      </c>
      <c r="BI944" s="14" t="s">
        <v>166</v>
      </c>
      <c r="BJ944" s="18" t="s">
        <v>166</v>
      </c>
      <c r="BK944" s="18" t="s">
        <v>166</v>
      </c>
      <c r="BL944" s="14" t="s">
        <v>191</v>
      </c>
      <c r="BM944" s="14" t="s">
        <v>178</v>
      </c>
      <c r="BN944" s="14" t="s">
        <v>177</v>
      </c>
      <c r="BO944" s="22" t="s">
        <v>166</v>
      </c>
      <c r="BP944" s="14" t="s">
        <v>17906</v>
      </c>
      <c r="BQ944" s="21">
        <v>1</v>
      </c>
      <c r="BR944" s="14" t="s">
        <v>166</v>
      </c>
      <c r="BS944" s="21" t="s">
        <v>166</v>
      </c>
      <c r="BT944" s="14" t="s">
        <v>17894</v>
      </c>
      <c r="BU944" s="14" t="s">
        <v>166</v>
      </c>
      <c r="BV944" s="14" t="s">
        <v>17907</v>
      </c>
      <c r="BW944" s="14" t="s">
        <v>166</v>
      </c>
      <c r="BX944" s="14" t="s">
        <v>166</v>
      </c>
      <c r="BY944" s="14" t="s">
        <v>166</v>
      </c>
      <c r="BZ944" s="14" t="s">
        <v>166</v>
      </c>
      <c r="CA944" s="14" t="s">
        <v>166</v>
      </c>
      <c r="CB944" s="14" t="s">
        <v>166</v>
      </c>
      <c r="CC944" s="14" t="s">
        <v>166</v>
      </c>
      <c r="CD944" s="14" t="s">
        <v>166</v>
      </c>
      <c r="CE944" s="18" t="s">
        <v>166</v>
      </c>
      <c r="CF944" s="16" t="s">
        <v>166</v>
      </c>
      <c r="CG944" s="17" t="s">
        <v>166</v>
      </c>
      <c r="CH944" s="16" t="s">
        <v>166</v>
      </c>
      <c r="CI944" s="16" t="s">
        <v>166</v>
      </c>
      <c r="CJ944" s="16" t="s">
        <v>166</v>
      </c>
      <c r="CK944" s="16" t="s">
        <v>166</v>
      </c>
      <c r="CL944" s="16" t="s">
        <v>166</v>
      </c>
      <c r="CM944" s="20" t="s">
        <v>166</v>
      </c>
      <c r="CN944" s="16" t="s">
        <v>166</v>
      </c>
      <c r="CO944" s="16" t="s">
        <v>166</v>
      </c>
      <c r="CP944" s="16" t="s">
        <v>166</v>
      </c>
      <c r="CQ944" s="16" t="s">
        <v>166</v>
      </c>
      <c r="CR944" s="16" t="s">
        <v>166</v>
      </c>
      <c r="CS944" s="16" t="s">
        <v>166</v>
      </c>
      <c r="CT944" s="16" t="s">
        <v>166</v>
      </c>
      <c r="CU944" s="16" t="s">
        <v>166</v>
      </c>
      <c r="CV944" s="16" t="s">
        <v>166</v>
      </c>
      <c r="CW944" s="16" t="s">
        <v>166</v>
      </c>
      <c r="CX944" s="16" t="s">
        <v>166</v>
      </c>
      <c r="CY944" s="16" t="s">
        <v>166</v>
      </c>
      <c r="CZ944" s="16" t="s">
        <v>166</v>
      </c>
      <c r="DA944" s="16" t="s">
        <v>166</v>
      </c>
      <c r="DB944" s="16" t="s">
        <v>166</v>
      </c>
      <c r="DC944" s="16" t="s">
        <v>166</v>
      </c>
      <c r="DD944" s="16" t="s">
        <v>166</v>
      </c>
      <c r="DE944" s="17" t="s">
        <v>166</v>
      </c>
      <c r="DF944" s="22">
        <v>444</v>
      </c>
      <c r="DG944" s="14" t="s">
        <v>17908</v>
      </c>
      <c r="DH944" s="14" t="s">
        <v>193</v>
      </c>
      <c r="DI944" s="14" t="s">
        <v>194</v>
      </c>
      <c r="DJ944" s="14" t="s">
        <v>17909</v>
      </c>
      <c r="DK944" s="14" t="s">
        <v>2369</v>
      </c>
      <c r="DL944" s="21" t="s">
        <v>17910</v>
      </c>
      <c r="DM944" s="14" t="s">
        <v>198</v>
      </c>
      <c r="DN944" s="13" t="s">
        <v>17911</v>
      </c>
      <c r="DO944" s="20">
        <v>2016</v>
      </c>
      <c r="DP944" s="14" t="s">
        <v>166</v>
      </c>
      <c r="DQ944" s="14" t="s">
        <v>166</v>
      </c>
      <c r="DR944" s="18" t="s">
        <v>166</v>
      </c>
      <c r="DS944" s="16" t="s">
        <v>166</v>
      </c>
      <c r="DT944" s="19" t="s">
        <v>166</v>
      </c>
      <c r="DU944" s="14" t="s">
        <v>166</v>
      </c>
      <c r="DV944" s="18" t="s">
        <v>166</v>
      </c>
      <c r="DW944" s="18" t="s">
        <v>166</v>
      </c>
      <c r="DX944" s="16" t="s">
        <v>166</v>
      </c>
      <c r="DY944" s="16" t="s">
        <v>166</v>
      </c>
      <c r="DZ944" s="17" t="s">
        <v>166</v>
      </c>
      <c r="EA944" s="16" t="s">
        <v>166</v>
      </c>
      <c r="EB944" s="16" t="s">
        <v>166</v>
      </c>
      <c r="EC944" s="16" t="s">
        <v>166</v>
      </c>
      <c r="ED944" s="17" t="s">
        <v>166</v>
      </c>
      <c r="EE944" s="17" t="s">
        <v>166</v>
      </c>
      <c r="EF944" s="17" t="s">
        <v>166</v>
      </c>
      <c r="EG944" s="17" t="s">
        <v>166</v>
      </c>
      <c r="EH944" s="16" t="s">
        <v>166</v>
      </c>
      <c r="EI944" s="16" t="s">
        <v>166</v>
      </c>
      <c r="EJ944" s="16" t="s">
        <v>166</v>
      </c>
      <c r="EK944" s="16" t="s">
        <v>166</v>
      </c>
      <c r="EL944" s="16" t="s">
        <v>166</v>
      </c>
      <c r="EM944" s="16" t="s">
        <v>166</v>
      </c>
      <c r="EN944" s="16" t="s">
        <v>166</v>
      </c>
      <c r="EO944" s="16" t="s">
        <v>166</v>
      </c>
      <c r="EP944" s="16" t="s">
        <v>166</v>
      </c>
      <c r="EQ944" s="16" t="s">
        <v>166</v>
      </c>
      <c r="ER944" s="16" t="s">
        <v>166</v>
      </c>
      <c r="ES944" s="16" t="s">
        <v>166</v>
      </c>
      <c r="ET944" s="14" t="s">
        <v>166</v>
      </c>
      <c r="EU944" s="16" t="s">
        <v>166</v>
      </c>
      <c r="EV944" s="16" t="s">
        <v>166</v>
      </c>
      <c r="EW944" s="16" t="s">
        <v>166</v>
      </c>
      <c r="EX944" s="14" t="s">
        <v>190</v>
      </c>
      <c r="EY944" s="14" t="s">
        <v>166</v>
      </c>
      <c r="EZ944" s="16" t="s">
        <v>166</v>
      </c>
      <c r="FA944" s="15" t="s">
        <v>166</v>
      </c>
      <c r="FB944" s="15" t="s">
        <v>166</v>
      </c>
      <c r="FC944" s="15" t="s">
        <v>166</v>
      </c>
      <c r="FD944" s="15" t="s">
        <v>166</v>
      </c>
      <c r="FE944" s="15" t="s">
        <v>166</v>
      </c>
      <c r="FF944" s="15" t="s">
        <v>166</v>
      </c>
      <c r="FG944" s="14" t="s">
        <v>166</v>
      </c>
      <c r="FH944" s="3">
        <f>HYPERLINK("https://my.pitchbook.com?c=139346-56T","View Company Online")</f>
      </c>
    </row>
    <row r="945">
      <c r="A945" s="25" t="s">
        <v>17912</v>
      </c>
      <c r="B945" s="25" t="s">
        <v>17913</v>
      </c>
      <c r="C945" s="25" t="s">
        <v>17914</v>
      </c>
      <c r="D945" s="25" t="s">
        <v>166</v>
      </c>
      <c r="E945" s="34" t="s">
        <v>17915</v>
      </c>
      <c r="F945" s="32">
        <v>2</v>
      </c>
      <c r="G945" s="25" t="s">
        <v>17916</v>
      </c>
      <c r="H945" s="25" t="s">
        <v>166</v>
      </c>
      <c r="I945" s="25" t="s">
        <v>17917</v>
      </c>
      <c r="J945" s="25" t="s">
        <v>17918</v>
      </c>
      <c r="K945" s="25" t="s">
        <v>1455</v>
      </c>
      <c r="L945" s="25" t="s">
        <v>13479</v>
      </c>
      <c r="M945" s="25" t="s">
        <v>17919</v>
      </c>
      <c r="N945" s="25" t="s">
        <v>17920</v>
      </c>
      <c r="O945" s="25" t="s">
        <v>7573</v>
      </c>
      <c r="P945" s="25" t="s">
        <v>17921</v>
      </c>
      <c r="Q945" s="25" t="s">
        <v>166</v>
      </c>
      <c r="R945" s="25" t="s">
        <v>177</v>
      </c>
      <c r="S945" s="25" t="s">
        <v>178</v>
      </c>
      <c r="T945" s="25" t="s">
        <v>179</v>
      </c>
      <c r="U945" s="25" t="s">
        <v>17922</v>
      </c>
      <c r="V945" s="25" t="s">
        <v>17923</v>
      </c>
      <c r="W945" s="32" t="s">
        <v>17924</v>
      </c>
      <c r="X945" s="25" t="s">
        <v>17925</v>
      </c>
      <c r="Y945" s="25" t="s">
        <v>17926</v>
      </c>
      <c r="Z945" s="25" t="s">
        <v>166</v>
      </c>
      <c r="AA945" s="25" t="s">
        <v>242</v>
      </c>
      <c r="AB945" s="25" t="s">
        <v>243</v>
      </c>
      <c r="AC945" s="25" t="s">
        <v>244</v>
      </c>
      <c r="AD945" s="25" t="s">
        <v>243</v>
      </c>
      <c r="AE945" s="25" t="s">
        <v>243</v>
      </c>
      <c r="AF945" s="25" t="s">
        <v>166</v>
      </c>
      <c r="AG945" s="25" t="s">
        <v>246</v>
      </c>
      <c r="AH945" s="32">
        <v>1</v>
      </c>
      <c r="AI945" s="4">
        <f>HYPERLINK("https://my.pitchbook.com/?d=171032-68T","171032-68T")</f>
      </c>
      <c r="AJ945" s="30" t="s">
        <v>166</v>
      </c>
      <c r="AK945" s="30">
        <v>44305</v>
      </c>
      <c r="AL945" s="29">
        <v>6.95</v>
      </c>
      <c r="AM945" s="25" t="s">
        <v>185</v>
      </c>
      <c r="AN945" s="29">
        <v>30</v>
      </c>
      <c r="AO945" s="29">
        <v>36.95</v>
      </c>
      <c r="AP945" s="25" t="s">
        <v>185</v>
      </c>
      <c r="AQ945" s="32" t="s">
        <v>166</v>
      </c>
      <c r="AR945" s="32" t="s">
        <v>166</v>
      </c>
      <c r="AS945" s="28">
        <v>44.87</v>
      </c>
      <c r="AT945" s="29">
        <v>6.95</v>
      </c>
      <c r="AU945" s="32" t="s">
        <v>186</v>
      </c>
      <c r="AV945" s="32" t="s">
        <v>166</v>
      </c>
      <c r="AW945" s="29">
        <v>7.14</v>
      </c>
      <c r="AX945" s="32" t="s">
        <v>248</v>
      </c>
      <c r="AY945" s="25" t="s">
        <v>187</v>
      </c>
      <c r="AZ945" s="25" t="s">
        <v>248</v>
      </c>
      <c r="BA945" s="25" t="s">
        <v>166</v>
      </c>
      <c r="BB945" s="32" t="s">
        <v>166</v>
      </c>
      <c r="BC945" s="25" t="s">
        <v>179</v>
      </c>
      <c r="BD945" s="25" t="s">
        <v>17927</v>
      </c>
      <c r="BE945" s="25" t="s">
        <v>189</v>
      </c>
      <c r="BF945" s="29">
        <v>6.95</v>
      </c>
      <c r="BG945" s="25" t="s">
        <v>190</v>
      </c>
      <c r="BH945" s="25" t="s">
        <v>166</v>
      </c>
      <c r="BI945" s="25" t="s">
        <v>166</v>
      </c>
      <c r="BJ945" s="29" t="s">
        <v>166</v>
      </c>
      <c r="BK945" s="29" t="s">
        <v>166</v>
      </c>
      <c r="BL945" s="25" t="s">
        <v>191</v>
      </c>
      <c r="BM945" s="25" t="s">
        <v>178</v>
      </c>
      <c r="BN945" s="25" t="s">
        <v>177</v>
      </c>
      <c r="BO945" s="33" t="s">
        <v>166</v>
      </c>
      <c r="BP945" s="25" t="s">
        <v>17928</v>
      </c>
      <c r="BQ945" s="32">
        <v>2</v>
      </c>
      <c r="BR945" s="25" t="s">
        <v>166</v>
      </c>
      <c r="BS945" s="32" t="s">
        <v>166</v>
      </c>
      <c r="BT945" s="25" t="s">
        <v>17929</v>
      </c>
      <c r="BU945" s="25" t="s">
        <v>166</v>
      </c>
      <c r="BV945" s="25" t="s">
        <v>17930</v>
      </c>
      <c r="BW945" s="25" t="s">
        <v>166</v>
      </c>
      <c r="BX945" s="25" t="s">
        <v>166</v>
      </c>
      <c r="BY945" s="25" t="s">
        <v>166</v>
      </c>
      <c r="BZ945" s="25" t="s">
        <v>17931</v>
      </c>
      <c r="CA945" s="25" t="s">
        <v>166</v>
      </c>
      <c r="CB945" s="25" t="s">
        <v>166</v>
      </c>
      <c r="CC945" s="25" t="s">
        <v>17931</v>
      </c>
      <c r="CD945" s="25" t="s">
        <v>166</v>
      </c>
      <c r="CE945" s="29" t="s">
        <v>166</v>
      </c>
      <c r="CF945" s="27" t="s">
        <v>166</v>
      </c>
      <c r="CG945" s="28" t="s">
        <v>166</v>
      </c>
      <c r="CH945" s="27" t="s">
        <v>166</v>
      </c>
      <c r="CI945" s="27" t="s">
        <v>166</v>
      </c>
      <c r="CJ945" s="27" t="s">
        <v>166</v>
      </c>
      <c r="CK945" s="27" t="s">
        <v>166</v>
      </c>
      <c r="CL945" s="27" t="s">
        <v>166</v>
      </c>
      <c r="CM945" s="31" t="s">
        <v>166</v>
      </c>
      <c r="CN945" s="27" t="s">
        <v>166</v>
      </c>
      <c r="CO945" s="27" t="s">
        <v>166</v>
      </c>
      <c r="CP945" s="27" t="s">
        <v>166</v>
      </c>
      <c r="CQ945" s="27" t="s">
        <v>166</v>
      </c>
      <c r="CR945" s="27" t="s">
        <v>166</v>
      </c>
      <c r="CS945" s="27" t="s">
        <v>166</v>
      </c>
      <c r="CT945" s="27" t="s">
        <v>166</v>
      </c>
      <c r="CU945" s="27" t="s">
        <v>166</v>
      </c>
      <c r="CV945" s="27" t="s">
        <v>166</v>
      </c>
      <c r="CW945" s="27" t="s">
        <v>166</v>
      </c>
      <c r="CX945" s="27" t="s">
        <v>166</v>
      </c>
      <c r="CY945" s="27" t="s">
        <v>166</v>
      </c>
      <c r="CZ945" s="27" t="s">
        <v>166</v>
      </c>
      <c r="DA945" s="27" t="s">
        <v>166</v>
      </c>
      <c r="DB945" s="27" t="s">
        <v>166</v>
      </c>
      <c r="DC945" s="27" t="s">
        <v>166</v>
      </c>
      <c r="DD945" s="27" t="s">
        <v>166</v>
      </c>
      <c r="DE945" s="28" t="s">
        <v>166</v>
      </c>
      <c r="DF945" s="33">
        <v>48</v>
      </c>
      <c r="DG945" s="25" t="s">
        <v>309</v>
      </c>
      <c r="DH945" s="25" t="s">
        <v>193</v>
      </c>
      <c r="DI945" s="25" t="s">
        <v>194</v>
      </c>
      <c r="DJ945" s="25" t="s">
        <v>310</v>
      </c>
      <c r="DK945" s="25" t="s">
        <v>310</v>
      </c>
      <c r="DL945" s="32" t="s">
        <v>935</v>
      </c>
      <c r="DM945" s="25" t="s">
        <v>198</v>
      </c>
      <c r="DN945" s="24" t="s">
        <v>17932</v>
      </c>
      <c r="DO945" s="31">
        <v>2018</v>
      </c>
      <c r="DP945" s="25" t="s">
        <v>166</v>
      </c>
      <c r="DQ945" s="25" t="s">
        <v>166</v>
      </c>
      <c r="DR945" s="29" t="s">
        <v>166</v>
      </c>
      <c r="DS945" s="27" t="s">
        <v>166</v>
      </c>
      <c r="DT945" s="30" t="s">
        <v>166</v>
      </c>
      <c r="DU945" s="25" t="s">
        <v>166</v>
      </c>
      <c r="DV945" s="29" t="s">
        <v>166</v>
      </c>
      <c r="DW945" s="29" t="s">
        <v>166</v>
      </c>
      <c r="DX945" s="27" t="s">
        <v>166</v>
      </c>
      <c r="DY945" s="27" t="s">
        <v>166</v>
      </c>
      <c r="DZ945" s="28" t="s">
        <v>166</v>
      </c>
      <c r="EA945" s="27" t="s">
        <v>166</v>
      </c>
      <c r="EB945" s="27" t="s">
        <v>166</v>
      </c>
      <c r="EC945" s="27" t="s">
        <v>166</v>
      </c>
      <c r="ED945" s="28" t="s">
        <v>166</v>
      </c>
      <c r="EE945" s="28" t="s">
        <v>166</v>
      </c>
      <c r="EF945" s="28" t="s">
        <v>166</v>
      </c>
      <c r="EG945" s="28" t="s">
        <v>166</v>
      </c>
      <c r="EH945" s="27" t="s">
        <v>166</v>
      </c>
      <c r="EI945" s="27" t="s">
        <v>166</v>
      </c>
      <c r="EJ945" s="27" t="s">
        <v>166</v>
      </c>
      <c r="EK945" s="27" t="s">
        <v>166</v>
      </c>
      <c r="EL945" s="27" t="s">
        <v>166</v>
      </c>
      <c r="EM945" s="27" t="s">
        <v>166</v>
      </c>
      <c r="EN945" s="27" t="s">
        <v>166</v>
      </c>
      <c r="EO945" s="27" t="s">
        <v>166</v>
      </c>
      <c r="EP945" s="27" t="s">
        <v>166</v>
      </c>
      <c r="EQ945" s="27" t="s">
        <v>166</v>
      </c>
      <c r="ER945" s="27" t="s">
        <v>166</v>
      </c>
      <c r="ES945" s="27" t="s">
        <v>166</v>
      </c>
      <c r="ET945" s="25" t="s">
        <v>166</v>
      </c>
      <c r="EU945" s="27" t="s">
        <v>166</v>
      </c>
      <c r="EV945" s="27" t="s">
        <v>166</v>
      </c>
      <c r="EW945" s="27" t="s">
        <v>166</v>
      </c>
      <c r="EX945" s="25" t="s">
        <v>190</v>
      </c>
      <c r="EY945" s="25" t="s">
        <v>166</v>
      </c>
      <c r="EZ945" s="27" t="s">
        <v>166</v>
      </c>
      <c r="FA945" s="26" t="s">
        <v>166</v>
      </c>
      <c r="FB945" s="26" t="s">
        <v>166</v>
      </c>
      <c r="FC945" s="26" t="s">
        <v>166</v>
      </c>
      <c r="FD945" s="26" t="s">
        <v>166</v>
      </c>
      <c r="FE945" s="26" t="s">
        <v>166</v>
      </c>
      <c r="FF945" s="26" t="s">
        <v>166</v>
      </c>
      <c r="FG945" s="25" t="s">
        <v>166</v>
      </c>
      <c r="FH945" s="4">
        <f>HYPERLINK("https://my.pitchbook.com?c=171032-68T","View Company Online")</f>
      </c>
    </row>
    <row r="946">
      <c r="A946" s="14" t="s">
        <v>17933</v>
      </c>
      <c r="B946" s="14" t="s">
        <v>17934</v>
      </c>
      <c r="C946" s="14" t="s">
        <v>17935</v>
      </c>
      <c r="D946" s="14" t="s">
        <v>166</v>
      </c>
      <c r="E946" s="23" t="s">
        <v>17936</v>
      </c>
      <c r="F946" s="21">
        <v>2</v>
      </c>
      <c r="G946" s="14" t="s">
        <v>166</v>
      </c>
      <c r="H946" s="14" t="s">
        <v>166</v>
      </c>
      <c r="I946" s="14" t="s">
        <v>17937</v>
      </c>
      <c r="J946" s="14" t="s">
        <v>17938</v>
      </c>
      <c r="K946" s="14" t="s">
        <v>207</v>
      </c>
      <c r="L946" s="14" t="s">
        <v>208</v>
      </c>
      <c r="M946" s="14" t="s">
        <v>209</v>
      </c>
      <c r="N946" s="14" t="s">
        <v>9277</v>
      </c>
      <c r="O946" s="14" t="s">
        <v>8841</v>
      </c>
      <c r="P946" s="14" t="s">
        <v>17939</v>
      </c>
      <c r="Q946" s="14" t="s">
        <v>926</v>
      </c>
      <c r="R946" s="14" t="s">
        <v>177</v>
      </c>
      <c r="S946" s="14" t="s">
        <v>178</v>
      </c>
      <c r="T946" s="14" t="s">
        <v>179</v>
      </c>
      <c r="U946" s="14" t="s">
        <v>17940</v>
      </c>
      <c r="V946" s="14" t="s">
        <v>17941</v>
      </c>
      <c r="W946" s="21" t="s">
        <v>17942</v>
      </c>
      <c r="X946" s="14" t="s">
        <v>17943</v>
      </c>
      <c r="Y946" s="14" t="s">
        <v>17944</v>
      </c>
      <c r="Z946" s="14" t="s">
        <v>17945</v>
      </c>
      <c r="AA946" s="14" t="s">
        <v>166</v>
      </c>
      <c r="AB946" s="14" t="s">
        <v>166</v>
      </c>
      <c r="AC946" s="14" t="s">
        <v>166</v>
      </c>
      <c r="AD946" s="14" t="s">
        <v>166</v>
      </c>
      <c r="AE946" s="14" t="s">
        <v>166</v>
      </c>
      <c r="AF946" s="14" t="s">
        <v>166</v>
      </c>
      <c r="AG946" s="14" t="s">
        <v>166</v>
      </c>
      <c r="AH946" s="21">
        <v>1</v>
      </c>
      <c r="AI946" s="3">
        <f>HYPERLINK("https://my.pitchbook.com/?d=158136-85T","158136-85T")</f>
      </c>
      <c r="AJ946" s="19" t="s">
        <v>166</v>
      </c>
      <c r="AK946" s="19">
        <v>44105</v>
      </c>
      <c r="AL946" s="18">
        <v>10</v>
      </c>
      <c r="AM946" s="14" t="s">
        <v>185</v>
      </c>
      <c r="AN946" s="18" t="s">
        <v>166</v>
      </c>
      <c r="AO946" s="18" t="s">
        <v>166</v>
      </c>
      <c r="AP946" s="14" t="s">
        <v>166</v>
      </c>
      <c r="AQ946" s="21" t="s">
        <v>166</v>
      </c>
      <c r="AR946" s="21" t="s">
        <v>166</v>
      </c>
      <c r="AS946" s="17" t="s">
        <v>166</v>
      </c>
      <c r="AT946" s="18">
        <v>10</v>
      </c>
      <c r="AU946" s="21" t="s">
        <v>186</v>
      </c>
      <c r="AV946" s="21" t="s">
        <v>166</v>
      </c>
      <c r="AW946" s="18" t="s">
        <v>166</v>
      </c>
      <c r="AX946" s="21" t="s">
        <v>248</v>
      </c>
      <c r="AY946" s="14" t="s">
        <v>187</v>
      </c>
      <c r="AZ946" s="14" t="s">
        <v>248</v>
      </c>
      <c r="BA946" s="14" t="s">
        <v>166</v>
      </c>
      <c r="BB946" s="21" t="s">
        <v>166</v>
      </c>
      <c r="BC946" s="14" t="s">
        <v>179</v>
      </c>
      <c r="BD946" s="14" t="s">
        <v>17946</v>
      </c>
      <c r="BE946" s="14" t="s">
        <v>189</v>
      </c>
      <c r="BF946" s="18">
        <v>10</v>
      </c>
      <c r="BG946" s="14" t="s">
        <v>190</v>
      </c>
      <c r="BH946" s="14" t="s">
        <v>166</v>
      </c>
      <c r="BI946" s="14" t="s">
        <v>166</v>
      </c>
      <c r="BJ946" s="18" t="s">
        <v>166</v>
      </c>
      <c r="BK946" s="18" t="s">
        <v>166</v>
      </c>
      <c r="BL946" s="14" t="s">
        <v>191</v>
      </c>
      <c r="BM946" s="14" t="s">
        <v>178</v>
      </c>
      <c r="BN946" s="14" t="s">
        <v>177</v>
      </c>
      <c r="BO946" s="22" t="s">
        <v>166</v>
      </c>
      <c r="BP946" s="14" t="s">
        <v>17947</v>
      </c>
      <c r="BQ946" s="21">
        <v>2</v>
      </c>
      <c r="BR946" s="14" t="s">
        <v>166</v>
      </c>
      <c r="BS946" s="21" t="s">
        <v>166</v>
      </c>
      <c r="BT946" s="14" t="s">
        <v>166</v>
      </c>
      <c r="BU946" s="14" t="s">
        <v>166</v>
      </c>
      <c r="BV946" s="14" t="s">
        <v>166</v>
      </c>
      <c r="BW946" s="14" t="s">
        <v>166</v>
      </c>
      <c r="BX946" s="14" t="s">
        <v>166</v>
      </c>
      <c r="BY946" s="14" t="s">
        <v>166</v>
      </c>
      <c r="BZ946" s="14" t="s">
        <v>166</v>
      </c>
      <c r="CA946" s="14" t="s">
        <v>166</v>
      </c>
      <c r="CB946" s="14" t="s">
        <v>166</v>
      </c>
      <c r="CC946" s="14" t="s">
        <v>166</v>
      </c>
      <c r="CD946" s="14" t="s">
        <v>166</v>
      </c>
      <c r="CE946" s="18" t="s">
        <v>166</v>
      </c>
      <c r="CF946" s="16" t="s">
        <v>166</v>
      </c>
      <c r="CG946" s="17" t="s">
        <v>166</v>
      </c>
      <c r="CH946" s="16" t="s">
        <v>166</v>
      </c>
      <c r="CI946" s="16" t="s">
        <v>166</v>
      </c>
      <c r="CJ946" s="16" t="s">
        <v>166</v>
      </c>
      <c r="CK946" s="16" t="s">
        <v>166</v>
      </c>
      <c r="CL946" s="16" t="s">
        <v>166</v>
      </c>
      <c r="CM946" s="20" t="s">
        <v>166</v>
      </c>
      <c r="CN946" s="16" t="s">
        <v>166</v>
      </c>
      <c r="CO946" s="16" t="s">
        <v>166</v>
      </c>
      <c r="CP946" s="16" t="s">
        <v>166</v>
      </c>
      <c r="CQ946" s="16" t="s">
        <v>166</v>
      </c>
      <c r="CR946" s="16" t="s">
        <v>166</v>
      </c>
      <c r="CS946" s="16" t="s">
        <v>166</v>
      </c>
      <c r="CT946" s="16" t="s">
        <v>166</v>
      </c>
      <c r="CU946" s="16" t="s">
        <v>166</v>
      </c>
      <c r="CV946" s="16" t="s">
        <v>166</v>
      </c>
      <c r="CW946" s="16" t="s">
        <v>166</v>
      </c>
      <c r="CX946" s="16" t="s">
        <v>166</v>
      </c>
      <c r="CY946" s="16" t="s">
        <v>166</v>
      </c>
      <c r="CZ946" s="16" t="s">
        <v>166</v>
      </c>
      <c r="DA946" s="16" t="s">
        <v>166</v>
      </c>
      <c r="DB946" s="16" t="s">
        <v>166</v>
      </c>
      <c r="DC946" s="16" t="s">
        <v>166</v>
      </c>
      <c r="DD946" s="16" t="s">
        <v>166</v>
      </c>
      <c r="DE946" s="17" t="s">
        <v>166</v>
      </c>
      <c r="DF946" s="22">
        <v>15</v>
      </c>
      <c r="DG946" s="14" t="s">
        <v>1540</v>
      </c>
      <c r="DH946" s="14" t="s">
        <v>193</v>
      </c>
      <c r="DI946" s="14" t="s">
        <v>194</v>
      </c>
      <c r="DJ946" s="14" t="s">
        <v>1541</v>
      </c>
      <c r="DK946" s="14" t="s">
        <v>257</v>
      </c>
      <c r="DL946" s="21" t="s">
        <v>14325</v>
      </c>
      <c r="DM946" s="14" t="s">
        <v>198</v>
      </c>
      <c r="DN946" s="13" t="s">
        <v>17948</v>
      </c>
      <c r="DO946" s="20">
        <v>2019</v>
      </c>
      <c r="DP946" s="14" t="s">
        <v>166</v>
      </c>
      <c r="DQ946" s="14" t="s">
        <v>166</v>
      </c>
      <c r="DR946" s="18" t="s">
        <v>166</v>
      </c>
      <c r="DS946" s="16" t="s">
        <v>166</v>
      </c>
      <c r="DT946" s="19" t="s">
        <v>166</v>
      </c>
      <c r="DU946" s="14" t="s">
        <v>166</v>
      </c>
      <c r="DV946" s="18" t="s">
        <v>166</v>
      </c>
      <c r="DW946" s="18" t="s">
        <v>166</v>
      </c>
      <c r="DX946" s="16" t="s">
        <v>166</v>
      </c>
      <c r="DY946" s="16" t="s">
        <v>166</v>
      </c>
      <c r="DZ946" s="17" t="s">
        <v>166</v>
      </c>
      <c r="EA946" s="16" t="s">
        <v>166</v>
      </c>
      <c r="EB946" s="16" t="s">
        <v>166</v>
      </c>
      <c r="EC946" s="16" t="s">
        <v>166</v>
      </c>
      <c r="ED946" s="17" t="s">
        <v>166</v>
      </c>
      <c r="EE946" s="17" t="s">
        <v>166</v>
      </c>
      <c r="EF946" s="17" t="s">
        <v>166</v>
      </c>
      <c r="EG946" s="17" t="s">
        <v>166</v>
      </c>
      <c r="EH946" s="16" t="s">
        <v>166</v>
      </c>
      <c r="EI946" s="16" t="s">
        <v>166</v>
      </c>
      <c r="EJ946" s="16" t="s">
        <v>166</v>
      </c>
      <c r="EK946" s="16" t="s">
        <v>166</v>
      </c>
      <c r="EL946" s="16" t="s">
        <v>166</v>
      </c>
      <c r="EM946" s="16" t="s">
        <v>166</v>
      </c>
      <c r="EN946" s="16" t="s">
        <v>166</v>
      </c>
      <c r="EO946" s="16" t="s">
        <v>166</v>
      </c>
      <c r="EP946" s="16" t="s">
        <v>166</v>
      </c>
      <c r="EQ946" s="16" t="s">
        <v>166</v>
      </c>
      <c r="ER946" s="16" t="s">
        <v>166</v>
      </c>
      <c r="ES946" s="16" t="s">
        <v>166</v>
      </c>
      <c r="ET946" s="14" t="s">
        <v>166</v>
      </c>
      <c r="EU946" s="16" t="s">
        <v>166</v>
      </c>
      <c r="EV946" s="16" t="s">
        <v>166</v>
      </c>
      <c r="EW946" s="16" t="s">
        <v>166</v>
      </c>
      <c r="EX946" s="14" t="s">
        <v>190</v>
      </c>
      <c r="EY946" s="14" t="s">
        <v>166</v>
      </c>
      <c r="EZ946" s="16" t="s">
        <v>166</v>
      </c>
      <c r="FA946" s="15" t="s">
        <v>166</v>
      </c>
      <c r="FB946" s="15" t="s">
        <v>166</v>
      </c>
      <c r="FC946" s="15" t="s">
        <v>166</v>
      </c>
      <c r="FD946" s="15" t="s">
        <v>166</v>
      </c>
      <c r="FE946" s="15" t="s">
        <v>166</v>
      </c>
      <c r="FF946" s="15" t="s">
        <v>166</v>
      </c>
      <c r="FG946" s="14" t="s">
        <v>166</v>
      </c>
      <c r="FH946" s="3">
        <f>HYPERLINK("https://my.pitchbook.com?c=158136-85T","View Company Online")</f>
      </c>
    </row>
    <row r="947">
      <c r="A947" s="25" t="s">
        <v>17949</v>
      </c>
      <c r="B947" s="25" t="s">
        <v>17950</v>
      </c>
      <c r="C947" s="25" t="s">
        <v>17951</v>
      </c>
      <c r="D947" s="25" t="s">
        <v>166</v>
      </c>
      <c r="E947" s="34" t="s">
        <v>17952</v>
      </c>
      <c r="F947" s="32">
        <v>9</v>
      </c>
      <c r="G947" s="25" t="s">
        <v>17953</v>
      </c>
      <c r="H947" s="25" t="s">
        <v>166</v>
      </c>
      <c r="I947" s="25" t="s">
        <v>17954</v>
      </c>
      <c r="J947" s="25" t="s">
        <v>17955</v>
      </c>
      <c r="K947" s="25" t="s">
        <v>207</v>
      </c>
      <c r="L947" s="25" t="s">
        <v>208</v>
      </c>
      <c r="M947" s="25" t="s">
        <v>1940</v>
      </c>
      <c r="N947" s="25" t="s">
        <v>17956</v>
      </c>
      <c r="O947" s="25" t="s">
        <v>211</v>
      </c>
      <c r="P947" s="25" t="s">
        <v>17957</v>
      </c>
      <c r="Q947" s="25" t="s">
        <v>166</v>
      </c>
      <c r="R947" s="25" t="s">
        <v>177</v>
      </c>
      <c r="S947" s="25" t="s">
        <v>178</v>
      </c>
      <c r="T947" s="25" t="s">
        <v>179</v>
      </c>
      <c r="U947" s="25" t="s">
        <v>17958</v>
      </c>
      <c r="V947" s="25" t="s">
        <v>17959</v>
      </c>
      <c r="W947" s="32" t="s">
        <v>166</v>
      </c>
      <c r="X947" s="25" t="s">
        <v>17960</v>
      </c>
      <c r="Y947" s="25" t="s">
        <v>17961</v>
      </c>
      <c r="Z947" s="25" t="s">
        <v>17962</v>
      </c>
      <c r="AA947" s="25" t="s">
        <v>242</v>
      </c>
      <c r="AB947" s="25" t="s">
        <v>243</v>
      </c>
      <c r="AC947" s="25" t="s">
        <v>244</v>
      </c>
      <c r="AD947" s="25" t="s">
        <v>243</v>
      </c>
      <c r="AE947" s="25" t="s">
        <v>243</v>
      </c>
      <c r="AF947" s="25" t="s">
        <v>166</v>
      </c>
      <c r="AG947" s="25" t="s">
        <v>246</v>
      </c>
      <c r="AH947" s="32">
        <v>1</v>
      </c>
      <c r="AI947" s="4">
        <f>HYPERLINK("https://my.pitchbook.com/?d=156400-75T","156400-75T")</f>
      </c>
      <c r="AJ947" s="30" t="s">
        <v>166</v>
      </c>
      <c r="AK947" s="30">
        <v>44095</v>
      </c>
      <c r="AL947" s="29">
        <v>1.3</v>
      </c>
      <c r="AM947" s="25" t="s">
        <v>185</v>
      </c>
      <c r="AN947" s="29">
        <v>4</v>
      </c>
      <c r="AO947" s="29">
        <v>5.3</v>
      </c>
      <c r="AP947" s="25" t="s">
        <v>185</v>
      </c>
      <c r="AQ947" s="32" t="s">
        <v>166</v>
      </c>
      <c r="AR947" s="32" t="s">
        <v>166</v>
      </c>
      <c r="AS947" s="28">
        <v>30.75</v>
      </c>
      <c r="AT947" s="29">
        <v>1.3</v>
      </c>
      <c r="AU947" s="32" t="s">
        <v>186</v>
      </c>
      <c r="AV947" s="32" t="s">
        <v>166</v>
      </c>
      <c r="AW947" s="29">
        <v>0.86</v>
      </c>
      <c r="AX947" s="32" t="s">
        <v>166</v>
      </c>
      <c r="AY947" s="25" t="s">
        <v>217</v>
      </c>
      <c r="AZ947" s="25" t="s">
        <v>217</v>
      </c>
      <c r="BA947" s="25" t="s">
        <v>166</v>
      </c>
      <c r="BB947" s="32" t="s">
        <v>166</v>
      </c>
      <c r="BC947" s="25" t="s">
        <v>179</v>
      </c>
      <c r="BD947" s="25" t="s">
        <v>17963</v>
      </c>
      <c r="BE947" s="25" t="s">
        <v>189</v>
      </c>
      <c r="BF947" s="29">
        <v>1.3</v>
      </c>
      <c r="BG947" s="25" t="s">
        <v>190</v>
      </c>
      <c r="BH947" s="25" t="s">
        <v>166</v>
      </c>
      <c r="BI947" s="25" t="s">
        <v>166</v>
      </c>
      <c r="BJ947" s="29" t="s">
        <v>166</v>
      </c>
      <c r="BK947" s="29" t="s">
        <v>166</v>
      </c>
      <c r="BL947" s="25" t="s">
        <v>191</v>
      </c>
      <c r="BM947" s="25" t="s">
        <v>358</v>
      </c>
      <c r="BN947" s="25" t="s">
        <v>177</v>
      </c>
      <c r="BO947" s="33" t="s">
        <v>166</v>
      </c>
      <c r="BP947" s="25" t="s">
        <v>17964</v>
      </c>
      <c r="BQ947" s="32">
        <v>9</v>
      </c>
      <c r="BR947" s="25" t="s">
        <v>166</v>
      </c>
      <c r="BS947" s="32" t="s">
        <v>166</v>
      </c>
      <c r="BT947" s="25" t="s">
        <v>17965</v>
      </c>
      <c r="BU947" s="25" t="s">
        <v>166</v>
      </c>
      <c r="BV947" s="25" t="s">
        <v>17966</v>
      </c>
      <c r="BW947" s="25" t="s">
        <v>166</v>
      </c>
      <c r="BX947" s="25" t="s">
        <v>166</v>
      </c>
      <c r="BY947" s="25" t="s">
        <v>166</v>
      </c>
      <c r="BZ947" s="25" t="s">
        <v>17967</v>
      </c>
      <c r="CA947" s="25" t="s">
        <v>872</v>
      </c>
      <c r="CB947" s="25" t="s">
        <v>166</v>
      </c>
      <c r="CC947" s="25" t="s">
        <v>17968</v>
      </c>
      <c r="CD947" s="25" t="s">
        <v>166</v>
      </c>
      <c r="CE947" s="29" t="s">
        <v>166</v>
      </c>
      <c r="CF947" s="27" t="s">
        <v>166</v>
      </c>
      <c r="CG947" s="28" t="s">
        <v>166</v>
      </c>
      <c r="CH947" s="27" t="s">
        <v>166</v>
      </c>
      <c r="CI947" s="27" t="s">
        <v>166</v>
      </c>
      <c r="CJ947" s="27" t="s">
        <v>166</v>
      </c>
      <c r="CK947" s="27" t="s">
        <v>166</v>
      </c>
      <c r="CL947" s="27" t="s">
        <v>166</v>
      </c>
      <c r="CM947" s="31" t="s">
        <v>166</v>
      </c>
      <c r="CN947" s="27" t="s">
        <v>166</v>
      </c>
      <c r="CO947" s="27" t="s">
        <v>166</v>
      </c>
      <c r="CP947" s="27" t="s">
        <v>166</v>
      </c>
      <c r="CQ947" s="27" t="s">
        <v>166</v>
      </c>
      <c r="CR947" s="27" t="s">
        <v>166</v>
      </c>
      <c r="CS947" s="27" t="s">
        <v>166</v>
      </c>
      <c r="CT947" s="27" t="s">
        <v>166</v>
      </c>
      <c r="CU947" s="27" t="s">
        <v>166</v>
      </c>
      <c r="CV947" s="27" t="s">
        <v>166</v>
      </c>
      <c r="CW947" s="27" t="s">
        <v>166</v>
      </c>
      <c r="CX947" s="27" t="s">
        <v>166</v>
      </c>
      <c r="CY947" s="27" t="s">
        <v>166</v>
      </c>
      <c r="CZ947" s="27" t="s">
        <v>166</v>
      </c>
      <c r="DA947" s="27" t="s">
        <v>166</v>
      </c>
      <c r="DB947" s="27" t="s">
        <v>166</v>
      </c>
      <c r="DC947" s="27" t="s">
        <v>166</v>
      </c>
      <c r="DD947" s="27" t="s">
        <v>166</v>
      </c>
      <c r="DE947" s="28" t="s">
        <v>166</v>
      </c>
      <c r="DF947" s="33">
        <v>11</v>
      </c>
      <c r="DG947" s="25" t="s">
        <v>1540</v>
      </c>
      <c r="DH947" s="25" t="s">
        <v>193</v>
      </c>
      <c r="DI947" s="25" t="s">
        <v>194</v>
      </c>
      <c r="DJ947" s="25" t="s">
        <v>1541</v>
      </c>
      <c r="DK947" s="25" t="s">
        <v>257</v>
      </c>
      <c r="DL947" s="32" t="s">
        <v>17969</v>
      </c>
      <c r="DM947" s="25" t="s">
        <v>198</v>
      </c>
      <c r="DN947" s="24" t="s">
        <v>17970</v>
      </c>
      <c r="DO947" s="31">
        <v>2020</v>
      </c>
      <c r="DP947" s="25" t="s">
        <v>166</v>
      </c>
      <c r="DQ947" s="25" t="s">
        <v>166</v>
      </c>
      <c r="DR947" s="29" t="s">
        <v>166</v>
      </c>
      <c r="DS947" s="27" t="s">
        <v>166</v>
      </c>
      <c r="DT947" s="30" t="s">
        <v>166</v>
      </c>
      <c r="DU947" s="25" t="s">
        <v>166</v>
      </c>
      <c r="DV947" s="29" t="s">
        <v>166</v>
      </c>
      <c r="DW947" s="29" t="s">
        <v>166</v>
      </c>
      <c r="DX947" s="27" t="s">
        <v>166</v>
      </c>
      <c r="DY947" s="27" t="s">
        <v>166</v>
      </c>
      <c r="DZ947" s="28" t="s">
        <v>166</v>
      </c>
      <c r="EA947" s="27" t="s">
        <v>166</v>
      </c>
      <c r="EB947" s="27" t="s">
        <v>166</v>
      </c>
      <c r="EC947" s="27" t="s">
        <v>166</v>
      </c>
      <c r="ED947" s="28" t="s">
        <v>166</v>
      </c>
      <c r="EE947" s="28" t="s">
        <v>166</v>
      </c>
      <c r="EF947" s="28" t="s">
        <v>166</v>
      </c>
      <c r="EG947" s="28" t="s">
        <v>166</v>
      </c>
      <c r="EH947" s="27" t="s">
        <v>166</v>
      </c>
      <c r="EI947" s="27" t="s">
        <v>166</v>
      </c>
      <c r="EJ947" s="27" t="s">
        <v>166</v>
      </c>
      <c r="EK947" s="27" t="s">
        <v>166</v>
      </c>
      <c r="EL947" s="27" t="s">
        <v>166</v>
      </c>
      <c r="EM947" s="27" t="s">
        <v>166</v>
      </c>
      <c r="EN947" s="27" t="s">
        <v>166</v>
      </c>
      <c r="EO947" s="27" t="s">
        <v>166</v>
      </c>
      <c r="EP947" s="27" t="s">
        <v>166</v>
      </c>
      <c r="EQ947" s="27" t="s">
        <v>166</v>
      </c>
      <c r="ER947" s="27" t="s">
        <v>166</v>
      </c>
      <c r="ES947" s="27" t="s">
        <v>166</v>
      </c>
      <c r="ET947" s="25" t="s">
        <v>166</v>
      </c>
      <c r="EU947" s="27" t="s">
        <v>166</v>
      </c>
      <c r="EV947" s="27" t="s">
        <v>166</v>
      </c>
      <c r="EW947" s="27" t="s">
        <v>166</v>
      </c>
      <c r="EX947" s="25" t="s">
        <v>190</v>
      </c>
      <c r="EY947" s="25" t="s">
        <v>166</v>
      </c>
      <c r="EZ947" s="27" t="s">
        <v>166</v>
      </c>
      <c r="FA947" s="26" t="s">
        <v>166</v>
      </c>
      <c r="FB947" s="26" t="s">
        <v>166</v>
      </c>
      <c r="FC947" s="26" t="s">
        <v>166</v>
      </c>
      <c r="FD947" s="26" t="s">
        <v>166</v>
      </c>
      <c r="FE947" s="26" t="s">
        <v>166</v>
      </c>
      <c r="FF947" s="26" t="s">
        <v>166</v>
      </c>
      <c r="FG947" s="25" t="s">
        <v>166</v>
      </c>
      <c r="FH947" s="4">
        <f>HYPERLINK("https://my.pitchbook.com?c=156400-75T","View Company Online")</f>
      </c>
    </row>
    <row r="948">
      <c r="A948" s="14" t="s">
        <v>17971</v>
      </c>
      <c r="B948" s="14" t="s">
        <v>17972</v>
      </c>
      <c r="C948" s="14" t="s">
        <v>17973</v>
      </c>
      <c r="D948" s="14" t="s">
        <v>166</v>
      </c>
      <c r="E948" s="23" t="s">
        <v>17974</v>
      </c>
      <c r="F948" s="21">
        <v>7</v>
      </c>
      <c r="G948" s="14" t="s">
        <v>17975</v>
      </c>
      <c r="H948" s="14" t="s">
        <v>166</v>
      </c>
      <c r="I948" s="14" t="s">
        <v>17976</v>
      </c>
      <c r="J948" s="14" t="s">
        <v>17977</v>
      </c>
      <c r="K948" s="14" t="s">
        <v>207</v>
      </c>
      <c r="L948" s="14" t="s">
        <v>208</v>
      </c>
      <c r="M948" s="14" t="s">
        <v>209</v>
      </c>
      <c r="N948" s="14" t="s">
        <v>860</v>
      </c>
      <c r="O948" s="14" t="s">
        <v>17978</v>
      </c>
      <c r="P948" s="14" t="s">
        <v>17979</v>
      </c>
      <c r="Q948" s="14" t="s">
        <v>166</v>
      </c>
      <c r="R948" s="14" t="s">
        <v>177</v>
      </c>
      <c r="S948" s="14" t="s">
        <v>178</v>
      </c>
      <c r="T948" s="14" t="s">
        <v>179</v>
      </c>
      <c r="U948" s="14" t="s">
        <v>17980</v>
      </c>
      <c r="V948" s="14" t="s">
        <v>17981</v>
      </c>
      <c r="W948" s="21" t="s">
        <v>17982</v>
      </c>
      <c r="X948" s="14" t="s">
        <v>17983</v>
      </c>
      <c r="Y948" s="14" t="s">
        <v>17984</v>
      </c>
      <c r="Z948" s="14" t="s">
        <v>166</v>
      </c>
      <c r="AA948" s="14" t="s">
        <v>166</v>
      </c>
      <c r="AB948" s="14" t="s">
        <v>166</v>
      </c>
      <c r="AC948" s="14" t="s">
        <v>166</v>
      </c>
      <c r="AD948" s="14" t="s">
        <v>166</v>
      </c>
      <c r="AE948" s="14" t="s">
        <v>166</v>
      </c>
      <c r="AF948" s="14" t="s">
        <v>166</v>
      </c>
      <c r="AG948" s="14" t="s">
        <v>166</v>
      </c>
      <c r="AH948" s="21">
        <v>2</v>
      </c>
      <c r="AI948" s="3">
        <f>HYPERLINK("https://my.pitchbook.com/?d=221087-17T","221087-17T")</f>
      </c>
      <c r="AJ948" s="19">
        <v>45028</v>
      </c>
      <c r="AK948" s="19">
        <v>45047</v>
      </c>
      <c r="AL948" s="18">
        <v>1.44</v>
      </c>
      <c r="AM948" s="14" t="s">
        <v>185</v>
      </c>
      <c r="AN948" s="18">
        <v>5.56</v>
      </c>
      <c r="AO948" s="18">
        <v>7</v>
      </c>
      <c r="AP948" s="14" t="s">
        <v>185</v>
      </c>
      <c r="AQ948" s="21" t="s">
        <v>166</v>
      </c>
      <c r="AR948" s="21" t="s">
        <v>166</v>
      </c>
      <c r="AS948" s="17">
        <v>20.85</v>
      </c>
      <c r="AT948" s="18">
        <v>1.54</v>
      </c>
      <c r="AU948" s="21" t="s">
        <v>186</v>
      </c>
      <c r="AV948" s="21" t="s">
        <v>166</v>
      </c>
      <c r="AW948" s="18" t="s">
        <v>166</v>
      </c>
      <c r="AX948" s="21" t="s">
        <v>166</v>
      </c>
      <c r="AY948" s="14" t="s">
        <v>217</v>
      </c>
      <c r="AZ948" s="14" t="s">
        <v>217</v>
      </c>
      <c r="BA948" s="14" t="s">
        <v>166</v>
      </c>
      <c r="BB948" s="21" t="s">
        <v>166</v>
      </c>
      <c r="BC948" s="14" t="s">
        <v>179</v>
      </c>
      <c r="BD948" s="14" t="s">
        <v>17985</v>
      </c>
      <c r="BE948" s="14" t="s">
        <v>189</v>
      </c>
      <c r="BF948" s="18">
        <v>1.44</v>
      </c>
      <c r="BG948" s="14" t="s">
        <v>190</v>
      </c>
      <c r="BH948" s="14" t="s">
        <v>166</v>
      </c>
      <c r="BI948" s="14" t="s">
        <v>166</v>
      </c>
      <c r="BJ948" s="18" t="s">
        <v>166</v>
      </c>
      <c r="BK948" s="18" t="s">
        <v>166</v>
      </c>
      <c r="BL948" s="14" t="s">
        <v>191</v>
      </c>
      <c r="BM948" s="14" t="s">
        <v>178</v>
      </c>
      <c r="BN948" s="14" t="s">
        <v>177</v>
      </c>
      <c r="BO948" s="22">
        <v>8</v>
      </c>
      <c r="BP948" s="14" t="s">
        <v>17986</v>
      </c>
      <c r="BQ948" s="21">
        <v>7</v>
      </c>
      <c r="BR948" s="14" t="s">
        <v>166</v>
      </c>
      <c r="BS948" s="21" t="s">
        <v>166</v>
      </c>
      <c r="BT948" s="14" t="s">
        <v>17987</v>
      </c>
      <c r="BU948" s="14" t="s">
        <v>166</v>
      </c>
      <c r="BV948" s="14" t="s">
        <v>17988</v>
      </c>
      <c r="BW948" s="14" t="s">
        <v>166</v>
      </c>
      <c r="BX948" s="14" t="s">
        <v>166</v>
      </c>
      <c r="BY948" s="14" t="s">
        <v>166</v>
      </c>
      <c r="BZ948" s="14" t="s">
        <v>166</v>
      </c>
      <c r="CA948" s="14" t="s">
        <v>166</v>
      </c>
      <c r="CB948" s="14" t="s">
        <v>166</v>
      </c>
      <c r="CC948" s="14" t="s">
        <v>166</v>
      </c>
      <c r="CD948" s="14" t="s">
        <v>166</v>
      </c>
      <c r="CE948" s="18" t="s">
        <v>166</v>
      </c>
      <c r="CF948" s="16" t="s">
        <v>166</v>
      </c>
      <c r="CG948" s="17" t="s">
        <v>166</v>
      </c>
      <c r="CH948" s="16" t="s">
        <v>166</v>
      </c>
      <c r="CI948" s="16" t="s">
        <v>166</v>
      </c>
      <c r="CJ948" s="16" t="s">
        <v>166</v>
      </c>
      <c r="CK948" s="16" t="s">
        <v>166</v>
      </c>
      <c r="CL948" s="16" t="s">
        <v>166</v>
      </c>
      <c r="CM948" s="20" t="s">
        <v>166</v>
      </c>
      <c r="CN948" s="16" t="s">
        <v>166</v>
      </c>
      <c r="CO948" s="16" t="s">
        <v>166</v>
      </c>
      <c r="CP948" s="16" t="s">
        <v>166</v>
      </c>
      <c r="CQ948" s="16" t="s">
        <v>166</v>
      </c>
      <c r="CR948" s="16" t="s">
        <v>166</v>
      </c>
      <c r="CS948" s="16" t="s">
        <v>166</v>
      </c>
      <c r="CT948" s="16" t="s">
        <v>166</v>
      </c>
      <c r="CU948" s="16" t="s">
        <v>166</v>
      </c>
      <c r="CV948" s="16" t="s">
        <v>166</v>
      </c>
      <c r="CW948" s="16" t="s">
        <v>166</v>
      </c>
      <c r="CX948" s="16" t="s">
        <v>166</v>
      </c>
      <c r="CY948" s="16" t="s">
        <v>166</v>
      </c>
      <c r="CZ948" s="16" t="s">
        <v>166</v>
      </c>
      <c r="DA948" s="16" t="s">
        <v>166</v>
      </c>
      <c r="DB948" s="16" t="s">
        <v>166</v>
      </c>
      <c r="DC948" s="16" t="s">
        <v>166</v>
      </c>
      <c r="DD948" s="16" t="s">
        <v>166</v>
      </c>
      <c r="DE948" s="17" t="s">
        <v>166</v>
      </c>
      <c r="DF948" s="22">
        <v>5</v>
      </c>
      <c r="DG948" s="14" t="s">
        <v>309</v>
      </c>
      <c r="DH948" s="14" t="s">
        <v>193</v>
      </c>
      <c r="DI948" s="14" t="s">
        <v>194</v>
      </c>
      <c r="DJ948" s="14" t="s">
        <v>310</v>
      </c>
      <c r="DK948" s="14" t="s">
        <v>310</v>
      </c>
      <c r="DL948" s="21" t="s">
        <v>3037</v>
      </c>
      <c r="DM948" s="14" t="s">
        <v>198</v>
      </c>
      <c r="DN948" s="13" t="s">
        <v>17989</v>
      </c>
      <c r="DO948" s="20">
        <v>2022</v>
      </c>
      <c r="DP948" s="14" t="s">
        <v>166</v>
      </c>
      <c r="DQ948" s="14" t="s">
        <v>166</v>
      </c>
      <c r="DR948" s="18" t="s">
        <v>166</v>
      </c>
      <c r="DS948" s="16" t="s">
        <v>166</v>
      </c>
      <c r="DT948" s="19" t="s">
        <v>166</v>
      </c>
      <c r="DU948" s="14" t="s">
        <v>166</v>
      </c>
      <c r="DV948" s="18" t="s">
        <v>166</v>
      </c>
      <c r="DW948" s="18" t="s">
        <v>166</v>
      </c>
      <c r="DX948" s="16" t="s">
        <v>166</v>
      </c>
      <c r="DY948" s="16" t="s">
        <v>166</v>
      </c>
      <c r="DZ948" s="17" t="s">
        <v>166</v>
      </c>
      <c r="EA948" s="16" t="s">
        <v>166</v>
      </c>
      <c r="EB948" s="16" t="s">
        <v>166</v>
      </c>
      <c r="EC948" s="16" t="s">
        <v>166</v>
      </c>
      <c r="ED948" s="17" t="s">
        <v>166</v>
      </c>
      <c r="EE948" s="17" t="s">
        <v>166</v>
      </c>
      <c r="EF948" s="17" t="s">
        <v>166</v>
      </c>
      <c r="EG948" s="17" t="s">
        <v>166</v>
      </c>
      <c r="EH948" s="16" t="s">
        <v>166</v>
      </c>
      <c r="EI948" s="16" t="s">
        <v>166</v>
      </c>
      <c r="EJ948" s="16" t="s">
        <v>166</v>
      </c>
      <c r="EK948" s="16" t="s">
        <v>166</v>
      </c>
      <c r="EL948" s="16" t="s">
        <v>166</v>
      </c>
      <c r="EM948" s="16" t="s">
        <v>166</v>
      </c>
      <c r="EN948" s="16" t="s">
        <v>166</v>
      </c>
      <c r="EO948" s="16" t="s">
        <v>166</v>
      </c>
      <c r="EP948" s="16" t="s">
        <v>166</v>
      </c>
      <c r="EQ948" s="16" t="s">
        <v>166</v>
      </c>
      <c r="ER948" s="16" t="s">
        <v>166</v>
      </c>
      <c r="ES948" s="16" t="s">
        <v>166</v>
      </c>
      <c r="ET948" s="14" t="s">
        <v>166</v>
      </c>
      <c r="EU948" s="16" t="s">
        <v>166</v>
      </c>
      <c r="EV948" s="16" t="s">
        <v>166</v>
      </c>
      <c r="EW948" s="16" t="s">
        <v>166</v>
      </c>
      <c r="EX948" s="14" t="s">
        <v>190</v>
      </c>
      <c r="EY948" s="14" t="s">
        <v>166</v>
      </c>
      <c r="EZ948" s="16" t="s">
        <v>166</v>
      </c>
      <c r="FA948" s="15" t="s">
        <v>166</v>
      </c>
      <c r="FB948" s="15" t="s">
        <v>166</v>
      </c>
      <c r="FC948" s="15" t="s">
        <v>166</v>
      </c>
      <c r="FD948" s="15" t="s">
        <v>166</v>
      </c>
      <c r="FE948" s="15" t="s">
        <v>166</v>
      </c>
      <c r="FF948" s="15" t="s">
        <v>166</v>
      </c>
      <c r="FG948" s="14" t="s">
        <v>166</v>
      </c>
      <c r="FH948" s="3">
        <f>HYPERLINK("https://my.pitchbook.com?c=221087-17T","View Company Online")</f>
      </c>
    </row>
    <row r="949">
      <c r="A949" s="25" t="s">
        <v>17990</v>
      </c>
      <c r="B949" s="25" t="s">
        <v>17991</v>
      </c>
      <c r="C949" s="25" t="s">
        <v>17992</v>
      </c>
      <c r="D949" s="25" t="s">
        <v>166</v>
      </c>
      <c r="E949" s="34" t="s">
        <v>17993</v>
      </c>
      <c r="F949" s="32">
        <v>7</v>
      </c>
      <c r="G949" s="25" t="s">
        <v>17994</v>
      </c>
      <c r="H949" s="25" t="s">
        <v>166</v>
      </c>
      <c r="I949" s="25" t="s">
        <v>17995</v>
      </c>
      <c r="J949" s="25" t="s">
        <v>17996</v>
      </c>
      <c r="K949" s="25" t="s">
        <v>207</v>
      </c>
      <c r="L949" s="25" t="s">
        <v>208</v>
      </c>
      <c r="M949" s="25" t="s">
        <v>209</v>
      </c>
      <c r="N949" s="25" t="s">
        <v>17165</v>
      </c>
      <c r="O949" s="25" t="s">
        <v>211</v>
      </c>
      <c r="P949" s="25" t="s">
        <v>17997</v>
      </c>
      <c r="Q949" s="25" t="s">
        <v>166</v>
      </c>
      <c r="R949" s="25" t="s">
        <v>177</v>
      </c>
      <c r="S949" s="25" t="s">
        <v>178</v>
      </c>
      <c r="T949" s="25" t="s">
        <v>179</v>
      </c>
      <c r="U949" s="25" t="s">
        <v>17998</v>
      </c>
      <c r="V949" s="25" t="s">
        <v>17999</v>
      </c>
      <c r="W949" s="32" t="s">
        <v>18000</v>
      </c>
      <c r="X949" s="25" t="s">
        <v>18001</v>
      </c>
      <c r="Y949" s="25" t="s">
        <v>18002</v>
      </c>
      <c r="Z949" s="25" t="s">
        <v>166</v>
      </c>
      <c r="AA949" s="25" t="s">
        <v>242</v>
      </c>
      <c r="AB949" s="25" t="s">
        <v>243</v>
      </c>
      <c r="AC949" s="25" t="s">
        <v>244</v>
      </c>
      <c r="AD949" s="25" t="s">
        <v>243</v>
      </c>
      <c r="AE949" s="25" t="s">
        <v>243</v>
      </c>
      <c r="AF949" s="25" t="s">
        <v>166</v>
      </c>
      <c r="AG949" s="25" t="s">
        <v>807</v>
      </c>
      <c r="AH949" s="32">
        <v>3</v>
      </c>
      <c r="AI949" s="4">
        <f>HYPERLINK("https://my.pitchbook.com/?d=195216-31T","195216-31T")</f>
      </c>
      <c r="AJ949" s="30">
        <v>44670</v>
      </c>
      <c r="AK949" s="30">
        <v>44713</v>
      </c>
      <c r="AL949" s="29">
        <v>2.6</v>
      </c>
      <c r="AM949" s="25" t="s">
        <v>185</v>
      </c>
      <c r="AN949" s="29">
        <v>5.9</v>
      </c>
      <c r="AO949" s="29">
        <v>8.5</v>
      </c>
      <c r="AP949" s="25" t="s">
        <v>185</v>
      </c>
      <c r="AQ949" s="32" t="s">
        <v>166</v>
      </c>
      <c r="AR949" s="32" t="s">
        <v>166</v>
      </c>
      <c r="AS949" s="28">
        <v>31.89</v>
      </c>
      <c r="AT949" s="29">
        <v>2.8</v>
      </c>
      <c r="AU949" s="32" t="s">
        <v>186</v>
      </c>
      <c r="AV949" s="32" t="s">
        <v>166</v>
      </c>
      <c r="AW949" s="29">
        <v>3.65</v>
      </c>
      <c r="AX949" s="32" t="s">
        <v>166</v>
      </c>
      <c r="AY949" s="25" t="s">
        <v>217</v>
      </c>
      <c r="AZ949" s="25" t="s">
        <v>217</v>
      </c>
      <c r="BA949" s="25" t="s">
        <v>166</v>
      </c>
      <c r="BB949" s="32" t="s">
        <v>166</v>
      </c>
      <c r="BC949" s="25" t="s">
        <v>179</v>
      </c>
      <c r="BD949" s="25" t="s">
        <v>18003</v>
      </c>
      <c r="BE949" s="25" t="s">
        <v>189</v>
      </c>
      <c r="BF949" s="29">
        <v>2.6</v>
      </c>
      <c r="BG949" s="25" t="s">
        <v>190</v>
      </c>
      <c r="BH949" s="25" t="s">
        <v>166</v>
      </c>
      <c r="BI949" s="25" t="s">
        <v>166</v>
      </c>
      <c r="BJ949" s="29" t="s">
        <v>166</v>
      </c>
      <c r="BK949" s="29" t="s">
        <v>166</v>
      </c>
      <c r="BL949" s="25" t="s">
        <v>191</v>
      </c>
      <c r="BM949" s="25" t="s">
        <v>178</v>
      </c>
      <c r="BN949" s="25" t="s">
        <v>177</v>
      </c>
      <c r="BO949" s="33" t="s">
        <v>166</v>
      </c>
      <c r="BP949" s="25" t="s">
        <v>18004</v>
      </c>
      <c r="BQ949" s="32">
        <v>7</v>
      </c>
      <c r="BR949" s="25" t="s">
        <v>166</v>
      </c>
      <c r="BS949" s="32" t="s">
        <v>166</v>
      </c>
      <c r="BT949" s="25" t="s">
        <v>166</v>
      </c>
      <c r="BU949" s="25" t="s">
        <v>166</v>
      </c>
      <c r="BV949" s="25" t="s">
        <v>18005</v>
      </c>
      <c r="BW949" s="25" t="s">
        <v>166</v>
      </c>
      <c r="BX949" s="25" t="s">
        <v>166</v>
      </c>
      <c r="BY949" s="25" t="s">
        <v>166</v>
      </c>
      <c r="BZ949" s="25" t="s">
        <v>166</v>
      </c>
      <c r="CA949" s="25" t="s">
        <v>166</v>
      </c>
      <c r="CB949" s="25" t="s">
        <v>166</v>
      </c>
      <c r="CC949" s="25" t="s">
        <v>166</v>
      </c>
      <c r="CD949" s="25" t="s">
        <v>166</v>
      </c>
      <c r="CE949" s="29" t="s">
        <v>166</v>
      </c>
      <c r="CF949" s="27">
        <v>0.05</v>
      </c>
      <c r="CG949" s="28" t="s">
        <v>166</v>
      </c>
      <c r="CH949" s="27" t="s">
        <v>166</v>
      </c>
      <c r="CI949" s="27" t="s">
        <v>166</v>
      </c>
      <c r="CJ949" s="27" t="s">
        <v>166</v>
      </c>
      <c r="CK949" s="27" t="s">
        <v>166</v>
      </c>
      <c r="CL949" s="27" t="s">
        <v>166</v>
      </c>
      <c r="CM949" s="31">
        <v>2021</v>
      </c>
      <c r="CN949" s="27" t="s">
        <v>166</v>
      </c>
      <c r="CO949" s="27" t="s">
        <v>166</v>
      </c>
      <c r="CP949" s="27" t="s">
        <v>166</v>
      </c>
      <c r="CQ949" s="27">
        <v>170</v>
      </c>
      <c r="CR949" s="27" t="s">
        <v>166</v>
      </c>
      <c r="CS949" s="27" t="s">
        <v>166</v>
      </c>
      <c r="CT949" s="27" t="s">
        <v>166</v>
      </c>
      <c r="CU949" s="27" t="s">
        <v>166</v>
      </c>
      <c r="CV949" s="27">
        <v>51.96</v>
      </c>
      <c r="CW949" s="27" t="s">
        <v>166</v>
      </c>
      <c r="CX949" s="27" t="s">
        <v>166</v>
      </c>
      <c r="CY949" s="27" t="s">
        <v>166</v>
      </c>
      <c r="CZ949" s="27" t="s">
        <v>166</v>
      </c>
      <c r="DA949" s="27" t="s">
        <v>166</v>
      </c>
      <c r="DB949" s="27" t="s">
        <v>166</v>
      </c>
      <c r="DC949" s="27" t="s">
        <v>166</v>
      </c>
      <c r="DD949" s="27" t="s">
        <v>166</v>
      </c>
      <c r="DE949" s="28" t="s">
        <v>166</v>
      </c>
      <c r="DF949" s="33">
        <v>21</v>
      </c>
      <c r="DG949" s="25" t="s">
        <v>18006</v>
      </c>
      <c r="DH949" s="25" t="s">
        <v>193</v>
      </c>
      <c r="DI949" s="25" t="s">
        <v>194</v>
      </c>
      <c r="DJ949" s="25" t="s">
        <v>18007</v>
      </c>
      <c r="DK949" s="25" t="s">
        <v>5508</v>
      </c>
      <c r="DL949" s="32" t="s">
        <v>18008</v>
      </c>
      <c r="DM949" s="25" t="s">
        <v>198</v>
      </c>
      <c r="DN949" s="24" t="s">
        <v>18009</v>
      </c>
      <c r="DO949" s="31">
        <v>2021</v>
      </c>
      <c r="DP949" s="25" t="s">
        <v>166</v>
      </c>
      <c r="DQ949" s="25" t="s">
        <v>166</v>
      </c>
      <c r="DR949" s="29" t="s">
        <v>166</v>
      </c>
      <c r="DS949" s="27" t="s">
        <v>166</v>
      </c>
      <c r="DT949" s="30" t="s">
        <v>166</v>
      </c>
      <c r="DU949" s="25" t="s">
        <v>166</v>
      </c>
      <c r="DV949" s="29" t="s">
        <v>166</v>
      </c>
      <c r="DW949" s="29" t="s">
        <v>166</v>
      </c>
      <c r="DX949" s="27" t="s">
        <v>166</v>
      </c>
      <c r="DY949" s="27" t="s">
        <v>166</v>
      </c>
      <c r="DZ949" s="28" t="s">
        <v>166</v>
      </c>
      <c r="EA949" s="27" t="s">
        <v>166</v>
      </c>
      <c r="EB949" s="27" t="s">
        <v>166</v>
      </c>
      <c r="EC949" s="27" t="s">
        <v>166</v>
      </c>
      <c r="ED949" s="28" t="s">
        <v>166</v>
      </c>
      <c r="EE949" s="28" t="s">
        <v>166</v>
      </c>
      <c r="EF949" s="28" t="s">
        <v>166</v>
      </c>
      <c r="EG949" s="28" t="s">
        <v>166</v>
      </c>
      <c r="EH949" s="27" t="s">
        <v>166</v>
      </c>
      <c r="EI949" s="27" t="s">
        <v>166</v>
      </c>
      <c r="EJ949" s="27" t="s">
        <v>166</v>
      </c>
      <c r="EK949" s="27" t="s">
        <v>166</v>
      </c>
      <c r="EL949" s="27" t="s">
        <v>166</v>
      </c>
      <c r="EM949" s="27" t="s">
        <v>166</v>
      </c>
      <c r="EN949" s="27" t="s">
        <v>166</v>
      </c>
      <c r="EO949" s="27" t="s">
        <v>166</v>
      </c>
      <c r="EP949" s="27" t="s">
        <v>166</v>
      </c>
      <c r="EQ949" s="27" t="s">
        <v>166</v>
      </c>
      <c r="ER949" s="27" t="s">
        <v>166</v>
      </c>
      <c r="ES949" s="27" t="s">
        <v>166</v>
      </c>
      <c r="ET949" s="25" t="s">
        <v>166</v>
      </c>
      <c r="EU949" s="27" t="s">
        <v>166</v>
      </c>
      <c r="EV949" s="27" t="s">
        <v>166</v>
      </c>
      <c r="EW949" s="27" t="s">
        <v>166</v>
      </c>
      <c r="EX949" s="25" t="s">
        <v>190</v>
      </c>
      <c r="EY949" s="25" t="s">
        <v>166</v>
      </c>
      <c r="EZ949" s="27" t="s">
        <v>166</v>
      </c>
      <c r="FA949" s="26" t="s">
        <v>166</v>
      </c>
      <c r="FB949" s="26" t="s">
        <v>166</v>
      </c>
      <c r="FC949" s="26" t="s">
        <v>166</v>
      </c>
      <c r="FD949" s="26" t="s">
        <v>166</v>
      </c>
      <c r="FE949" s="26" t="s">
        <v>166</v>
      </c>
      <c r="FF949" s="26" t="s">
        <v>166</v>
      </c>
      <c r="FG949" s="25" t="s">
        <v>166</v>
      </c>
      <c r="FH949" s="4">
        <f>HYPERLINK("https://my.pitchbook.com?c=195216-31T","View Company Online")</f>
      </c>
    </row>
    <row r="950">
      <c r="A950" s="14" t="s">
        <v>18010</v>
      </c>
      <c r="B950" s="14" t="s">
        <v>18011</v>
      </c>
      <c r="C950" s="14" t="s">
        <v>18012</v>
      </c>
      <c r="D950" s="14" t="s">
        <v>166</v>
      </c>
      <c r="E950" s="23" t="s">
        <v>18013</v>
      </c>
      <c r="F950" s="21">
        <v>6</v>
      </c>
      <c r="G950" s="14" t="s">
        <v>18014</v>
      </c>
      <c r="H950" s="14" t="s">
        <v>166</v>
      </c>
      <c r="I950" s="14" t="s">
        <v>18015</v>
      </c>
      <c r="J950" s="14" t="s">
        <v>18016</v>
      </c>
      <c r="K950" s="14" t="s">
        <v>1500</v>
      </c>
      <c r="L950" s="14" t="s">
        <v>2334</v>
      </c>
      <c r="M950" s="14" t="s">
        <v>2335</v>
      </c>
      <c r="N950" s="14" t="s">
        <v>10673</v>
      </c>
      <c r="O950" s="14" t="s">
        <v>5760</v>
      </c>
      <c r="P950" s="14" t="s">
        <v>18017</v>
      </c>
      <c r="Q950" s="14" t="s">
        <v>166</v>
      </c>
      <c r="R950" s="14" t="s">
        <v>177</v>
      </c>
      <c r="S950" s="14" t="s">
        <v>178</v>
      </c>
      <c r="T950" s="14" t="s">
        <v>179</v>
      </c>
      <c r="U950" s="14" t="s">
        <v>18018</v>
      </c>
      <c r="V950" s="14" t="s">
        <v>18019</v>
      </c>
      <c r="W950" s="21" t="s">
        <v>18020</v>
      </c>
      <c r="X950" s="14" t="s">
        <v>18021</v>
      </c>
      <c r="Y950" s="14" t="s">
        <v>18022</v>
      </c>
      <c r="Z950" s="14" t="s">
        <v>725</v>
      </c>
      <c r="AA950" s="14" t="s">
        <v>242</v>
      </c>
      <c r="AB950" s="14" t="s">
        <v>243</v>
      </c>
      <c r="AC950" s="14" t="s">
        <v>244</v>
      </c>
      <c r="AD950" s="14" t="s">
        <v>243</v>
      </c>
      <c r="AE950" s="14" t="s">
        <v>243</v>
      </c>
      <c r="AF950" s="14" t="s">
        <v>166</v>
      </c>
      <c r="AG950" s="14" t="s">
        <v>246</v>
      </c>
      <c r="AH950" s="21">
        <v>1</v>
      </c>
      <c r="AI950" s="3">
        <f>HYPERLINK("https://my.pitchbook.com/?d=183912-22T","183912-22T")</f>
      </c>
      <c r="AJ950" s="19" t="s">
        <v>166</v>
      </c>
      <c r="AK950" s="19">
        <v>44409</v>
      </c>
      <c r="AL950" s="18">
        <v>2</v>
      </c>
      <c r="AM950" s="14" t="s">
        <v>185</v>
      </c>
      <c r="AN950" s="18">
        <v>5.5</v>
      </c>
      <c r="AO950" s="18">
        <v>7.5</v>
      </c>
      <c r="AP950" s="14" t="s">
        <v>185</v>
      </c>
      <c r="AQ950" s="21" t="s">
        <v>166</v>
      </c>
      <c r="AR950" s="21" t="s">
        <v>166</v>
      </c>
      <c r="AS950" s="17">
        <v>26.67</v>
      </c>
      <c r="AT950" s="18">
        <v>2</v>
      </c>
      <c r="AU950" s="21" t="s">
        <v>186</v>
      </c>
      <c r="AV950" s="21" t="s">
        <v>166</v>
      </c>
      <c r="AW950" s="18">
        <v>0.85</v>
      </c>
      <c r="AX950" s="21" t="s">
        <v>166</v>
      </c>
      <c r="AY950" s="14" t="s">
        <v>217</v>
      </c>
      <c r="AZ950" s="14" t="s">
        <v>217</v>
      </c>
      <c r="BA950" s="14" t="s">
        <v>166</v>
      </c>
      <c r="BB950" s="21" t="s">
        <v>166</v>
      </c>
      <c r="BC950" s="14" t="s">
        <v>179</v>
      </c>
      <c r="BD950" s="14" t="s">
        <v>18023</v>
      </c>
      <c r="BE950" s="14" t="s">
        <v>189</v>
      </c>
      <c r="BF950" s="18">
        <v>2</v>
      </c>
      <c r="BG950" s="14" t="s">
        <v>190</v>
      </c>
      <c r="BH950" s="14" t="s">
        <v>166</v>
      </c>
      <c r="BI950" s="14" t="s">
        <v>166</v>
      </c>
      <c r="BJ950" s="18" t="s">
        <v>166</v>
      </c>
      <c r="BK950" s="18" t="s">
        <v>166</v>
      </c>
      <c r="BL950" s="14" t="s">
        <v>191</v>
      </c>
      <c r="BM950" s="14" t="s">
        <v>178</v>
      </c>
      <c r="BN950" s="14" t="s">
        <v>177</v>
      </c>
      <c r="BO950" s="22" t="s">
        <v>166</v>
      </c>
      <c r="BP950" s="14" t="s">
        <v>18024</v>
      </c>
      <c r="BQ950" s="21">
        <v>6</v>
      </c>
      <c r="BR950" s="14" t="s">
        <v>166</v>
      </c>
      <c r="BS950" s="21" t="s">
        <v>166</v>
      </c>
      <c r="BT950" s="14" t="s">
        <v>18025</v>
      </c>
      <c r="BU950" s="14" t="s">
        <v>166</v>
      </c>
      <c r="BV950" s="14" t="s">
        <v>18026</v>
      </c>
      <c r="BW950" s="14" t="s">
        <v>166</v>
      </c>
      <c r="BX950" s="14" t="s">
        <v>166</v>
      </c>
      <c r="BY950" s="14" t="s">
        <v>166</v>
      </c>
      <c r="BZ950" s="14" t="s">
        <v>166</v>
      </c>
      <c r="CA950" s="14" t="s">
        <v>166</v>
      </c>
      <c r="CB950" s="14" t="s">
        <v>166</v>
      </c>
      <c r="CC950" s="14" t="s">
        <v>166</v>
      </c>
      <c r="CD950" s="14" t="s">
        <v>166</v>
      </c>
      <c r="CE950" s="18" t="s">
        <v>166</v>
      </c>
      <c r="CF950" s="16" t="s">
        <v>166</v>
      </c>
      <c r="CG950" s="17" t="s">
        <v>166</v>
      </c>
      <c r="CH950" s="16" t="s">
        <v>166</v>
      </c>
      <c r="CI950" s="16" t="s">
        <v>166</v>
      </c>
      <c r="CJ950" s="16" t="s">
        <v>166</v>
      </c>
      <c r="CK950" s="16" t="s">
        <v>166</v>
      </c>
      <c r="CL950" s="16" t="s">
        <v>166</v>
      </c>
      <c r="CM950" s="20" t="s">
        <v>166</v>
      </c>
      <c r="CN950" s="16" t="s">
        <v>166</v>
      </c>
      <c r="CO950" s="16" t="s">
        <v>166</v>
      </c>
      <c r="CP950" s="16" t="s">
        <v>166</v>
      </c>
      <c r="CQ950" s="16" t="s">
        <v>166</v>
      </c>
      <c r="CR950" s="16" t="s">
        <v>166</v>
      </c>
      <c r="CS950" s="16" t="s">
        <v>166</v>
      </c>
      <c r="CT950" s="16" t="s">
        <v>166</v>
      </c>
      <c r="CU950" s="16" t="s">
        <v>166</v>
      </c>
      <c r="CV950" s="16" t="s">
        <v>166</v>
      </c>
      <c r="CW950" s="16" t="s">
        <v>166</v>
      </c>
      <c r="CX950" s="16" t="s">
        <v>166</v>
      </c>
      <c r="CY950" s="16" t="s">
        <v>166</v>
      </c>
      <c r="CZ950" s="16" t="s">
        <v>166</v>
      </c>
      <c r="DA950" s="16" t="s">
        <v>166</v>
      </c>
      <c r="DB950" s="16" t="s">
        <v>166</v>
      </c>
      <c r="DC950" s="16" t="s">
        <v>166</v>
      </c>
      <c r="DD950" s="16" t="s">
        <v>166</v>
      </c>
      <c r="DE950" s="17" t="s">
        <v>166</v>
      </c>
      <c r="DF950" s="22">
        <v>25</v>
      </c>
      <c r="DG950" s="14" t="s">
        <v>8923</v>
      </c>
      <c r="DH950" s="14" t="s">
        <v>193</v>
      </c>
      <c r="DI950" s="14" t="s">
        <v>194</v>
      </c>
      <c r="DJ950" s="14" t="s">
        <v>8924</v>
      </c>
      <c r="DK950" s="14" t="s">
        <v>257</v>
      </c>
      <c r="DL950" s="21" t="s">
        <v>8925</v>
      </c>
      <c r="DM950" s="14" t="s">
        <v>198</v>
      </c>
      <c r="DN950" s="13" t="s">
        <v>18027</v>
      </c>
      <c r="DO950" s="20">
        <v>2021</v>
      </c>
      <c r="DP950" s="14" t="s">
        <v>166</v>
      </c>
      <c r="DQ950" s="14" t="s">
        <v>166</v>
      </c>
      <c r="DR950" s="18" t="s">
        <v>166</v>
      </c>
      <c r="DS950" s="16" t="s">
        <v>166</v>
      </c>
      <c r="DT950" s="19" t="s">
        <v>166</v>
      </c>
      <c r="DU950" s="14" t="s">
        <v>166</v>
      </c>
      <c r="DV950" s="18" t="s">
        <v>166</v>
      </c>
      <c r="DW950" s="18" t="s">
        <v>166</v>
      </c>
      <c r="DX950" s="16" t="s">
        <v>166</v>
      </c>
      <c r="DY950" s="16" t="s">
        <v>166</v>
      </c>
      <c r="DZ950" s="17" t="s">
        <v>166</v>
      </c>
      <c r="EA950" s="16" t="s">
        <v>166</v>
      </c>
      <c r="EB950" s="16" t="s">
        <v>166</v>
      </c>
      <c r="EC950" s="16" t="s">
        <v>166</v>
      </c>
      <c r="ED950" s="17" t="s">
        <v>166</v>
      </c>
      <c r="EE950" s="17" t="s">
        <v>166</v>
      </c>
      <c r="EF950" s="17" t="s">
        <v>166</v>
      </c>
      <c r="EG950" s="17" t="s">
        <v>166</v>
      </c>
      <c r="EH950" s="16" t="s">
        <v>166</v>
      </c>
      <c r="EI950" s="16" t="s">
        <v>166</v>
      </c>
      <c r="EJ950" s="16" t="s">
        <v>166</v>
      </c>
      <c r="EK950" s="16" t="s">
        <v>166</v>
      </c>
      <c r="EL950" s="16" t="s">
        <v>166</v>
      </c>
      <c r="EM950" s="16" t="s">
        <v>166</v>
      </c>
      <c r="EN950" s="16" t="s">
        <v>166</v>
      </c>
      <c r="EO950" s="16" t="s">
        <v>166</v>
      </c>
      <c r="EP950" s="16" t="s">
        <v>166</v>
      </c>
      <c r="EQ950" s="16" t="s">
        <v>166</v>
      </c>
      <c r="ER950" s="16" t="s">
        <v>166</v>
      </c>
      <c r="ES950" s="16" t="s">
        <v>166</v>
      </c>
      <c r="ET950" s="14" t="s">
        <v>166</v>
      </c>
      <c r="EU950" s="16" t="s">
        <v>166</v>
      </c>
      <c r="EV950" s="16" t="s">
        <v>166</v>
      </c>
      <c r="EW950" s="16" t="s">
        <v>166</v>
      </c>
      <c r="EX950" s="14" t="s">
        <v>190</v>
      </c>
      <c r="EY950" s="14" t="s">
        <v>166</v>
      </c>
      <c r="EZ950" s="16" t="s">
        <v>166</v>
      </c>
      <c r="FA950" s="15" t="s">
        <v>166</v>
      </c>
      <c r="FB950" s="15" t="s">
        <v>166</v>
      </c>
      <c r="FC950" s="15" t="s">
        <v>166</v>
      </c>
      <c r="FD950" s="15" t="s">
        <v>166</v>
      </c>
      <c r="FE950" s="15" t="s">
        <v>166</v>
      </c>
      <c r="FF950" s="15" t="s">
        <v>166</v>
      </c>
      <c r="FG950" s="14" t="s">
        <v>166</v>
      </c>
      <c r="FH950" s="3">
        <f>HYPERLINK("https://my.pitchbook.com?c=183912-22T","View Company Online")</f>
      </c>
    </row>
    <row r="951">
      <c r="A951" s="25" t="s">
        <v>18028</v>
      </c>
      <c r="B951" s="25" t="s">
        <v>18029</v>
      </c>
      <c r="C951" s="25" t="s">
        <v>18030</v>
      </c>
      <c r="D951" s="25" t="s">
        <v>166</v>
      </c>
      <c r="E951" s="34" t="s">
        <v>18031</v>
      </c>
      <c r="F951" s="32">
        <v>1</v>
      </c>
      <c r="G951" s="25" t="s">
        <v>18032</v>
      </c>
      <c r="H951" s="25" t="s">
        <v>166</v>
      </c>
      <c r="I951" s="25" t="s">
        <v>18033</v>
      </c>
      <c r="J951" s="25" t="s">
        <v>18034</v>
      </c>
      <c r="K951" s="25" t="s">
        <v>207</v>
      </c>
      <c r="L951" s="25" t="s">
        <v>3128</v>
      </c>
      <c r="M951" s="25" t="s">
        <v>18035</v>
      </c>
      <c r="N951" s="25" t="s">
        <v>18036</v>
      </c>
      <c r="O951" s="25" t="s">
        <v>166</v>
      </c>
      <c r="P951" s="25" t="s">
        <v>18037</v>
      </c>
      <c r="Q951" s="25" t="s">
        <v>166</v>
      </c>
      <c r="R951" s="25" t="s">
        <v>177</v>
      </c>
      <c r="S951" s="25" t="s">
        <v>358</v>
      </c>
      <c r="T951" s="25" t="s">
        <v>179</v>
      </c>
      <c r="U951" s="25" t="s">
        <v>18038</v>
      </c>
      <c r="V951" s="25" t="s">
        <v>18039</v>
      </c>
      <c r="W951" s="32" t="s">
        <v>18040</v>
      </c>
      <c r="X951" s="25" t="s">
        <v>18041</v>
      </c>
      <c r="Y951" s="25" t="s">
        <v>18042</v>
      </c>
      <c r="Z951" s="25" t="s">
        <v>166</v>
      </c>
      <c r="AA951" s="25" t="s">
        <v>166</v>
      </c>
      <c r="AB951" s="25" t="s">
        <v>166</v>
      </c>
      <c r="AC951" s="25" t="s">
        <v>166</v>
      </c>
      <c r="AD951" s="25" t="s">
        <v>166</v>
      </c>
      <c r="AE951" s="25" t="s">
        <v>166</v>
      </c>
      <c r="AF951" s="25" t="s">
        <v>166</v>
      </c>
      <c r="AG951" s="25" t="s">
        <v>166</v>
      </c>
      <c r="AH951" s="32">
        <v>1</v>
      </c>
      <c r="AI951" s="4">
        <f>HYPERLINK("https://my.pitchbook.com/?d=273585-61T","273585-61T")</f>
      </c>
      <c r="AJ951" s="30" t="s">
        <v>166</v>
      </c>
      <c r="AK951" s="30">
        <v>44886</v>
      </c>
      <c r="AL951" s="29">
        <v>0.35</v>
      </c>
      <c r="AM951" s="25" t="s">
        <v>185</v>
      </c>
      <c r="AN951" s="29" t="s">
        <v>166</v>
      </c>
      <c r="AO951" s="29" t="s">
        <v>166</v>
      </c>
      <c r="AP951" s="25" t="s">
        <v>166</v>
      </c>
      <c r="AQ951" s="32" t="s">
        <v>166</v>
      </c>
      <c r="AR951" s="32" t="s">
        <v>166</v>
      </c>
      <c r="AS951" s="28" t="s">
        <v>166</v>
      </c>
      <c r="AT951" s="29">
        <v>0.35</v>
      </c>
      <c r="AU951" s="32" t="s">
        <v>186</v>
      </c>
      <c r="AV951" s="32" t="s">
        <v>166</v>
      </c>
      <c r="AW951" s="29" t="s">
        <v>166</v>
      </c>
      <c r="AX951" s="32" t="s">
        <v>166</v>
      </c>
      <c r="AY951" s="25" t="s">
        <v>187</v>
      </c>
      <c r="AZ951" s="25" t="s">
        <v>166</v>
      </c>
      <c r="BA951" s="25" t="s">
        <v>166</v>
      </c>
      <c r="BB951" s="32" t="s">
        <v>166</v>
      </c>
      <c r="BC951" s="25" t="s">
        <v>179</v>
      </c>
      <c r="BD951" s="25" t="s">
        <v>18034</v>
      </c>
      <c r="BE951" s="25" t="s">
        <v>189</v>
      </c>
      <c r="BF951" s="29">
        <v>0.35</v>
      </c>
      <c r="BG951" s="25" t="s">
        <v>190</v>
      </c>
      <c r="BH951" s="25" t="s">
        <v>166</v>
      </c>
      <c r="BI951" s="25" t="s">
        <v>166</v>
      </c>
      <c r="BJ951" s="29" t="s">
        <v>166</v>
      </c>
      <c r="BK951" s="29" t="s">
        <v>166</v>
      </c>
      <c r="BL951" s="25" t="s">
        <v>191</v>
      </c>
      <c r="BM951" s="25" t="s">
        <v>358</v>
      </c>
      <c r="BN951" s="25" t="s">
        <v>177</v>
      </c>
      <c r="BO951" s="33" t="s">
        <v>166</v>
      </c>
      <c r="BP951" s="25" t="s">
        <v>18043</v>
      </c>
      <c r="BQ951" s="32">
        <v>1</v>
      </c>
      <c r="BR951" s="25" t="s">
        <v>166</v>
      </c>
      <c r="BS951" s="32" t="s">
        <v>166</v>
      </c>
      <c r="BT951" s="25" t="s">
        <v>166</v>
      </c>
      <c r="BU951" s="25" t="s">
        <v>166</v>
      </c>
      <c r="BV951" s="25" t="s">
        <v>166</v>
      </c>
      <c r="BW951" s="25" t="s">
        <v>166</v>
      </c>
      <c r="BX951" s="25" t="s">
        <v>166</v>
      </c>
      <c r="BY951" s="25" t="s">
        <v>166</v>
      </c>
      <c r="BZ951" s="25" t="s">
        <v>166</v>
      </c>
      <c r="CA951" s="25" t="s">
        <v>166</v>
      </c>
      <c r="CB951" s="25" t="s">
        <v>166</v>
      </c>
      <c r="CC951" s="25" t="s">
        <v>166</v>
      </c>
      <c r="CD951" s="25" t="s">
        <v>166</v>
      </c>
      <c r="CE951" s="29" t="s">
        <v>166</v>
      </c>
      <c r="CF951" s="27" t="s">
        <v>166</v>
      </c>
      <c r="CG951" s="28" t="s">
        <v>166</v>
      </c>
      <c r="CH951" s="27" t="s">
        <v>166</v>
      </c>
      <c r="CI951" s="27" t="s">
        <v>166</v>
      </c>
      <c r="CJ951" s="27" t="s">
        <v>166</v>
      </c>
      <c r="CK951" s="27" t="s">
        <v>166</v>
      </c>
      <c r="CL951" s="27" t="s">
        <v>166</v>
      </c>
      <c r="CM951" s="31" t="s">
        <v>166</v>
      </c>
      <c r="CN951" s="27" t="s">
        <v>166</v>
      </c>
      <c r="CO951" s="27" t="s">
        <v>166</v>
      </c>
      <c r="CP951" s="27" t="s">
        <v>166</v>
      </c>
      <c r="CQ951" s="27" t="s">
        <v>166</v>
      </c>
      <c r="CR951" s="27" t="s">
        <v>166</v>
      </c>
      <c r="CS951" s="27" t="s">
        <v>166</v>
      </c>
      <c r="CT951" s="27" t="s">
        <v>166</v>
      </c>
      <c r="CU951" s="27" t="s">
        <v>166</v>
      </c>
      <c r="CV951" s="27" t="s">
        <v>166</v>
      </c>
      <c r="CW951" s="27" t="s">
        <v>166</v>
      </c>
      <c r="CX951" s="27" t="s">
        <v>166</v>
      </c>
      <c r="CY951" s="27" t="s">
        <v>166</v>
      </c>
      <c r="CZ951" s="27" t="s">
        <v>166</v>
      </c>
      <c r="DA951" s="27" t="s">
        <v>166</v>
      </c>
      <c r="DB951" s="27" t="s">
        <v>166</v>
      </c>
      <c r="DC951" s="27" t="s">
        <v>166</v>
      </c>
      <c r="DD951" s="27" t="s">
        <v>166</v>
      </c>
      <c r="DE951" s="28" t="s">
        <v>166</v>
      </c>
      <c r="DF951" s="33" t="s">
        <v>166</v>
      </c>
      <c r="DG951" s="25" t="s">
        <v>18044</v>
      </c>
      <c r="DH951" s="25" t="s">
        <v>193</v>
      </c>
      <c r="DI951" s="25" t="s">
        <v>194</v>
      </c>
      <c r="DJ951" s="25" t="s">
        <v>18045</v>
      </c>
      <c r="DK951" s="25" t="s">
        <v>8633</v>
      </c>
      <c r="DL951" s="32" t="s">
        <v>18046</v>
      </c>
      <c r="DM951" s="25" t="s">
        <v>198</v>
      </c>
      <c r="DN951" s="24" t="s">
        <v>18047</v>
      </c>
      <c r="DO951" s="31" t="s">
        <v>166</v>
      </c>
      <c r="DP951" s="25" t="s">
        <v>166</v>
      </c>
      <c r="DQ951" s="25" t="s">
        <v>166</v>
      </c>
      <c r="DR951" s="29" t="s">
        <v>166</v>
      </c>
      <c r="DS951" s="27" t="s">
        <v>166</v>
      </c>
      <c r="DT951" s="30" t="s">
        <v>166</v>
      </c>
      <c r="DU951" s="25" t="s">
        <v>166</v>
      </c>
      <c r="DV951" s="29" t="s">
        <v>166</v>
      </c>
      <c r="DW951" s="29" t="s">
        <v>166</v>
      </c>
      <c r="DX951" s="27" t="s">
        <v>166</v>
      </c>
      <c r="DY951" s="27" t="s">
        <v>166</v>
      </c>
      <c r="DZ951" s="28" t="s">
        <v>166</v>
      </c>
      <c r="EA951" s="27" t="s">
        <v>166</v>
      </c>
      <c r="EB951" s="27" t="s">
        <v>166</v>
      </c>
      <c r="EC951" s="27" t="s">
        <v>166</v>
      </c>
      <c r="ED951" s="28" t="s">
        <v>166</v>
      </c>
      <c r="EE951" s="28" t="s">
        <v>166</v>
      </c>
      <c r="EF951" s="28" t="s">
        <v>166</v>
      </c>
      <c r="EG951" s="28" t="s">
        <v>166</v>
      </c>
      <c r="EH951" s="27" t="s">
        <v>166</v>
      </c>
      <c r="EI951" s="27" t="s">
        <v>166</v>
      </c>
      <c r="EJ951" s="27" t="s">
        <v>166</v>
      </c>
      <c r="EK951" s="27" t="s">
        <v>166</v>
      </c>
      <c r="EL951" s="27" t="s">
        <v>166</v>
      </c>
      <c r="EM951" s="27" t="s">
        <v>166</v>
      </c>
      <c r="EN951" s="27" t="s">
        <v>166</v>
      </c>
      <c r="EO951" s="27" t="s">
        <v>166</v>
      </c>
      <c r="EP951" s="27" t="s">
        <v>166</v>
      </c>
      <c r="EQ951" s="27" t="s">
        <v>166</v>
      </c>
      <c r="ER951" s="27" t="s">
        <v>166</v>
      </c>
      <c r="ES951" s="27" t="s">
        <v>166</v>
      </c>
      <c r="ET951" s="25" t="s">
        <v>166</v>
      </c>
      <c r="EU951" s="27" t="s">
        <v>166</v>
      </c>
      <c r="EV951" s="27" t="s">
        <v>166</v>
      </c>
      <c r="EW951" s="27" t="s">
        <v>166</v>
      </c>
      <c r="EX951" s="25" t="s">
        <v>190</v>
      </c>
      <c r="EY951" s="25" t="s">
        <v>166</v>
      </c>
      <c r="EZ951" s="27" t="s">
        <v>166</v>
      </c>
      <c r="FA951" s="26" t="s">
        <v>166</v>
      </c>
      <c r="FB951" s="26" t="s">
        <v>166</v>
      </c>
      <c r="FC951" s="26" t="s">
        <v>166</v>
      </c>
      <c r="FD951" s="26" t="s">
        <v>166</v>
      </c>
      <c r="FE951" s="26" t="s">
        <v>166</v>
      </c>
      <c r="FF951" s="26" t="s">
        <v>166</v>
      </c>
      <c r="FG951" s="25" t="s">
        <v>166</v>
      </c>
      <c r="FH951" s="4">
        <f>HYPERLINK("https://my.pitchbook.com?c=273585-61T","View Company Online")</f>
      </c>
    </row>
    <row r="952">
      <c r="A952" s="14" t="s">
        <v>18048</v>
      </c>
      <c r="B952" s="14" t="s">
        <v>18049</v>
      </c>
      <c r="C952" s="14" t="s">
        <v>18050</v>
      </c>
      <c r="D952" s="14" t="s">
        <v>166</v>
      </c>
      <c r="E952" s="23" t="s">
        <v>18051</v>
      </c>
      <c r="F952" s="21">
        <v>13</v>
      </c>
      <c r="G952" s="14" t="s">
        <v>18052</v>
      </c>
      <c r="H952" s="14" t="s">
        <v>166</v>
      </c>
      <c r="I952" s="14" t="s">
        <v>18053</v>
      </c>
      <c r="J952" s="14" t="s">
        <v>18054</v>
      </c>
      <c r="K952" s="14" t="s">
        <v>207</v>
      </c>
      <c r="L952" s="14" t="s">
        <v>208</v>
      </c>
      <c r="M952" s="14" t="s">
        <v>621</v>
      </c>
      <c r="N952" s="14" t="s">
        <v>18055</v>
      </c>
      <c r="O952" s="14" t="s">
        <v>2225</v>
      </c>
      <c r="P952" s="14" t="s">
        <v>18056</v>
      </c>
      <c r="Q952" s="14" t="s">
        <v>166</v>
      </c>
      <c r="R952" s="14" t="s">
        <v>177</v>
      </c>
      <c r="S952" s="14" t="s">
        <v>18057</v>
      </c>
      <c r="T952" s="14" t="s">
        <v>179</v>
      </c>
      <c r="U952" s="14" t="s">
        <v>18058</v>
      </c>
      <c r="V952" s="14" t="s">
        <v>18059</v>
      </c>
      <c r="W952" s="21" t="s">
        <v>18060</v>
      </c>
      <c r="X952" s="14" t="s">
        <v>18061</v>
      </c>
      <c r="Y952" s="14" t="s">
        <v>18062</v>
      </c>
      <c r="Z952" s="14" t="s">
        <v>8469</v>
      </c>
      <c r="AA952" s="14" t="s">
        <v>242</v>
      </c>
      <c r="AB952" s="14" t="s">
        <v>243</v>
      </c>
      <c r="AC952" s="14" t="s">
        <v>244</v>
      </c>
      <c r="AD952" s="14" t="s">
        <v>243</v>
      </c>
      <c r="AE952" s="14" t="s">
        <v>243</v>
      </c>
      <c r="AF952" s="14" t="s">
        <v>306</v>
      </c>
      <c r="AG952" s="14" t="s">
        <v>807</v>
      </c>
      <c r="AH952" s="21">
        <v>4</v>
      </c>
      <c r="AI952" s="3">
        <f>HYPERLINK("https://my.pitchbook.com/?d=167763-61T","167763-61T")</f>
      </c>
      <c r="AJ952" s="19">
        <v>44315</v>
      </c>
      <c r="AK952" s="19">
        <v>44368</v>
      </c>
      <c r="AL952" s="18">
        <v>2.16</v>
      </c>
      <c r="AM952" s="14" t="s">
        <v>185</v>
      </c>
      <c r="AN952" s="18">
        <v>3.84</v>
      </c>
      <c r="AO952" s="18">
        <v>6</v>
      </c>
      <c r="AP952" s="14" t="s">
        <v>185</v>
      </c>
      <c r="AQ952" s="21" t="s">
        <v>166</v>
      </c>
      <c r="AR952" s="21" t="s">
        <v>166</v>
      </c>
      <c r="AS952" s="17">
        <v>36.07</v>
      </c>
      <c r="AT952" s="18">
        <v>2.16</v>
      </c>
      <c r="AU952" s="21" t="s">
        <v>186</v>
      </c>
      <c r="AV952" s="21" t="s">
        <v>166</v>
      </c>
      <c r="AW952" s="18">
        <v>1.06</v>
      </c>
      <c r="AX952" s="21" t="s">
        <v>166</v>
      </c>
      <c r="AY952" s="14" t="s">
        <v>217</v>
      </c>
      <c r="AZ952" s="14" t="s">
        <v>217</v>
      </c>
      <c r="BA952" s="14" t="s">
        <v>166</v>
      </c>
      <c r="BB952" s="21" t="s">
        <v>166</v>
      </c>
      <c r="BC952" s="14" t="s">
        <v>179</v>
      </c>
      <c r="BD952" s="14" t="s">
        <v>18063</v>
      </c>
      <c r="BE952" s="14" t="s">
        <v>189</v>
      </c>
      <c r="BF952" s="18">
        <v>2.16</v>
      </c>
      <c r="BG952" s="14" t="s">
        <v>190</v>
      </c>
      <c r="BH952" s="14" t="s">
        <v>166</v>
      </c>
      <c r="BI952" s="14" t="s">
        <v>166</v>
      </c>
      <c r="BJ952" s="18" t="s">
        <v>166</v>
      </c>
      <c r="BK952" s="18" t="s">
        <v>166</v>
      </c>
      <c r="BL952" s="14" t="s">
        <v>191</v>
      </c>
      <c r="BM952" s="14" t="s">
        <v>18057</v>
      </c>
      <c r="BN952" s="14" t="s">
        <v>177</v>
      </c>
      <c r="BO952" s="22">
        <v>6</v>
      </c>
      <c r="BP952" s="14" t="s">
        <v>18064</v>
      </c>
      <c r="BQ952" s="21">
        <v>12</v>
      </c>
      <c r="BR952" s="14" t="s">
        <v>18065</v>
      </c>
      <c r="BS952" s="21">
        <v>1</v>
      </c>
      <c r="BT952" s="14" t="s">
        <v>166</v>
      </c>
      <c r="BU952" s="14" t="s">
        <v>166</v>
      </c>
      <c r="BV952" s="14" t="s">
        <v>18066</v>
      </c>
      <c r="BW952" s="14" t="s">
        <v>166</v>
      </c>
      <c r="BX952" s="14" t="s">
        <v>166</v>
      </c>
      <c r="BY952" s="14" t="s">
        <v>166</v>
      </c>
      <c r="BZ952" s="14" t="s">
        <v>18067</v>
      </c>
      <c r="CA952" s="14" t="s">
        <v>18067</v>
      </c>
      <c r="CB952" s="14" t="s">
        <v>166</v>
      </c>
      <c r="CC952" s="14" t="s">
        <v>166</v>
      </c>
      <c r="CD952" s="14" t="s">
        <v>166</v>
      </c>
      <c r="CE952" s="18" t="s">
        <v>166</v>
      </c>
      <c r="CF952" s="16" t="s">
        <v>166</v>
      </c>
      <c r="CG952" s="17" t="s">
        <v>166</v>
      </c>
      <c r="CH952" s="16" t="s">
        <v>166</v>
      </c>
      <c r="CI952" s="16" t="s">
        <v>166</v>
      </c>
      <c r="CJ952" s="16" t="s">
        <v>166</v>
      </c>
      <c r="CK952" s="16" t="s">
        <v>166</v>
      </c>
      <c r="CL952" s="16" t="s">
        <v>166</v>
      </c>
      <c r="CM952" s="20" t="s">
        <v>166</v>
      </c>
      <c r="CN952" s="16" t="s">
        <v>166</v>
      </c>
      <c r="CO952" s="16" t="s">
        <v>166</v>
      </c>
      <c r="CP952" s="16" t="s">
        <v>166</v>
      </c>
      <c r="CQ952" s="16" t="s">
        <v>166</v>
      </c>
      <c r="CR952" s="16" t="s">
        <v>166</v>
      </c>
      <c r="CS952" s="16" t="s">
        <v>166</v>
      </c>
      <c r="CT952" s="16" t="s">
        <v>166</v>
      </c>
      <c r="CU952" s="16" t="s">
        <v>166</v>
      </c>
      <c r="CV952" s="16" t="s">
        <v>166</v>
      </c>
      <c r="CW952" s="16" t="s">
        <v>166</v>
      </c>
      <c r="CX952" s="16" t="s">
        <v>166</v>
      </c>
      <c r="CY952" s="16" t="s">
        <v>166</v>
      </c>
      <c r="CZ952" s="16" t="s">
        <v>166</v>
      </c>
      <c r="DA952" s="16" t="s">
        <v>166</v>
      </c>
      <c r="DB952" s="16" t="s">
        <v>166</v>
      </c>
      <c r="DC952" s="16" t="s">
        <v>166</v>
      </c>
      <c r="DD952" s="16" t="s">
        <v>166</v>
      </c>
      <c r="DE952" s="17" t="s">
        <v>166</v>
      </c>
      <c r="DF952" s="22">
        <v>13</v>
      </c>
      <c r="DG952" s="14" t="s">
        <v>1634</v>
      </c>
      <c r="DH952" s="14" t="s">
        <v>193</v>
      </c>
      <c r="DI952" s="14" t="s">
        <v>194</v>
      </c>
      <c r="DJ952" s="14" t="s">
        <v>1635</v>
      </c>
      <c r="DK952" s="14" t="s">
        <v>408</v>
      </c>
      <c r="DL952" s="21" t="s">
        <v>18068</v>
      </c>
      <c r="DM952" s="14" t="s">
        <v>198</v>
      </c>
      <c r="DN952" s="13" t="s">
        <v>18069</v>
      </c>
      <c r="DO952" s="20">
        <v>2018</v>
      </c>
      <c r="DP952" s="14" t="s">
        <v>166</v>
      </c>
      <c r="DQ952" s="14" t="s">
        <v>166</v>
      </c>
      <c r="DR952" s="18" t="s">
        <v>166</v>
      </c>
      <c r="DS952" s="16" t="s">
        <v>166</v>
      </c>
      <c r="DT952" s="19" t="s">
        <v>166</v>
      </c>
      <c r="DU952" s="14" t="s">
        <v>166</v>
      </c>
      <c r="DV952" s="18" t="s">
        <v>166</v>
      </c>
      <c r="DW952" s="18" t="s">
        <v>166</v>
      </c>
      <c r="DX952" s="16" t="s">
        <v>166</v>
      </c>
      <c r="DY952" s="16" t="s">
        <v>166</v>
      </c>
      <c r="DZ952" s="17" t="s">
        <v>166</v>
      </c>
      <c r="EA952" s="16" t="s">
        <v>166</v>
      </c>
      <c r="EB952" s="16" t="s">
        <v>166</v>
      </c>
      <c r="EC952" s="16" t="s">
        <v>166</v>
      </c>
      <c r="ED952" s="17" t="s">
        <v>166</v>
      </c>
      <c r="EE952" s="17" t="s">
        <v>166</v>
      </c>
      <c r="EF952" s="17" t="s">
        <v>166</v>
      </c>
      <c r="EG952" s="17" t="s">
        <v>166</v>
      </c>
      <c r="EH952" s="16" t="s">
        <v>166</v>
      </c>
      <c r="EI952" s="16" t="s">
        <v>166</v>
      </c>
      <c r="EJ952" s="16" t="s">
        <v>166</v>
      </c>
      <c r="EK952" s="16" t="s">
        <v>166</v>
      </c>
      <c r="EL952" s="16" t="s">
        <v>166</v>
      </c>
      <c r="EM952" s="16" t="s">
        <v>166</v>
      </c>
      <c r="EN952" s="16" t="s">
        <v>166</v>
      </c>
      <c r="EO952" s="16" t="s">
        <v>166</v>
      </c>
      <c r="EP952" s="16" t="s">
        <v>166</v>
      </c>
      <c r="EQ952" s="16" t="s">
        <v>166</v>
      </c>
      <c r="ER952" s="16" t="s">
        <v>166</v>
      </c>
      <c r="ES952" s="16" t="s">
        <v>166</v>
      </c>
      <c r="ET952" s="14" t="s">
        <v>166</v>
      </c>
      <c r="EU952" s="16" t="s">
        <v>166</v>
      </c>
      <c r="EV952" s="16" t="s">
        <v>166</v>
      </c>
      <c r="EW952" s="16" t="s">
        <v>166</v>
      </c>
      <c r="EX952" s="14" t="s">
        <v>190</v>
      </c>
      <c r="EY952" s="14" t="s">
        <v>166</v>
      </c>
      <c r="EZ952" s="16" t="s">
        <v>166</v>
      </c>
      <c r="FA952" s="15" t="s">
        <v>166</v>
      </c>
      <c r="FB952" s="15" t="s">
        <v>166</v>
      </c>
      <c r="FC952" s="15" t="s">
        <v>166</v>
      </c>
      <c r="FD952" s="15" t="s">
        <v>166</v>
      </c>
      <c r="FE952" s="15" t="s">
        <v>166</v>
      </c>
      <c r="FF952" s="15" t="s">
        <v>166</v>
      </c>
      <c r="FG952" s="14" t="s">
        <v>166</v>
      </c>
      <c r="FH952" s="3">
        <f>HYPERLINK("https://my.pitchbook.com?c=167763-61T","View Company Online")</f>
      </c>
    </row>
    <row r="953">
      <c r="A953" s="25" t="s">
        <v>18070</v>
      </c>
      <c r="B953" s="25" t="s">
        <v>18071</v>
      </c>
      <c r="C953" s="25" t="s">
        <v>18072</v>
      </c>
      <c r="D953" s="25" t="s">
        <v>166</v>
      </c>
      <c r="E953" s="34" t="s">
        <v>18073</v>
      </c>
      <c r="F953" s="32">
        <v>11</v>
      </c>
      <c r="G953" s="25" t="s">
        <v>18074</v>
      </c>
      <c r="H953" s="25" t="s">
        <v>166</v>
      </c>
      <c r="I953" s="25" t="s">
        <v>18075</v>
      </c>
      <c r="J953" s="25" t="s">
        <v>18076</v>
      </c>
      <c r="K953" s="25" t="s">
        <v>1455</v>
      </c>
      <c r="L953" s="25" t="s">
        <v>10416</v>
      </c>
      <c r="M953" s="25" t="s">
        <v>10417</v>
      </c>
      <c r="N953" s="25" t="s">
        <v>18077</v>
      </c>
      <c r="O953" s="25" t="s">
        <v>18078</v>
      </c>
      <c r="P953" s="25" t="s">
        <v>18079</v>
      </c>
      <c r="Q953" s="25" t="s">
        <v>18080</v>
      </c>
      <c r="R953" s="25" t="s">
        <v>177</v>
      </c>
      <c r="S953" s="25" t="s">
        <v>178</v>
      </c>
      <c r="T953" s="25" t="s">
        <v>179</v>
      </c>
      <c r="U953" s="25" t="s">
        <v>18081</v>
      </c>
      <c r="V953" s="25" t="s">
        <v>18082</v>
      </c>
      <c r="W953" s="32" t="s">
        <v>18083</v>
      </c>
      <c r="X953" s="25" t="s">
        <v>166</v>
      </c>
      <c r="Y953" s="25" t="s">
        <v>18084</v>
      </c>
      <c r="Z953" s="25" t="s">
        <v>18085</v>
      </c>
      <c r="AA953" s="25" t="s">
        <v>166</v>
      </c>
      <c r="AB953" s="25" t="s">
        <v>166</v>
      </c>
      <c r="AC953" s="25" t="s">
        <v>166</v>
      </c>
      <c r="AD953" s="25" t="s">
        <v>166</v>
      </c>
      <c r="AE953" s="25" t="s">
        <v>166</v>
      </c>
      <c r="AF953" s="25" t="s">
        <v>166</v>
      </c>
      <c r="AG953" s="25" t="s">
        <v>166</v>
      </c>
      <c r="AH953" s="32">
        <v>3</v>
      </c>
      <c r="AI953" s="4">
        <f>HYPERLINK("https://my.pitchbook.com/?d=118205-02T","118205-02T")</f>
      </c>
      <c r="AJ953" s="30">
        <v>43892</v>
      </c>
      <c r="AK953" s="30">
        <v>43963</v>
      </c>
      <c r="AL953" s="29">
        <v>3000</v>
      </c>
      <c r="AM953" s="25" t="s">
        <v>185</v>
      </c>
      <c r="AN953" s="29">
        <v>27000</v>
      </c>
      <c r="AO953" s="29">
        <v>30000</v>
      </c>
      <c r="AP953" s="25" t="s">
        <v>185</v>
      </c>
      <c r="AQ953" s="32" t="s">
        <v>166</v>
      </c>
      <c r="AR953" s="32" t="s">
        <v>166</v>
      </c>
      <c r="AS953" s="28">
        <v>10</v>
      </c>
      <c r="AT953" s="29">
        <v>3000</v>
      </c>
      <c r="AU953" s="32" t="s">
        <v>186</v>
      </c>
      <c r="AV953" s="32" t="s">
        <v>166</v>
      </c>
      <c r="AW953" s="29" t="s">
        <v>166</v>
      </c>
      <c r="AX953" s="32" t="s">
        <v>248</v>
      </c>
      <c r="AY953" s="25" t="s">
        <v>249</v>
      </c>
      <c r="AZ953" s="25" t="s">
        <v>248</v>
      </c>
      <c r="BA953" s="25" t="s">
        <v>166</v>
      </c>
      <c r="BB953" s="32" t="s">
        <v>166</v>
      </c>
      <c r="BC953" s="25" t="s">
        <v>179</v>
      </c>
      <c r="BD953" s="25" t="s">
        <v>18086</v>
      </c>
      <c r="BE953" s="25" t="s">
        <v>189</v>
      </c>
      <c r="BF953" s="29">
        <v>3000</v>
      </c>
      <c r="BG953" s="25" t="s">
        <v>190</v>
      </c>
      <c r="BH953" s="25" t="s">
        <v>166</v>
      </c>
      <c r="BI953" s="25" t="s">
        <v>166</v>
      </c>
      <c r="BJ953" s="29" t="s">
        <v>166</v>
      </c>
      <c r="BK953" s="29" t="s">
        <v>166</v>
      </c>
      <c r="BL953" s="25" t="s">
        <v>191</v>
      </c>
      <c r="BM953" s="25" t="s">
        <v>178</v>
      </c>
      <c r="BN953" s="25" t="s">
        <v>177</v>
      </c>
      <c r="BO953" s="33" t="s">
        <v>166</v>
      </c>
      <c r="BP953" s="25" t="s">
        <v>18087</v>
      </c>
      <c r="BQ953" s="32">
        <v>11</v>
      </c>
      <c r="BR953" s="25" t="s">
        <v>166</v>
      </c>
      <c r="BS953" s="32" t="s">
        <v>166</v>
      </c>
      <c r="BT953" s="25" t="s">
        <v>18088</v>
      </c>
      <c r="BU953" s="25" t="s">
        <v>166</v>
      </c>
      <c r="BV953" s="25" t="s">
        <v>18089</v>
      </c>
      <c r="BW953" s="25" t="s">
        <v>166</v>
      </c>
      <c r="BX953" s="25" t="s">
        <v>166</v>
      </c>
      <c r="BY953" s="25" t="s">
        <v>166</v>
      </c>
      <c r="BZ953" s="25" t="s">
        <v>18090</v>
      </c>
      <c r="CA953" s="25" t="s">
        <v>166</v>
      </c>
      <c r="CB953" s="25" t="s">
        <v>166</v>
      </c>
      <c r="CC953" s="25" t="s">
        <v>18090</v>
      </c>
      <c r="CD953" s="25" t="s">
        <v>166</v>
      </c>
      <c r="CE953" s="29" t="s">
        <v>166</v>
      </c>
      <c r="CF953" s="27" t="s">
        <v>166</v>
      </c>
      <c r="CG953" s="28" t="s">
        <v>166</v>
      </c>
      <c r="CH953" s="27" t="s">
        <v>166</v>
      </c>
      <c r="CI953" s="27" t="s">
        <v>166</v>
      </c>
      <c r="CJ953" s="27" t="s">
        <v>166</v>
      </c>
      <c r="CK953" s="27" t="s">
        <v>166</v>
      </c>
      <c r="CL953" s="27" t="s">
        <v>166</v>
      </c>
      <c r="CM953" s="31" t="s">
        <v>166</v>
      </c>
      <c r="CN953" s="27" t="s">
        <v>166</v>
      </c>
      <c r="CO953" s="27" t="s">
        <v>166</v>
      </c>
      <c r="CP953" s="27" t="s">
        <v>166</v>
      </c>
      <c r="CQ953" s="27" t="s">
        <v>166</v>
      </c>
      <c r="CR953" s="27" t="s">
        <v>166</v>
      </c>
      <c r="CS953" s="27" t="s">
        <v>166</v>
      </c>
      <c r="CT953" s="27" t="s">
        <v>166</v>
      </c>
      <c r="CU953" s="27" t="s">
        <v>166</v>
      </c>
      <c r="CV953" s="27" t="s">
        <v>166</v>
      </c>
      <c r="CW953" s="27" t="s">
        <v>166</v>
      </c>
      <c r="CX953" s="27" t="s">
        <v>166</v>
      </c>
      <c r="CY953" s="27" t="s">
        <v>166</v>
      </c>
      <c r="CZ953" s="27" t="s">
        <v>166</v>
      </c>
      <c r="DA953" s="27" t="s">
        <v>166</v>
      </c>
      <c r="DB953" s="27" t="s">
        <v>166</v>
      </c>
      <c r="DC953" s="27" t="s">
        <v>166</v>
      </c>
      <c r="DD953" s="27" t="s">
        <v>166</v>
      </c>
      <c r="DE953" s="28" t="s">
        <v>166</v>
      </c>
      <c r="DF953" s="33">
        <v>2839</v>
      </c>
      <c r="DG953" s="25" t="s">
        <v>3138</v>
      </c>
      <c r="DH953" s="25" t="s">
        <v>193</v>
      </c>
      <c r="DI953" s="25" t="s">
        <v>194</v>
      </c>
      <c r="DJ953" s="25" t="s">
        <v>3139</v>
      </c>
      <c r="DK953" s="25" t="s">
        <v>257</v>
      </c>
      <c r="DL953" s="32" t="s">
        <v>8096</v>
      </c>
      <c r="DM953" s="25" t="s">
        <v>198</v>
      </c>
      <c r="DN953" s="24" t="s">
        <v>18091</v>
      </c>
      <c r="DO953" s="31">
        <v>2009</v>
      </c>
      <c r="DP953" s="25" t="s">
        <v>166</v>
      </c>
      <c r="DQ953" s="25" t="s">
        <v>166</v>
      </c>
      <c r="DR953" s="29" t="s">
        <v>166</v>
      </c>
      <c r="DS953" s="27" t="s">
        <v>166</v>
      </c>
      <c r="DT953" s="30" t="s">
        <v>166</v>
      </c>
      <c r="DU953" s="25" t="s">
        <v>166</v>
      </c>
      <c r="DV953" s="29" t="s">
        <v>166</v>
      </c>
      <c r="DW953" s="29" t="s">
        <v>166</v>
      </c>
      <c r="DX953" s="27" t="s">
        <v>166</v>
      </c>
      <c r="DY953" s="27" t="s">
        <v>166</v>
      </c>
      <c r="DZ953" s="28" t="s">
        <v>166</v>
      </c>
      <c r="EA953" s="27" t="s">
        <v>166</v>
      </c>
      <c r="EB953" s="27" t="s">
        <v>166</v>
      </c>
      <c r="EC953" s="27" t="s">
        <v>166</v>
      </c>
      <c r="ED953" s="28" t="s">
        <v>166</v>
      </c>
      <c r="EE953" s="28" t="s">
        <v>166</v>
      </c>
      <c r="EF953" s="28" t="s">
        <v>166</v>
      </c>
      <c r="EG953" s="28" t="s">
        <v>166</v>
      </c>
      <c r="EH953" s="27" t="s">
        <v>166</v>
      </c>
      <c r="EI953" s="27" t="s">
        <v>166</v>
      </c>
      <c r="EJ953" s="27" t="s">
        <v>166</v>
      </c>
      <c r="EK953" s="27" t="s">
        <v>166</v>
      </c>
      <c r="EL953" s="27" t="s">
        <v>166</v>
      </c>
      <c r="EM953" s="27" t="s">
        <v>166</v>
      </c>
      <c r="EN953" s="27" t="s">
        <v>166</v>
      </c>
      <c r="EO953" s="27" t="s">
        <v>166</v>
      </c>
      <c r="EP953" s="27" t="s">
        <v>166</v>
      </c>
      <c r="EQ953" s="27" t="s">
        <v>166</v>
      </c>
      <c r="ER953" s="27" t="s">
        <v>166</v>
      </c>
      <c r="ES953" s="27" t="s">
        <v>166</v>
      </c>
      <c r="ET953" s="25" t="s">
        <v>166</v>
      </c>
      <c r="EU953" s="27" t="s">
        <v>166</v>
      </c>
      <c r="EV953" s="27" t="s">
        <v>166</v>
      </c>
      <c r="EW953" s="27" t="s">
        <v>166</v>
      </c>
      <c r="EX953" s="25" t="s">
        <v>190</v>
      </c>
      <c r="EY953" s="25" t="s">
        <v>166</v>
      </c>
      <c r="EZ953" s="27" t="s">
        <v>166</v>
      </c>
      <c r="FA953" s="26">
        <v>5167</v>
      </c>
      <c r="FB953" s="26">
        <v>1307</v>
      </c>
      <c r="FC953" s="26">
        <v>3793</v>
      </c>
      <c r="FD953" s="26">
        <v>966</v>
      </c>
      <c r="FE953" s="26">
        <v>5</v>
      </c>
      <c r="FF953" s="26">
        <v>408</v>
      </c>
      <c r="FG953" s="25" t="s">
        <v>18092</v>
      </c>
      <c r="FH953" s="4">
        <f>HYPERLINK("https://my.pitchbook.com?c=118205-02T","View Company Online")</f>
      </c>
    </row>
    <row r="954">
      <c r="A954" s="14" t="s">
        <v>18093</v>
      </c>
      <c r="B954" s="14" t="s">
        <v>18094</v>
      </c>
      <c r="C954" s="14" t="s">
        <v>18095</v>
      </c>
      <c r="D954" s="14" t="s">
        <v>166</v>
      </c>
      <c r="E954" s="23" t="s">
        <v>18096</v>
      </c>
      <c r="F954" s="21">
        <v>2</v>
      </c>
      <c r="G954" s="14" t="s">
        <v>18097</v>
      </c>
      <c r="H954" s="14" t="s">
        <v>166</v>
      </c>
      <c r="I954" s="14" t="s">
        <v>18098</v>
      </c>
      <c r="J954" s="14" t="s">
        <v>18099</v>
      </c>
      <c r="K954" s="14" t="s">
        <v>207</v>
      </c>
      <c r="L954" s="14" t="s">
        <v>208</v>
      </c>
      <c r="M954" s="14" t="s">
        <v>209</v>
      </c>
      <c r="N954" s="14" t="s">
        <v>1784</v>
      </c>
      <c r="O954" s="14" t="s">
        <v>7075</v>
      </c>
      <c r="P954" s="14" t="s">
        <v>18100</v>
      </c>
      <c r="Q954" s="14" t="s">
        <v>166</v>
      </c>
      <c r="R954" s="14" t="s">
        <v>177</v>
      </c>
      <c r="S954" s="14" t="s">
        <v>178</v>
      </c>
      <c r="T954" s="14" t="s">
        <v>179</v>
      </c>
      <c r="U954" s="14" t="s">
        <v>18101</v>
      </c>
      <c r="V954" s="14" t="s">
        <v>18102</v>
      </c>
      <c r="W954" s="21" t="s">
        <v>166</v>
      </c>
      <c r="X954" s="14" t="s">
        <v>166</v>
      </c>
      <c r="Y954" s="14" t="s">
        <v>18103</v>
      </c>
      <c r="Z954" s="14" t="s">
        <v>18104</v>
      </c>
      <c r="AA954" s="14" t="s">
        <v>166</v>
      </c>
      <c r="AB954" s="14" t="s">
        <v>166</v>
      </c>
      <c r="AC954" s="14" t="s">
        <v>166</v>
      </c>
      <c r="AD954" s="14" t="s">
        <v>166</v>
      </c>
      <c r="AE954" s="14" t="s">
        <v>166</v>
      </c>
      <c r="AF954" s="14" t="s">
        <v>166</v>
      </c>
      <c r="AG954" s="14" t="s">
        <v>166</v>
      </c>
      <c r="AH954" s="21">
        <v>1</v>
      </c>
      <c r="AI954" s="3">
        <f>HYPERLINK("https://my.pitchbook.com/?d=226253-26T","226253-26T")</f>
      </c>
      <c r="AJ954" s="19" t="s">
        <v>166</v>
      </c>
      <c r="AK954" s="19">
        <v>45078</v>
      </c>
      <c r="AL954" s="18">
        <v>2.5</v>
      </c>
      <c r="AM954" s="14" t="s">
        <v>185</v>
      </c>
      <c r="AN954" s="18" t="s">
        <v>166</v>
      </c>
      <c r="AO954" s="18" t="s">
        <v>166</v>
      </c>
      <c r="AP954" s="14" t="s">
        <v>166</v>
      </c>
      <c r="AQ954" s="21" t="s">
        <v>166</v>
      </c>
      <c r="AR954" s="21" t="s">
        <v>166</v>
      </c>
      <c r="AS954" s="17" t="s">
        <v>166</v>
      </c>
      <c r="AT954" s="18">
        <v>2.5</v>
      </c>
      <c r="AU954" s="21" t="s">
        <v>186</v>
      </c>
      <c r="AV954" s="21" t="s">
        <v>166</v>
      </c>
      <c r="AW954" s="18" t="s">
        <v>166</v>
      </c>
      <c r="AX954" s="21" t="s">
        <v>166</v>
      </c>
      <c r="AY954" s="14" t="s">
        <v>217</v>
      </c>
      <c r="AZ954" s="14" t="s">
        <v>217</v>
      </c>
      <c r="BA954" s="14" t="s">
        <v>166</v>
      </c>
      <c r="BB954" s="21" t="s">
        <v>166</v>
      </c>
      <c r="BC954" s="14" t="s">
        <v>179</v>
      </c>
      <c r="BD954" s="14" t="s">
        <v>18105</v>
      </c>
      <c r="BE954" s="14" t="s">
        <v>189</v>
      </c>
      <c r="BF954" s="18" t="s">
        <v>166</v>
      </c>
      <c r="BG954" s="14" t="s">
        <v>190</v>
      </c>
      <c r="BH954" s="14" t="s">
        <v>166</v>
      </c>
      <c r="BI954" s="14" t="s">
        <v>166</v>
      </c>
      <c r="BJ954" s="18" t="s">
        <v>166</v>
      </c>
      <c r="BK954" s="18" t="s">
        <v>166</v>
      </c>
      <c r="BL954" s="14" t="s">
        <v>191</v>
      </c>
      <c r="BM954" s="14" t="s">
        <v>358</v>
      </c>
      <c r="BN954" s="14" t="s">
        <v>177</v>
      </c>
      <c r="BO954" s="22" t="s">
        <v>166</v>
      </c>
      <c r="BP954" s="14" t="s">
        <v>18096</v>
      </c>
      <c r="BQ954" s="21">
        <v>2</v>
      </c>
      <c r="BR954" s="14" t="s">
        <v>166</v>
      </c>
      <c r="BS954" s="21" t="s">
        <v>166</v>
      </c>
      <c r="BT954" s="14" t="s">
        <v>6481</v>
      </c>
      <c r="BU954" s="14" t="s">
        <v>166</v>
      </c>
      <c r="BV954" s="14" t="s">
        <v>166</v>
      </c>
      <c r="BW954" s="14" t="s">
        <v>166</v>
      </c>
      <c r="BX954" s="14" t="s">
        <v>166</v>
      </c>
      <c r="BY954" s="14" t="s">
        <v>166</v>
      </c>
      <c r="BZ954" s="14" t="s">
        <v>9491</v>
      </c>
      <c r="CA954" s="14" t="s">
        <v>166</v>
      </c>
      <c r="CB954" s="14" t="s">
        <v>166</v>
      </c>
      <c r="CC954" s="14" t="s">
        <v>9491</v>
      </c>
      <c r="CD954" s="14" t="s">
        <v>166</v>
      </c>
      <c r="CE954" s="18" t="s">
        <v>166</v>
      </c>
      <c r="CF954" s="16" t="s">
        <v>166</v>
      </c>
      <c r="CG954" s="17" t="s">
        <v>166</v>
      </c>
      <c r="CH954" s="16" t="s">
        <v>166</v>
      </c>
      <c r="CI954" s="16" t="s">
        <v>166</v>
      </c>
      <c r="CJ954" s="16" t="s">
        <v>166</v>
      </c>
      <c r="CK954" s="16" t="s">
        <v>166</v>
      </c>
      <c r="CL954" s="16" t="s">
        <v>166</v>
      </c>
      <c r="CM954" s="20" t="s">
        <v>166</v>
      </c>
      <c r="CN954" s="16" t="s">
        <v>166</v>
      </c>
      <c r="CO954" s="16" t="s">
        <v>166</v>
      </c>
      <c r="CP954" s="16" t="s">
        <v>166</v>
      </c>
      <c r="CQ954" s="16" t="s">
        <v>166</v>
      </c>
      <c r="CR954" s="16" t="s">
        <v>166</v>
      </c>
      <c r="CS954" s="16" t="s">
        <v>166</v>
      </c>
      <c r="CT954" s="16" t="s">
        <v>166</v>
      </c>
      <c r="CU954" s="16" t="s">
        <v>166</v>
      </c>
      <c r="CV954" s="16" t="s">
        <v>166</v>
      </c>
      <c r="CW954" s="16" t="s">
        <v>166</v>
      </c>
      <c r="CX954" s="16" t="s">
        <v>166</v>
      </c>
      <c r="CY954" s="16" t="s">
        <v>166</v>
      </c>
      <c r="CZ954" s="16" t="s">
        <v>166</v>
      </c>
      <c r="DA954" s="16" t="s">
        <v>166</v>
      </c>
      <c r="DB954" s="16" t="s">
        <v>166</v>
      </c>
      <c r="DC954" s="16" t="s">
        <v>166</v>
      </c>
      <c r="DD954" s="16" t="s">
        <v>166</v>
      </c>
      <c r="DE954" s="17" t="s">
        <v>166</v>
      </c>
      <c r="DF954" s="22">
        <v>4</v>
      </c>
      <c r="DG954" s="14" t="s">
        <v>4053</v>
      </c>
      <c r="DH954" s="14" t="s">
        <v>193</v>
      </c>
      <c r="DI954" s="14" t="s">
        <v>194</v>
      </c>
      <c r="DJ954" s="14" t="s">
        <v>4054</v>
      </c>
      <c r="DK954" s="14" t="s">
        <v>1063</v>
      </c>
      <c r="DL954" s="21" t="s">
        <v>1233</v>
      </c>
      <c r="DM954" s="14" t="s">
        <v>198</v>
      </c>
      <c r="DN954" s="13" t="s">
        <v>18106</v>
      </c>
      <c r="DO954" s="20">
        <v>2022</v>
      </c>
      <c r="DP954" s="14" t="s">
        <v>166</v>
      </c>
      <c r="DQ954" s="14" t="s">
        <v>166</v>
      </c>
      <c r="DR954" s="18" t="s">
        <v>166</v>
      </c>
      <c r="DS954" s="16" t="s">
        <v>166</v>
      </c>
      <c r="DT954" s="19" t="s">
        <v>166</v>
      </c>
      <c r="DU954" s="14" t="s">
        <v>166</v>
      </c>
      <c r="DV954" s="18" t="s">
        <v>166</v>
      </c>
      <c r="DW954" s="18" t="s">
        <v>166</v>
      </c>
      <c r="DX954" s="16" t="s">
        <v>166</v>
      </c>
      <c r="DY954" s="16" t="s">
        <v>166</v>
      </c>
      <c r="DZ954" s="17" t="s">
        <v>166</v>
      </c>
      <c r="EA954" s="16" t="s">
        <v>166</v>
      </c>
      <c r="EB954" s="16" t="s">
        <v>166</v>
      </c>
      <c r="EC954" s="16" t="s">
        <v>166</v>
      </c>
      <c r="ED954" s="17" t="s">
        <v>166</v>
      </c>
      <c r="EE954" s="17" t="s">
        <v>166</v>
      </c>
      <c r="EF954" s="17" t="s">
        <v>166</v>
      </c>
      <c r="EG954" s="17" t="s">
        <v>166</v>
      </c>
      <c r="EH954" s="16" t="s">
        <v>166</v>
      </c>
      <c r="EI954" s="16" t="s">
        <v>166</v>
      </c>
      <c r="EJ954" s="16" t="s">
        <v>166</v>
      </c>
      <c r="EK954" s="16" t="s">
        <v>166</v>
      </c>
      <c r="EL954" s="16" t="s">
        <v>166</v>
      </c>
      <c r="EM954" s="16" t="s">
        <v>166</v>
      </c>
      <c r="EN954" s="16" t="s">
        <v>166</v>
      </c>
      <c r="EO954" s="16" t="s">
        <v>166</v>
      </c>
      <c r="EP954" s="16" t="s">
        <v>166</v>
      </c>
      <c r="EQ954" s="16" t="s">
        <v>166</v>
      </c>
      <c r="ER954" s="16" t="s">
        <v>166</v>
      </c>
      <c r="ES954" s="16" t="s">
        <v>166</v>
      </c>
      <c r="ET954" s="14" t="s">
        <v>166</v>
      </c>
      <c r="EU954" s="16" t="s">
        <v>166</v>
      </c>
      <c r="EV954" s="16" t="s">
        <v>166</v>
      </c>
      <c r="EW954" s="16" t="s">
        <v>166</v>
      </c>
      <c r="EX954" s="14" t="s">
        <v>190</v>
      </c>
      <c r="EY954" s="14" t="s">
        <v>166</v>
      </c>
      <c r="EZ954" s="16" t="s">
        <v>166</v>
      </c>
      <c r="FA954" s="15" t="s">
        <v>166</v>
      </c>
      <c r="FB954" s="15" t="s">
        <v>166</v>
      </c>
      <c r="FC954" s="15" t="s">
        <v>166</v>
      </c>
      <c r="FD954" s="15" t="s">
        <v>166</v>
      </c>
      <c r="FE954" s="15" t="s">
        <v>166</v>
      </c>
      <c r="FF954" s="15" t="s">
        <v>166</v>
      </c>
      <c r="FG954" s="14" t="s">
        <v>166</v>
      </c>
      <c r="FH954" s="3">
        <f>HYPERLINK("https://my.pitchbook.com?c=226253-26T","View Company Online")</f>
      </c>
    </row>
    <row r="955">
      <c r="A955" s="25" t="s">
        <v>18107</v>
      </c>
      <c r="B955" s="25" t="s">
        <v>18108</v>
      </c>
      <c r="C955" s="25" t="s">
        <v>18109</v>
      </c>
      <c r="D955" s="25" t="s">
        <v>166</v>
      </c>
      <c r="E955" s="34" t="s">
        <v>18110</v>
      </c>
      <c r="F955" s="32">
        <v>2</v>
      </c>
      <c r="G955" s="25" t="s">
        <v>18111</v>
      </c>
      <c r="H955" s="25" t="s">
        <v>166</v>
      </c>
      <c r="I955" s="25" t="s">
        <v>18112</v>
      </c>
      <c r="J955" s="25" t="s">
        <v>18113</v>
      </c>
      <c r="K955" s="25" t="s">
        <v>207</v>
      </c>
      <c r="L955" s="25" t="s">
        <v>208</v>
      </c>
      <c r="M955" s="25" t="s">
        <v>209</v>
      </c>
      <c r="N955" s="25" t="s">
        <v>269</v>
      </c>
      <c r="O955" s="25" t="s">
        <v>665</v>
      </c>
      <c r="P955" s="25" t="s">
        <v>18114</v>
      </c>
      <c r="Q955" s="25" t="s">
        <v>166</v>
      </c>
      <c r="R955" s="25" t="s">
        <v>177</v>
      </c>
      <c r="S955" s="25" t="s">
        <v>178</v>
      </c>
      <c r="T955" s="25" t="s">
        <v>179</v>
      </c>
      <c r="U955" s="25" t="s">
        <v>18115</v>
      </c>
      <c r="V955" s="25" t="s">
        <v>18116</v>
      </c>
      <c r="W955" s="32" t="s">
        <v>18117</v>
      </c>
      <c r="X955" s="25" t="s">
        <v>18118</v>
      </c>
      <c r="Y955" s="25" t="s">
        <v>18119</v>
      </c>
      <c r="Z955" s="25" t="s">
        <v>18120</v>
      </c>
      <c r="AA955" s="25" t="s">
        <v>166</v>
      </c>
      <c r="AB955" s="25" t="s">
        <v>166</v>
      </c>
      <c r="AC955" s="25" t="s">
        <v>166</v>
      </c>
      <c r="AD955" s="25" t="s">
        <v>166</v>
      </c>
      <c r="AE955" s="25" t="s">
        <v>166</v>
      </c>
      <c r="AF955" s="25" t="s">
        <v>166</v>
      </c>
      <c r="AG955" s="25" t="s">
        <v>166</v>
      </c>
      <c r="AH955" s="32">
        <v>7</v>
      </c>
      <c r="AI955" s="4">
        <f>HYPERLINK("https://my.pitchbook.com/?d=182140-48T","182140-48T")</f>
      </c>
      <c r="AJ955" s="30" t="s">
        <v>166</v>
      </c>
      <c r="AK955" s="30">
        <v>44470</v>
      </c>
      <c r="AL955" s="29">
        <v>0.11</v>
      </c>
      <c r="AM955" s="25" t="s">
        <v>185</v>
      </c>
      <c r="AN955" s="29" t="s">
        <v>166</v>
      </c>
      <c r="AO955" s="29" t="s">
        <v>166</v>
      </c>
      <c r="AP955" s="25" t="s">
        <v>166</v>
      </c>
      <c r="AQ955" s="32" t="s">
        <v>166</v>
      </c>
      <c r="AR955" s="32" t="s">
        <v>166</v>
      </c>
      <c r="AS955" s="28" t="s">
        <v>166</v>
      </c>
      <c r="AT955" s="29">
        <v>0.23</v>
      </c>
      <c r="AU955" s="32" t="s">
        <v>186</v>
      </c>
      <c r="AV955" s="32" t="s">
        <v>166</v>
      </c>
      <c r="AW955" s="29" t="s">
        <v>166</v>
      </c>
      <c r="AX955" s="32" t="s">
        <v>166</v>
      </c>
      <c r="AY955" s="25" t="s">
        <v>187</v>
      </c>
      <c r="AZ955" s="25" t="s">
        <v>166</v>
      </c>
      <c r="BA955" s="25" t="s">
        <v>166</v>
      </c>
      <c r="BB955" s="32" t="s">
        <v>166</v>
      </c>
      <c r="BC955" s="25" t="s">
        <v>179</v>
      </c>
      <c r="BD955" s="25" t="s">
        <v>18121</v>
      </c>
      <c r="BE955" s="25" t="s">
        <v>189</v>
      </c>
      <c r="BF955" s="29">
        <v>0.11</v>
      </c>
      <c r="BG955" s="25" t="s">
        <v>190</v>
      </c>
      <c r="BH955" s="25" t="s">
        <v>166</v>
      </c>
      <c r="BI955" s="25" t="s">
        <v>166</v>
      </c>
      <c r="BJ955" s="29" t="s">
        <v>166</v>
      </c>
      <c r="BK955" s="29" t="s">
        <v>166</v>
      </c>
      <c r="BL955" s="25" t="s">
        <v>191</v>
      </c>
      <c r="BM955" s="25" t="s">
        <v>178</v>
      </c>
      <c r="BN955" s="25" t="s">
        <v>177</v>
      </c>
      <c r="BO955" s="33" t="s">
        <v>166</v>
      </c>
      <c r="BP955" s="25" t="s">
        <v>18110</v>
      </c>
      <c r="BQ955" s="32">
        <v>2</v>
      </c>
      <c r="BR955" s="25" t="s">
        <v>166</v>
      </c>
      <c r="BS955" s="32" t="s">
        <v>166</v>
      </c>
      <c r="BT955" s="25" t="s">
        <v>166</v>
      </c>
      <c r="BU955" s="25" t="s">
        <v>166</v>
      </c>
      <c r="BV955" s="25" t="s">
        <v>3519</v>
      </c>
      <c r="BW955" s="25" t="s">
        <v>166</v>
      </c>
      <c r="BX955" s="25" t="s">
        <v>166</v>
      </c>
      <c r="BY955" s="25" t="s">
        <v>166</v>
      </c>
      <c r="BZ955" s="25" t="s">
        <v>166</v>
      </c>
      <c r="CA955" s="25" t="s">
        <v>166</v>
      </c>
      <c r="CB955" s="25" t="s">
        <v>166</v>
      </c>
      <c r="CC955" s="25" t="s">
        <v>166</v>
      </c>
      <c r="CD955" s="25" t="s">
        <v>166</v>
      </c>
      <c r="CE955" s="29" t="s">
        <v>166</v>
      </c>
      <c r="CF955" s="27" t="s">
        <v>166</v>
      </c>
      <c r="CG955" s="28" t="s">
        <v>166</v>
      </c>
      <c r="CH955" s="27" t="s">
        <v>166</v>
      </c>
      <c r="CI955" s="27" t="s">
        <v>166</v>
      </c>
      <c r="CJ955" s="27" t="s">
        <v>166</v>
      </c>
      <c r="CK955" s="27" t="s">
        <v>166</v>
      </c>
      <c r="CL955" s="27" t="s">
        <v>166</v>
      </c>
      <c r="CM955" s="31" t="s">
        <v>166</v>
      </c>
      <c r="CN955" s="27" t="s">
        <v>166</v>
      </c>
      <c r="CO955" s="27" t="s">
        <v>166</v>
      </c>
      <c r="CP955" s="27" t="s">
        <v>166</v>
      </c>
      <c r="CQ955" s="27" t="s">
        <v>166</v>
      </c>
      <c r="CR955" s="27" t="s">
        <v>166</v>
      </c>
      <c r="CS955" s="27" t="s">
        <v>166</v>
      </c>
      <c r="CT955" s="27" t="s">
        <v>166</v>
      </c>
      <c r="CU955" s="27" t="s">
        <v>166</v>
      </c>
      <c r="CV955" s="27" t="s">
        <v>166</v>
      </c>
      <c r="CW955" s="27" t="s">
        <v>166</v>
      </c>
      <c r="CX955" s="27" t="s">
        <v>166</v>
      </c>
      <c r="CY955" s="27" t="s">
        <v>166</v>
      </c>
      <c r="CZ955" s="27" t="s">
        <v>166</v>
      </c>
      <c r="DA955" s="27" t="s">
        <v>166</v>
      </c>
      <c r="DB955" s="27" t="s">
        <v>166</v>
      </c>
      <c r="DC955" s="27" t="s">
        <v>166</v>
      </c>
      <c r="DD955" s="27" t="s">
        <v>166</v>
      </c>
      <c r="DE955" s="28" t="s">
        <v>166</v>
      </c>
      <c r="DF955" s="33">
        <v>6</v>
      </c>
      <c r="DG955" s="25" t="s">
        <v>13907</v>
      </c>
      <c r="DH955" s="25" t="s">
        <v>193</v>
      </c>
      <c r="DI955" s="25" t="s">
        <v>194</v>
      </c>
      <c r="DJ955" s="25" t="s">
        <v>13908</v>
      </c>
      <c r="DK955" s="25" t="s">
        <v>3521</v>
      </c>
      <c r="DL955" s="32" t="s">
        <v>18122</v>
      </c>
      <c r="DM955" s="25" t="s">
        <v>198</v>
      </c>
      <c r="DN955" s="24" t="s">
        <v>18123</v>
      </c>
      <c r="DO955" s="31">
        <v>2018</v>
      </c>
      <c r="DP955" s="25" t="s">
        <v>166</v>
      </c>
      <c r="DQ955" s="25" t="s">
        <v>166</v>
      </c>
      <c r="DR955" s="29" t="s">
        <v>166</v>
      </c>
      <c r="DS955" s="27" t="s">
        <v>166</v>
      </c>
      <c r="DT955" s="30" t="s">
        <v>166</v>
      </c>
      <c r="DU955" s="25" t="s">
        <v>166</v>
      </c>
      <c r="DV955" s="29" t="s">
        <v>166</v>
      </c>
      <c r="DW955" s="29" t="s">
        <v>166</v>
      </c>
      <c r="DX955" s="27" t="s">
        <v>166</v>
      </c>
      <c r="DY955" s="27" t="s">
        <v>166</v>
      </c>
      <c r="DZ955" s="28" t="s">
        <v>166</v>
      </c>
      <c r="EA955" s="27" t="s">
        <v>166</v>
      </c>
      <c r="EB955" s="27" t="s">
        <v>166</v>
      </c>
      <c r="EC955" s="27" t="s">
        <v>166</v>
      </c>
      <c r="ED955" s="28" t="s">
        <v>166</v>
      </c>
      <c r="EE955" s="28" t="s">
        <v>166</v>
      </c>
      <c r="EF955" s="28" t="s">
        <v>166</v>
      </c>
      <c r="EG955" s="28" t="s">
        <v>166</v>
      </c>
      <c r="EH955" s="27" t="s">
        <v>166</v>
      </c>
      <c r="EI955" s="27" t="s">
        <v>166</v>
      </c>
      <c r="EJ955" s="27" t="s">
        <v>166</v>
      </c>
      <c r="EK955" s="27" t="s">
        <v>166</v>
      </c>
      <c r="EL955" s="27" t="s">
        <v>166</v>
      </c>
      <c r="EM955" s="27" t="s">
        <v>166</v>
      </c>
      <c r="EN955" s="27" t="s">
        <v>166</v>
      </c>
      <c r="EO955" s="27" t="s">
        <v>166</v>
      </c>
      <c r="EP955" s="27" t="s">
        <v>166</v>
      </c>
      <c r="EQ955" s="27" t="s">
        <v>166</v>
      </c>
      <c r="ER955" s="27" t="s">
        <v>166</v>
      </c>
      <c r="ES955" s="27" t="s">
        <v>166</v>
      </c>
      <c r="ET955" s="25" t="s">
        <v>166</v>
      </c>
      <c r="EU955" s="27" t="s">
        <v>166</v>
      </c>
      <c r="EV955" s="27" t="s">
        <v>166</v>
      </c>
      <c r="EW955" s="27" t="s">
        <v>166</v>
      </c>
      <c r="EX955" s="25" t="s">
        <v>190</v>
      </c>
      <c r="EY955" s="25" t="s">
        <v>166</v>
      </c>
      <c r="EZ955" s="27" t="s">
        <v>166</v>
      </c>
      <c r="FA955" s="26" t="s">
        <v>166</v>
      </c>
      <c r="FB955" s="26" t="s">
        <v>166</v>
      </c>
      <c r="FC955" s="26" t="s">
        <v>166</v>
      </c>
      <c r="FD955" s="26" t="s">
        <v>166</v>
      </c>
      <c r="FE955" s="26" t="s">
        <v>166</v>
      </c>
      <c r="FF955" s="26" t="s">
        <v>166</v>
      </c>
      <c r="FG955" s="25" t="s">
        <v>166</v>
      </c>
      <c r="FH955" s="4">
        <f>HYPERLINK("https://my.pitchbook.com?c=182140-48T","View Company Online")</f>
      </c>
    </row>
    <row r="956">
      <c r="A956" s="14" t="s">
        <v>18124</v>
      </c>
      <c r="B956" s="14" t="s">
        <v>18125</v>
      </c>
      <c r="C956" s="14" t="s">
        <v>18126</v>
      </c>
      <c r="D956" s="14" t="s">
        <v>166</v>
      </c>
      <c r="E956" s="23" t="s">
        <v>18127</v>
      </c>
      <c r="F956" s="21">
        <v>4</v>
      </c>
      <c r="G956" s="14" t="s">
        <v>18128</v>
      </c>
      <c r="H956" s="14" t="s">
        <v>166</v>
      </c>
      <c r="I956" s="14" t="s">
        <v>18129</v>
      </c>
      <c r="J956" s="14" t="s">
        <v>18130</v>
      </c>
      <c r="K956" s="14" t="s">
        <v>207</v>
      </c>
      <c r="L956" s="14" t="s">
        <v>208</v>
      </c>
      <c r="M956" s="14" t="s">
        <v>839</v>
      </c>
      <c r="N956" s="14" t="s">
        <v>18131</v>
      </c>
      <c r="O956" s="14" t="s">
        <v>18132</v>
      </c>
      <c r="P956" s="14" t="s">
        <v>18133</v>
      </c>
      <c r="Q956" s="14" t="s">
        <v>8717</v>
      </c>
      <c r="R956" s="14" t="s">
        <v>177</v>
      </c>
      <c r="S956" s="14" t="s">
        <v>178</v>
      </c>
      <c r="T956" s="14" t="s">
        <v>179</v>
      </c>
      <c r="U956" s="14" t="s">
        <v>18134</v>
      </c>
      <c r="V956" s="14" t="s">
        <v>18135</v>
      </c>
      <c r="W956" s="21" t="s">
        <v>18136</v>
      </c>
      <c r="X956" s="14" t="s">
        <v>166</v>
      </c>
      <c r="Y956" s="14" t="s">
        <v>18137</v>
      </c>
      <c r="Z956" s="14" t="s">
        <v>18138</v>
      </c>
      <c r="AA956" s="14" t="s">
        <v>166</v>
      </c>
      <c r="AB956" s="14" t="s">
        <v>166</v>
      </c>
      <c r="AC956" s="14" t="s">
        <v>166</v>
      </c>
      <c r="AD956" s="14" t="s">
        <v>166</v>
      </c>
      <c r="AE956" s="14" t="s">
        <v>166</v>
      </c>
      <c r="AF956" s="14" t="s">
        <v>166</v>
      </c>
      <c r="AG956" s="14" t="s">
        <v>166</v>
      </c>
      <c r="AH956" s="21">
        <v>1</v>
      </c>
      <c r="AI956" s="3">
        <f>HYPERLINK("https://my.pitchbook.com/?d=139888-00T","139888-00T")</f>
      </c>
      <c r="AJ956" s="19">
        <v>44687</v>
      </c>
      <c r="AK956" s="19">
        <v>45099</v>
      </c>
      <c r="AL956" s="18">
        <v>1.76</v>
      </c>
      <c r="AM956" s="14" t="s">
        <v>185</v>
      </c>
      <c r="AN956" s="18" t="s">
        <v>166</v>
      </c>
      <c r="AO956" s="18" t="s">
        <v>166</v>
      </c>
      <c r="AP956" s="14" t="s">
        <v>166</v>
      </c>
      <c r="AQ956" s="21" t="s">
        <v>166</v>
      </c>
      <c r="AR956" s="21" t="s">
        <v>166</v>
      </c>
      <c r="AS956" s="17" t="s">
        <v>166</v>
      </c>
      <c r="AT956" s="18">
        <v>1.76</v>
      </c>
      <c r="AU956" s="21" t="s">
        <v>186</v>
      </c>
      <c r="AV956" s="21" t="s">
        <v>166</v>
      </c>
      <c r="AW956" s="18" t="s">
        <v>166</v>
      </c>
      <c r="AX956" s="21" t="s">
        <v>166</v>
      </c>
      <c r="AY956" s="14" t="s">
        <v>217</v>
      </c>
      <c r="AZ956" s="14" t="s">
        <v>217</v>
      </c>
      <c r="BA956" s="14" t="s">
        <v>166</v>
      </c>
      <c r="BB956" s="21" t="s">
        <v>166</v>
      </c>
      <c r="BC956" s="14" t="s">
        <v>179</v>
      </c>
      <c r="BD956" s="14" t="s">
        <v>18130</v>
      </c>
      <c r="BE956" s="14" t="s">
        <v>189</v>
      </c>
      <c r="BF956" s="18">
        <v>1.76</v>
      </c>
      <c r="BG956" s="14" t="s">
        <v>190</v>
      </c>
      <c r="BH956" s="14" t="s">
        <v>166</v>
      </c>
      <c r="BI956" s="14" t="s">
        <v>166</v>
      </c>
      <c r="BJ956" s="18" t="s">
        <v>166</v>
      </c>
      <c r="BK956" s="18" t="s">
        <v>166</v>
      </c>
      <c r="BL956" s="14" t="s">
        <v>191</v>
      </c>
      <c r="BM956" s="14" t="s">
        <v>358</v>
      </c>
      <c r="BN956" s="14" t="s">
        <v>177</v>
      </c>
      <c r="BO956" s="22" t="s">
        <v>166</v>
      </c>
      <c r="BP956" s="14" t="s">
        <v>18139</v>
      </c>
      <c r="BQ956" s="21">
        <v>4</v>
      </c>
      <c r="BR956" s="14" t="s">
        <v>166</v>
      </c>
      <c r="BS956" s="21" t="s">
        <v>166</v>
      </c>
      <c r="BT956" s="14" t="s">
        <v>166</v>
      </c>
      <c r="BU956" s="14" t="s">
        <v>166</v>
      </c>
      <c r="BV956" s="14" t="s">
        <v>166</v>
      </c>
      <c r="BW956" s="14" t="s">
        <v>166</v>
      </c>
      <c r="BX956" s="14" t="s">
        <v>166</v>
      </c>
      <c r="BY956" s="14" t="s">
        <v>166</v>
      </c>
      <c r="BZ956" s="14" t="s">
        <v>166</v>
      </c>
      <c r="CA956" s="14" t="s">
        <v>166</v>
      </c>
      <c r="CB956" s="14" t="s">
        <v>166</v>
      </c>
      <c r="CC956" s="14" t="s">
        <v>166</v>
      </c>
      <c r="CD956" s="14" t="s">
        <v>166</v>
      </c>
      <c r="CE956" s="18" t="s">
        <v>166</v>
      </c>
      <c r="CF956" s="16" t="s">
        <v>166</v>
      </c>
      <c r="CG956" s="17" t="s">
        <v>166</v>
      </c>
      <c r="CH956" s="16" t="s">
        <v>166</v>
      </c>
      <c r="CI956" s="16" t="s">
        <v>166</v>
      </c>
      <c r="CJ956" s="16" t="s">
        <v>166</v>
      </c>
      <c r="CK956" s="16" t="s">
        <v>166</v>
      </c>
      <c r="CL956" s="16" t="s">
        <v>166</v>
      </c>
      <c r="CM956" s="20" t="s">
        <v>166</v>
      </c>
      <c r="CN956" s="16" t="s">
        <v>166</v>
      </c>
      <c r="CO956" s="16" t="s">
        <v>166</v>
      </c>
      <c r="CP956" s="16" t="s">
        <v>166</v>
      </c>
      <c r="CQ956" s="16" t="s">
        <v>166</v>
      </c>
      <c r="CR956" s="16" t="s">
        <v>166</v>
      </c>
      <c r="CS956" s="16" t="s">
        <v>166</v>
      </c>
      <c r="CT956" s="16" t="s">
        <v>166</v>
      </c>
      <c r="CU956" s="16" t="s">
        <v>166</v>
      </c>
      <c r="CV956" s="16" t="s">
        <v>166</v>
      </c>
      <c r="CW956" s="16" t="s">
        <v>166</v>
      </c>
      <c r="CX956" s="16" t="s">
        <v>166</v>
      </c>
      <c r="CY956" s="16" t="s">
        <v>166</v>
      </c>
      <c r="CZ956" s="16" t="s">
        <v>166</v>
      </c>
      <c r="DA956" s="16" t="s">
        <v>166</v>
      </c>
      <c r="DB956" s="16" t="s">
        <v>166</v>
      </c>
      <c r="DC956" s="16" t="s">
        <v>166</v>
      </c>
      <c r="DD956" s="16" t="s">
        <v>166</v>
      </c>
      <c r="DE956" s="17" t="s">
        <v>166</v>
      </c>
      <c r="DF956" s="22" t="s">
        <v>166</v>
      </c>
      <c r="DG956" s="14" t="s">
        <v>360</v>
      </c>
      <c r="DH956" s="14" t="s">
        <v>193</v>
      </c>
      <c r="DI956" s="14" t="s">
        <v>194</v>
      </c>
      <c r="DJ956" s="14" t="s">
        <v>361</v>
      </c>
      <c r="DK956" s="14" t="s">
        <v>196</v>
      </c>
      <c r="DL956" s="21" t="s">
        <v>1285</v>
      </c>
      <c r="DM956" s="14" t="s">
        <v>198</v>
      </c>
      <c r="DN956" s="13" t="s">
        <v>18140</v>
      </c>
      <c r="DO956" s="20">
        <v>2020</v>
      </c>
      <c r="DP956" s="14" t="s">
        <v>166</v>
      </c>
      <c r="DQ956" s="14" t="s">
        <v>166</v>
      </c>
      <c r="DR956" s="18" t="s">
        <v>166</v>
      </c>
      <c r="DS956" s="16" t="s">
        <v>166</v>
      </c>
      <c r="DT956" s="19" t="s">
        <v>166</v>
      </c>
      <c r="DU956" s="14" t="s">
        <v>166</v>
      </c>
      <c r="DV956" s="18" t="s">
        <v>166</v>
      </c>
      <c r="DW956" s="18" t="s">
        <v>166</v>
      </c>
      <c r="DX956" s="16" t="s">
        <v>166</v>
      </c>
      <c r="DY956" s="16" t="s">
        <v>166</v>
      </c>
      <c r="DZ956" s="17" t="s">
        <v>166</v>
      </c>
      <c r="EA956" s="16" t="s">
        <v>166</v>
      </c>
      <c r="EB956" s="16" t="s">
        <v>166</v>
      </c>
      <c r="EC956" s="16" t="s">
        <v>166</v>
      </c>
      <c r="ED956" s="17" t="s">
        <v>166</v>
      </c>
      <c r="EE956" s="17" t="s">
        <v>166</v>
      </c>
      <c r="EF956" s="17" t="s">
        <v>166</v>
      </c>
      <c r="EG956" s="17" t="s">
        <v>166</v>
      </c>
      <c r="EH956" s="16" t="s">
        <v>166</v>
      </c>
      <c r="EI956" s="16" t="s">
        <v>166</v>
      </c>
      <c r="EJ956" s="16" t="s">
        <v>166</v>
      </c>
      <c r="EK956" s="16" t="s">
        <v>166</v>
      </c>
      <c r="EL956" s="16" t="s">
        <v>166</v>
      </c>
      <c r="EM956" s="16" t="s">
        <v>166</v>
      </c>
      <c r="EN956" s="16" t="s">
        <v>166</v>
      </c>
      <c r="EO956" s="16" t="s">
        <v>166</v>
      </c>
      <c r="EP956" s="16" t="s">
        <v>166</v>
      </c>
      <c r="EQ956" s="16" t="s">
        <v>166</v>
      </c>
      <c r="ER956" s="16" t="s">
        <v>166</v>
      </c>
      <c r="ES956" s="16" t="s">
        <v>166</v>
      </c>
      <c r="ET956" s="14" t="s">
        <v>166</v>
      </c>
      <c r="EU956" s="16" t="s">
        <v>166</v>
      </c>
      <c r="EV956" s="16" t="s">
        <v>166</v>
      </c>
      <c r="EW956" s="16" t="s">
        <v>166</v>
      </c>
      <c r="EX956" s="14" t="s">
        <v>190</v>
      </c>
      <c r="EY956" s="14" t="s">
        <v>166</v>
      </c>
      <c r="EZ956" s="16" t="s">
        <v>166</v>
      </c>
      <c r="FA956" s="15" t="s">
        <v>166</v>
      </c>
      <c r="FB956" s="15" t="s">
        <v>166</v>
      </c>
      <c r="FC956" s="15" t="s">
        <v>166</v>
      </c>
      <c r="FD956" s="15" t="s">
        <v>166</v>
      </c>
      <c r="FE956" s="15" t="s">
        <v>166</v>
      </c>
      <c r="FF956" s="15" t="s">
        <v>166</v>
      </c>
      <c r="FG956" s="14" t="s">
        <v>166</v>
      </c>
      <c r="FH956" s="3">
        <f>HYPERLINK("https://my.pitchbook.com?c=139888-00T","View Company Online")</f>
      </c>
    </row>
    <row r="957">
      <c r="A957" s="25" t="s">
        <v>18141</v>
      </c>
      <c r="B957" s="25" t="s">
        <v>18142</v>
      </c>
      <c r="C957" s="25" t="s">
        <v>18143</v>
      </c>
      <c r="D957" s="25" t="s">
        <v>166</v>
      </c>
      <c r="E957" s="34" t="s">
        <v>18144</v>
      </c>
      <c r="F957" s="32">
        <v>4</v>
      </c>
      <c r="G957" s="25" t="s">
        <v>18145</v>
      </c>
      <c r="H957" s="25" t="s">
        <v>166</v>
      </c>
      <c r="I957" s="25" t="s">
        <v>18146</v>
      </c>
      <c r="J957" s="25" t="s">
        <v>18147</v>
      </c>
      <c r="K957" s="25" t="s">
        <v>321</v>
      </c>
      <c r="L957" s="25" t="s">
        <v>322</v>
      </c>
      <c r="M957" s="25" t="s">
        <v>322</v>
      </c>
      <c r="N957" s="25" t="s">
        <v>18148</v>
      </c>
      <c r="O957" s="25" t="s">
        <v>325</v>
      </c>
      <c r="P957" s="25" t="s">
        <v>18149</v>
      </c>
      <c r="Q957" s="25" t="s">
        <v>166</v>
      </c>
      <c r="R957" s="25" t="s">
        <v>177</v>
      </c>
      <c r="S957" s="25" t="s">
        <v>785</v>
      </c>
      <c r="T957" s="25" t="s">
        <v>179</v>
      </c>
      <c r="U957" s="25" t="s">
        <v>18150</v>
      </c>
      <c r="V957" s="25" t="s">
        <v>18151</v>
      </c>
      <c r="W957" s="32" t="s">
        <v>18152</v>
      </c>
      <c r="X957" s="25" t="s">
        <v>18153</v>
      </c>
      <c r="Y957" s="25" t="s">
        <v>18154</v>
      </c>
      <c r="Z957" s="25" t="s">
        <v>166</v>
      </c>
      <c r="AA957" s="25" t="s">
        <v>166</v>
      </c>
      <c r="AB957" s="25" t="s">
        <v>166</v>
      </c>
      <c r="AC957" s="25" t="s">
        <v>166</v>
      </c>
      <c r="AD957" s="25" t="s">
        <v>166</v>
      </c>
      <c r="AE957" s="25" t="s">
        <v>166</v>
      </c>
      <c r="AF957" s="25" t="s">
        <v>166</v>
      </c>
      <c r="AG957" s="25" t="s">
        <v>166</v>
      </c>
      <c r="AH957" s="32">
        <v>1</v>
      </c>
      <c r="AI957" s="4">
        <f>HYPERLINK("https://my.pitchbook.com/?d=251543-62T","251543-62T")</f>
      </c>
      <c r="AJ957" s="30">
        <v>44927</v>
      </c>
      <c r="AK957" s="30">
        <v>45344</v>
      </c>
      <c r="AL957" s="29">
        <v>1</v>
      </c>
      <c r="AM957" s="25" t="s">
        <v>247</v>
      </c>
      <c r="AN957" s="29" t="s">
        <v>166</v>
      </c>
      <c r="AO957" s="29" t="s">
        <v>166</v>
      </c>
      <c r="AP957" s="25" t="s">
        <v>166</v>
      </c>
      <c r="AQ957" s="32" t="s">
        <v>166</v>
      </c>
      <c r="AR957" s="32" t="s">
        <v>166</v>
      </c>
      <c r="AS957" s="28" t="s">
        <v>166</v>
      </c>
      <c r="AT957" s="29">
        <v>1</v>
      </c>
      <c r="AU957" s="32" t="s">
        <v>186</v>
      </c>
      <c r="AV957" s="32" t="s">
        <v>166</v>
      </c>
      <c r="AW957" s="29" t="s">
        <v>166</v>
      </c>
      <c r="AX957" s="32" t="s">
        <v>166</v>
      </c>
      <c r="AY957" s="25" t="s">
        <v>217</v>
      </c>
      <c r="AZ957" s="25" t="s">
        <v>217</v>
      </c>
      <c r="BA957" s="25" t="s">
        <v>166</v>
      </c>
      <c r="BB957" s="32" t="s">
        <v>166</v>
      </c>
      <c r="BC957" s="25" t="s">
        <v>179</v>
      </c>
      <c r="BD957" s="25" t="s">
        <v>18147</v>
      </c>
      <c r="BE957" s="25" t="s">
        <v>189</v>
      </c>
      <c r="BF957" s="29">
        <v>1</v>
      </c>
      <c r="BG957" s="25" t="s">
        <v>190</v>
      </c>
      <c r="BH957" s="25" t="s">
        <v>166</v>
      </c>
      <c r="BI957" s="25" t="s">
        <v>166</v>
      </c>
      <c r="BJ957" s="29" t="s">
        <v>166</v>
      </c>
      <c r="BK957" s="29" t="s">
        <v>166</v>
      </c>
      <c r="BL957" s="25" t="s">
        <v>191</v>
      </c>
      <c r="BM957" s="25" t="s">
        <v>785</v>
      </c>
      <c r="BN957" s="25" t="s">
        <v>177</v>
      </c>
      <c r="BO957" s="33" t="s">
        <v>166</v>
      </c>
      <c r="BP957" s="25" t="s">
        <v>18144</v>
      </c>
      <c r="BQ957" s="32">
        <v>4</v>
      </c>
      <c r="BR957" s="25" t="s">
        <v>166</v>
      </c>
      <c r="BS957" s="32" t="s">
        <v>166</v>
      </c>
      <c r="BT957" s="25" t="s">
        <v>166</v>
      </c>
      <c r="BU957" s="25" t="s">
        <v>166</v>
      </c>
      <c r="BV957" s="25" t="s">
        <v>14761</v>
      </c>
      <c r="BW957" s="25" t="s">
        <v>166</v>
      </c>
      <c r="BX957" s="25" t="s">
        <v>166</v>
      </c>
      <c r="BY957" s="25" t="s">
        <v>166</v>
      </c>
      <c r="BZ957" s="25" t="s">
        <v>166</v>
      </c>
      <c r="CA957" s="25" t="s">
        <v>166</v>
      </c>
      <c r="CB957" s="25" t="s">
        <v>166</v>
      </c>
      <c r="CC957" s="25" t="s">
        <v>166</v>
      </c>
      <c r="CD957" s="25" t="s">
        <v>166</v>
      </c>
      <c r="CE957" s="29" t="s">
        <v>166</v>
      </c>
      <c r="CF957" s="27" t="s">
        <v>166</v>
      </c>
      <c r="CG957" s="28" t="s">
        <v>166</v>
      </c>
      <c r="CH957" s="27" t="s">
        <v>166</v>
      </c>
      <c r="CI957" s="27" t="s">
        <v>166</v>
      </c>
      <c r="CJ957" s="27" t="s">
        <v>166</v>
      </c>
      <c r="CK957" s="27" t="s">
        <v>166</v>
      </c>
      <c r="CL957" s="27" t="s">
        <v>166</v>
      </c>
      <c r="CM957" s="31" t="s">
        <v>166</v>
      </c>
      <c r="CN957" s="27" t="s">
        <v>166</v>
      </c>
      <c r="CO957" s="27" t="s">
        <v>166</v>
      </c>
      <c r="CP957" s="27" t="s">
        <v>166</v>
      </c>
      <c r="CQ957" s="27" t="s">
        <v>166</v>
      </c>
      <c r="CR957" s="27" t="s">
        <v>166</v>
      </c>
      <c r="CS957" s="27" t="s">
        <v>166</v>
      </c>
      <c r="CT957" s="27" t="s">
        <v>166</v>
      </c>
      <c r="CU957" s="27" t="s">
        <v>166</v>
      </c>
      <c r="CV957" s="27" t="s">
        <v>166</v>
      </c>
      <c r="CW957" s="27" t="s">
        <v>166</v>
      </c>
      <c r="CX957" s="27" t="s">
        <v>166</v>
      </c>
      <c r="CY957" s="27" t="s">
        <v>166</v>
      </c>
      <c r="CZ957" s="27" t="s">
        <v>166</v>
      </c>
      <c r="DA957" s="27" t="s">
        <v>166</v>
      </c>
      <c r="DB957" s="27" t="s">
        <v>166</v>
      </c>
      <c r="DC957" s="27" t="s">
        <v>166</v>
      </c>
      <c r="DD957" s="27" t="s">
        <v>166</v>
      </c>
      <c r="DE957" s="28" t="s">
        <v>166</v>
      </c>
      <c r="DF957" s="33">
        <v>9</v>
      </c>
      <c r="DG957" s="25" t="s">
        <v>18155</v>
      </c>
      <c r="DH957" s="25" t="s">
        <v>193</v>
      </c>
      <c r="DI957" s="25" t="s">
        <v>194</v>
      </c>
      <c r="DJ957" s="25" t="s">
        <v>18156</v>
      </c>
      <c r="DK957" s="25" t="s">
        <v>545</v>
      </c>
      <c r="DL957" s="32" t="s">
        <v>18157</v>
      </c>
      <c r="DM957" s="25" t="s">
        <v>198</v>
      </c>
      <c r="DN957" s="24" t="s">
        <v>18158</v>
      </c>
      <c r="DO957" s="31">
        <v>2021</v>
      </c>
      <c r="DP957" s="25" t="s">
        <v>166</v>
      </c>
      <c r="DQ957" s="25" t="s">
        <v>166</v>
      </c>
      <c r="DR957" s="29" t="s">
        <v>166</v>
      </c>
      <c r="DS957" s="27" t="s">
        <v>166</v>
      </c>
      <c r="DT957" s="30" t="s">
        <v>166</v>
      </c>
      <c r="DU957" s="25" t="s">
        <v>166</v>
      </c>
      <c r="DV957" s="29" t="s">
        <v>166</v>
      </c>
      <c r="DW957" s="29" t="s">
        <v>166</v>
      </c>
      <c r="DX957" s="27" t="s">
        <v>166</v>
      </c>
      <c r="DY957" s="27" t="s">
        <v>166</v>
      </c>
      <c r="DZ957" s="28" t="s">
        <v>166</v>
      </c>
      <c r="EA957" s="27" t="s">
        <v>166</v>
      </c>
      <c r="EB957" s="27" t="s">
        <v>166</v>
      </c>
      <c r="EC957" s="27" t="s">
        <v>166</v>
      </c>
      <c r="ED957" s="28" t="s">
        <v>166</v>
      </c>
      <c r="EE957" s="28" t="s">
        <v>166</v>
      </c>
      <c r="EF957" s="28" t="s">
        <v>166</v>
      </c>
      <c r="EG957" s="28" t="s">
        <v>166</v>
      </c>
      <c r="EH957" s="27" t="s">
        <v>166</v>
      </c>
      <c r="EI957" s="27" t="s">
        <v>166</v>
      </c>
      <c r="EJ957" s="27" t="s">
        <v>166</v>
      </c>
      <c r="EK957" s="27" t="s">
        <v>166</v>
      </c>
      <c r="EL957" s="27" t="s">
        <v>166</v>
      </c>
      <c r="EM957" s="27" t="s">
        <v>166</v>
      </c>
      <c r="EN957" s="27" t="s">
        <v>166</v>
      </c>
      <c r="EO957" s="27" t="s">
        <v>166</v>
      </c>
      <c r="EP957" s="27" t="s">
        <v>166</v>
      </c>
      <c r="EQ957" s="27" t="s">
        <v>166</v>
      </c>
      <c r="ER957" s="27" t="s">
        <v>166</v>
      </c>
      <c r="ES957" s="27" t="s">
        <v>166</v>
      </c>
      <c r="ET957" s="25" t="s">
        <v>166</v>
      </c>
      <c r="EU957" s="27" t="s">
        <v>166</v>
      </c>
      <c r="EV957" s="27" t="s">
        <v>166</v>
      </c>
      <c r="EW957" s="27" t="s">
        <v>166</v>
      </c>
      <c r="EX957" s="25" t="s">
        <v>190</v>
      </c>
      <c r="EY957" s="25" t="s">
        <v>166</v>
      </c>
      <c r="EZ957" s="27" t="s">
        <v>166</v>
      </c>
      <c r="FA957" s="26" t="s">
        <v>166</v>
      </c>
      <c r="FB957" s="26" t="s">
        <v>166</v>
      </c>
      <c r="FC957" s="26" t="s">
        <v>166</v>
      </c>
      <c r="FD957" s="26" t="s">
        <v>166</v>
      </c>
      <c r="FE957" s="26" t="s">
        <v>166</v>
      </c>
      <c r="FF957" s="26" t="s">
        <v>166</v>
      </c>
      <c r="FG957" s="25" t="s">
        <v>166</v>
      </c>
      <c r="FH957" s="4">
        <f>HYPERLINK("https://my.pitchbook.com?c=251543-62T","View Company Online")</f>
      </c>
    </row>
    <row r="958">
      <c r="A958" s="14" t="s">
        <v>18159</v>
      </c>
      <c r="B958" s="14" t="s">
        <v>18160</v>
      </c>
      <c r="C958" s="14" t="s">
        <v>18161</v>
      </c>
      <c r="D958" s="14" t="s">
        <v>166</v>
      </c>
      <c r="E958" s="23" t="s">
        <v>18162</v>
      </c>
      <c r="F958" s="21">
        <v>2</v>
      </c>
      <c r="G958" s="14" t="s">
        <v>18163</v>
      </c>
      <c r="H958" s="14" t="s">
        <v>166</v>
      </c>
      <c r="I958" s="14" t="s">
        <v>18164</v>
      </c>
      <c r="J958" s="14" t="s">
        <v>18165</v>
      </c>
      <c r="K958" s="14" t="s">
        <v>207</v>
      </c>
      <c r="L958" s="14" t="s">
        <v>208</v>
      </c>
      <c r="M958" s="14" t="s">
        <v>296</v>
      </c>
      <c r="N958" s="14" t="s">
        <v>2621</v>
      </c>
      <c r="O958" s="14" t="s">
        <v>325</v>
      </c>
      <c r="P958" s="14" t="s">
        <v>18166</v>
      </c>
      <c r="Q958" s="14" t="s">
        <v>166</v>
      </c>
      <c r="R958" s="14" t="s">
        <v>177</v>
      </c>
      <c r="S958" s="14" t="s">
        <v>178</v>
      </c>
      <c r="T958" s="14" t="s">
        <v>179</v>
      </c>
      <c r="U958" s="14" t="s">
        <v>18167</v>
      </c>
      <c r="V958" s="14" t="s">
        <v>18168</v>
      </c>
      <c r="W958" s="21" t="s">
        <v>18169</v>
      </c>
      <c r="X958" s="14" t="s">
        <v>18170</v>
      </c>
      <c r="Y958" s="14" t="s">
        <v>18171</v>
      </c>
      <c r="Z958" s="14" t="s">
        <v>166</v>
      </c>
      <c r="AA958" s="14" t="s">
        <v>242</v>
      </c>
      <c r="AB958" s="14" t="s">
        <v>243</v>
      </c>
      <c r="AC958" s="14" t="s">
        <v>244</v>
      </c>
      <c r="AD958" s="14" t="s">
        <v>243</v>
      </c>
      <c r="AE958" s="14" t="s">
        <v>243</v>
      </c>
      <c r="AF958" s="14" t="s">
        <v>245</v>
      </c>
      <c r="AG958" s="14" t="s">
        <v>5628</v>
      </c>
      <c r="AH958" s="21">
        <v>1</v>
      </c>
      <c r="AI958" s="3">
        <f>HYPERLINK("https://my.pitchbook.com/?d=203639-68T","203639-68T")</f>
      </c>
      <c r="AJ958" s="19">
        <v>44396</v>
      </c>
      <c r="AK958" s="19">
        <v>45546</v>
      </c>
      <c r="AL958" s="18">
        <v>1.38</v>
      </c>
      <c r="AM958" s="14" t="s">
        <v>185</v>
      </c>
      <c r="AN958" s="18">
        <v>4</v>
      </c>
      <c r="AO958" s="18">
        <v>5.38</v>
      </c>
      <c r="AP958" s="14" t="s">
        <v>185</v>
      </c>
      <c r="AQ958" s="21" t="s">
        <v>166</v>
      </c>
      <c r="AR958" s="21" t="s">
        <v>166</v>
      </c>
      <c r="AS958" s="17">
        <v>25.65</v>
      </c>
      <c r="AT958" s="18">
        <v>1.38</v>
      </c>
      <c r="AU958" s="21" t="s">
        <v>186</v>
      </c>
      <c r="AV958" s="21" t="s">
        <v>166</v>
      </c>
      <c r="AW958" s="18">
        <v>0.77</v>
      </c>
      <c r="AX958" s="21" t="s">
        <v>248</v>
      </c>
      <c r="AY958" s="14" t="s">
        <v>249</v>
      </c>
      <c r="AZ958" s="14" t="s">
        <v>248</v>
      </c>
      <c r="BA958" s="14" t="s">
        <v>166</v>
      </c>
      <c r="BB958" s="21" t="s">
        <v>166</v>
      </c>
      <c r="BC958" s="14" t="s">
        <v>179</v>
      </c>
      <c r="BD958" s="14" t="s">
        <v>18165</v>
      </c>
      <c r="BE958" s="14" t="s">
        <v>189</v>
      </c>
      <c r="BF958" s="18">
        <v>1.38</v>
      </c>
      <c r="BG958" s="14" t="s">
        <v>190</v>
      </c>
      <c r="BH958" s="14" t="s">
        <v>166</v>
      </c>
      <c r="BI958" s="14" t="s">
        <v>166</v>
      </c>
      <c r="BJ958" s="18" t="s">
        <v>166</v>
      </c>
      <c r="BK958" s="18" t="s">
        <v>166</v>
      </c>
      <c r="BL958" s="14" t="s">
        <v>191</v>
      </c>
      <c r="BM958" s="14" t="s">
        <v>178</v>
      </c>
      <c r="BN958" s="14" t="s">
        <v>177</v>
      </c>
      <c r="BO958" s="22" t="s">
        <v>166</v>
      </c>
      <c r="BP958" s="14" t="s">
        <v>18162</v>
      </c>
      <c r="BQ958" s="21">
        <v>2</v>
      </c>
      <c r="BR958" s="14" t="s">
        <v>166</v>
      </c>
      <c r="BS958" s="21" t="s">
        <v>166</v>
      </c>
      <c r="BT958" s="14" t="s">
        <v>166</v>
      </c>
      <c r="BU958" s="14" t="s">
        <v>166</v>
      </c>
      <c r="BV958" s="14" t="s">
        <v>166</v>
      </c>
      <c r="BW958" s="14" t="s">
        <v>166</v>
      </c>
      <c r="BX958" s="14" t="s">
        <v>166</v>
      </c>
      <c r="BY958" s="14" t="s">
        <v>166</v>
      </c>
      <c r="BZ958" s="14" t="s">
        <v>166</v>
      </c>
      <c r="CA958" s="14" t="s">
        <v>166</v>
      </c>
      <c r="CB958" s="14" t="s">
        <v>166</v>
      </c>
      <c r="CC958" s="14" t="s">
        <v>166</v>
      </c>
      <c r="CD958" s="14" t="s">
        <v>166</v>
      </c>
      <c r="CE958" s="18" t="s">
        <v>166</v>
      </c>
      <c r="CF958" s="16" t="s">
        <v>166</v>
      </c>
      <c r="CG958" s="17" t="s">
        <v>166</v>
      </c>
      <c r="CH958" s="16" t="s">
        <v>166</v>
      </c>
      <c r="CI958" s="16" t="s">
        <v>166</v>
      </c>
      <c r="CJ958" s="16" t="s">
        <v>166</v>
      </c>
      <c r="CK958" s="16" t="s">
        <v>166</v>
      </c>
      <c r="CL958" s="16" t="s">
        <v>166</v>
      </c>
      <c r="CM958" s="20" t="s">
        <v>166</v>
      </c>
      <c r="CN958" s="16" t="s">
        <v>166</v>
      </c>
      <c r="CO958" s="16" t="s">
        <v>166</v>
      </c>
      <c r="CP958" s="16" t="s">
        <v>166</v>
      </c>
      <c r="CQ958" s="16" t="s">
        <v>166</v>
      </c>
      <c r="CR958" s="16" t="s">
        <v>166</v>
      </c>
      <c r="CS958" s="16" t="s">
        <v>166</v>
      </c>
      <c r="CT958" s="16" t="s">
        <v>166</v>
      </c>
      <c r="CU958" s="16" t="s">
        <v>166</v>
      </c>
      <c r="CV958" s="16" t="s">
        <v>166</v>
      </c>
      <c r="CW958" s="16" t="s">
        <v>166</v>
      </c>
      <c r="CX958" s="16" t="s">
        <v>166</v>
      </c>
      <c r="CY958" s="16" t="s">
        <v>166</v>
      </c>
      <c r="CZ958" s="16" t="s">
        <v>166</v>
      </c>
      <c r="DA958" s="16" t="s">
        <v>166</v>
      </c>
      <c r="DB958" s="16" t="s">
        <v>166</v>
      </c>
      <c r="DC958" s="16" t="s">
        <v>166</v>
      </c>
      <c r="DD958" s="16" t="s">
        <v>166</v>
      </c>
      <c r="DE958" s="17" t="s">
        <v>166</v>
      </c>
      <c r="DF958" s="22">
        <v>11</v>
      </c>
      <c r="DG958" s="14" t="s">
        <v>18172</v>
      </c>
      <c r="DH958" s="14" t="s">
        <v>193</v>
      </c>
      <c r="DI958" s="14" t="s">
        <v>194</v>
      </c>
      <c r="DJ958" s="14" t="s">
        <v>18173</v>
      </c>
      <c r="DK958" s="14" t="s">
        <v>1023</v>
      </c>
      <c r="DL958" s="21" t="s">
        <v>18174</v>
      </c>
      <c r="DM958" s="14" t="s">
        <v>198</v>
      </c>
      <c r="DN958" s="13" t="s">
        <v>18175</v>
      </c>
      <c r="DO958" s="20">
        <v>2013</v>
      </c>
      <c r="DP958" s="14" t="s">
        <v>166</v>
      </c>
      <c r="DQ958" s="14" t="s">
        <v>166</v>
      </c>
      <c r="DR958" s="18" t="s">
        <v>166</v>
      </c>
      <c r="DS958" s="16" t="s">
        <v>166</v>
      </c>
      <c r="DT958" s="19" t="s">
        <v>166</v>
      </c>
      <c r="DU958" s="14" t="s">
        <v>166</v>
      </c>
      <c r="DV958" s="18" t="s">
        <v>166</v>
      </c>
      <c r="DW958" s="18" t="s">
        <v>166</v>
      </c>
      <c r="DX958" s="16" t="s">
        <v>166</v>
      </c>
      <c r="DY958" s="16" t="s">
        <v>166</v>
      </c>
      <c r="DZ958" s="17" t="s">
        <v>166</v>
      </c>
      <c r="EA958" s="16" t="s">
        <v>166</v>
      </c>
      <c r="EB958" s="16" t="s">
        <v>166</v>
      </c>
      <c r="EC958" s="16" t="s">
        <v>166</v>
      </c>
      <c r="ED958" s="17" t="s">
        <v>166</v>
      </c>
      <c r="EE958" s="17" t="s">
        <v>166</v>
      </c>
      <c r="EF958" s="17" t="s">
        <v>166</v>
      </c>
      <c r="EG958" s="17" t="s">
        <v>166</v>
      </c>
      <c r="EH958" s="16" t="s">
        <v>166</v>
      </c>
      <c r="EI958" s="16" t="s">
        <v>166</v>
      </c>
      <c r="EJ958" s="16" t="s">
        <v>166</v>
      </c>
      <c r="EK958" s="16" t="s">
        <v>166</v>
      </c>
      <c r="EL958" s="16" t="s">
        <v>166</v>
      </c>
      <c r="EM958" s="16" t="s">
        <v>166</v>
      </c>
      <c r="EN958" s="16" t="s">
        <v>166</v>
      </c>
      <c r="EO958" s="16" t="s">
        <v>166</v>
      </c>
      <c r="EP958" s="16" t="s">
        <v>166</v>
      </c>
      <c r="EQ958" s="16" t="s">
        <v>166</v>
      </c>
      <c r="ER958" s="16" t="s">
        <v>166</v>
      </c>
      <c r="ES958" s="16" t="s">
        <v>166</v>
      </c>
      <c r="ET958" s="14" t="s">
        <v>166</v>
      </c>
      <c r="EU958" s="16" t="s">
        <v>166</v>
      </c>
      <c r="EV958" s="16" t="s">
        <v>166</v>
      </c>
      <c r="EW958" s="16" t="s">
        <v>166</v>
      </c>
      <c r="EX958" s="14" t="s">
        <v>190</v>
      </c>
      <c r="EY958" s="14" t="s">
        <v>166</v>
      </c>
      <c r="EZ958" s="16" t="s">
        <v>166</v>
      </c>
      <c r="FA958" s="15" t="s">
        <v>166</v>
      </c>
      <c r="FB958" s="15" t="s">
        <v>166</v>
      </c>
      <c r="FC958" s="15" t="s">
        <v>166</v>
      </c>
      <c r="FD958" s="15" t="s">
        <v>166</v>
      </c>
      <c r="FE958" s="15" t="s">
        <v>166</v>
      </c>
      <c r="FF958" s="15" t="s">
        <v>166</v>
      </c>
      <c r="FG958" s="14" t="s">
        <v>166</v>
      </c>
      <c r="FH958" s="3">
        <f>HYPERLINK("https://my.pitchbook.com?c=203639-68T","View Company Online")</f>
      </c>
    </row>
    <row r="959">
      <c r="A959" s="25" t="s">
        <v>18176</v>
      </c>
      <c r="B959" s="25" t="s">
        <v>18177</v>
      </c>
      <c r="C959" s="25" t="s">
        <v>18178</v>
      </c>
      <c r="D959" s="25" t="s">
        <v>166</v>
      </c>
      <c r="E959" s="34" t="s">
        <v>18179</v>
      </c>
      <c r="F959" s="32">
        <v>11</v>
      </c>
      <c r="G959" s="25" t="s">
        <v>18180</v>
      </c>
      <c r="H959" s="25" t="s">
        <v>166</v>
      </c>
      <c r="I959" s="25" t="s">
        <v>18181</v>
      </c>
      <c r="J959" s="25" t="s">
        <v>18182</v>
      </c>
      <c r="K959" s="25" t="s">
        <v>207</v>
      </c>
      <c r="L959" s="25" t="s">
        <v>208</v>
      </c>
      <c r="M959" s="25" t="s">
        <v>209</v>
      </c>
      <c r="N959" s="25" t="s">
        <v>18183</v>
      </c>
      <c r="O959" s="25" t="s">
        <v>10231</v>
      </c>
      <c r="P959" s="25" t="s">
        <v>18184</v>
      </c>
      <c r="Q959" s="25" t="s">
        <v>3862</v>
      </c>
      <c r="R959" s="25" t="s">
        <v>177</v>
      </c>
      <c r="S959" s="25" t="s">
        <v>178</v>
      </c>
      <c r="T959" s="25" t="s">
        <v>179</v>
      </c>
      <c r="U959" s="25" t="s">
        <v>18185</v>
      </c>
      <c r="V959" s="25" t="s">
        <v>18186</v>
      </c>
      <c r="W959" s="32" t="s">
        <v>18187</v>
      </c>
      <c r="X959" s="25" t="s">
        <v>18188</v>
      </c>
      <c r="Y959" s="25" t="s">
        <v>18189</v>
      </c>
      <c r="Z959" s="25" t="s">
        <v>18190</v>
      </c>
      <c r="AA959" s="25" t="s">
        <v>242</v>
      </c>
      <c r="AB959" s="25" t="s">
        <v>243</v>
      </c>
      <c r="AC959" s="25" t="s">
        <v>244</v>
      </c>
      <c r="AD959" s="25" t="s">
        <v>243</v>
      </c>
      <c r="AE959" s="25" t="s">
        <v>243</v>
      </c>
      <c r="AF959" s="25" t="s">
        <v>166</v>
      </c>
      <c r="AG959" s="25" t="s">
        <v>807</v>
      </c>
      <c r="AH959" s="32">
        <v>5</v>
      </c>
      <c r="AI959" s="4">
        <f>HYPERLINK("https://my.pitchbook.com/?d=172493-47T","172493-47T")</f>
      </c>
      <c r="AJ959" s="30" t="s">
        <v>166</v>
      </c>
      <c r="AK959" s="30">
        <v>44336</v>
      </c>
      <c r="AL959" s="29">
        <v>15</v>
      </c>
      <c r="AM959" s="25" t="s">
        <v>185</v>
      </c>
      <c r="AN959" s="29">
        <v>50</v>
      </c>
      <c r="AO959" s="29">
        <v>65</v>
      </c>
      <c r="AP959" s="25" t="s">
        <v>185</v>
      </c>
      <c r="AQ959" s="32" t="s">
        <v>166</v>
      </c>
      <c r="AR959" s="32">
        <v>2.05</v>
      </c>
      <c r="AS959" s="28">
        <v>23.08</v>
      </c>
      <c r="AT959" s="29">
        <v>15</v>
      </c>
      <c r="AU959" s="32" t="s">
        <v>186</v>
      </c>
      <c r="AV959" s="32" t="s">
        <v>166</v>
      </c>
      <c r="AW959" s="29">
        <v>3.55</v>
      </c>
      <c r="AX959" s="32" t="s">
        <v>248</v>
      </c>
      <c r="AY959" s="25" t="s">
        <v>187</v>
      </c>
      <c r="AZ959" s="25" t="s">
        <v>248</v>
      </c>
      <c r="BA959" s="25" t="s">
        <v>166</v>
      </c>
      <c r="BB959" s="32" t="s">
        <v>166</v>
      </c>
      <c r="BC959" s="25" t="s">
        <v>179</v>
      </c>
      <c r="BD959" s="25" t="s">
        <v>18191</v>
      </c>
      <c r="BE959" s="25" t="s">
        <v>189</v>
      </c>
      <c r="BF959" s="29">
        <v>15</v>
      </c>
      <c r="BG959" s="25" t="s">
        <v>190</v>
      </c>
      <c r="BH959" s="25" t="s">
        <v>166</v>
      </c>
      <c r="BI959" s="25" t="s">
        <v>166</v>
      </c>
      <c r="BJ959" s="29" t="s">
        <v>166</v>
      </c>
      <c r="BK959" s="29" t="s">
        <v>166</v>
      </c>
      <c r="BL959" s="25" t="s">
        <v>191</v>
      </c>
      <c r="BM959" s="25" t="s">
        <v>178</v>
      </c>
      <c r="BN959" s="25" t="s">
        <v>177</v>
      </c>
      <c r="BO959" s="33" t="s">
        <v>166</v>
      </c>
      <c r="BP959" s="25" t="s">
        <v>18192</v>
      </c>
      <c r="BQ959" s="32">
        <v>11</v>
      </c>
      <c r="BR959" s="25" t="s">
        <v>166</v>
      </c>
      <c r="BS959" s="32" t="s">
        <v>166</v>
      </c>
      <c r="BT959" s="25" t="s">
        <v>18193</v>
      </c>
      <c r="BU959" s="25" t="s">
        <v>166</v>
      </c>
      <c r="BV959" s="25" t="s">
        <v>18194</v>
      </c>
      <c r="BW959" s="25" t="s">
        <v>166</v>
      </c>
      <c r="BX959" s="25" t="s">
        <v>166</v>
      </c>
      <c r="BY959" s="25" t="s">
        <v>166</v>
      </c>
      <c r="BZ959" s="25" t="s">
        <v>18195</v>
      </c>
      <c r="CA959" s="25" t="s">
        <v>166</v>
      </c>
      <c r="CB959" s="25" t="s">
        <v>166</v>
      </c>
      <c r="CC959" s="25" t="s">
        <v>18195</v>
      </c>
      <c r="CD959" s="25" t="s">
        <v>166</v>
      </c>
      <c r="CE959" s="29" t="s">
        <v>166</v>
      </c>
      <c r="CF959" s="27" t="s">
        <v>166</v>
      </c>
      <c r="CG959" s="28" t="s">
        <v>166</v>
      </c>
      <c r="CH959" s="27" t="s">
        <v>166</v>
      </c>
      <c r="CI959" s="27" t="s">
        <v>166</v>
      </c>
      <c r="CJ959" s="27" t="s">
        <v>166</v>
      </c>
      <c r="CK959" s="27" t="s">
        <v>166</v>
      </c>
      <c r="CL959" s="27" t="s">
        <v>166</v>
      </c>
      <c r="CM959" s="31" t="s">
        <v>166</v>
      </c>
      <c r="CN959" s="27" t="s">
        <v>166</v>
      </c>
      <c r="CO959" s="27" t="s">
        <v>166</v>
      </c>
      <c r="CP959" s="27" t="s">
        <v>166</v>
      </c>
      <c r="CQ959" s="27" t="s">
        <v>166</v>
      </c>
      <c r="CR959" s="27" t="s">
        <v>166</v>
      </c>
      <c r="CS959" s="27" t="s">
        <v>166</v>
      </c>
      <c r="CT959" s="27" t="s">
        <v>166</v>
      </c>
      <c r="CU959" s="27" t="s">
        <v>166</v>
      </c>
      <c r="CV959" s="27" t="s">
        <v>166</v>
      </c>
      <c r="CW959" s="27" t="s">
        <v>166</v>
      </c>
      <c r="CX959" s="27" t="s">
        <v>166</v>
      </c>
      <c r="CY959" s="27" t="s">
        <v>166</v>
      </c>
      <c r="CZ959" s="27" t="s">
        <v>166</v>
      </c>
      <c r="DA959" s="27" t="s">
        <v>166</v>
      </c>
      <c r="DB959" s="27" t="s">
        <v>166</v>
      </c>
      <c r="DC959" s="27" t="s">
        <v>166</v>
      </c>
      <c r="DD959" s="27" t="s">
        <v>166</v>
      </c>
      <c r="DE959" s="28" t="s">
        <v>166</v>
      </c>
      <c r="DF959" s="33">
        <v>92</v>
      </c>
      <c r="DG959" s="25" t="s">
        <v>673</v>
      </c>
      <c r="DH959" s="25" t="s">
        <v>193</v>
      </c>
      <c r="DI959" s="25" t="s">
        <v>194</v>
      </c>
      <c r="DJ959" s="25" t="s">
        <v>674</v>
      </c>
      <c r="DK959" s="25" t="s">
        <v>257</v>
      </c>
      <c r="DL959" s="32" t="s">
        <v>1350</v>
      </c>
      <c r="DM959" s="25" t="s">
        <v>198</v>
      </c>
      <c r="DN959" s="24" t="s">
        <v>18196</v>
      </c>
      <c r="DO959" s="31">
        <v>2018</v>
      </c>
      <c r="DP959" s="25" t="s">
        <v>166</v>
      </c>
      <c r="DQ959" s="25" t="s">
        <v>166</v>
      </c>
      <c r="DR959" s="29" t="s">
        <v>166</v>
      </c>
      <c r="DS959" s="27" t="s">
        <v>166</v>
      </c>
      <c r="DT959" s="30" t="s">
        <v>166</v>
      </c>
      <c r="DU959" s="25" t="s">
        <v>166</v>
      </c>
      <c r="DV959" s="29" t="s">
        <v>166</v>
      </c>
      <c r="DW959" s="29" t="s">
        <v>166</v>
      </c>
      <c r="DX959" s="27" t="s">
        <v>166</v>
      </c>
      <c r="DY959" s="27" t="s">
        <v>166</v>
      </c>
      <c r="DZ959" s="28" t="s">
        <v>166</v>
      </c>
      <c r="EA959" s="27" t="s">
        <v>166</v>
      </c>
      <c r="EB959" s="27" t="s">
        <v>166</v>
      </c>
      <c r="EC959" s="27" t="s">
        <v>166</v>
      </c>
      <c r="ED959" s="28" t="s">
        <v>166</v>
      </c>
      <c r="EE959" s="28" t="s">
        <v>166</v>
      </c>
      <c r="EF959" s="28" t="s">
        <v>166</v>
      </c>
      <c r="EG959" s="28" t="s">
        <v>166</v>
      </c>
      <c r="EH959" s="27" t="s">
        <v>166</v>
      </c>
      <c r="EI959" s="27" t="s">
        <v>166</v>
      </c>
      <c r="EJ959" s="27" t="s">
        <v>166</v>
      </c>
      <c r="EK959" s="27" t="s">
        <v>166</v>
      </c>
      <c r="EL959" s="27" t="s">
        <v>166</v>
      </c>
      <c r="EM959" s="27" t="s">
        <v>166</v>
      </c>
      <c r="EN959" s="27" t="s">
        <v>166</v>
      </c>
      <c r="EO959" s="27" t="s">
        <v>166</v>
      </c>
      <c r="EP959" s="27" t="s">
        <v>166</v>
      </c>
      <c r="EQ959" s="27" t="s">
        <v>166</v>
      </c>
      <c r="ER959" s="27" t="s">
        <v>166</v>
      </c>
      <c r="ES959" s="27" t="s">
        <v>166</v>
      </c>
      <c r="ET959" s="25" t="s">
        <v>166</v>
      </c>
      <c r="EU959" s="27" t="s">
        <v>166</v>
      </c>
      <c r="EV959" s="27" t="s">
        <v>166</v>
      </c>
      <c r="EW959" s="27" t="s">
        <v>166</v>
      </c>
      <c r="EX959" s="25" t="s">
        <v>190</v>
      </c>
      <c r="EY959" s="25" t="s">
        <v>166</v>
      </c>
      <c r="EZ959" s="27" t="s">
        <v>166</v>
      </c>
      <c r="FA959" s="26">
        <v>9</v>
      </c>
      <c r="FB959" s="26">
        <v>2</v>
      </c>
      <c r="FC959" s="26">
        <v>6</v>
      </c>
      <c r="FD959" s="26">
        <v>3</v>
      </c>
      <c r="FE959" s="26" t="s">
        <v>166</v>
      </c>
      <c r="FF959" s="26" t="s">
        <v>166</v>
      </c>
      <c r="FG959" s="25" t="s">
        <v>18197</v>
      </c>
      <c r="FH959" s="4">
        <f>HYPERLINK("https://my.pitchbook.com?c=172493-47T","View Company Online")</f>
      </c>
    </row>
    <row r="960">
      <c r="A960" s="14" t="s">
        <v>18198</v>
      </c>
      <c r="B960" s="14" t="s">
        <v>18199</v>
      </c>
      <c r="C960" s="14" t="s">
        <v>18200</v>
      </c>
      <c r="D960" s="14" t="s">
        <v>166</v>
      </c>
      <c r="E960" s="23" t="s">
        <v>18201</v>
      </c>
      <c r="F960" s="21">
        <v>3</v>
      </c>
      <c r="G960" s="14" t="s">
        <v>2331</v>
      </c>
      <c r="H960" s="14" t="s">
        <v>166</v>
      </c>
      <c r="I960" s="14" t="s">
        <v>18202</v>
      </c>
      <c r="J960" s="14" t="s">
        <v>18203</v>
      </c>
      <c r="K960" s="14" t="s">
        <v>1455</v>
      </c>
      <c r="L960" s="14" t="s">
        <v>1984</v>
      </c>
      <c r="M960" s="14" t="s">
        <v>2112</v>
      </c>
      <c r="N960" s="14" t="s">
        <v>6453</v>
      </c>
      <c r="O960" s="14" t="s">
        <v>1842</v>
      </c>
      <c r="P960" s="14" t="s">
        <v>18204</v>
      </c>
      <c r="Q960" s="14" t="s">
        <v>166</v>
      </c>
      <c r="R960" s="14" t="s">
        <v>177</v>
      </c>
      <c r="S960" s="14" t="s">
        <v>178</v>
      </c>
      <c r="T960" s="14" t="s">
        <v>179</v>
      </c>
      <c r="U960" s="14" t="s">
        <v>18205</v>
      </c>
      <c r="V960" s="14" t="s">
        <v>18206</v>
      </c>
      <c r="W960" s="21" t="s">
        <v>18207</v>
      </c>
      <c r="X960" s="14" t="s">
        <v>18208</v>
      </c>
      <c r="Y960" s="14" t="s">
        <v>18209</v>
      </c>
      <c r="Z960" s="14" t="s">
        <v>18210</v>
      </c>
      <c r="AA960" s="14" t="s">
        <v>166</v>
      </c>
      <c r="AB960" s="14" t="s">
        <v>166</v>
      </c>
      <c r="AC960" s="14" t="s">
        <v>166</v>
      </c>
      <c r="AD960" s="14" t="s">
        <v>166</v>
      </c>
      <c r="AE960" s="14" t="s">
        <v>166</v>
      </c>
      <c r="AF960" s="14" t="s">
        <v>166</v>
      </c>
      <c r="AG960" s="14" t="s">
        <v>166</v>
      </c>
      <c r="AH960" s="21">
        <v>2</v>
      </c>
      <c r="AI960" s="3">
        <f>HYPERLINK("https://my.pitchbook.com/?d=207630-73T","207630-73T")</f>
      </c>
      <c r="AJ960" s="19" t="s">
        <v>166</v>
      </c>
      <c r="AK960" s="19">
        <v>45082</v>
      </c>
      <c r="AL960" s="18">
        <v>0.12</v>
      </c>
      <c r="AM960" s="14" t="s">
        <v>185</v>
      </c>
      <c r="AN960" s="18" t="s">
        <v>166</v>
      </c>
      <c r="AO960" s="18" t="s">
        <v>166</v>
      </c>
      <c r="AP960" s="14" t="s">
        <v>166</v>
      </c>
      <c r="AQ960" s="21" t="s">
        <v>166</v>
      </c>
      <c r="AR960" s="21" t="s">
        <v>166</v>
      </c>
      <c r="AS960" s="17" t="s">
        <v>166</v>
      </c>
      <c r="AT960" s="18">
        <v>0.29</v>
      </c>
      <c r="AU960" s="21" t="s">
        <v>186</v>
      </c>
      <c r="AV960" s="21" t="s">
        <v>166</v>
      </c>
      <c r="AW960" s="18" t="s">
        <v>166</v>
      </c>
      <c r="AX960" s="21" t="s">
        <v>166</v>
      </c>
      <c r="AY960" s="14" t="s">
        <v>217</v>
      </c>
      <c r="AZ960" s="14" t="s">
        <v>217</v>
      </c>
      <c r="BA960" s="14" t="s">
        <v>166</v>
      </c>
      <c r="BB960" s="21" t="s">
        <v>166</v>
      </c>
      <c r="BC960" s="14" t="s">
        <v>179</v>
      </c>
      <c r="BD960" s="14" t="s">
        <v>18211</v>
      </c>
      <c r="BE960" s="14" t="s">
        <v>189</v>
      </c>
      <c r="BF960" s="18">
        <v>0.12</v>
      </c>
      <c r="BG960" s="14" t="s">
        <v>190</v>
      </c>
      <c r="BH960" s="14" t="s">
        <v>166</v>
      </c>
      <c r="BI960" s="14" t="s">
        <v>166</v>
      </c>
      <c r="BJ960" s="18" t="s">
        <v>166</v>
      </c>
      <c r="BK960" s="18" t="s">
        <v>166</v>
      </c>
      <c r="BL960" s="14" t="s">
        <v>191</v>
      </c>
      <c r="BM960" s="14" t="s">
        <v>178</v>
      </c>
      <c r="BN960" s="14" t="s">
        <v>177</v>
      </c>
      <c r="BO960" s="22" t="s">
        <v>166</v>
      </c>
      <c r="BP960" s="14" t="s">
        <v>18212</v>
      </c>
      <c r="BQ960" s="21">
        <v>3</v>
      </c>
      <c r="BR960" s="14" t="s">
        <v>166</v>
      </c>
      <c r="BS960" s="21" t="s">
        <v>166</v>
      </c>
      <c r="BT960" s="14" t="s">
        <v>166</v>
      </c>
      <c r="BU960" s="14" t="s">
        <v>166</v>
      </c>
      <c r="BV960" s="14" t="s">
        <v>166</v>
      </c>
      <c r="BW960" s="14" t="s">
        <v>166</v>
      </c>
      <c r="BX960" s="14" t="s">
        <v>166</v>
      </c>
      <c r="BY960" s="14" t="s">
        <v>166</v>
      </c>
      <c r="BZ960" s="14" t="s">
        <v>166</v>
      </c>
      <c r="CA960" s="14" t="s">
        <v>166</v>
      </c>
      <c r="CB960" s="14" t="s">
        <v>166</v>
      </c>
      <c r="CC960" s="14" t="s">
        <v>166</v>
      </c>
      <c r="CD960" s="14" t="s">
        <v>166</v>
      </c>
      <c r="CE960" s="18" t="s">
        <v>166</v>
      </c>
      <c r="CF960" s="16" t="s">
        <v>166</v>
      </c>
      <c r="CG960" s="17" t="s">
        <v>166</v>
      </c>
      <c r="CH960" s="16" t="s">
        <v>166</v>
      </c>
      <c r="CI960" s="16" t="s">
        <v>166</v>
      </c>
      <c r="CJ960" s="16" t="s">
        <v>166</v>
      </c>
      <c r="CK960" s="16" t="s">
        <v>166</v>
      </c>
      <c r="CL960" s="16" t="s">
        <v>166</v>
      </c>
      <c r="CM960" s="20" t="s">
        <v>166</v>
      </c>
      <c r="CN960" s="16" t="s">
        <v>166</v>
      </c>
      <c r="CO960" s="16" t="s">
        <v>166</v>
      </c>
      <c r="CP960" s="16" t="s">
        <v>166</v>
      </c>
      <c r="CQ960" s="16" t="s">
        <v>166</v>
      </c>
      <c r="CR960" s="16" t="s">
        <v>166</v>
      </c>
      <c r="CS960" s="16" t="s">
        <v>166</v>
      </c>
      <c r="CT960" s="16" t="s">
        <v>166</v>
      </c>
      <c r="CU960" s="16" t="s">
        <v>166</v>
      </c>
      <c r="CV960" s="16" t="s">
        <v>166</v>
      </c>
      <c r="CW960" s="16" t="s">
        <v>166</v>
      </c>
      <c r="CX960" s="16" t="s">
        <v>166</v>
      </c>
      <c r="CY960" s="16" t="s">
        <v>166</v>
      </c>
      <c r="CZ960" s="16" t="s">
        <v>166</v>
      </c>
      <c r="DA960" s="16" t="s">
        <v>166</v>
      </c>
      <c r="DB960" s="16" t="s">
        <v>166</v>
      </c>
      <c r="DC960" s="16" t="s">
        <v>166</v>
      </c>
      <c r="DD960" s="16" t="s">
        <v>166</v>
      </c>
      <c r="DE960" s="17" t="s">
        <v>166</v>
      </c>
      <c r="DF960" s="22">
        <v>10</v>
      </c>
      <c r="DG960" s="14" t="s">
        <v>309</v>
      </c>
      <c r="DH960" s="14" t="s">
        <v>193</v>
      </c>
      <c r="DI960" s="14" t="s">
        <v>194</v>
      </c>
      <c r="DJ960" s="14" t="s">
        <v>310</v>
      </c>
      <c r="DK960" s="14" t="s">
        <v>310</v>
      </c>
      <c r="DL960" s="21" t="s">
        <v>13429</v>
      </c>
      <c r="DM960" s="14" t="s">
        <v>198</v>
      </c>
      <c r="DN960" s="13" t="s">
        <v>18213</v>
      </c>
      <c r="DO960" s="20" t="s">
        <v>166</v>
      </c>
      <c r="DP960" s="14" t="s">
        <v>166</v>
      </c>
      <c r="DQ960" s="14" t="s">
        <v>166</v>
      </c>
      <c r="DR960" s="18" t="s">
        <v>166</v>
      </c>
      <c r="DS960" s="16" t="s">
        <v>166</v>
      </c>
      <c r="DT960" s="19" t="s">
        <v>166</v>
      </c>
      <c r="DU960" s="14" t="s">
        <v>166</v>
      </c>
      <c r="DV960" s="18" t="s">
        <v>166</v>
      </c>
      <c r="DW960" s="18" t="s">
        <v>166</v>
      </c>
      <c r="DX960" s="16" t="s">
        <v>166</v>
      </c>
      <c r="DY960" s="16" t="s">
        <v>166</v>
      </c>
      <c r="DZ960" s="17" t="s">
        <v>166</v>
      </c>
      <c r="EA960" s="16" t="s">
        <v>166</v>
      </c>
      <c r="EB960" s="16" t="s">
        <v>166</v>
      </c>
      <c r="EC960" s="16" t="s">
        <v>166</v>
      </c>
      <c r="ED960" s="17" t="s">
        <v>166</v>
      </c>
      <c r="EE960" s="17" t="s">
        <v>166</v>
      </c>
      <c r="EF960" s="17" t="s">
        <v>166</v>
      </c>
      <c r="EG960" s="17" t="s">
        <v>166</v>
      </c>
      <c r="EH960" s="16" t="s">
        <v>166</v>
      </c>
      <c r="EI960" s="16" t="s">
        <v>166</v>
      </c>
      <c r="EJ960" s="16" t="s">
        <v>166</v>
      </c>
      <c r="EK960" s="16" t="s">
        <v>166</v>
      </c>
      <c r="EL960" s="16" t="s">
        <v>166</v>
      </c>
      <c r="EM960" s="16" t="s">
        <v>166</v>
      </c>
      <c r="EN960" s="16" t="s">
        <v>166</v>
      </c>
      <c r="EO960" s="16" t="s">
        <v>166</v>
      </c>
      <c r="EP960" s="16" t="s">
        <v>166</v>
      </c>
      <c r="EQ960" s="16" t="s">
        <v>166</v>
      </c>
      <c r="ER960" s="16" t="s">
        <v>166</v>
      </c>
      <c r="ES960" s="16" t="s">
        <v>166</v>
      </c>
      <c r="ET960" s="14" t="s">
        <v>166</v>
      </c>
      <c r="EU960" s="16" t="s">
        <v>166</v>
      </c>
      <c r="EV960" s="16" t="s">
        <v>166</v>
      </c>
      <c r="EW960" s="16" t="s">
        <v>166</v>
      </c>
      <c r="EX960" s="14" t="s">
        <v>190</v>
      </c>
      <c r="EY960" s="14" t="s">
        <v>166</v>
      </c>
      <c r="EZ960" s="16" t="s">
        <v>166</v>
      </c>
      <c r="FA960" s="15" t="s">
        <v>166</v>
      </c>
      <c r="FB960" s="15" t="s">
        <v>166</v>
      </c>
      <c r="FC960" s="15" t="s">
        <v>166</v>
      </c>
      <c r="FD960" s="15" t="s">
        <v>166</v>
      </c>
      <c r="FE960" s="15" t="s">
        <v>166</v>
      </c>
      <c r="FF960" s="15" t="s">
        <v>166</v>
      </c>
      <c r="FG960" s="14" t="s">
        <v>166</v>
      </c>
      <c r="FH960" s="3">
        <f>HYPERLINK("https://my.pitchbook.com?c=207630-73T","View Company Online")</f>
      </c>
    </row>
    <row r="961">
      <c r="A961" s="25" t="s">
        <v>18214</v>
      </c>
      <c r="B961" s="25" t="s">
        <v>18215</v>
      </c>
      <c r="C961" s="25" t="s">
        <v>18216</v>
      </c>
      <c r="D961" s="25" t="s">
        <v>166</v>
      </c>
      <c r="E961" s="34" t="s">
        <v>18217</v>
      </c>
      <c r="F961" s="32">
        <v>7</v>
      </c>
      <c r="G961" s="25" t="s">
        <v>18218</v>
      </c>
      <c r="H961" s="25" t="s">
        <v>166</v>
      </c>
      <c r="I961" s="25" t="s">
        <v>18219</v>
      </c>
      <c r="J961" s="25" t="s">
        <v>18220</v>
      </c>
      <c r="K961" s="25" t="s">
        <v>207</v>
      </c>
      <c r="L961" s="25" t="s">
        <v>208</v>
      </c>
      <c r="M961" s="25" t="s">
        <v>639</v>
      </c>
      <c r="N961" s="25" t="s">
        <v>3553</v>
      </c>
      <c r="O961" s="25" t="s">
        <v>166</v>
      </c>
      <c r="P961" s="25" t="s">
        <v>18221</v>
      </c>
      <c r="Q961" s="25" t="s">
        <v>166</v>
      </c>
      <c r="R961" s="25" t="s">
        <v>177</v>
      </c>
      <c r="S961" s="25" t="s">
        <v>178</v>
      </c>
      <c r="T961" s="25" t="s">
        <v>179</v>
      </c>
      <c r="U961" s="25" t="s">
        <v>18222</v>
      </c>
      <c r="V961" s="25" t="s">
        <v>18223</v>
      </c>
      <c r="W961" s="32" t="s">
        <v>18224</v>
      </c>
      <c r="X961" s="25" t="s">
        <v>18225</v>
      </c>
      <c r="Y961" s="25" t="s">
        <v>18226</v>
      </c>
      <c r="Z961" s="25" t="s">
        <v>18227</v>
      </c>
      <c r="AA961" s="25" t="s">
        <v>166</v>
      </c>
      <c r="AB961" s="25" t="s">
        <v>166</v>
      </c>
      <c r="AC961" s="25" t="s">
        <v>166</v>
      </c>
      <c r="AD961" s="25" t="s">
        <v>166</v>
      </c>
      <c r="AE961" s="25" t="s">
        <v>166</v>
      </c>
      <c r="AF961" s="25" t="s">
        <v>166</v>
      </c>
      <c r="AG961" s="25" t="s">
        <v>166</v>
      </c>
      <c r="AH961" s="32">
        <v>2</v>
      </c>
      <c r="AI961" s="4">
        <f>HYPERLINK("https://my.pitchbook.com/?d=188366-23T","188366-23T")</f>
      </c>
      <c r="AJ961" s="30" t="s">
        <v>166</v>
      </c>
      <c r="AK961" s="30">
        <v>44757</v>
      </c>
      <c r="AL961" s="29">
        <v>1.1</v>
      </c>
      <c r="AM961" s="25" t="s">
        <v>185</v>
      </c>
      <c r="AN961" s="29" t="s">
        <v>166</v>
      </c>
      <c r="AO961" s="29" t="s">
        <v>166</v>
      </c>
      <c r="AP961" s="25" t="s">
        <v>166</v>
      </c>
      <c r="AQ961" s="32" t="s">
        <v>166</v>
      </c>
      <c r="AR961" s="32" t="s">
        <v>166</v>
      </c>
      <c r="AS961" s="28" t="s">
        <v>166</v>
      </c>
      <c r="AT961" s="29">
        <v>1.74</v>
      </c>
      <c r="AU961" s="32" t="s">
        <v>186</v>
      </c>
      <c r="AV961" s="32" t="s">
        <v>166</v>
      </c>
      <c r="AW961" s="29" t="s">
        <v>166</v>
      </c>
      <c r="AX961" s="32" t="s">
        <v>166</v>
      </c>
      <c r="AY961" s="25" t="s">
        <v>217</v>
      </c>
      <c r="AZ961" s="25" t="s">
        <v>217</v>
      </c>
      <c r="BA961" s="25" t="s">
        <v>166</v>
      </c>
      <c r="BB961" s="32" t="s">
        <v>166</v>
      </c>
      <c r="BC961" s="25" t="s">
        <v>179</v>
      </c>
      <c r="BD961" s="25" t="s">
        <v>18228</v>
      </c>
      <c r="BE961" s="25" t="s">
        <v>189</v>
      </c>
      <c r="BF961" s="29">
        <v>1.1</v>
      </c>
      <c r="BG961" s="25" t="s">
        <v>190</v>
      </c>
      <c r="BH961" s="25" t="s">
        <v>166</v>
      </c>
      <c r="BI961" s="25" t="s">
        <v>166</v>
      </c>
      <c r="BJ961" s="29" t="s">
        <v>166</v>
      </c>
      <c r="BK961" s="29" t="s">
        <v>166</v>
      </c>
      <c r="BL961" s="25" t="s">
        <v>191</v>
      </c>
      <c r="BM961" s="25" t="s">
        <v>178</v>
      </c>
      <c r="BN961" s="25" t="s">
        <v>177</v>
      </c>
      <c r="BO961" s="33" t="s">
        <v>166</v>
      </c>
      <c r="BP961" s="25" t="s">
        <v>18229</v>
      </c>
      <c r="BQ961" s="32">
        <v>7</v>
      </c>
      <c r="BR961" s="25" t="s">
        <v>166</v>
      </c>
      <c r="BS961" s="32" t="s">
        <v>166</v>
      </c>
      <c r="BT961" s="25" t="s">
        <v>166</v>
      </c>
      <c r="BU961" s="25" t="s">
        <v>166</v>
      </c>
      <c r="BV961" s="25" t="s">
        <v>166</v>
      </c>
      <c r="BW961" s="25" t="s">
        <v>166</v>
      </c>
      <c r="BX961" s="25" t="s">
        <v>166</v>
      </c>
      <c r="BY961" s="25" t="s">
        <v>166</v>
      </c>
      <c r="BZ961" s="25" t="s">
        <v>166</v>
      </c>
      <c r="CA961" s="25" t="s">
        <v>166</v>
      </c>
      <c r="CB961" s="25" t="s">
        <v>166</v>
      </c>
      <c r="CC961" s="25" t="s">
        <v>166</v>
      </c>
      <c r="CD961" s="25" t="s">
        <v>166</v>
      </c>
      <c r="CE961" s="29" t="s">
        <v>166</v>
      </c>
      <c r="CF961" s="27" t="s">
        <v>166</v>
      </c>
      <c r="CG961" s="28" t="s">
        <v>166</v>
      </c>
      <c r="CH961" s="27" t="s">
        <v>166</v>
      </c>
      <c r="CI961" s="27" t="s">
        <v>166</v>
      </c>
      <c r="CJ961" s="27" t="s">
        <v>166</v>
      </c>
      <c r="CK961" s="27" t="s">
        <v>166</v>
      </c>
      <c r="CL961" s="27" t="s">
        <v>166</v>
      </c>
      <c r="CM961" s="31" t="s">
        <v>166</v>
      </c>
      <c r="CN961" s="27" t="s">
        <v>166</v>
      </c>
      <c r="CO961" s="27" t="s">
        <v>166</v>
      </c>
      <c r="CP961" s="27" t="s">
        <v>166</v>
      </c>
      <c r="CQ961" s="27" t="s">
        <v>166</v>
      </c>
      <c r="CR961" s="27" t="s">
        <v>166</v>
      </c>
      <c r="CS961" s="27" t="s">
        <v>166</v>
      </c>
      <c r="CT961" s="27" t="s">
        <v>166</v>
      </c>
      <c r="CU961" s="27" t="s">
        <v>166</v>
      </c>
      <c r="CV961" s="27" t="s">
        <v>166</v>
      </c>
      <c r="CW961" s="27" t="s">
        <v>166</v>
      </c>
      <c r="CX961" s="27" t="s">
        <v>166</v>
      </c>
      <c r="CY961" s="27" t="s">
        <v>166</v>
      </c>
      <c r="CZ961" s="27" t="s">
        <v>166</v>
      </c>
      <c r="DA961" s="27" t="s">
        <v>166</v>
      </c>
      <c r="DB961" s="27" t="s">
        <v>166</v>
      </c>
      <c r="DC961" s="27" t="s">
        <v>166</v>
      </c>
      <c r="DD961" s="27" t="s">
        <v>166</v>
      </c>
      <c r="DE961" s="28" t="s">
        <v>166</v>
      </c>
      <c r="DF961" s="33">
        <v>8</v>
      </c>
      <c r="DG961" s="25" t="s">
        <v>1540</v>
      </c>
      <c r="DH961" s="25" t="s">
        <v>193</v>
      </c>
      <c r="DI961" s="25" t="s">
        <v>194</v>
      </c>
      <c r="DJ961" s="25" t="s">
        <v>1541</v>
      </c>
      <c r="DK961" s="25" t="s">
        <v>257</v>
      </c>
      <c r="DL961" s="32" t="s">
        <v>2652</v>
      </c>
      <c r="DM961" s="25" t="s">
        <v>198</v>
      </c>
      <c r="DN961" s="24" t="s">
        <v>18230</v>
      </c>
      <c r="DO961" s="31">
        <v>2019</v>
      </c>
      <c r="DP961" s="25" t="s">
        <v>166</v>
      </c>
      <c r="DQ961" s="25" t="s">
        <v>166</v>
      </c>
      <c r="DR961" s="29" t="s">
        <v>166</v>
      </c>
      <c r="DS961" s="27" t="s">
        <v>166</v>
      </c>
      <c r="DT961" s="30" t="s">
        <v>166</v>
      </c>
      <c r="DU961" s="25" t="s">
        <v>166</v>
      </c>
      <c r="DV961" s="29" t="s">
        <v>166</v>
      </c>
      <c r="DW961" s="29" t="s">
        <v>166</v>
      </c>
      <c r="DX961" s="27" t="s">
        <v>166</v>
      </c>
      <c r="DY961" s="27" t="s">
        <v>166</v>
      </c>
      <c r="DZ961" s="28" t="s">
        <v>166</v>
      </c>
      <c r="EA961" s="27" t="s">
        <v>166</v>
      </c>
      <c r="EB961" s="27" t="s">
        <v>166</v>
      </c>
      <c r="EC961" s="27" t="s">
        <v>166</v>
      </c>
      <c r="ED961" s="28" t="s">
        <v>166</v>
      </c>
      <c r="EE961" s="28" t="s">
        <v>166</v>
      </c>
      <c r="EF961" s="28" t="s">
        <v>166</v>
      </c>
      <c r="EG961" s="28" t="s">
        <v>166</v>
      </c>
      <c r="EH961" s="27" t="s">
        <v>166</v>
      </c>
      <c r="EI961" s="27" t="s">
        <v>166</v>
      </c>
      <c r="EJ961" s="27" t="s">
        <v>166</v>
      </c>
      <c r="EK961" s="27" t="s">
        <v>166</v>
      </c>
      <c r="EL961" s="27" t="s">
        <v>166</v>
      </c>
      <c r="EM961" s="27" t="s">
        <v>166</v>
      </c>
      <c r="EN961" s="27" t="s">
        <v>166</v>
      </c>
      <c r="EO961" s="27" t="s">
        <v>166</v>
      </c>
      <c r="EP961" s="27" t="s">
        <v>166</v>
      </c>
      <c r="EQ961" s="27" t="s">
        <v>166</v>
      </c>
      <c r="ER961" s="27" t="s">
        <v>166</v>
      </c>
      <c r="ES961" s="27" t="s">
        <v>166</v>
      </c>
      <c r="ET961" s="25" t="s">
        <v>166</v>
      </c>
      <c r="EU961" s="27" t="s">
        <v>166</v>
      </c>
      <c r="EV961" s="27" t="s">
        <v>166</v>
      </c>
      <c r="EW961" s="27" t="s">
        <v>166</v>
      </c>
      <c r="EX961" s="25" t="s">
        <v>190</v>
      </c>
      <c r="EY961" s="25" t="s">
        <v>166</v>
      </c>
      <c r="EZ961" s="27" t="s">
        <v>166</v>
      </c>
      <c r="FA961" s="26" t="s">
        <v>166</v>
      </c>
      <c r="FB961" s="26" t="s">
        <v>166</v>
      </c>
      <c r="FC961" s="26" t="s">
        <v>166</v>
      </c>
      <c r="FD961" s="26" t="s">
        <v>166</v>
      </c>
      <c r="FE961" s="26" t="s">
        <v>166</v>
      </c>
      <c r="FF961" s="26" t="s">
        <v>166</v>
      </c>
      <c r="FG961" s="25" t="s">
        <v>166</v>
      </c>
      <c r="FH961" s="4">
        <f>HYPERLINK("https://my.pitchbook.com?c=188366-23T","View Company Online")</f>
      </c>
    </row>
    <row r="962">
      <c r="A962" s="14" t="s">
        <v>18231</v>
      </c>
      <c r="B962" s="14" t="s">
        <v>18232</v>
      </c>
      <c r="C962" s="14" t="s">
        <v>18233</v>
      </c>
      <c r="D962" s="14" t="s">
        <v>166</v>
      </c>
      <c r="E962" s="23" t="s">
        <v>18234</v>
      </c>
      <c r="F962" s="21">
        <v>1</v>
      </c>
      <c r="G962" s="14" t="s">
        <v>18235</v>
      </c>
      <c r="H962" s="14" t="s">
        <v>166</v>
      </c>
      <c r="I962" s="14" t="s">
        <v>18236</v>
      </c>
      <c r="J962" s="14" t="s">
        <v>18237</v>
      </c>
      <c r="K962" s="14" t="s">
        <v>1455</v>
      </c>
      <c r="L962" s="14" t="s">
        <v>5912</v>
      </c>
      <c r="M962" s="14" t="s">
        <v>18238</v>
      </c>
      <c r="N962" s="14" t="s">
        <v>18239</v>
      </c>
      <c r="O962" s="14" t="s">
        <v>18240</v>
      </c>
      <c r="P962" s="14" t="s">
        <v>18241</v>
      </c>
      <c r="Q962" s="14" t="s">
        <v>166</v>
      </c>
      <c r="R962" s="14" t="s">
        <v>177</v>
      </c>
      <c r="S962" s="14" t="s">
        <v>178</v>
      </c>
      <c r="T962" s="14" t="s">
        <v>179</v>
      </c>
      <c r="U962" s="14" t="s">
        <v>18242</v>
      </c>
      <c r="V962" s="14" t="s">
        <v>18243</v>
      </c>
      <c r="W962" s="21" t="s">
        <v>18244</v>
      </c>
      <c r="X962" s="14" t="s">
        <v>18245</v>
      </c>
      <c r="Y962" s="14" t="s">
        <v>18246</v>
      </c>
      <c r="Z962" s="14" t="s">
        <v>18247</v>
      </c>
      <c r="AA962" s="14" t="s">
        <v>166</v>
      </c>
      <c r="AB962" s="14" t="s">
        <v>166</v>
      </c>
      <c r="AC962" s="14" t="s">
        <v>166</v>
      </c>
      <c r="AD962" s="14" t="s">
        <v>166</v>
      </c>
      <c r="AE962" s="14" t="s">
        <v>166</v>
      </c>
      <c r="AF962" s="14" t="s">
        <v>166</v>
      </c>
      <c r="AG962" s="14" t="s">
        <v>166</v>
      </c>
      <c r="AH962" s="21">
        <v>7</v>
      </c>
      <c r="AI962" s="3">
        <f>HYPERLINK("https://my.pitchbook.com/?d=180187-21T","180187-21T")</f>
      </c>
      <c r="AJ962" s="19" t="s">
        <v>166</v>
      </c>
      <c r="AK962" s="19">
        <v>43979</v>
      </c>
      <c r="AL962" s="18">
        <v>0.3</v>
      </c>
      <c r="AM962" s="14" t="s">
        <v>185</v>
      </c>
      <c r="AN962" s="18" t="s">
        <v>166</v>
      </c>
      <c r="AO962" s="18" t="s">
        <v>166</v>
      </c>
      <c r="AP962" s="14" t="s">
        <v>166</v>
      </c>
      <c r="AQ962" s="21" t="s">
        <v>166</v>
      </c>
      <c r="AR962" s="21" t="s">
        <v>166</v>
      </c>
      <c r="AS962" s="17" t="s">
        <v>166</v>
      </c>
      <c r="AT962" s="18">
        <v>1.15</v>
      </c>
      <c r="AU962" s="21" t="s">
        <v>186</v>
      </c>
      <c r="AV962" s="21" t="s">
        <v>166</v>
      </c>
      <c r="AW962" s="18" t="s">
        <v>166</v>
      </c>
      <c r="AX962" s="21" t="s">
        <v>166</v>
      </c>
      <c r="AY962" s="14" t="s">
        <v>217</v>
      </c>
      <c r="AZ962" s="14" t="s">
        <v>217</v>
      </c>
      <c r="BA962" s="14" t="s">
        <v>166</v>
      </c>
      <c r="BB962" s="21" t="s">
        <v>166</v>
      </c>
      <c r="BC962" s="14" t="s">
        <v>179</v>
      </c>
      <c r="BD962" s="14" t="s">
        <v>18248</v>
      </c>
      <c r="BE962" s="14" t="s">
        <v>189</v>
      </c>
      <c r="BF962" s="18">
        <v>0.3</v>
      </c>
      <c r="BG962" s="14" t="s">
        <v>190</v>
      </c>
      <c r="BH962" s="14" t="s">
        <v>166</v>
      </c>
      <c r="BI962" s="14" t="s">
        <v>166</v>
      </c>
      <c r="BJ962" s="18" t="s">
        <v>166</v>
      </c>
      <c r="BK962" s="18" t="s">
        <v>166</v>
      </c>
      <c r="BL962" s="14" t="s">
        <v>191</v>
      </c>
      <c r="BM962" s="14" t="s">
        <v>178</v>
      </c>
      <c r="BN962" s="14" t="s">
        <v>177</v>
      </c>
      <c r="BO962" s="22" t="s">
        <v>166</v>
      </c>
      <c r="BP962" s="14" t="s">
        <v>166</v>
      </c>
      <c r="BQ962" s="21" t="s">
        <v>166</v>
      </c>
      <c r="BR962" s="14" t="s">
        <v>18249</v>
      </c>
      <c r="BS962" s="21">
        <v>1</v>
      </c>
      <c r="BT962" s="14" t="s">
        <v>166</v>
      </c>
      <c r="BU962" s="14" t="s">
        <v>166</v>
      </c>
      <c r="BV962" s="14" t="s">
        <v>18250</v>
      </c>
      <c r="BW962" s="14" t="s">
        <v>166</v>
      </c>
      <c r="BX962" s="14" t="s">
        <v>166</v>
      </c>
      <c r="BY962" s="14" t="s">
        <v>166</v>
      </c>
      <c r="BZ962" s="14" t="s">
        <v>166</v>
      </c>
      <c r="CA962" s="14" t="s">
        <v>166</v>
      </c>
      <c r="CB962" s="14" t="s">
        <v>166</v>
      </c>
      <c r="CC962" s="14" t="s">
        <v>166</v>
      </c>
      <c r="CD962" s="14" t="s">
        <v>166</v>
      </c>
      <c r="CE962" s="18" t="s">
        <v>166</v>
      </c>
      <c r="CF962" s="16" t="s">
        <v>166</v>
      </c>
      <c r="CG962" s="17" t="s">
        <v>166</v>
      </c>
      <c r="CH962" s="16" t="s">
        <v>166</v>
      </c>
      <c r="CI962" s="16" t="s">
        <v>166</v>
      </c>
      <c r="CJ962" s="16" t="s">
        <v>166</v>
      </c>
      <c r="CK962" s="16" t="s">
        <v>166</v>
      </c>
      <c r="CL962" s="16" t="s">
        <v>166</v>
      </c>
      <c r="CM962" s="20" t="s">
        <v>166</v>
      </c>
      <c r="CN962" s="16" t="s">
        <v>166</v>
      </c>
      <c r="CO962" s="16" t="s">
        <v>166</v>
      </c>
      <c r="CP962" s="16" t="s">
        <v>166</v>
      </c>
      <c r="CQ962" s="16" t="s">
        <v>166</v>
      </c>
      <c r="CR962" s="16" t="s">
        <v>166</v>
      </c>
      <c r="CS962" s="16" t="s">
        <v>166</v>
      </c>
      <c r="CT962" s="16" t="s">
        <v>166</v>
      </c>
      <c r="CU962" s="16" t="s">
        <v>166</v>
      </c>
      <c r="CV962" s="16" t="s">
        <v>166</v>
      </c>
      <c r="CW962" s="16" t="s">
        <v>166</v>
      </c>
      <c r="CX962" s="16" t="s">
        <v>166</v>
      </c>
      <c r="CY962" s="16" t="s">
        <v>166</v>
      </c>
      <c r="CZ962" s="16" t="s">
        <v>166</v>
      </c>
      <c r="DA962" s="16" t="s">
        <v>166</v>
      </c>
      <c r="DB962" s="16" t="s">
        <v>166</v>
      </c>
      <c r="DC962" s="16" t="s">
        <v>166</v>
      </c>
      <c r="DD962" s="16" t="s">
        <v>166</v>
      </c>
      <c r="DE962" s="17" t="s">
        <v>166</v>
      </c>
      <c r="DF962" s="22">
        <v>2</v>
      </c>
      <c r="DG962" s="14" t="s">
        <v>654</v>
      </c>
      <c r="DH962" s="14" t="s">
        <v>193</v>
      </c>
      <c r="DI962" s="14" t="s">
        <v>194</v>
      </c>
      <c r="DJ962" s="14" t="s">
        <v>655</v>
      </c>
      <c r="DK962" s="14" t="s">
        <v>310</v>
      </c>
      <c r="DL962" s="21" t="s">
        <v>9527</v>
      </c>
      <c r="DM962" s="14" t="s">
        <v>198</v>
      </c>
      <c r="DN962" s="13" t="s">
        <v>18251</v>
      </c>
      <c r="DO962" s="20">
        <v>2014</v>
      </c>
      <c r="DP962" s="14" t="s">
        <v>166</v>
      </c>
      <c r="DQ962" s="14" t="s">
        <v>166</v>
      </c>
      <c r="DR962" s="18" t="s">
        <v>166</v>
      </c>
      <c r="DS962" s="16" t="s">
        <v>166</v>
      </c>
      <c r="DT962" s="19" t="s">
        <v>166</v>
      </c>
      <c r="DU962" s="14" t="s">
        <v>166</v>
      </c>
      <c r="DV962" s="18" t="s">
        <v>166</v>
      </c>
      <c r="DW962" s="18" t="s">
        <v>166</v>
      </c>
      <c r="DX962" s="16" t="s">
        <v>166</v>
      </c>
      <c r="DY962" s="16" t="s">
        <v>166</v>
      </c>
      <c r="DZ962" s="17" t="s">
        <v>166</v>
      </c>
      <c r="EA962" s="16" t="s">
        <v>166</v>
      </c>
      <c r="EB962" s="16" t="s">
        <v>166</v>
      </c>
      <c r="EC962" s="16" t="s">
        <v>166</v>
      </c>
      <c r="ED962" s="17" t="s">
        <v>166</v>
      </c>
      <c r="EE962" s="17" t="s">
        <v>166</v>
      </c>
      <c r="EF962" s="17" t="s">
        <v>166</v>
      </c>
      <c r="EG962" s="17" t="s">
        <v>166</v>
      </c>
      <c r="EH962" s="16" t="s">
        <v>166</v>
      </c>
      <c r="EI962" s="16" t="s">
        <v>166</v>
      </c>
      <c r="EJ962" s="16" t="s">
        <v>166</v>
      </c>
      <c r="EK962" s="16" t="s">
        <v>166</v>
      </c>
      <c r="EL962" s="16" t="s">
        <v>166</v>
      </c>
      <c r="EM962" s="16" t="s">
        <v>166</v>
      </c>
      <c r="EN962" s="16" t="s">
        <v>166</v>
      </c>
      <c r="EO962" s="16" t="s">
        <v>166</v>
      </c>
      <c r="EP962" s="16" t="s">
        <v>166</v>
      </c>
      <c r="EQ962" s="16" t="s">
        <v>166</v>
      </c>
      <c r="ER962" s="16" t="s">
        <v>166</v>
      </c>
      <c r="ES962" s="16" t="s">
        <v>166</v>
      </c>
      <c r="ET962" s="14" t="s">
        <v>166</v>
      </c>
      <c r="EU962" s="16" t="s">
        <v>166</v>
      </c>
      <c r="EV962" s="16" t="s">
        <v>166</v>
      </c>
      <c r="EW962" s="16" t="s">
        <v>166</v>
      </c>
      <c r="EX962" s="14" t="s">
        <v>190</v>
      </c>
      <c r="EY962" s="14" t="s">
        <v>166</v>
      </c>
      <c r="EZ962" s="16" t="s">
        <v>166</v>
      </c>
      <c r="FA962" s="15">
        <v>27</v>
      </c>
      <c r="FB962" s="15">
        <v>7</v>
      </c>
      <c r="FC962" s="15">
        <v>22</v>
      </c>
      <c r="FD962" s="15">
        <v>5</v>
      </c>
      <c r="FE962" s="15" t="s">
        <v>166</v>
      </c>
      <c r="FF962" s="15" t="s">
        <v>166</v>
      </c>
      <c r="FG962" s="14" t="s">
        <v>18252</v>
      </c>
      <c r="FH962" s="3">
        <f>HYPERLINK("https://my.pitchbook.com?c=180187-21T","View Company Online")</f>
      </c>
    </row>
    <row r="963">
      <c r="A963" s="25" t="s">
        <v>18253</v>
      </c>
      <c r="B963" s="25" t="s">
        <v>18254</v>
      </c>
      <c r="C963" s="25" t="s">
        <v>18255</v>
      </c>
      <c r="D963" s="25" t="s">
        <v>166</v>
      </c>
      <c r="E963" s="34" t="s">
        <v>18256</v>
      </c>
      <c r="F963" s="32">
        <v>3</v>
      </c>
      <c r="G963" s="25" t="s">
        <v>18257</v>
      </c>
      <c r="H963" s="25" t="s">
        <v>166</v>
      </c>
      <c r="I963" s="25" t="s">
        <v>18258</v>
      </c>
      <c r="J963" s="25" t="s">
        <v>18259</v>
      </c>
      <c r="K963" s="25" t="s">
        <v>207</v>
      </c>
      <c r="L963" s="25" t="s">
        <v>208</v>
      </c>
      <c r="M963" s="25" t="s">
        <v>965</v>
      </c>
      <c r="N963" s="25" t="s">
        <v>2512</v>
      </c>
      <c r="O963" s="25" t="s">
        <v>1803</v>
      </c>
      <c r="P963" s="25" t="s">
        <v>18260</v>
      </c>
      <c r="Q963" s="25" t="s">
        <v>166</v>
      </c>
      <c r="R963" s="25" t="s">
        <v>177</v>
      </c>
      <c r="S963" s="25" t="s">
        <v>178</v>
      </c>
      <c r="T963" s="25" t="s">
        <v>179</v>
      </c>
      <c r="U963" s="25" t="s">
        <v>18261</v>
      </c>
      <c r="V963" s="25" t="s">
        <v>18262</v>
      </c>
      <c r="W963" s="32" t="s">
        <v>166</v>
      </c>
      <c r="X963" s="25" t="s">
        <v>18263</v>
      </c>
      <c r="Y963" s="25" t="s">
        <v>18264</v>
      </c>
      <c r="Z963" s="25" t="s">
        <v>166</v>
      </c>
      <c r="AA963" s="25" t="s">
        <v>242</v>
      </c>
      <c r="AB963" s="25" t="s">
        <v>243</v>
      </c>
      <c r="AC963" s="25" t="s">
        <v>244</v>
      </c>
      <c r="AD963" s="25" t="s">
        <v>243</v>
      </c>
      <c r="AE963" s="25" t="s">
        <v>243</v>
      </c>
      <c r="AF963" s="25" t="s">
        <v>166</v>
      </c>
      <c r="AG963" s="25" t="s">
        <v>246</v>
      </c>
      <c r="AH963" s="32">
        <v>2</v>
      </c>
      <c r="AI963" s="4">
        <f>HYPERLINK("https://my.pitchbook.com/?d=233429-86T","233429-86T")</f>
      </c>
      <c r="AJ963" s="30" t="s">
        <v>166</v>
      </c>
      <c r="AK963" s="30">
        <v>45058</v>
      </c>
      <c r="AL963" s="29">
        <v>1.65</v>
      </c>
      <c r="AM963" s="25" t="s">
        <v>247</v>
      </c>
      <c r="AN963" s="29">
        <v>4.75</v>
      </c>
      <c r="AO963" s="29">
        <v>6.4</v>
      </c>
      <c r="AP963" s="25" t="s">
        <v>185</v>
      </c>
      <c r="AQ963" s="32" t="s">
        <v>166</v>
      </c>
      <c r="AR963" s="32" t="s">
        <v>166</v>
      </c>
      <c r="AS963" s="28">
        <v>26.5</v>
      </c>
      <c r="AT963" s="29">
        <v>1.67</v>
      </c>
      <c r="AU963" s="32" t="s">
        <v>186</v>
      </c>
      <c r="AV963" s="32" t="s">
        <v>166</v>
      </c>
      <c r="AW963" s="29">
        <v>0.3</v>
      </c>
      <c r="AX963" s="32" t="s">
        <v>166</v>
      </c>
      <c r="AY963" s="25" t="s">
        <v>217</v>
      </c>
      <c r="AZ963" s="25" t="s">
        <v>217</v>
      </c>
      <c r="BA963" s="25" t="s">
        <v>166</v>
      </c>
      <c r="BB963" s="32" t="s">
        <v>166</v>
      </c>
      <c r="BC963" s="25" t="s">
        <v>179</v>
      </c>
      <c r="BD963" s="25" t="s">
        <v>18259</v>
      </c>
      <c r="BE963" s="25" t="s">
        <v>189</v>
      </c>
      <c r="BF963" s="29">
        <v>1.65</v>
      </c>
      <c r="BG963" s="25" t="s">
        <v>190</v>
      </c>
      <c r="BH963" s="25" t="s">
        <v>166</v>
      </c>
      <c r="BI963" s="25" t="s">
        <v>166</v>
      </c>
      <c r="BJ963" s="29" t="s">
        <v>166</v>
      </c>
      <c r="BK963" s="29" t="s">
        <v>166</v>
      </c>
      <c r="BL963" s="25" t="s">
        <v>191</v>
      </c>
      <c r="BM963" s="25" t="s">
        <v>178</v>
      </c>
      <c r="BN963" s="25" t="s">
        <v>177</v>
      </c>
      <c r="BO963" s="33" t="s">
        <v>166</v>
      </c>
      <c r="BP963" s="25" t="s">
        <v>18265</v>
      </c>
      <c r="BQ963" s="32">
        <v>2</v>
      </c>
      <c r="BR963" s="25" t="s">
        <v>252</v>
      </c>
      <c r="BS963" s="32">
        <v>1</v>
      </c>
      <c r="BT963" s="25" t="s">
        <v>3118</v>
      </c>
      <c r="BU963" s="25" t="s">
        <v>166</v>
      </c>
      <c r="BV963" s="25" t="s">
        <v>18005</v>
      </c>
      <c r="BW963" s="25" t="s">
        <v>166</v>
      </c>
      <c r="BX963" s="25" t="s">
        <v>166</v>
      </c>
      <c r="BY963" s="25" t="s">
        <v>166</v>
      </c>
      <c r="BZ963" s="25" t="s">
        <v>166</v>
      </c>
      <c r="CA963" s="25" t="s">
        <v>166</v>
      </c>
      <c r="CB963" s="25" t="s">
        <v>166</v>
      </c>
      <c r="CC963" s="25" t="s">
        <v>166</v>
      </c>
      <c r="CD963" s="25" t="s">
        <v>166</v>
      </c>
      <c r="CE963" s="29" t="s">
        <v>166</v>
      </c>
      <c r="CF963" s="27" t="s">
        <v>166</v>
      </c>
      <c r="CG963" s="28" t="s">
        <v>166</v>
      </c>
      <c r="CH963" s="27" t="s">
        <v>166</v>
      </c>
      <c r="CI963" s="27" t="s">
        <v>166</v>
      </c>
      <c r="CJ963" s="27" t="s">
        <v>166</v>
      </c>
      <c r="CK963" s="27" t="s">
        <v>166</v>
      </c>
      <c r="CL963" s="27" t="s">
        <v>166</v>
      </c>
      <c r="CM963" s="31" t="s">
        <v>166</v>
      </c>
      <c r="CN963" s="27" t="s">
        <v>166</v>
      </c>
      <c r="CO963" s="27" t="s">
        <v>166</v>
      </c>
      <c r="CP963" s="27" t="s">
        <v>166</v>
      </c>
      <c r="CQ963" s="27" t="s">
        <v>166</v>
      </c>
      <c r="CR963" s="27" t="s">
        <v>166</v>
      </c>
      <c r="CS963" s="27" t="s">
        <v>166</v>
      </c>
      <c r="CT963" s="27" t="s">
        <v>166</v>
      </c>
      <c r="CU963" s="27" t="s">
        <v>166</v>
      </c>
      <c r="CV963" s="27" t="s">
        <v>166</v>
      </c>
      <c r="CW963" s="27" t="s">
        <v>166</v>
      </c>
      <c r="CX963" s="27" t="s">
        <v>166</v>
      </c>
      <c r="CY963" s="27" t="s">
        <v>166</v>
      </c>
      <c r="CZ963" s="27" t="s">
        <v>166</v>
      </c>
      <c r="DA963" s="27" t="s">
        <v>166</v>
      </c>
      <c r="DB963" s="27" t="s">
        <v>166</v>
      </c>
      <c r="DC963" s="27" t="s">
        <v>166</v>
      </c>
      <c r="DD963" s="27" t="s">
        <v>166</v>
      </c>
      <c r="DE963" s="28" t="s">
        <v>166</v>
      </c>
      <c r="DF963" s="33">
        <v>4</v>
      </c>
      <c r="DG963" s="25" t="s">
        <v>3174</v>
      </c>
      <c r="DH963" s="25" t="s">
        <v>193</v>
      </c>
      <c r="DI963" s="25" t="s">
        <v>194</v>
      </c>
      <c r="DJ963" s="25" t="s">
        <v>3175</v>
      </c>
      <c r="DK963" s="25" t="s">
        <v>1063</v>
      </c>
      <c r="DL963" s="32" t="s">
        <v>166</v>
      </c>
      <c r="DM963" s="25" t="s">
        <v>198</v>
      </c>
      <c r="DN963" s="24" t="s">
        <v>18266</v>
      </c>
      <c r="DO963" s="31" t="s">
        <v>166</v>
      </c>
      <c r="DP963" s="25" t="s">
        <v>166</v>
      </c>
      <c r="DQ963" s="25" t="s">
        <v>166</v>
      </c>
      <c r="DR963" s="29" t="s">
        <v>166</v>
      </c>
      <c r="DS963" s="27" t="s">
        <v>166</v>
      </c>
      <c r="DT963" s="30" t="s">
        <v>166</v>
      </c>
      <c r="DU963" s="25" t="s">
        <v>166</v>
      </c>
      <c r="DV963" s="29" t="s">
        <v>166</v>
      </c>
      <c r="DW963" s="29" t="s">
        <v>166</v>
      </c>
      <c r="DX963" s="27" t="s">
        <v>166</v>
      </c>
      <c r="DY963" s="27" t="s">
        <v>166</v>
      </c>
      <c r="DZ963" s="28" t="s">
        <v>166</v>
      </c>
      <c r="EA963" s="27" t="s">
        <v>166</v>
      </c>
      <c r="EB963" s="27" t="s">
        <v>166</v>
      </c>
      <c r="EC963" s="27" t="s">
        <v>166</v>
      </c>
      <c r="ED963" s="28" t="s">
        <v>166</v>
      </c>
      <c r="EE963" s="28" t="s">
        <v>166</v>
      </c>
      <c r="EF963" s="28" t="s">
        <v>166</v>
      </c>
      <c r="EG963" s="28" t="s">
        <v>166</v>
      </c>
      <c r="EH963" s="27" t="s">
        <v>166</v>
      </c>
      <c r="EI963" s="27" t="s">
        <v>166</v>
      </c>
      <c r="EJ963" s="27" t="s">
        <v>166</v>
      </c>
      <c r="EK963" s="27" t="s">
        <v>166</v>
      </c>
      <c r="EL963" s="27" t="s">
        <v>166</v>
      </c>
      <c r="EM963" s="27" t="s">
        <v>166</v>
      </c>
      <c r="EN963" s="27" t="s">
        <v>166</v>
      </c>
      <c r="EO963" s="27" t="s">
        <v>166</v>
      </c>
      <c r="EP963" s="27" t="s">
        <v>166</v>
      </c>
      <c r="EQ963" s="27" t="s">
        <v>166</v>
      </c>
      <c r="ER963" s="27" t="s">
        <v>166</v>
      </c>
      <c r="ES963" s="27" t="s">
        <v>166</v>
      </c>
      <c r="ET963" s="25" t="s">
        <v>166</v>
      </c>
      <c r="EU963" s="27" t="s">
        <v>166</v>
      </c>
      <c r="EV963" s="27" t="s">
        <v>166</v>
      </c>
      <c r="EW963" s="27" t="s">
        <v>166</v>
      </c>
      <c r="EX963" s="25" t="s">
        <v>190</v>
      </c>
      <c r="EY963" s="25" t="s">
        <v>166</v>
      </c>
      <c r="EZ963" s="27" t="s">
        <v>166</v>
      </c>
      <c r="FA963" s="26" t="s">
        <v>166</v>
      </c>
      <c r="FB963" s="26" t="s">
        <v>166</v>
      </c>
      <c r="FC963" s="26" t="s">
        <v>166</v>
      </c>
      <c r="FD963" s="26" t="s">
        <v>166</v>
      </c>
      <c r="FE963" s="26" t="s">
        <v>166</v>
      </c>
      <c r="FF963" s="26" t="s">
        <v>166</v>
      </c>
      <c r="FG963" s="25" t="s">
        <v>166</v>
      </c>
      <c r="FH963" s="4">
        <f>HYPERLINK("https://my.pitchbook.com?c=233429-86T","View Company Online")</f>
      </c>
    </row>
    <row r="964">
      <c r="A964" s="14" t="s">
        <v>18267</v>
      </c>
      <c r="B964" s="14" t="s">
        <v>18268</v>
      </c>
      <c r="C964" s="14" t="s">
        <v>18269</v>
      </c>
      <c r="D964" s="14" t="s">
        <v>166</v>
      </c>
      <c r="E964" s="23" t="s">
        <v>18270</v>
      </c>
      <c r="F964" s="21">
        <v>8</v>
      </c>
      <c r="G964" s="14" t="s">
        <v>18271</v>
      </c>
      <c r="H964" s="14" t="s">
        <v>166</v>
      </c>
      <c r="I964" s="14" t="s">
        <v>18272</v>
      </c>
      <c r="J964" s="14" t="s">
        <v>18273</v>
      </c>
      <c r="K964" s="14" t="s">
        <v>207</v>
      </c>
      <c r="L964" s="14" t="s">
        <v>208</v>
      </c>
      <c r="M964" s="14" t="s">
        <v>639</v>
      </c>
      <c r="N964" s="14" t="s">
        <v>4526</v>
      </c>
      <c r="O964" s="14" t="s">
        <v>166</v>
      </c>
      <c r="P964" s="14" t="s">
        <v>18274</v>
      </c>
      <c r="Q964" s="14" t="s">
        <v>166</v>
      </c>
      <c r="R964" s="14" t="s">
        <v>177</v>
      </c>
      <c r="S964" s="14" t="s">
        <v>785</v>
      </c>
      <c r="T964" s="14" t="s">
        <v>179</v>
      </c>
      <c r="U964" s="14" t="s">
        <v>18275</v>
      </c>
      <c r="V964" s="14" t="s">
        <v>18276</v>
      </c>
      <c r="W964" s="21" t="s">
        <v>166</v>
      </c>
      <c r="X964" s="14" t="s">
        <v>166</v>
      </c>
      <c r="Y964" s="14" t="s">
        <v>18277</v>
      </c>
      <c r="Z964" s="14" t="s">
        <v>166</v>
      </c>
      <c r="AA964" s="14" t="s">
        <v>166</v>
      </c>
      <c r="AB964" s="14" t="s">
        <v>166</v>
      </c>
      <c r="AC964" s="14" t="s">
        <v>166</v>
      </c>
      <c r="AD964" s="14" t="s">
        <v>166</v>
      </c>
      <c r="AE964" s="14" t="s">
        <v>166</v>
      </c>
      <c r="AF964" s="14" t="s">
        <v>166</v>
      </c>
      <c r="AG964" s="14" t="s">
        <v>166</v>
      </c>
      <c r="AH964" s="21">
        <v>1</v>
      </c>
      <c r="AI964" s="3">
        <f>HYPERLINK("https://my.pitchbook.com/?d=269113-24T","269113-24T")</f>
      </c>
      <c r="AJ964" s="19">
        <v>45317</v>
      </c>
      <c r="AK964" s="19">
        <v>45511</v>
      </c>
      <c r="AL964" s="18">
        <v>1.65</v>
      </c>
      <c r="AM964" s="14" t="s">
        <v>185</v>
      </c>
      <c r="AN964" s="18">
        <v>5.85</v>
      </c>
      <c r="AO964" s="18">
        <v>7.5</v>
      </c>
      <c r="AP964" s="14" t="s">
        <v>185</v>
      </c>
      <c r="AQ964" s="21" t="s">
        <v>166</v>
      </c>
      <c r="AR964" s="21" t="s">
        <v>166</v>
      </c>
      <c r="AS964" s="17">
        <v>9.33</v>
      </c>
      <c r="AT964" s="18">
        <v>1.65</v>
      </c>
      <c r="AU964" s="21" t="s">
        <v>186</v>
      </c>
      <c r="AV964" s="21" t="s">
        <v>166</v>
      </c>
      <c r="AW964" s="18" t="s">
        <v>166</v>
      </c>
      <c r="AX964" s="21" t="s">
        <v>166</v>
      </c>
      <c r="AY964" s="14" t="s">
        <v>217</v>
      </c>
      <c r="AZ964" s="14" t="s">
        <v>217</v>
      </c>
      <c r="BA964" s="14" t="s">
        <v>166</v>
      </c>
      <c r="BB964" s="21" t="s">
        <v>166</v>
      </c>
      <c r="BC964" s="14" t="s">
        <v>179</v>
      </c>
      <c r="BD964" s="14" t="s">
        <v>18278</v>
      </c>
      <c r="BE964" s="14" t="s">
        <v>189</v>
      </c>
      <c r="BF964" s="18">
        <v>1.65</v>
      </c>
      <c r="BG964" s="14" t="s">
        <v>190</v>
      </c>
      <c r="BH964" s="14" t="s">
        <v>166</v>
      </c>
      <c r="BI964" s="14" t="s">
        <v>166</v>
      </c>
      <c r="BJ964" s="18" t="s">
        <v>166</v>
      </c>
      <c r="BK964" s="18" t="s">
        <v>166</v>
      </c>
      <c r="BL964" s="14" t="s">
        <v>191</v>
      </c>
      <c r="BM964" s="14" t="s">
        <v>785</v>
      </c>
      <c r="BN964" s="14" t="s">
        <v>177</v>
      </c>
      <c r="BO964" s="22" t="s">
        <v>166</v>
      </c>
      <c r="BP964" s="14" t="s">
        <v>18279</v>
      </c>
      <c r="BQ964" s="21">
        <v>8</v>
      </c>
      <c r="BR964" s="14" t="s">
        <v>166</v>
      </c>
      <c r="BS964" s="21" t="s">
        <v>166</v>
      </c>
      <c r="BT964" s="14" t="s">
        <v>13962</v>
      </c>
      <c r="BU964" s="14" t="s">
        <v>166</v>
      </c>
      <c r="BV964" s="14" t="s">
        <v>18280</v>
      </c>
      <c r="BW964" s="14" t="s">
        <v>166</v>
      </c>
      <c r="BX964" s="14" t="s">
        <v>166</v>
      </c>
      <c r="BY964" s="14" t="s">
        <v>166</v>
      </c>
      <c r="BZ964" s="14" t="s">
        <v>166</v>
      </c>
      <c r="CA964" s="14" t="s">
        <v>166</v>
      </c>
      <c r="CB964" s="14" t="s">
        <v>166</v>
      </c>
      <c r="CC964" s="14" t="s">
        <v>166</v>
      </c>
      <c r="CD964" s="14" t="s">
        <v>166</v>
      </c>
      <c r="CE964" s="18" t="s">
        <v>166</v>
      </c>
      <c r="CF964" s="16" t="s">
        <v>166</v>
      </c>
      <c r="CG964" s="17" t="s">
        <v>166</v>
      </c>
      <c r="CH964" s="16" t="s">
        <v>166</v>
      </c>
      <c r="CI964" s="16" t="s">
        <v>166</v>
      </c>
      <c r="CJ964" s="16" t="s">
        <v>166</v>
      </c>
      <c r="CK964" s="16" t="s">
        <v>166</v>
      </c>
      <c r="CL964" s="16" t="s">
        <v>166</v>
      </c>
      <c r="CM964" s="20" t="s">
        <v>166</v>
      </c>
      <c r="CN964" s="16" t="s">
        <v>166</v>
      </c>
      <c r="CO964" s="16" t="s">
        <v>166</v>
      </c>
      <c r="CP964" s="16" t="s">
        <v>166</v>
      </c>
      <c r="CQ964" s="16" t="s">
        <v>166</v>
      </c>
      <c r="CR964" s="16" t="s">
        <v>166</v>
      </c>
      <c r="CS964" s="16" t="s">
        <v>166</v>
      </c>
      <c r="CT964" s="16" t="s">
        <v>166</v>
      </c>
      <c r="CU964" s="16" t="s">
        <v>166</v>
      </c>
      <c r="CV964" s="16" t="s">
        <v>166</v>
      </c>
      <c r="CW964" s="16" t="s">
        <v>166</v>
      </c>
      <c r="CX964" s="16" t="s">
        <v>166</v>
      </c>
      <c r="CY964" s="16" t="s">
        <v>166</v>
      </c>
      <c r="CZ964" s="16" t="s">
        <v>166</v>
      </c>
      <c r="DA964" s="16" t="s">
        <v>166</v>
      </c>
      <c r="DB964" s="16" t="s">
        <v>166</v>
      </c>
      <c r="DC964" s="16" t="s">
        <v>166</v>
      </c>
      <c r="DD964" s="16" t="s">
        <v>166</v>
      </c>
      <c r="DE964" s="17" t="s">
        <v>166</v>
      </c>
      <c r="DF964" s="22">
        <v>4</v>
      </c>
      <c r="DG964" s="14" t="s">
        <v>18281</v>
      </c>
      <c r="DH964" s="14" t="s">
        <v>193</v>
      </c>
      <c r="DI964" s="14" t="s">
        <v>194</v>
      </c>
      <c r="DJ964" s="14" t="s">
        <v>18282</v>
      </c>
      <c r="DK964" s="14" t="s">
        <v>2369</v>
      </c>
      <c r="DL964" s="21" t="s">
        <v>18283</v>
      </c>
      <c r="DM964" s="14" t="s">
        <v>198</v>
      </c>
      <c r="DN964" s="13" t="s">
        <v>18284</v>
      </c>
      <c r="DO964" s="20">
        <v>2023</v>
      </c>
      <c r="DP964" s="14" t="s">
        <v>166</v>
      </c>
      <c r="DQ964" s="14" t="s">
        <v>166</v>
      </c>
      <c r="DR964" s="18" t="s">
        <v>166</v>
      </c>
      <c r="DS964" s="16" t="s">
        <v>166</v>
      </c>
      <c r="DT964" s="19" t="s">
        <v>166</v>
      </c>
      <c r="DU964" s="14" t="s">
        <v>166</v>
      </c>
      <c r="DV964" s="18" t="s">
        <v>166</v>
      </c>
      <c r="DW964" s="18" t="s">
        <v>166</v>
      </c>
      <c r="DX964" s="16" t="s">
        <v>166</v>
      </c>
      <c r="DY964" s="16" t="s">
        <v>166</v>
      </c>
      <c r="DZ964" s="17" t="s">
        <v>166</v>
      </c>
      <c r="EA964" s="16" t="s">
        <v>166</v>
      </c>
      <c r="EB964" s="16" t="s">
        <v>166</v>
      </c>
      <c r="EC964" s="16" t="s">
        <v>166</v>
      </c>
      <c r="ED964" s="17" t="s">
        <v>166</v>
      </c>
      <c r="EE964" s="17" t="s">
        <v>166</v>
      </c>
      <c r="EF964" s="17" t="s">
        <v>166</v>
      </c>
      <c r="EG964" s="17" t="s">
        <v>166</v>
      </c>
      <c r="EH964" s="16" t="s">
        <v>166</v>
      </c>
      <c r="EI964" s="16" t="s">
        <v>166</v>
      </c>
      <c r="EJ964" s="16" t="s">
        <v>166</v>
      </c>
      <c r="EK964" s="16" t="s">
        <v>166</v>
      </c>
      <c r="EL964" s="16" t="s">
        <v>166</v>
      </c>
      <c r="EM964" s="16" t="s">
        <v>166</v>
      </c>
      <c r="EN964" s="16" t="s">
        <v>166</v>
      </c>
      <c r="EO964" s="16" t="s">
        <v>166</v>
      </c>
      <c r="EP964" s="16" t="s">
        <v>166</v>
      </c>
      <c r="EQ964" s="16" t="s">
        <v>166</v>
      </c>
      <c r="ER964" s="16" t="s">
        <v>166</v>
      </c>
      <c r="ES964" s="16" t="s">
        <v>166</v>
      </c>
      <c r="ET964" s="14" t="s">
        <v>166</v>
      </c>
      <c r="EU964" s="16" t="s">
        <v>166</v>
      </c>
      <c r="EV964" s="16" t="s">
        <v>166</v>
      </c>
      <c r="EW964" s="16" t="s">
        <v>166</v>
      </c>
      <c r="EX964" s="14" t="s">
        <v>190</v>
      </c>
      <c r="EY964" s="14" t="s">
        <v>166</v>
      </c>
      <c r="EZ964" s="16" t="s">
        <v>166</v>
      </c>
      <c r="FA964" s="15" t="s">
        <v>166</v>
      </c>
      <c r="FB964" s="15" t="s">
        <v>166</v>
      </c>
      <c r="FC964" s="15" t="s">
        <v>166</v>
      </c>
      <c r="FD964" s="15" t="s">
        <v>166</v>
      </c>
      <c r="FE964" s="15" t="s">
        <v>166</v>
      </c>
      <c r="FF964" s="15" t="s">
        <v>166</v>
      </c>
      <c r="FG964" s="14" t="s">
        <v>166</v>
      </c>
      <c r="FH964" s="3">
        <f>HYPERLINK("https://my.pitchbook.com?c=269113-24T","View Company Online")</f>
      </c>
    </row>
    <row r="965">
      <c r="A965" s="25" t="s">
        <v>18285</v>
      </c>
      <c r="B965" s="25" t="s">
        <v>18286</v>
      </c>
      <c r="C965" s="25" t="s">
        <v>18287</v>
      </c>
      <c r="D965" s="25" t="s">
        <v>166</v>
      </c>
      <c r="E965" s="34" t="s">
        <v>18288</v>
      </c>
      <c r="F965" s="32">
        <v>3</v>
      </c>
      <c r="G965" s="25" t="s">
        <v>18289</v>
      </c>
      <c r="H965" s="25" t="s">
        <v>166</v>
      </c>
      <c r="I965" s="25" t="s">
        <v>18290</v>
      </c>
      <c r="J965" s="25" t="s">
        <v>18291</v>
      </c>
      <c r="K965" s="25" t="s">
        <v>207</v>
      </c>
      <c r="L965" s="25" t="s">
        <v>208</v>
      </c>
      <c r="M965" s="25" t="s">
        <v>209</v>
      </c>
      <c r="N965" s="25" t="s">
        <v>684</v>
      </c>
      <c r="O965" s="25" t="s">
        <v>800</v>
      </c>
      <c r="P965" s="25" t="s">
        <v>18292</v>
      </c>
      <c r="Q965" s="25" t="s">
        <v>926</v>
      </c>
      <c r="R965" s="25" t="s">
        <v>177</v>
      </c>
      <c r="S965" s="25" t="s">
        <v>178</v>
      </c>
      <c r="T965" s="25" t="s">
        <v>179</v>
      </c>
      <c r="U965" s="25" t="s">
        <v>18293</v>
      </c>
      <c r="V965" s="25" t="s">
        <v>18294</v>
      </c>
      <c r="W965" s="32" t="s">
        <v>18295</v>
      </c>
      <c r="X965" s="25" t="s">
        <v>18296</v>
      </c>
      <c r="Y965" s="25" t="s">
        <v>18297</v>
      </c>
      <c r="Z965" s="25" t="s">
        <v>166</v>
      </c>
      <c r="AA965" s="25" t="s">
        <v>242</v>
      </c>
      <c r="AB965" s="25" t="s">
        <v>243</v>
      </c>
      <c r="AC965" s="25" t="s">
        <v>244</v>
      </c>
      <c r="AD965" s="25" t="s">
        <v>243</v>
      </c>
      <c r="AE965" s="25" t="s">
        <v>243</v>
      </c>
      <c r="AF965" s="25" t="s">
        <v>245</v>
      </c>
      <c r="AG965" s="25" t="s">
        <v>246</v>
      </c>
      <c r="AH965" s="32">
        <v>1</v>
      </c>
      <c r="AI965" s="4">
        <f>HYPERLINK("https://my.pitchbook.com/?d=130626-37T","130626-37T")</f>
      </c>
      <c r="AJ965" s="30" t="s">
        <v>166</v>
      </c>
      <c r="AK965" s="30">
        <v>43840</v>
      </c>
      <c r="AL965" s="29">
        <v>4</v>
      </c>
      <c r="AM965" s="25" t="s">
        <v>185</v>
      </c>
      <c r="AN965" s="29">
        <v>8</v>
      </c>
      <c r="AO965" s="29">
        <v>12</v>
      </c>
      <c r="AP965" s="25" t="s">
        <v>185</v>
      </c>
      <c r="AQ965" s="32" t="s">
        <v>166</v>
      </c>
      <c r="AR965" s="32" t="s">
        <v>166</v>
      </c>
      <c r="AS965" s="28">
        <v>33.33</v>
      </c>
      <c r="AT965" s="29">
        <v>4</v>
      </c>
      <c r="AU965" s="32" t="s">
        <v>186</v>
      </c>
      <c r="AV965" s="32" t="s">
        <v>166</v>
      </c>
      <c r="AW965" s="29">
        <v>0.38</v>
      </c>
      <c r="AX965" s="32" t="s">
        <v>166</v>
      </c>
      <c r="AY965" s="25" t="s">
        <v>217</v>
      </c>
      <c r="AZ965" s="25" t="s">
        <v>217</v>
      </c>
      <c r="BA965" s="25" t="s">
        <v>166</v>
      </c>
      <c r="BB965" s="32" t="s">
        <v>166</v>
      </c>
      <c r="BC965" s="25" t="s">
        <v>179</v>
      </c>
      <c r="BD965" s="25" t="s">
        <v>18298</v>
      </c>
      <c r="BE965" s="25" t="s">
        <v>189</v>
      </c>
      <c r="BF965" s="29">
        <v>4</v>
      </c>
      <c r="BG965" s="25" t="s">
        <v>190</v>
      </c>
      <c r="BH965" s="25" t="s">
        <v>166</v>
      </c>
      <c r="BI965" s="25" t="s">
        <v>166</v>
      </c>
      <c r="BJ965" s="29" t="s">
        <v>166</v>
      </c>
      <c r="BK965" s="29" t="s">
        <v>166</v>
      </c>
      <c r="BL965" s="25" t="s">
        <v>191</v>
      </c>
      <c r="BM965" s="25" t="s">
        <v>178</v>
      </c>
      <c r="BN965" s="25" t="s">
        <v>177</v>
      </c>
      <c r="BO965" s="33" t="s">
        <v>166</v>
      </c>
      <c r="BP965" s="25" t="s">
        <v>18299</v>
      </c>
      <c r="BQ965" s="32">
        <v>3</v>
      </c>
      <c r="BR965" s="25" t="s">
        <v>166</v>
      </c>
      <c r="BS965" s="32" t="s">
        <v>166</v>
      </c>
      <c r="BT965" s="25" t="s">
        <v>18300</v>
      </c>
      <c r="BU965" s="25" t="s">
        <v>166</v>
      </c>
      <c r="BV965" s="25" t="s">
        <v>18301</v>
      </c>
      <c r="BW965" s="25" t="s">
        <v>166</v>
      </c>
      <c r="BX965" s="25" t="s">
        <v>166</v>
      </c>
      <c r="BY965" s="25" t="s">
        <v>166</v>
      </c>
      <c r="BZ965" s="25" t="s">
        <v>996</v>
      </c>
      <c r="CA965" s="25" t="s">
        <v>996</v>
      </c>
      <c r="CB965" s="25" t="s">
        <v>166</v>
      </c>
      <c r="CC965" s="25" t="s">
        <v>166</v>
      </c>
      <c r="CD965" s="25" t="s">
        <v>166</v>
      </c>
      <c r="CE965" s="29" t="s">
        <v>166</v>
      </c>
      <c r="CF965" s="27" t="s">
        <v>166</v>
      </c>
      <c r="CG965" s="28" t="s">
        <v>166</v>
      </c>
      <c r="CH965" s="27" t="s">
        <v>166</v>
      </c>
      <c r="CI965" s="27" t="s">
        <v>166</v>
      </c>
      <c r="CJ965" s="27" t="s">
        <v>166</v>
      </c>
      <c r="CK965" s="27" t="s">
        <v>166</v>
      </c>
      <c r="CL965" s="27" t="s">
        <v>166</v>
      </c>
      <c r="CM965" s="31" t="s">
        <v>166</v>
      </c>
      <c r="CN965" s="27" t="s">
        <v>166</v>
      </c>
      <c r="CO965" s="27" t="s">
        <v>166</v>
      </c>
      <c r="CP965" s="27" t="s">
        <v>166</v>
      </c>
      <c r="CQ965" s="27" t="s">
        <v>166</v>
      </c>
      <c r="CR965" s="27" t="s">
        <v>166</v>
      </c>
      <c r="CS965" s="27" t="s">
        <v>166</v>
      </c>
      <c r="CT965" s="27" t="s">
        <v>166</v>
      </c>
      <c r="CU965" s="27" t="s">
        <v>166</v>
      </c>
      <c r="CV965" s="27" t="s">
        <v>166</v>
      </c>
      <c r="CW965" s="27" t="s">
        <v>166</v>
      </c>
      <c r="CX965" s="27" t="s">
        <v>166</v>
      </c>
      <c r="CY965" s="27" t="s">
        <v>166</v>
      </c>
      <c r="CZ965" s="27" t="s">
        <v>166</v>
      </c>
      <c r="DA965" s="27" t="s">
        <v>166</v>
      </c>
      <c r="DB965" s="27" t="s">
        <v>166</v>
      </c>
      <c r="DC965" s="27" t="s">
        <v>166</v>
      </c>
      <c r="DD965" s="27" t="s">
        <v>166</v>
      </c>
      <c r="DE965" s="28" t="s">
        <v>166</v>
      </c>
      <c r="DF965" s="33">
        <v>45</v>
      </c>
      <c r="DG965" s="25" t="s">
        <v>1634</v>
      </c>
      <c r="DH965" s="25" t="s">
        <v>193</v>
      </c>
      <c r="DI965" s="25" t="s">
        <v>194</v>
      </c>
      <c r="DJ965" s="25" t="s">
        <v>1635</v>
      </c>
      <c r="DK965" s="25" t="s">
        <v>408</v>
      </c>
      <c r="DL965" s="32" t="s">
        <v>18302</v>
      </c>
      <c r="DM965" s="25" t="s">
        <v>198</v>
      </c>
      <c r="DN965" s="24" t="s">
        <v>18303</v>
      </c>
      <c r="DO965" s="31">
        <v>2019</v>
      </c>
      <c r="DP965" s="25" t="s">
        <v>166</v>
      </c>
      <c r="DQ965" s="25" t="s">
        <v>166</v>
      </c>
      <c r="DR965" s="29" t="s">
        <v>166</v>
      </c>
      <c r="DS965" s="27" t="s">
        <v>166</v>
      </c>
      <c r="DT965" s="30" t="s">
        <v>166</v>
      </c>
      <c r="DU965" s="25" t="s">
        <v>166</v>
      </c>
      <c r="DV965" s="29" t="s">
        <v>166</v>
      </c>
      <c r="DW965" s="29" t="s">
        <v>166</v>
      </c>
      <c r="DX965" s="27" t="s">
        <v>166</v>
      </c>
      <c r="DY965" s="27" t="s">
        <v>166</v>
      </c>
      <c r="DZ965" s="28" t="s">
        <v>166</v>
      </c>
      <c r="EA965" s="27" t="s">
        <v>166</v>
      </c>
      <c r="EB965" s="27" t="s">
        <v>166</v>
      </c>
      <c r="EC965" s="27" t="s">
        <v>166</v>
      </c>
      <c r="ED965" s="28" t="s">
        <v>166</v>
      </c>
      <c r="EE965" s="28" t="s">
        <v>166</v>
      </c>
      <c r="EF965" s="28" t="s">
        <v>166</v>
      </c>
      <c r="EG965" s="28" t="s">
        <v>166</v>
      </c>
      <c r="EH965" s="27" t="s">
        <v>166</v>
      </c>
      <c r="EI965" s="27" t="s">
        <v>166</v>
      </c>
      <c r="EJ965" s="27" t="s">
        <v>166</v>
      </c>
      <c r="EK965" s="27" t="s">
        <v>166</v>
      </c>
      <c r="EL965" s="27" t="s">
        <v>166</v>
      </c>
      <c r="EM965" s="27" t="s">
        <v>166</v>
      </c>
      <c r="EN965" s="27" t="s">
        <v>166</v>
      </c>
      <c r="EO965" s="27" t="s">
        <v>166</v>
      </c>
      <c r="EP965" s="27" t="s">
        <v>166</v>
      </c>
      <c r="EQ965" s="27" t="s">
        <v>166</v>
      </c>
      <c r="ER965" s="27" t="s">
        <v>166</v>
      </c>
      <c r="ES965" s="27" t="s">
        <v>166</v>
      </c>
      <c r="ET965" s="25" t="s">
        <v>166</v>
      </c>
      <c r="EU965" s="27" t="s">
        <v>166</v>
      </c>
      <c r="EV965" s="27" t="s">
        <v>166</v>
      </c>
      <c r="EW965" s="27" t="s">
        <v>166</v>
      </c>
      <c r="EX965" s="25" t="s">
        <v>190</v>
      </c>
      <c r="EY965" s="25" t="s">
        <v>166</v>
      </c>
      <c r="EZ965" s="27" t="s">
        <v>166</v>
      </c>
      <c r="FA965" s="26" t="s">
        <v>166</v>
      </c>
      <c r="FB965" s="26" t="s">
        <v>166</v>
      </c>
      <c r="FC965" s="26" t="s">
        <v>166</v>
      </c>
      <c r="FD965" s="26" t="s">
        <v>166</v>
      </c>
      <c r="FE965" s="26" t="s">
        <v>166</v>
      </c>
      <c r="FF965" s="26" t="s">
        <v>166</v>
      </c>
      <c r="FG965" s="25" t="s">
        <v>166</v>
      </c>
      <c r="FH965" s="4">
        <f>HYPERLINK("https://my.pitchbook.com?c=130626-37T","View Company Online")</f>
      </c>
    </row>
    <row r="966">
      <c r="A966" s="14" t="s">
        <v>18304</v>
      </c>
      <c r="B966" s="14" t="s">
        <v>18305</v>
      </c>
      <c r="C966" s="14" t="s">
        <v>18306</v>
      </c>
      <c r="D966" s="14" t="s">
        <v>166</v>
      </c>
      <c r="E966" s="23" t="s">
        <v>18307</v>
      </c>
      <c r="F966" s="21">
        <v>21</v>
      </c>
      <c r="G966" s="14" t="s">
        <v>18308</v>
      </c>
      <c r="H966" s="14" t="s">
        <v>166</v>
      </c>
      <c r="I966" s="14" t="s">
        <v>18309</v>
      </c>
      <c r="J966" s="14" t="s">
        <v>18310</v>
      </c>
      <c r="K966" s="14" t="s">
        <v>207</v>
      </c>
      <c r="L966" s="14" t="s">
        <v>208</v>
      </c>
      <c r="M966" s="14" t="s">
        <v>1940</v>
      </c>
      <c r="N966" s="14" t="s">
        <v>9314</v>
      </c>
      <c r="O966" s="14" t="s">
        <v>7114</v>
      </c>
      <c r="P966" s="14" t="s">
        <v>18311</v>
      </c>
      <c r="Q966" s="14" t="s">
        <v>166</v>
      </c>
      <c r="R966" s="14" t="s">
        <v>177</v>
      </c>
      <c r="S966" s="14" t="s">
        <v>8605</v>
      </c>
      <c r="T966" s="14" t="s">
        <v>179</v>
      </c>
      <c r="U966" s="14" t="s">
        <v>18312</v>
      </c>
      <c r="V966" s="14" t="s">
        <v>18313</v>
      </c>
      <c r="W966" s="21" t="s">
        <v>18314</v>
      </c>
      <c r="X966" s="14" t="s">
        <v>166</v>
      </c>
      <c r="Y966" s="14" t="s">
        <v>18315</v>
      </c>
      <c r="Z966" s="14" t="s">
        <v>166</v>
      </c>
      <c r="AA966" s="14" t="s">
        <v>242</v>
      </c>
      <c r="AB966" s="14" t="s">
        <v>243</v>
      </c>
      <c r="AC966" s="14" t="s">
        <v>244</v>
      </c>
      <c r="AD966" s="14" t="s">
        <v>243</v>
      </c>
      <c r="AE966" s="14" t="s">
        <v>243</v>
      </c>
      <c r="AF966" s="14" t="s">
        <v>166</v>
      </c>
      <c r="AG966" s="14" t="s">
        <v>246</v>
      </c>
      <c r="AH966" s="21">
        <v>1</v>
      </c>
      <c r="AI966" s="3">
        <f>HYPERLINK("https://my.pitchbook.com/?d=228091-33T","228091-33T")</f>
      </c>
      <c r="AJ966" s="19">
        <v>45103</v>
      </c>
      <c r="AK966" s="19">
        <v>45182</v>
      </c>
      <c r="AL966" s="18">
        <v>4.6</v>
      </c>
      <c r="AM966" s="14" t="s">
        <v>185</v>
      </c>
      <c r="AN966" s="18">
        <v>5.7</v>
      </c>
      <c r="AO966" s="18">
        <v>10.3</v>
      </c>
      <c r="AP966" s="14" t="s">
        <v>185</v>
      </c>
      <c r="AQ966" s="21" t="s">
        <v>166</v>
      </c>
      <c r="AR966" s="21" t="s">
        <v>166</v>
      </c>
      <c r="AS966" s="17">
        <v>45.97</v>
      </c>
      <c r="AT966" s="18">
        <v>4.6</v>
      </c>
      <c r="AU966" s="21" t="s">
        <v>186</v>
      </c>
      <c r="AV966" s="21" t="s">
        <v>166</v>
      </c>
      <c r="AW966" s="18">
        <v>0.88</v>
      </c>
      <c r="AX966" s="21" t="s">
        <v>166</v>
      </c>
      <c r="AY966" s="14" t="s">
        <v>217</v>
      </c>
      <c r="AZ966" s="14" t="s">
        <v>217</v>
      </c>
      <c r="BA966" s="14" t="s">
        <v>166</v>
      </c>
      <c r="BB966" s="21" t="s">
        <v>166</v>
      </c>
      <c r="BC966" s="14" t="s">
        <v>179</v>
      </c>
      <c r="BD966" s="14" t="s">
        <v>18316</v>
      </c>
      <c r="BE966" s="14" t="s">
        <v>189</v>
      </c>
      <c r="BF966" s="18">
        <v>4.6</v>
      </c>
      <c r="BG966" s="14" t="s">
        <v>190</v>
      </c>
      <c r="BH966" s="14" t="s">
        <v>166</v>
      </c>
      <c r="BI966" s="14" t="s">
        <v>166</v>
      </c>
      <c r="BJ966" s="18" t="s">
        <v>166</v>
      </c>
      <c r="BK966" s="18" t="s">
        <v>166</v>
      </c>
      <c r="BL966" s="14" t="s">
        <v>191</v>
      </c>
      <c r="BM966" s="14" t="s">
        <v>8605</v>
      </c>
      <c r="BN966" s="14" t="s">
        <v>177</v>
      </c>
      <c r="BO966" s="22" t="s">
        <v>166</v>
      </c>
      <c r="BP966" s="14" t="s">
        <v>18317</v>
      </c>
      <c r="BQ966" s="21">
        <v>21</v>
      </c>
      <c r="BR966" s="14" t="s">
        <v>166</v>
      </c>
      <c r="BS966" s="21" t="s">
        <v>166</v>
      </c>
      <c r="BT966" s="14" t="s">
        <v>18318</v>
      </c>
      <c r="BU966" s="14" t="s">
        <v>166</v>
      </c>
      <c r="BV966" s="14" t="s">
        <v>18319</v>
      </c>
      <c r="BW966" s="14" t="s">
        <v>166</v>
      </c>
      <c r="BX966" s="14" t="s">
        <v>166</v>
      </c>
      <c r="BY966" s="14" t="s">
        <v>166</v>
      </c>
      <c r="BZ966" s="14" t="s">
        <v>18320</v>
      </c>
      <c r="CA966" s="14" t="s">
        <v>11026</v>
      </c>
      <c r="CB966" s="14" t="s">
        <v>166</v>
      </c>
      <c r="CC966" s="14" t="s">
        <v>18321</v>
      </c>
      <c r="CD966" s="14" t="s">
        <v>166</v>
      </c>
      <c r="CE966" s="18" t="s">
        <v>166</v>
      </c>
      <c r="CF966" s="16" t="s">
        <v>166</v>
      </c>
      <c r="CG966" s="17" t="s">
        <v>166</v>
      </c>
      <c r="CH966" s="16" t="s">
        <v>166</v>
      </c>
      <c r="CI966" s="16" t="s">
        <v>166</v>
      </c>
      <c r="CJ966" s="16" t="s">
        <v>166</v>
      </c>
      <c r="CK966" s="16" t="s">
        <v>166</v>
      </c>
      <c r="CL966" s="16" t="s">
        <v>166</v>
      </c>
      <c r="CM966" s="20" t="s">
        <v>166</v>
      </c>
      <c r="CN966" s="16" t="s">
        <v>166</v>
      </c>
      <c r="CO966" s="16" t="s">
        <v>166</v>
      </c>
      <c r="CP966" s="16" t="s">
        <v>166</v>
      </c>
      <c r="CQ966" s="16" t="s">
        <v>166</v>
      </c>
      <c r="CR966" s="16" t="s">
        <v>166</v>
      </c>
      <c r="CS966" s="16" t="s">
        <v>166</v>
      </c>
      <c r="CT966" s="16" t="s">
        <v>166</v>
      </c>
      <c r="CU966" s="16" t="s">
        <v>166</v>
      </c>
      <c r="CV966" s="16" t="s">
        <v>166</v>
      </c>
      <c r="CW966" s="16" t="s">
        <v>166</v>
      </c>
      <c r="CX966" s="16" t="s">
        <v>166</v>
      </c>
      <c r="CY966" s="16" t="s">
        <v>166</v>
      </c>
      <c r="CZ966" s="16" t="s">
        <v>166</v>
      </c>
      <c r="DA966" s="16" t="s">
        <v>166</v>
      </c>
      <c r="DB966" s="16" t="s">
        <v>166</v>
      </c>
      <c r="DC966" s="16" t="s">
        <v>166</v>
      </c>
      <c r="DD966" s="16" t="s">
        <v>166</v>
      </c>
      <c r="DE966" s="17" t="s">
        <v>166</v>
      </c>
      <c r="DF966" s="22">
        <v>6</v>
      </c>
      <c r="DG966" s="14" t="s">
        <v>18322</v>
      </c>
      <c r="DH966" s="14" t="s">
        <v>193</v>
      </c>
      <c r="DI966" s="14" t="s">
        <v>194</v>
      </c>
      <c r="DJ966" s="14" t="s">
        <v>18323</v>
      </c>
      <c r="DK966" s="14" t="s">
        <v>6539</v>
      </c>
      <c r="DL966" s="21" t="s">
        <v>18324</v>
      </c>
      <c r="DM966" s="14" t="s">
        <v>198</v>
      </c>
      <c r="DN966" s="13" t="s">
        <v>18325</v>
      </c>
      <c r="DO966" s="20">
        <v>2020</v>
      </c>
      <c r="DP966" s="14" t="s">
        <v>166</v>
      </c>
      <c r="DQ966" s="14" t="s">
        <v>166</v>
      </c>
      <c r="DR966" s="18" t="s">
        <v>166</v>
      </c>
      <c r="DS966" s="16" t="s">
        <v>166</v>
      </c>
      <c r="DT966" s="19" t="s">
        <v>166</v>
      </c>
      <c r="DU966" s="14" t="s">
        <v>166</v>
      </c>
      <c r="DV966" s="18" t="s">
        <v>166</v>
      </c>
      <c r="DW966" s="18" t="s">
        <v>166</v>
      </c>
      <c r="DX966" s="16" t="s">
        <v>166</v>
      </c>
      <c r="DY966" s="16" t="s">
        <v>166</v>
      </c>
      <c r="DZ966" s="17" t="s">
        <v>166</v>
      </c>
      <c r="EA966" s="16" t="s">
        <v>166</v>
      </c>
      <c r="EB966" s="16" t="s">
        <v>166</v>
      </c>
      <c r="EC966" s="16" t="s">
        <v>166</v>
      </c>
      <c r="ED966" s="17" t="s">
        <v>166</v>
      </c>
      <c r="EE966" s="17" t="s">
        <v>166</v>
      </c>
      <c r="EF966" s="17" t="s">
        <v>166</v>
      </c>
      <c r="EG966" s="17" t="s">
        <v>166</v>
      </c>
      <c r="EH966" s="16" t="s">
        <v>166</v>
      </c>
      <c r="EI966" s="16" t="s">
        <v>166</v>
      </c>
      <c r="EJ966" s="16" t="s">
        <v>166</v>
      </c>
      <c r="EK966" s="16" t="s">
        <v>166</v>
      </c>
      <c r="EL966" s="16" t="s">
        <v>166</v>
      </c>
      <c r="EM966" s="16" t="s">
        <v>166</v>
      </c>
      <c r="EN966" s="16" t="s">
        <v>166</v>
      </c>
      <c r="EO966" s="16" t="s">
        <v>166</v>
      </c>
      <c r="EP966" s="16" t="s">
        <v>166</v>
      </c>
      <c r="EQ966" s="16" t="s">
        <v>166</v>
      </c>
      <c r="ER966" s="16" t="s">
        <v>166</v>
      </c>
      <c r="ES966" s="16" t="s">
        <v>166</v>
      </c>
      <c r="ET966" s="14" t="s">
        <v>166</v>
      </c>
      <c r="EU966" s="16" t="s">
        <v>166</v>
      </c>
      <c r="EV966" s="16" t="s">
        <v>166</v>
      </c>
      <c r="EW966" s="16" t="s">
        <v>166</v>
      </c>
      <c r="EX966" s="14" t="s">
        <v>190</v>
      </c>
      <c r="EY966" s="14" t="s">
        <v>166</v>
      </c>
      <c r="EZ966" s="16" t="s">
        <v>166</v>
      </c>
      <c r="FA966" s="15" t="s">
        <v>166</v>
      </c>
      <c r="FB966" s="15" t="s">
        <v>166</v>
      </c>
      <c r="FC966" s="15" t="s">
        <v>166</v>
      </c>
      <c r="FD966" s="15" t="s">
        <v>166</v>
      </c>
      <c r="FE966" s="15" t="s">
        <v>166</v>
      </c>
      <c r="FF966" s="15" t="s">
        <v>166</v>
      </c>
      <c r="FG966" s="14" t="s">
        <v>166</v>
      </c>
      <c r="FH966" s="3">
        <f>HYPERLINK("https://my.pitchbook.com?c=228091-33T","View Company Online")</f>
      </c>
    </row>
    <row r="967">
      <c r="A967" s="25" t="s">
        <v>18326</v>
      </c>
      <c r="B967" s="25" t="s">
        <v>18327</v>
      </c>
      <c r="C967" s="25" t="s">
        <v>18328</v>
      </c>
      <c r="D967" s="25" t="s">
        <v>166</v>
      </c>
      <c r="E967" s="34" t="s">
        <v>18329</v>
      </c>
      <c r="F967" s="32">
        <v>2</v>
      </c>
      <c r="G967" s="25" t="s">
        <v>18330</v>
      </c>
      <c r="H967" s="25" t="s">
        <v>166</v>
      </c>
      <c r="I967" s="25" t="s">
        <v>18331</v>
      </c>
      <c r="J967" s="25" t="s">
        <v>18332</v>
      </c>
      <c r="K967" s="25" t="s">
        <v>207</v>
      </c>
      <c r="L967" s="25" t="s">
        <v>208</v>
      </c>
      <c r="M967" s="25" t="s">
        <v>209</v>
      </c>
      <c r="N967" s="25" t="s">
        <v>18333</v>
      </c>
      <c r="O967" s="25" t="s">
        <v>18334</v>
      </c>
      <c r="P967" s="25" t="s">
        <v>18335</v>
      </c>
      <c r="Q967" s="25" t="s">
        <v>166</v>
      </c>
      <c r="R967" s="25" t="s">
        <v>177</v>
      </c>
      <c r="S967" s="25" t="s">
        <v>178</v>
      </c>
      <c r="T967" s="25" t="s">
        <v>179</v>
      </c>
      <c r="U967" s="25" t="s">
        <v>18336</v>
      </c>
      <c r="V967" s="25" t="s">
        <v>18337</v>
      </c>
      <c r="W967" s="32" t="s">
        <v>18338</v>
      </c>
      <c r="X967" s="25" t="s">
        <v>18339</v>
      </c>
      <c r="Y967" s="25" t="s">
        <v>18340</v>
      </c>
      <c r="Z967" s="25" t="s">
        <v>18341</v>
      </c>
      <c r="AA967" s="25" t="s">
        <v>242</v>
      </c>
      <c r="AB967" s="25" t="s">
        <v>243</v>
      </c>
      <c r="AC967" s="25" t="s">
        <v>244</v>
      </c>
      <c r="AD967" s="25" t="s">
        <v>243</v>
      </c>
      <c r="AE967" s="25" t="s">
        <v>243</v>
      </c>
      <c r="AF967" s="25" t="s">
        <v>166</v>
      </c>
      <c r="AG967" s="25" t="s">
        <v>807</v>
      </c>
      <c r="AH967" s="32">
        <v>4</v>
      </c>
      <c r="AI967" s="4">
        <f>HYPERLINK("https://my.pitchbook.com/?d=132094-81T","132094-81T")</f>
      </c>
      <c r="AJ967" s="30">
        <v>43819</v>
      </c>
      <c r="AK967" s="30">
        <v>43851</v>
      </c>
      <c r="AL967" s="29">
        <v>2</v>
      </c>
      <c r="AM967" s="25" t="s">
        <v>185</v>
      </c>
      <c r="AN967" s="29">
        <v>4</v>
      </c>
      <c r="AO967" s="29">
        <v>6</v>
      </c>
      <c r="AP967" s="25" t="s">
        <v>185</v>
      </c>
      <c r="AQ967" s="32" t="s">
        <v>166</v>
      </c>
      <c r="AR967" s="32" t="s">
        <v>166</v>
      </c>
      <c r="AS967" s="28">
        <v>33.33</v>
      </c>
      <c r="AT967" s="29">
        <v>2.27</v>
      </c>
      <c r="AU967" s="32" t="s">
        <v>186</v>
      </c>
      <c r="AV967" s="32" t="s">
        <v>166</v>
      </c>
      <c r="AW967" s="29">
        <v>0.83</v>
      </c>
      <c r="AX967" s="32" t="s">
        <v>166</v>
      </c>
      <c r="AY967" s="25" t="s">
        <v>217</v>
      </c>
      <c r="AZ967" s="25" t="s">
        <v>217</v>
      </c>
      <c r="BA967" s="25" t="s">
        <v>166</v>
      </c>
      <c r="BB967" s="32" t="s">
        <v>166</v>
      </c>
      <c r="BC967" s="25" t="s">
        <v>179</v>
      </c>
      <c r="BD967" s="25" t="s">
        <v>18342</v>
      </c>
      <c r="BE967" s="25" t="s">
        <v>189</v>
      </c>
      <c r="BF967" s="29">
        <v>2</v>
      </c>
      <c r="BG967" s="25" t="s">
        <v>190</v>
      </c>
      <c r="BH967" s="25" t="s">
        <v>166</v>
      </c>
      <c r="BI967" s="25" t="s">
        <v>166</v>
      </c>
      <c r="BJ967" s="29" t="s">
        <v>166</v>
      </c>
      <c r="BK967" s="29" t="s">
        <v>166</v>
      </c>
      <c r="BL967" s="25" t="s">
        <v>191</v>
      </c>
      <c r="BM967" s="25" t="s">
        <v>178</v>
      </c>
      <c r="BN967" s="25" t="s">
        <v>177</v>
      </c>
      <c r="BO967" s="33" t="s">
        <v>166</v>
      </c>
      <c r="BP967" s="25" t="s">
        <v>18343</v>
      </c>
      <c r="BQ967" s="32">
        <v>2</v>
      </c>
      <c r="BR967" s="25" t="s">
        <v>166</v>
      </c>
      <c r="BS967" s="32" t="s">
        <v>166</v>
      </c>
      <c r="BT967" s="25" t="s">
        <v>18329</v>
      </c>
      <c r="BU967" s="25" t="s">
        <v>166</v>
      </c>
      <c r="BV967" s="25" t="s">
        <v>11278</v>
      </c>
      <c r="BW967" s="25" t="s">
        <v>166</v>
      </c>
      <c r="BX967" s="25" t="s">
        <v>166</v>
      </c>
      <c r="BY967" s="25" t="s">
        <v>166</v>
      </c>
      <c r="BZ967" s="25" t="s">
        <v>166</v>
      </c>
      <c r="CA967" s="25" t="s">
        <v>166</v>
      </c>
      <c r="CB967" s="25" t="s">
        <v>166</v>
      </c>
      <c r="CC967" s="25" t="s">
        <v>166</v>
      </c>
      <c r="CD967" s="25" t="s">
        <v>166</v>
      </c>
      <c r="CE967" s="29" t="s">
        <v>166</v>
      </c>
      <c r="CF967" s="27" t="s">
        <v>166</v>
      </c>
      <c r="CG967" s="28" t="s">
        <v>166</v>
      </c>
      <c r="CH967" s="27" t="s">
        <v>166</v>
      </c>
      <c r="CI967" s="27" t="s">
        <v>166</v>
      </c>
      <c r="CJ967" s="27" t="s">
        <v>166</v>
      </c>
      <c r="CK967" s="27" t="s">
        <v>166</v>
      </c>
      <c r="CL967" s="27" t="s">
        <v>166</v>
      </c>
      <c r="CM967" s="31" t="s">
        <v>166</v>
      </c>
      <c r="CN967" s="27" t="s">
        <v>166</v>
      </c>
      <c r="CO967" s="27" t="s">
        <v>166</v>
      </c>
      <c r="CP967" s="27" t="s">
        <v>166</v>
      </c>
      <c r="CQ967" s="27" t="s">
        <v>166</v>
      </c>
      <c r="CR967" s="27" t="s">
        <v>166</v>
      </c>
      <c r="CS967" s="27" t="s">
        <v>166</v>
      </c>
      <c r="CT967" s="27" t="s">
        <v>166</v>
      </c>
      <c r="CU967" s="27" t="s">
        <v>166</v>
      </c>
      <c r="CV967" s="27" t="s">
        <v>166</v>
      </c>
      <c r="CW967" s="27" t="s">
        <v>166</v>
      </c>
      <c r="CX967" s="27" t="s">
        <v>166</v>
      </c>
      <c r="CY967" s="27" t="s">
        <v>166</v>
      </c>
      <c r="CZ967" s="27" t="s">
        <v>166</v>
      </c>
      <c r="DA967" s="27" t="s">
        <v>166</v>
      </c>
      <c r="DB967" s="27" t="s">
        <v>166</v>
      </c>
      <c r="DC967" s="27" t="s">
        <v>166</v>
      </c>
      <c r="DD967" s="27" t="s">
        <v>166</v>
      </c>
      <c r="DE967" s="28" t="s">
        <v>166</v>
      </c>
      <c r="DF967" s="33">
        <v>12</v>
      </c>
      <c r="DG967" s="25" t="s">
        <v>16462</v>
      </c>
      <c r="DH967" s="25" t="s">
        <v>193</v>
      </c>
      <c r="DI967" s="25" t="s">
        <v>194</v>
      </c>
      <c r="DJ967" s="25" t="s">
        <v>16463</v>
      </c>
      <c r="DK967" s="25" t="s">
        <v>257</v>
      </c>
      <c r="DL967" s="32" t="s">
        <v>18344</v>
      </c>
      <c r="DM967" s="25" t="s">
        <v>198</v>
      </c>
      <c r="DN967" s="24" t="s">
        <v>18345</v>
      </c>
      <c r="DO967" s="31">
        <v>2016</v>
      </c>
      <c r="DP967" s="25" t="s">
        <v>166</v>
      </c>
      <c r="DQ967" s="25" t="s">
        <v>166</v>
      </c>
      <c r="DR967" s="29" t="s">
        <v>166</v>
      </c>
      <c r="DS967" s="27" t="s">
        <v>166</v>
      </c>
      <c r="DT967" s="30" t="s">
        <v>166</v>
      </c>
      <c r="DU967" s="25" t="s">
        <v>166</v>
      </c>
      <c r="DV967" s="29" t="s">
        <v>166</v>
      </c>
      <c r="DW967" s="29" t="s">
        <v>166</v>
      </c>
      <c r="DX967" s="27" t="s">
        <v>166</v>
      </c>
      <c r="DY967" s="27" t="s">
        <v>166</v>
      </c>
      <c r="DZ967" s="28" t="s">
        <v>166</v>
      </c>
      <c r="EA967" s="27" t="s">
        <v>166</v>
      </c>
      <c r="EB967" s="27" t="s">
        <v>166</v>
      </c>
      <c r="EC967" s="27" t="s">
        <v>166</v>
      </c>
      <c r="ED967" s="28" t="s">
        <v>166</v>
      </c>
      <c r="EE967" s="28" t="s">
        <v>166</v>
      </c>
      <c r="EF967" s="28" t="s">
        <v>166</v>
      </c>
      <c r="EG967" s="28" t="s">
        <v>166</v>
      </c>
      <c r="EH967" s="27" t="s">
        <v>166</v>
      </c>
      <c r="EI967" s="27" t="s">
        <v>166</v>
      </c>
      <c r="EJ967" s="27" t="s">
        <v>166</v>
      </c>
      <c r="EK967" s="27" t="s">
        <v>166</v>
      </c>
      <c r="EL967" s="27" t="s">
        <v>166</v>
      </c>
      <c r="EM967" s="27" t="s">
        <v>166</v>
      </c>
      <c r="EN967" s="27" t="s">
        <v>166</v>
      </c>
      <c r="EO967" s="27" t="s">
        <v>166</v>
      </c>
      <c r="EP967" s="27" t="s">
        <v>166</v>
      </c>
      <c r="EQ967" s="27" t="s">
        <v>166</v>
      </c>
      <c r="ER967" s="27" t="s">
        <v>166</v>
      </c>
      <c r="ES967" s="27" t="s">
        <v>166</v>
      </c>
      <c r="ET967" s="25" t="s">
        <v>166</v>
      </c>
      <c r="EU967" s="27" t="s">
        <v>166</v>
      </c>
      <c r="EV967" s="27" t="s">
        <v>166</v>
      </c>
      <c r="EW967" s="27" t="s">
        <v>166</v>
      </c>
      <c r="EX967" s="25" t="s">
        <v>190</v>
      </c>
      <c r="EY967" s="25" t="s">
        <v>166</v>
      </c>
      <c r="EZ967" s="27" t="s">
        <v>166</v>
      </c>
      <c r="FA967" s="26" t="s">
        <v>166</v>
      </c>
      <c r="FB967" s="26" t="s">
        <v>166</v>
      </c>
      <c r="FC967" s="26" t="s">
        <v>166</v>
      </c>
      <c r="FD967" s="26" t="s">
        <v>166</v>
      </c>
      <c r="FE967" s="26" t="s">
        <v>166</v>
      </c>
      <c r="FF967" s="26" t="s">
        <v>166</v>
      </c>
      <c r="FG967" s="25" t="s">
        <v>166</v>
      </c>
      <c r="FH967" s="4">
        <f>HYPERLINK("https://my.pitchbook.com?c=132094-81T","View Company Online")</f>
      </c>
    </row>
    <row r="968">
      <c r="A968" s="14" t="s">
        <v>18346</v>
      </c>
      <c r="B968" s="14" t="s">
        <v>18347</v>
      </c>
      <c r="C968" s="14" t="s">
        <v>18348</v>
      </c>
      <c r="D968" s="14" t="s">
        <v>166</v>
      </c>
      <c r="E968" s="23" t="s">
        <v>18349</v>
      </c>
      <c r="F968" s="21">
        <v>5</v>
      </c>
      <c r="G968" s="14" t="s">
        <v>18350</v>
      </c>
      <c r="H968" s="14" t="s">
        <v>166</v>
      </c>
      <c r="I968" s="14" t="s">
        <v>18351</v>
      </c>
      <c r="J968" s="14" t="s">
        <v>18352</v>
      </c>
      <c r="K968" s="14" t="s">
        <v>207</v>
      </c>
      <c r="L968" s="14" t="s">
        <v>208</v>
      </c>
      <c r="M968" s="14" t="s">
        <v>296</v>
      </c>
      <c r="N968" s="14" t="s">
        <v>1052</v>
      </c>
      <c r="O968" s="14" t="s">
        <v>6908</v>
      </c>
      <c r="P968" s="14" t="s">
        <v>18353</v>
      </c>
      <c r="Q968" s="14" t="s">
        <v>166</v>
      </c>
      <c r="R968" s="14" t="s">
        <v>177</v>
      </c>
      <c r="S968" s="14" t="s">
        <v>178</v>
      </c>
      <c r="T968" s="14" t="s">
        <v>179</v>
      </c>
      <c r="U968" s="14" t="s">
        <v>18354</v>
      </c>
      <c r="V968" s="14" t="s">
        <v>18355</v>
      </c>
      <c r="W968" s="21" t="s">
        <v>18356</v>
      </c>
      <c r="X968" s="14" t="s">
        <v>18357</v>
      </c>
      <c r="Y968" s="14" t="s">
        <v>18358</v>
      </c>
      <c r="Z968" s="14" t="s">
        <v>18359</v>
      </c>
      <c r="AA968" s="14" t="s">
        <v>166</v>
      </c>
      <c r="AB968" s="14" t="s">
        <v>166</v>
      </c>
      <c r="AC968" s="14" t="s">
        <v>166</v>
      </c>
      <c r="AD968" s="14" t="s">
        <v>166</v>
      </c>
      <c r="AE968" s="14" t="s">
        <v>166</v>
      </c>
      <c r="AF968" s="14" t="s">
        <v>166</v>
      </c>
      <c r="AG968" s="14" t="s">
        <v>166</v>
      </c>
      <c r="AH968" s="21">
        <v>1</v>
      </c>
      <c r="AI968" s="3">
        <f>HYPERLINK("https://my.pitchbook.com/?d=189746-11T","189746-11T")</f>
      </c>
      <c r="AJ968" s="19" t="s">
        <v>166</v>
      </c>
      <c r="AK968" s="19">
        <v>44784</v>
      </c>
      <c r="AL968" s="18">
        <v>5.75</v>
      </c>
      <c r="AM968" s="14" t="s">
        <v>185</v>
      </c>
      <c r="AN968" s="18" t="s">
        <v>166</v>
      </c>
      <c r="AO968" s="18" t="s">
        <v>166</v>
      </c>
      <c r="AP968" s="14" t="s">
        <v>166</v>
      </c>
      <c r="AQ968" s="21" t="s">
        <v>166</v>
      </c>
      <c r="AR968" s="21" t="s">
        <v>166</v>
      </c>
      <c r="AS968" s="17" t="s">
        <v>166</v>
      </c>
      <c r="AT968" s="18">
        <v>5.75</v>
      </c>
      <c r="AU968" s="21" t="s">
        <v>186</v>
      </c>
      <c r="AV968" s="21" t="s">
        <v>166</v>
      </c>
      <c r="AW968" s="18" t="s">
        <v>166</v>
      </c>
      <c r="AX968" s="21" t="s">
        <v>166</v>
      </c>
      <c r="AY968" s="14" t="s">
        <v>217</v>
      </c>
      <c r="AZ968" s="14" t="s">
        <v>217</v>
      </c>
      <c r="BA968" s="14" t="s">
        <v>166</v>
      </c>
      <c r="BB968" s="21" t="s">
        <v>166</v>
      </c>
      <c r="BC968" s="14" t="s">
        <v>179</v>
      </c>
      <c r="BD968" s="14" t="s">
        <v>18352</v>
      </c>
      <c r="BE968" s="14" t="s">
        <v>189</v>
      </c>
      <c r="BF968" s="18">
        <v>5.75</v>
      </c>
      <c r="BG968" s="14" t="s">
        <v>190</v>
      </c>
      <c r="BH968" s="14" t="s">
        <v>166</v>
      </c>
      <c r="BI968" s="14" t="s">
        <v>166</v>
      </c>
      <c r="BJ968" s="18" t="s">
        <v>166</v>
      </c>
      <c r="BK968" s="18" t="s">
        <v>166</v>
      </c>
      <c r="BL968" s="14" t="s">
        <v>191</v>
      </c>
      <c r="BM968" s="14" t="s">
        <v>178</v>
      </c>
      <c r="BN968" s="14" t="s">
        <v>177</v>
      </c>
      <c r="BO968" s="22" t="s">
        <v>166</v>
      </c>
      <c r="BP968" s="14" t="s">
        <v>18349</v>
      </c>
      <c r="BQ968" s="21">
        <v>5</v>
      </c>
      <c r="BR968" s="14" t="s">
        <v>166</v>
      </c>
      <c r="BS968" s="21" t="s">
        <v>166</v>
      </c>
      <c r="BT968" s="14" t="s">
        <v>18360</v>
      </c>
      <c r="BU968" s="14" t="s">
        <v>166</v>
      </c>
      <c r="BV968" s="14" t="s">
        <v>18361</v>
      </c>
      <c r="BW968" s="14" t="s">
        <v>166</v>
      </c>
      <c r="BX968" s="14" t="s">
        <v>166</v>
      </c>
      <c r="BY968" s="14" t="s">
        <v>166</v>
      </c>
      <c r="BZ968" s="14" t="s">
        <v>18362</v>
      </c>
      <c r="CA968" s="14" t="s">
        <v>996</v>
      </c>
      <c r="CB968" s="14" t="s">
        <v>166</v>
      </c>
      <c r="CC968" s="14" t="s">
        <v>18363</v>
      </c>
      <c r="CD968" s="14" t="s">
        <v>166</v>
      </c>
      <c r="CE968" s="18" t="s">
        <v>166</v>
      </c>
      <c r="CF968" s="16" t="s">
        <v>166</v>
      </c>
      <c r="CG968" s="17" t="s">
        <v>166</v>
      </c>
      <c r="CH968" s="16" t="s">
        <v>166</v>
      </c>
      <c r="CI968" s="16" t="s">
        <v>166</v>
      </c>
      <c r="CJ968" s="16" t="s">
        <v>166</v>
      </c>
      <c r="CK968" s="16" t="s">
        <v>166</v>
      </c>
      <c r="CL968" s="16" t="s">
        <v>166</v>
      </c>
      <c r="CM968" s="20" t="s">
        <v>166</v>
      </c>
      <c r="CN968" s="16" t="s">
        <v>166</v>
      </c>
      <c r="CO968" s="16" t="s">
        <v>166</v>
      </c>
      <c r="CP968" s="16" t="s">
        <v>166</v>
      </c>
      <c r="CQ968" s="16" t="s">
        <v>166</v>
      </c>
      <c r="CR968" s="16" t="s">
        <v>166</v>
      </c>
      <c r="CS968" s="16" t="s">
        <v>166</v>
      </c>
      <c r="CT968" s="16" t="s">
        <v>166</v>
      </c>
      <c r="CU968" s="16" t="s">
        <v>166</v>
      </c>
      <c r="CV968" s="16" t="s">
        <v>166</v>
      </c>
      <c r="CW968" s="16" t="s">
        <v>166</v>
      </c>
      <c r="CX968" s="16" t="s">
        <v>166</v>
      </c>
      <c r="CY968" s="16" t="s">
        <v>166</v>
      </c>
      <c r="CZ968" s="16" t="s">
        <v>166</v>
      </c>
      <c r="DA968" s="16" t="s">
        <v>166</v>
      </c>
      <c r="DB968" s="16" t="s">
        <v>166</v>
      </c>
      <c r="DC968" s="16" t="s">
        <v>166</v>
      </c>
      <c r="DD968" s="16" t="s">
        <v>166</v>
      </c>
      <c r="DE968" s="17" t="s">
        <v>166</v>
      </c>
      <c r="DF968" s="22">
        <v>10</v>
      </c>
      <c r="DG968" s="14" t="s">
        <v>5921</v>
      </c>
      <c r="DH968" s="14" t="s">
        <v>193</v>
      </c>
      <c r="DI968" s="14" t="s">
        <v>194</v>
      </c>
      <c r="DJ968" s="14" t="s">
        <v>5922</v>
      </c>
      <c r="DK968" s="14" t="s">
        <v>257</v>
      </c>
      <c r="DL968" s="21" t="s">
        <v>18364</v>
      </c>
      <c r="DM968" s="14" t="s">
        <v>198</v>
      </c>
      <c r="DN968" s="13" t="s">
        <v>18365</v>
      </c>
      <c r="DO968" s="20">
        <v>2021</v>
      </c>
      <c r="DP968" s="14" t="s">
        <v>166</v>
      </c>
      <c r="DQ968" s="14" t="s">
        <v>166</v>
      </c>
      <c r="DR968" s="18" t="s">
        <v>166</v>
      </c>
      <c r="DS968" s="16" t="s">
        <v>166</v>
      </c>
      <c r="DT968" s="19" t="s">
        <v>166</v>
      </c>
      <c r="DU968" s="14" t="s">
        <v>166</v>
      </c>
      <c r="DV968" s="18" t="s">
        <v>166</v>
      </c>
      <c r="DW968" s="18" t="s">
        <v>166</v>
      </c>
      <c r="DX968" s="16" t="s">
        <v>166</v>
      </c>
      <c r="DY968" s="16" t="s">
        <v>166</v>
      </c>
      <c r="DZ968" s="17" t="s">
        <v>166</v>
      </c>
      <c r="EA968" s="16" t="s">
        <v>166</v>
      </c>
      <c r="EB968" s="16" t="s">
        <v>166</v>
      </c>
      <c r="EC968" s="16" t="s">
        <v>166</v>
      </c>
      <c r="ED968" s="17" t="s">
        <v>166</v>
      </c>
      <c r="EE968" s="17" t="s">
        <v>166</v>
      </c>
      <c r="EF968" s="17" t="s">
        <v>166</v>
      </c>
      <c r="EG968" s="17" t="s">
        <v>166</v>
      </c>
      <c r="EH968" s="16" t="s">
        <v>166</v>
      </c>
      <c r="EI968" s="16" t="s">
        <v>166</v>
      </c>
      <c r="EJ968" s="16" t="s">
        <v>166</v>
      </c>
      <c r="EK968" s="16" t="s">
        <v>166</v>
      </c>
      <c r="EL968" s="16" t="s">
        <v>166</v>
      </c>
      <c r="EM968" s="16" t="s">
        <v>166</v>
      </c>
      <c r="EN968" s="16" t="s">
        <v>166</v>
      </c>
      <c r="EO968" s="16" t="s">
        <v>166</v>
      </c>
      <c r="EP968" s="16" t="s">
        <v>166</v>
      </c>
      <c r="EQ968" s="16" t="s">
        <v>166</v>
      </c>
      <c r="ER968" s="16" t="s">
        <v>166</v>
      </c>
      <c r="ES968" s="16" t="s">
        <v>166</v>
      </c>
      <c r="ET968" s="14" t="s">
        <v>166</v>
      </c>
      <c r="EU968" s="16" t="s">
        <v>166</v>
      </c>
      <c r="EV968" s="16" t="s">
        <v>166</v>
      </c>
      <c r="EW968" s="16" t="s">
        <v>166</v>
      </c>
      <c r="EX968" s="14" t="s">
        <v>190</v>
      </c>
      <c r="EY968" s="14" t="s">
        <v>166</v>
      </c>
      <c r="EZ968" s="16" t="s">
        <v>166</v>
      </c>
      <c r="FA968" s="15" t="s">
        <v>166</v>
      </c>
      <c r="FB968" s="15" t="s">
        <v>166</v>
      </c>
      <c r="FC968" s="15" t="s">
        <v>166</v>
      </c>
      <c r="FD968" s="15" t="s">
        <v>166</v>
      </c>
      <c r="FE968" s="15" t="s">
        <v>166</v>
      </c>
      <c r="FF968" s="15" t="s">
        <v>166</v>
      </c>
      <c r="FG968" s="14" t="s">
        <v>166</v>
      </c>
      <c r="FH968" s="3">
        <f>HYPERLINK("https://my.pitchbook.com?c=189746-11T","View Company Online")</f>
      </c>
    </row>
    <row r="969">
      <c r="A969" s="25" t="s">
        <v>18366</v>
      </c>
      <c r="B969" s="25" t="s">
        <v>18367</v>
      </c>
      <c r="C969" s="25" t="s">
        <v>18368</v>
      </c>
      <c r="D969" s="25" t="s">
        <v>166</v>
      </c>
      <c r="E969" s="34" t="s">
        <v>17230</v>
      </c>
      <c r="F969" s="32">
        <v>1</v>
      </c>
      <c r="G969" s="25" t="s">
        <v>17231</v>
      </c>
      <c r="H969" s="25" t="s">
        <v>166</v>
      </c>
      <c r="I969" s="25" t="s">
        <v>18369</v>
      </c>
      <c r="J969" s="25" t="s">
        <v>18370</v>
      </c>
      <c r="K969" s="25" t="s">
        <v>207</v>
      </c>
      <c r="L969" s="25" t="s">
        <v>208</v>
      </c>
      <c r="M969" s="25" t="s">
        <v>209</v>
      </c>
      <c r="N969" s="25" t="s">
        <v>684</v>
      </c>
      <c r="O969" s="25" t="s">
        <v>166</v>
      </c>
      <c r="P969" s="25" t="s">
        <v>18371</v>
      </c>
      <c r="Q969" s="25" t="s">
        <v>166</v>
      </c>
      <c r="R969" s="25" t="s">
        <v>177</v>
      </c>
      <c r="S969" s="25" t="s">
        <v>178</v>
      </c>
      <c r="T969" s="25" t="s">
        <v>179</v>
      </c>
      <c r="U969" s="25" t="s">
        <v>18372</v>
      </c>
      <c r="V969" s="25" t="s">
        <v>18373</v>
      </c>
      <c r="W969" s="32" t="s">
        <v>18374</v>
      </c>
      <c r="X969" s="25" t="s">
        <v>18375</v>
      </c>
      <c r="Y969" s="25" t="s">
        <v>18376</v>
      </c>
      <c r="Z969" s="25" t="s">
        <v>18377</v>
      </c>
      <c r="AA969" s="25" t="s">
        <v>242</v>
      </c>
      <c r="AB969" s="25" t="s">
        <v>243</v>
      </c>
      <c r="AC969" s="25" t="s">
        <v>244</v>
      </c>
      <c r="AD969" s="25" t="s">
        <v>243</v>
      </c>
      <c r="AE969" s="25" t="s">
        <v>243</v>
      </c>
      <c r="AF969" s="25" t="s">
        <v>166</v>
      </c>
      <c r="AG969" s="25" t="s">
        <v>5628</v>
      </c>
      <c r="AH969" s="32">
        <v>1</v>
      </c>
      <c r="AI969" s="4">
        <f>HYPERLINK("https://my.pitchbook.com/?d=266134-24T","266134-24T")</f>
      </c>
      <c r="AJ969" s="30" t="s">
        <v>166</v>
      </c>
      <c r="AK969" s="30">
        <v>45307</v>
      </c>
      <c r="AL969" s="29">
        <v>4.5</v>
      </c>
      <c r="AM969" s="25" t="s">
        <v>185</v>
      </c>
      <c r="AN969" s="29">
        <v>10</v>
      </c>
      <c r="AO969" s="29">
        <v>14.5</v>
      </c>
      <c r="AP969" s="25" t="s">
        <v>247</v>
      </c>
      <c r="AQ969" s="32" t="s">
        <v>166</v>
      </c>
      <c r="AR969" s="32" t="s">
        <v>166</v>
      </c>
      <c r="AS969" s="28">
        <v>47.34</v>
      </c>
      <c r="AT969" s="29">
        <v>4.5</v>
      </c>
      <c r="AU969" s="32" t="s">
        <v>186</v>
      </c>
      <c r="AV969" s="32" t="s">
        <v>166</v>
      </c>
      <c r="AW969" s="29">
        <v>0.83</v>
      </c>
      <c r="AX969" s="32" t="s">
        <v>166</v>
      </c>
      <c r="AY969" s="25" t="s">
        <v>217</v>
      </c>
      <c r="AZ969" s="25" t="s">
        <v>217</v>
      </c>
      <c r="BA969" s="25" t="s">
        <v>166</v>
      </c>
      <c r="BB969" s="32" t="s">
        <v>166</v>
      </c>
      <c r="BC969" s="25" t="s">
        <v>179</v>
      </c>
      <c r="BD969" s="25" t="s">
        <v>18370</v>
      </c>
      <c r="BE969" s="25" t="s">
        <v>189</v>
      </c>
      <c r="BF969" s="29">
        <v>4.5</v>
      </c>
      <c r="BG969" s="25" t="s">
        <v>190</v>
      </c>
      <c r="BH969" s="25" t="s">
        <v>166</v>
      </c>
      <c r="BI969" s="25" t="s">
        <v>166</v>
      </c>
      <c r="BJ969" s="29" t="s">
        <v>166</v>
      </c>
      <c r="BK969" s="29" t="s">
        <v>166</v>
      </c>
      <c r="BL969" s="25" t="s">
        <v>191</v>
      </c>
      <c r="BM969" s="25" t="s">
        <v>178</v>
      </c>
      <c r="BN969" s="25" t="s">
        <v>177</v>
      </c>
      <c r="BO969" s="33" t="s">
        <v>166</v>
      </c>
      <c r="BP969" s="25" t="s">
        <v>17230</v>
      </c>
      <c r="BQ969" s="32">
        <v>1</v>
      </c>
      <c r="BR969" s="25" t="s">
        <v>166</v>
      </c>
      <c r="BS969" s="32" t="s">
        <v>166</v>
      </c>
      <c r="BT969" s="25" t="s">
        <v>166</v>
      </c>
      <c r="BU969" s="25" t="s">
        <v>166</v>
      </c>
      <c r="BV969" s="25" t="s">
        <v>166</v>
      </c>
      <c r="BW969" s="25" t="s">
        <v>166</v>
      </c>
      <c r="BX969" s="25" t="s">
        <v>166</v>
      </c>
      <c r="BY969" s="25" t="s">
        <v>166</v>
      </c>
      <c r="BZ969" s="25" t="s">
        <v>996</v>
      </c>
      <c r="CA969" s="25" t="s">
        <v>996</v>
      </c>
      <c r="CB969" s="25" t="s">
        <v>166</v>
      </c>
      <c r="CC969" s="25" t="s">
        <v>166</v>
      </c>
      <c r="CD969" s="25" t="s">
        <v>166</v>
      </c>
      <c r="CE969" s="29" t="s">
        <v>166</v>
      </c>
      <c r="CF969" s="27" t="s">
        <v>166</v>
      </c>
      <c r="CG969" s="28" t="s">
        <v>166</v>
      </c>
      <c r="CH969" s="27" t="s">
        <v>166</v>
      </c>
      <c r="CI969" s="27" t="s">
        <v>166</v>
      </c>
      <c r="CJ969" s="27" t="s">
        <v>166</v>
      </c>
      <c r="CK969" s="27" t="s">
        <v>166</v>
      </c>
      <c r="CL969" s="27" t="s">
        <v>166</v>
      </c>
      <c r="CM969" s="31" t="s">
        <v>166</v>
      </c>
      <c r="CN969" s="27" t="s">
        <v>166</v>
      </c>
      <c r="CO969" s="27" t="s">
        <v>166</v>
      </c>
      <c r="CP969" s="27" t="s">
        <v>166</v>
      </c>
      <c r="CQ969" s="27" t="s">
        <v>166</v>
      </c>
      <c r="CR969" s="27" t="s">
        <v>166</v>
      </c>
      <c r="CS969" s="27" t="s">
        <v>166</v>
      </c>
      <c r="CT969" s="27" t="s">
        <v>166</v>
      </c>
      <c r="CU969" s="27" t="s">
        <v>166</v>
      </c>
      <c r="CV969" s="27" t="s">
        <v>166</v>
      </c>
      <c r="CW969" s="27" t="s">
        <v>166</v>
      </c>
      <c r="CX969" s="27" t="s">
        <v>166</v>
      </c>
      <c r="CY969" s="27" t="s">
        <v>166</v>
      </c>
      <c r="CZ969" s="27" t="s">
        <v>166</v>
      </c>
      <c r="DA969" s="27" t="s">
        <v>166</v>
      </c>
      <c r="DB969" s="27" t="s">
        <v>166</v>
      </c>
      <c r="DC969" s="27" t="s">
        <v>166</v>
      </c>
      <c r="DD969" s="27" t="s">
        <v>166</v>
      </c>
      <c r="DE969" s="28" t="s">
        <v>166</v>
      </c>
      <c r="DF969" s="33">
        <v>10</v>
      </c>
      <c r="DG969" s="25" t="s">
        <v>309</v>
      </c>
      <c r="DH969" s="25" t="s">
        <v>193</v>
      </c>
      <c r="DI969" s="25" t="s">
        <v>194</v>
      </c>
      <c r="DJ969" s="25" t="s">
        <v>310</v>
      </c>
      <c r="DK969" s="25" t="s">
        <v>310</v>
      </c>
      <c r="DL969" s="32" t="s">
        <v>18378</v>
      </c>
      <c r="DM969" s="25" t="s">
        <v>198</v>
      </c>
      <c r="DN969" s="24" t="s">
        <v>18379</v>
      </c>
      <c r="DO969" s="31">
        <v>2022</v>
      </c>
      <c r="DP969" s="25" t="s">
        <v>166</v>
      </c>
      <c r="DQ969" s="25" t="s">
        <v>166</v>
      </c>
      <c r="DR969" s="29" t="s">
        <v>166</v>
      </c>
      <c r="DS969" s="27" t="s">
        <v>166</v>
      </c>
      <c r="DT969" s="30" t="s">
        <v>166</v>
      </c>
      <c r="DU969" s="25" t="s">
        <v>166</v>
      </c>
      <c r="DV969" s="29" t="s">
        <v>166</v>
      </c>
      <c r="DW969" s="29" t="s">
        <v>166</v>
      </c>
      <c r="DX969" s="27" t="s">
        <v>166</v>
      </c>
      <c r="DY969" s="27" t="s">
        <v>166</v>
      </c>
      <c r="DZ969" s="28" t="s">
        <v>166</v>
      </c>
      <c r="EA969" s="27" t="s">
        <v>166</v>
      </c>
      <c r="EB969" s="27" t="s">
        <v>166</v>
      </c>
      <c r="EC969" s="27" t="s">
        <v>166</v>
      </c>
      <c r="ED969" s="28" t="s">
        <v>166</v>
      </c>
      <c r="EE969" s="28" t="s">
        <v>166</v>
      </c>
      <c r="EF969" s="28" t="s">
        <v>166</v>
      </c>
      <c r="EG969" s="28" t="s">
        <v>166</v>
      </c>
      <c r="EH969" s="27" t="s">
        <v>166</v>
      </c>
      <c r="EI969" s="27" t="s">
        <v>166</v>
      </c>
      <c r="EJ969" s="27" t="s">
        <v>166</v>
      </c>
      <c r="EK969" s="27" t="s">
        <v>166</v>
      </c>
      <c r="EL969" s="27" t="s">
        <v>166</v>
      </c>
      <c r="EM969" s="27" t="s">
        <v>166</v>
      </c>
      <c r="EN969" s="27" t="s">
        <v>166</v>
      </c>
      <c r="EO969" s="27" t="s">
        <v>166</v>
      </c>
      <c r="EP969" s="27" t="s">
        <v>166</v>
      </c>
      <c r="EQ969" s="27" t="s">
        <v>166</v>
      </c>
      <c r="ER969" s="27" t="s">
        <v>166</v>
      </c>
      <c r="ES969" s="27" t="s">
        <v>166</v>
      </c>
      <c r="ET969" s="25" t="s">
        <v>166</v>
      </c>
      <c r="EU969" s="27" t="s">
        <v>166</v>
      </c>
      <c r="EV969" s="27" t="s">
        <v>166</v>
      </c>
      <c r="EW969" s="27" t="s">
        <v>166</v>
      </c>
      <c r="EX969" s="25" t="s">
        <v>190</v>
      </c>
      <c r="EY969" s="25" t="s">
        <v>166</v>
      </c>
      <c r="EZ969" s="27" t="s">
        <v>166</v>
      </c>
      <c r="FA969" s="26" t="s">
        <v>166</v>
      </c>
      <c r="FB969" s="26" t="s">
        <v>166</v>
      </c>
      <c r="FC969" s="26" t="s">
        <v>166</v>
      </c>
      <c r="FD969" s="26" t="s">
        <v>166</v>
      </c>
      <c r="FE969" s="26" t="s">
        <v>166</v>
      </c>
      <c r="FF969" s="26" t="s">
        <v>166</v>
      </c>
      <c r="FG969" s="25" t="s">
        <v>166</v>
      </c>
      <c r="FH969" s="4">
        <f>HYPERLINK("https://my.pitchbook.com?c=266134-24T","View Company Online")</f>
      </c>
    </row>
    <row r="970">
      <c r="A970" s="14" t="s">
        <v>18380</v>
      </c>
      <c r="B970" s="14" t="s">
        <v>18381</v>
      </c>
      <c r="C970" s="14" t="s">
        <v>18382</v>
      </c>
      <c r="D970" s="14" t="s">
        <v>166</v>
      </c>
      <c r="E970" s="23" t="s">
        <v>18383</v>
      </c>
      <c r="F970" s="21">
        <v>4</v>
      </c>
      <c r="G970" s="14" t="s">
        <v>18384</v>
      </c>
      <c r="H970" s="14" t="s">
        <v>166</v>
      </c>
      <c r="I970" s="14" t="s">
        <v>18385</v>
      </c>
      <c r="J970" s="14" t="s">
        <v>18386</v>
      </c>
      <c r="K970" s="14" t="s">
        <v>207</v>
      </c>
      <c r="L970" s="14" t="s">
        <v>208</v>
      </c>
      <c r="M970" s="14" t="s">
        <v>1766</v>
      </c>
      <c r="N970" s="14" t="s">
        <v>2393</v>
      </c>
      <c r="O970" s="14" t="s">
        <v>1035</v>
      </c>
      <c r="P970" s="14" t="s">
        <v>18387</v>
      </c>
      <c r="Q970" s="14" t="s">
        <v>166</v>
      </c>
      <c r="R970" s="14" t="s">
        <v>177</v>
      </c>
      <c r="S970" s="14" t="s">
        <v>178</v>
      </c>
      <c r="T970" s="14" t="s">
        <v>179</v>
      </c>
      <c r="U970" s="14" t="s">
        <v>18388</v>
      </c>
      <c r="V970" s="14" t="s">
        <v>18389</v>
      </c>
      <c r="W970" s="21" t="s">
        <v>18390</v>
      </c>
      <c r="X970" s="14" t="s">
        <v>18391</v>
      </c>
      <c r="Y970" s="14" t="s">
        <v>18392</v>
      </c>
      <c r="Z970" s="14" t="s">
        <v>166</v>
      </c>
      <c r="AA970" s="14" t="s">
        <v>166</v>
      </c>
      <c r="AB970" s="14" t="s">
        <v>166</v>
      </c>
      <c r="AC970" s="14" t="s">
        <v>166</v>
      </c>
      <c r="AD970" s="14" t="s">
        <v>166</v>
      </c>
      <c r="AE970" s="14" t="s">
        <v>166</v>
      </c>
      <c r="AF970" s="14" t="s">
        <v>166</v>
      </c>
      <c r="AG970" s="14" t="s">
        <v>166</v>
      </c>
      <c r="AH970" s="21">
        <v>3</v>
      </c>
      <c r="AI970" s="3">
        <f>HYPERLINK("https://my.pitchbook.com/?d=199621-18T","199621-18T")</f>
      </c>
      <c r="AJ970" s="19" t="s">
        <v>166</v>
      </c>
      <c r="AK970" s="19">
        <v>44771</v>
      </c>
      <c r="AL970" s="18">
        <v>1.04</v>
      </c>
      <c r="AM970" s="14" t="s">
        <v>185</v>
      </c>
      <c r="AN970" s="18" t="s">
        <v>166</v>
      </c>
      <c r="AO970" s="18" t="s">
        <v>166</v>
      </c>
      <c r="AP970" s="14" t="s">
        <v>166</v>
      </c>
      <c r="AQ970" s="21" t="s">
        <v>166</v>
      </c>
      <c r="AR970" s="21" t="s">
        <v>166</v>
      </c>
      <c r="AS970" s="17" t="s">
        <v>166</v>
      </c>
      <c r="AT970" s="18">
        <v>1.29</v>
      </c>
      <c r="AU970" s="21" t="s">
        <v>186</v>
      </c>
      <c r="AV970" s="21" t="s">
        <v>166</v>
      </c>
      <c r="AW970" s="18" t="s">
        <v>166</v>
      </c>
      <c r="AX970" s="21" t="s">
        <v>166</v>
      </c>
      <c r="AY970" s="14" t="s">
        <v>217</v>
      </c>
      <c r="AZ970" s="14" t="s">
        <v>217</v>
      </c>
      <c r="BA970" s="14" t="s">
        <v>166</v>
      </c>
      <c r="BB970" s="21" t="s">
        <v>166</v>
      </c>
      <c r="BC970" s="14" t="s">
        <v>179</v>
      </c>
      <c r="BD970" s="14" t="s">
        <v>18393</v>
      </c>
      <c r="BE970" s="14" t="s">
        <v>189</v>
      </c>
      <c r="BF970" s="18">
        <v>1.04</v>
      </c>
      <c r="BG970" s="14" t="s">
        <v>190</v>
      </c>
      <c r="BH970" s="14" t="s">
        <v>166</v>
      </c>
      <c r="BI970" s="14" t="s">
        <v>166</v>
      </c>
      <c r="BJ970" s="18" t="s">
        <v>166</v>
      </c>
      <c r="BK970" s="18" t="s">
        <v>166</v>
      </c>
      <c r="BL970" s="14" t="s">
        <v>191</v>
      </c>
      <c r="BM970" s="14" t="s">
        <v>178</v>
      </c>
      <c r="BN970" s="14" t="s">
        <v>177</v>
      </c>
      <c r="BO970" s="22">
        <v>3</v>
      </c>
      <c r="BP970" s="14" t="s">
        <v>18394</v>
      </c>
      <c r="BQ970" s="21">
        <v>3</v>
      </c>
      <c r="BR970" s="14" t="s">
        <v>3624</v>
      </c>
      <c r="BS970" s="21">
        <v>1</v>
      </c>
      <c r="BT970" s="14" t="s">
        <v>18395</v>
      </c>
      <c r="BU970" s="14" t="s">
        <v>166</v>
      </c>
      <c r="BV970" s="14" t="s">
        <v>18396</v>
      </c>
      <c r="BW970" s="14" t="s">
        <v>166</v>
      </c>
      <c r="BX970" s="14" t="s">
        <v>166</v>
      </c>
      <c r="BY970" s="14" t="s">
        <v>166</v>
      </c>
      <c r="BZ970" s="14" t="s">
        <v>166</v>
      </c>
      <c r="CA970" s="14" t="s">
        <v>166</v>
      </c>
      <c r="CB970" s="14" t="s">
        <v>166</v>
      </c>
      <c r="CC970" s="14" t="s">
        <v>166</v>
      </c>
      <c r="CD970" s="14" t="s">
        <v>166</v>
      </c>
      <c r="CE970" s="18" t="s">
        <v>166</v>
      </c>
      <c r="CF970" s="16" t="s">
        <v>166</v>
      </c>
      <c r="CG970" s="17" t="s">
        <v>166</v>
      </c>
      <c r="CH970" s="16" t="s">
        <v>166</v>
      </c>
      <c r="CI970" s="16" t="s">
        <v>166</v>
      </c>
      <c r="CJ970" s="16" t="s">
        <v>166</v>
      </c>
      <c r="CK970" s="16" t="s">
        <v>166</v>
      </c>
      <c r="CL970" s="16" t="s">
        <v>166</v>
      </c>
      <c r="CM970" s="20" t="s">
        <v>166</v>
      </c>
      <c r="CN970" s="16" t="s">
        <v>166</v>
      </c>
      <c r="CO970" s="16" t="s">
        <v>166</v>
      </c>
      <c r="CP970" s="16" t="s">
        <v>166</v>
      </c>
      <c r="CQ970" s="16" t="s">
        <v>166</v>
      </c>
      <c r="CR970" s="16" t="s">
        <v>166</v>
      </c>
      <c r="CS970" s="16" t="s">
        <v>166</v>
      </c>
      <c r="CT970" s="16" t="s">
        <v>166</v>
      </c>
      <c r="CU970" s="16" t="s">
        <v>166</v>
      </c>
      <c r="CV970" s="16" t="s">
        <v>166</v>
      </c>
      <c r="CW970" s="16" t="s">
        <v>166</v>
      </c>
      <c r="CX970" s="16" t="s">
        <v>166</v>
      </c>
      <c r="CY970" s="16" t="s">
        <v>166</v>
      </c>
      <c r="CZ970" s="16" t="s">
        <v>166</v>
      </c>
      <c r="DA970" s="16" t="s">
        <v>166</v>
      </c>
      <c r="DB970" s="16" t="s">
        <v>166</v>
      </c>
      <c r="DC970" s="16" t="s">
        <v>166</v>
      </c>
      <c r="DD970" s="16" t="s">
        <v>166</v>
      </c>
      <c r="DE970" s="17" t="s">
        <v>166</v>
      </c>
      <c r="DF970" s="22">
        <v>15</v>
      </c>
      <c r="DG970" s="14" t="s">
        <v>309</v>
      </c>
      <c r="DH970" s="14" t="s">
        <v>193</v>
      </c>
      <c r="DI970" s="14" t="s">
        <v>194</v>
      </c>
      <c r="DJ970" s="14" t="s">
        <v>310</v>
      </c>
      <c r="DK970" s="14" t="s">
        <v>310</v>
      </c>
      <c r="DL970" s="21" t="s">
        <v>166</v>
      </c>
      <c r="DM970" s="14" t="s">
        <v>198</v>
      </c>
      <c r="DN970" s="13" t="s">
        <v>18397</v>
      </c>
      <c r="DO970" s="20">
        <v>2019</v>
      </c>
      <c r="DP970" s="14" t="s">
        <v>166</v>
      </c>
      <c r="DQ970" s="14" t="s">
        <v>166</v>
      </c>
      <c r="DR970" s="18" t="s">
        <v>166</v>
      </c>
      <c r="DS970" s="16" t="s">
        <v>166</v>
      </c>
      <c r="DT970" s="19" t="s">
        <v>166</v>
      </c>
      <c r="DU970" s="14" t="s">
        <v>166</v>
      </c>
      <c r="DV970" s="18" t="s">
        <v>166</v>
      </c>
      <c r="DW970" s="18" t="s">
        <v>166</v>
      </c>
      <c r="DX970" s="16" t="s">
        <v>166</v>
      </c>
      <c r="DY970" s="16" t="s">
        <v>166</v>
      </c>
      <c r="DZ970" s="17" t="s">
        <v>166</v>
      </c>
      <c r="EA970" s="16" t="s">
        <v>166</v>
      </c>
      <c r="EB970" s="16" t="s">
        <v>166</v>
      </c>
      <c r="EC970" s="16" t="s">
        <v>166</v>
      </c>
      <c r="ED970" s="17" t="s">
        <v>166</v>
      </c>
      <c r="EE970" s="17" t="s">
        <v>166</v>
      </c>
      <c r="EF970" s="17" t="s">
        <v>166</v>
      </c>
      <c r="EG970" s="17" t="s">
        <v>166</v>
      </c>
      <c r="EH970" s="16" t="s">
        <v>166</v>
      </c>
      <c r="EI970" s="16" t="s">
        <v>166</v>
      </c>
      <c r="EJ970" s="16" t="s">
        <v>166</v>
      </c>
      <c r="EK970" s="16" t="s">
        <v>166</v>
      </c>
      <c r="EL970" s="16" t="s">
        <v>166</v>
      </c>
      <c r="EM970" s="16" t="s">
        <v>166</v>
      </c>
      <c r="EN970" s="16" t="s">
        <v>166</v>
      </c>
      <c r="EO970" s="16" t="s">
        <v>166</v>
      </c>
      <c r="EP970" s="16" t="s">
        <v>166</v>
      </c>
      <c r="EQ970" s="16" t="s">
        <v>166</v>
      </c>
      <c r="ER970" s="16" t="s">
        <v>166</v>
      </c>
      <c r="ES970" s="16" t="s">
        <v>166</v>
      </c>
      <c r="ET970" s="14" t="s">
        <v>166</v>
      </c>
      <c r="EU970" s="16" t="s">
        <v>166</v>
      </c>
      <c r="EV970" s="16" t="s">
        <v>166</v>
      </c>
      <c r="EW970" s="16" t="s">
        <v>166</v>
      </c>
      <c r="EX970" s="14" t="s">
        <v>190</v>
      </c>
      <c r="EY970" s="14" t="s">
        <v>166</v>
      </c>
      <c r="EZ970" s="16" t="s">
        <v>166</v>
      </c>
      <c r="FA970" s="15" t="s">
        <v>166</v>
      </c>
      <c r="FB970" s="15" t="s">
        <v>166</v>
      </c>
      <c r="FC970" s="15" t="s">
        <v>166</v>
      </c>
      <c r="FD970" s="15" t="s">
        <v>166</v>
      </c>
      <c r="FE970" s="15" t="s">
        <v>166</v>
      </c>
      <c r="FF970" s="15" t="s">
        <v>166</v>
      </c>
      <c r="FG970" s="14" t="s">
        <v>166</v>
      </c>
      <c r="FH970" s="3">
        <f>HYPERLINK("https://my.pitchbook.com?c=199621-18T","View Company Online")</f>
      </c>
    </row>
    <row r="971">
      <c r="A971" s="25" t="s">
        <v>18398</v>
      </c>
      <c r="B971" s="25" t="s">
        <v>18399</v>
      </c>
      <c r="C971" s="25" t="s">
        <v>18400</v>
      </c>
      <c r="D971" s="25" t="s">
        <v>166</v>
      </c>
      <c r="E971" s="34" t="s">
        <v>18401</v>
      </c>
      <c r="F971" s="32">
        <v>3</v>
      </c>
      <c r="G971" s="25" t="s">
        <v>18402</v>
      </c>
      <c r="H971" s="25" t="s">
        <v>166</v>
      </c>
      <c r="I971" s="25" t="s">
        <v>18403</v>
      </c>
      <c r="J971" s="25" t="s">
        <v>18404</v>
      </c>
      <c r="K971" s="25" t="s">
        <v>171</v>
      </c>
      <c r="L971" s="25" t="s">
        <v>172</v>
      </c>
      <c r="M971" s="25" t="s">
        <v>2426</v>
      </c>
      <c r="N971" s="25" t="s">
        <v>18405</v>
      </c>
      <c r="O971" s="25" t="s">
        <v>4964</v>
      </c>
      <c r="P971" s="25" t="s">
        <v>18406</v>
      </c>
      <c r="Q971" s="25" t="s">
        <v>166</v>
      </c>
      <c r="R971" s="25" t="s">
        <v>177</v>
      </c>
      <c r="S971" s="25" t="s">
        <v>358</v>
      </c>
      <c r="T971" s="25" t="s">
        <v>179</v>
      </c>
      <c r="U971" s="25" t="s">
        <v>18407</v>
      </c>
      <c r="V971" s="25" t="s">
        <v>18408</v>
      </c>
      <c r="W971" s="32" t="s">
        <v>18409</v>
      </c>
      <c r="X971" s="25" t="s">
        <v>18410</v>
      </c>
      <c r="Y971" s="25" t="s">
        <v>18411</v>
      </c>
      <c r="Z971" s="25" t="s">
        <v>18412</v>
      </c>
      <c r="AA971" s="25" t="s">
        <v>242</v>
      </c>
      <c r="AB971" s="25" t="s">
        <v>243</v>
      </c>
      <c r="AC971" s="25" t="s">
        <v>244</v>
      </c>
      <c r="AD971" s="25" t="s">
        <v>243</v>
      </c>
      <c r="AE971" s="25" t="s">
        <v>243</v>
      </c>
      <c r="AF971" s="25" t="s">
        <v>166</v>
      </c>
      <c r="AG971" s="25" t="s">
        <v>807</v>
      </c>
      <c r="AH971" s="32">
        <v>1</v>
      </c>
      <c r="AI971" s="4">
        <f>HYPERLINK("https://my.pitchbook.com/?d=181293-49T","181293-49T")</f>
      </c>
      <c r="AJ971" s="30">
        <v>44441</v>
      </c>
      <c r="AK971" s="30">
        <v>44572</v>
      </c>
      <c r="AL971" s="29">
        <v>51.45</v>
      </c>
      <c r="AM971" s="25" t="s">
        <v>185</v>
      </c>
      <c r="AN971" s="29">
        <v>100</v>
      </c>
      <c r="AO971" s="29">
        <v>151.45</v>
      </c>
      <c r="AP971" s="25" t="s">
        <v>185</v>
      </c>
      <c r="AQ971" s="32" t="s">
        <v>166</v>
      </c>
      <c r="AR971" s="32" t="s">
        <v>166</v>
      </c>
      <c r="AS971" s="28">
        <v>33.97</v>
      </c>
      <c r="AT971" s="29">
        <v>51.45</v>
      </c>
      <c r="AU971" s="32" t="s">
        <v>186</v>
      </c>
      <c r="AV971" s="32" t="s">
        <v>166</v>
      </c>
      <c r="AW971" s="29">
        <v>9.28</v>
      </c>
      <c r="AX971" s="32" t="s">
        <v>248</v>
      </c>
      <c r="AY971" s="25" t="s">
        <v>187</v>
      </c>
      <c r="AZ971" s="25" t="s">
        <v>248</v>
      </c>
      <c r="BA971" s="25" t="s">
        <v>166</v>
      </c>
      <c r="BB971" s="32" t="s">
        <v>166</v>
      </c>
      <c r="BC971" s="25" t="s">
        <v>179</v>
      </c>
      <c r="BD971" s="25" t="s">
        <v>18404</v>
      </c>
      <c r="BE971" s="25" t="s">
        <v>189</v>
      </c>
      <c r="BF971" s="29">
        <v>51.45</v>
      </c>
      <c r="BG971" s="25" t="s">
        <v>190</v>
      </c>
      <c r="BH971" s="25" t="s">
        <v>166</v>
      </c>
      <c r="BI971" s="25" t="s">
        <v>166</v>
      </c>
      <c r="BJ971" s="29" t="s">
        <v>166</v>
      </c>
      <c r="BK971" s="29" t="s">
        <v>166</v>
      </c>
      <c r="BL971" s="25" t="s">
        <v>191</v>
      </c>
      <c r="BM971" s="25" t="s">
        <v>358</v>
      </c>
      <c r="BN971" s="25" t="s">
        <v>177</v>
      </c>
      <c r="BO971" s="33" t="s">
        <v>166</v>
      </c>
      <c r="BP971" s="25" t="s">
        <v>18413</v>
      </c>
      <c r="BQ971" s="32">
        <v>3</v>
      </c>
      <c r="BR971" s="25" t="s">
        <v>166</v>
      </c>
      <c r="BS971" s="32" t="s">
        <v>166</v>
      </c>
      <c r="BT971" s="25" t="s">
        <v>18414</v>
      </c>
      <c r="BU971" s="25" t="s">
        <v>166</v>
      </c>
      <c r="BV971" s="25" t="s">
        <v>18415</v>
      </c>
      <c r="BW971" s="25" t="s">
        <v>166</v>
      </c>
      <c r="BX971" s="25" t="s">
        <v>166</v>
      </c>
      <c r="BY971" s="25" t="s">
        <v>166</v>
      </c>
      <c r="BZ971" s="25" t="s">
        <v>18416</v>
      </c>
      <c r="CA971" s="25" t="s">
        <v>872</v>
      </c>
      <c r="CB971" s="25" t="s">
        <v>166</v>
      </c>
      <c r="CC971" s="25" t="s">
        <v>18417</v>
      </c>
      <c r="CD971" s="25" t="s">
        <v>166</v>
      </c>
      <c r="CE971" s="29" t="s">
        <v>166</v>
      </c>
      <c r="CF971" s="27" t="s">
        <v>166</v>
      </c>
      <c r="CG971" s="28" t="s">
        <v>166</v>
      </c>
      <c r="CH971" s="27" t="s">
        <v>166</v>
      </c>
      <c r="CI971" s="27" t="s">
        <v>166</v>
      </c>
      <c r="CJ971" s="27" t="s">
        <v>166</v>
      </c>
      <c r="CK971" s="27" t="s">
        <v>166</v>
      </c>
      <c r="CL971" s="27" t="s">
        <v>166</v>
      </c>
      <c r="CM971" s="31" t="s">
        <v>166</v>
      </c>
      <c r="CN971" s="27" t="s">
        <v>166</v>
      </c>
      <c r="CO971" s="27" t="s">
        <v>166</v>
      </c>
      <c r="CP971" s="27" t="s">
        <v>166</v>
      </c>
      <c r="CQ971" s="27" t="s">
        <v>166</v>
      </c>
      <c r="CR971" s="27" t="s">
        <v>166</v>
      </c>
      <c r="CS971" s="27" t="s">
        <v>166</v>
      </c>
      <c r="CT971" s="27" t="s">
        <v>166</v>
      </c>
      <c r="CU971" s="27" t="s">
        <v>166</v>
      </c>
      <c r="CV971" s="27" t="s">
        <v>166</v>
      </c>
      <c r="CW971" s="27" t="s">
        <v>166</v>
      </c>
      <c r="CX971" s="27" t="s">
        <v>166</v>
      </c>
      <c r="CY971" s="27" t="s">
        <v>166</v>
      </c>
      <c r="CZ971" s="27" t="s">
        <v>166</v>
      </c>
      <c r="DA971" s="27" t="s">
        <v>166</v>
      </c>
      <c r="DB971" s="27" t="s">
        <v>166</v>
      </c>
      <c r="DC971" s="27" t="s">
        <v>166</v>
      </c>
      <c r="DD971" s="27" t="s">
        <v>166</v>
      </c>
      <c r="DE971" s="28" t="s">
        <v>166</v>
      </c>
      <c r="DF971" s="33">
        <v>77</v>
      </c>
      <c r="DG971" s="25" t="s">
        <v>309</v>
      </c>
      <c r="DH971" s="25" t="s">
        <v>193</v>
      </c>
      <c r="DI971" s="25" t="s">
        <v>194</v>
      </c>
      <c r="DJ971" s="25" t="s">
        <v>310</v>
      </c>
      <c r="DK971" s="25" t="s">
        <v>310</v>
      </c>
      <c r="DL971" s="32" t="s">
        <v>479</v>
      </c>
      <c r="DM971" s="25" t="s">
        <v>198</v>
      </c>
      <c r="DN971" s="24" t="s">
        <v>18418</v>
      </c>
      <c r="DO971" s="31">
        <v>2021</v>
      </c>
      <c r="DP971" s="25" t="s">
        <v>166</v>
      </c>
      <c r="DQ971" s="25" t="s">
        <v>166</v>
      </c>
      <c r="DR971" s="29" t="s">
        <v>166</v>
      </c>
      <c r="DS971" s="27" t="s">
        <v>166</v>
      </c>
      <c r="DT971" s="30" t="s">
        <v>166</v>
      </c>
      <c r="DU971" s="25" t="s">
        <v>166</v>
      </c>
      <c r="DV971" s="29" t="s">
        <v>166</v>
      </c>
      <c r="DW971" s="29" t="s">
        <v>166</v>
      </c>
      <c r="DX971" s="27" t="s">
        <v>166</v>
      </c>
      <c r="DY971" s="27" t="s">
        <v>166</v>
      </c>
      <c r="DZ971" s="28" t="s">
        <v>166</v>
      </c>
      <c r="EA971" s="27" t="s">
        <v>166</v>
      </c>
      <c r="EB971" s="27" t="s">
        <v>166</v>
      </c>
      <c r="EC971" s="27" t="s">
        <v>166</v>
      </c>
      <c r="ED971" s="28" t="s">
        <v>166</v>
      </c>
      <c r="EE971" s="28" t="s">
        <v>166</v>
      </c>
      <c r="EF971" s="28" t="s">
        <v>166</v>
      </c>
      <c r="EG971" s="28" t="s">
        <v>166</v>
      </c>
      <c r="EH971" s="27" t="s">
        <v>166</v>
      </c>
      <c r="EI971" s="27" t="s">
        <v>166</v>
      </c>
      <c r="EJ971" s="27" t="s">
        <v>166</v>
      </c>
      <c r="EK971" s="27" t="s">
        <v>166</v>
      </c>
      <c r="EL971" s="27" t="s">
        <v>166</v>
      </c>
      <c r="EM971" s="27" t="s">
        <v>166</v>
      </c>
      <c r="EN971" s="27" t="s">
        <v>166</v>
      </c>
      <c r="EO971" s="27" t="s">
        <v>166</v>
      </c>
      <c r="EP971" s="27" t="s">
        <v>166</v>
      </c>
      <c r="EQ971" s="27" t="s">
        <v>166</v>
      </c>
      <c r="ER971" s="27" t="s">
        <v>166</v>
      </c>
      <c r="ES971" s="27" t="s">
        <v>166</v>
      </c>
      <c r="ET971" s="25" t="s">
        <v>166</v>
      </c>
      <c r="EU971" s="27" t="s">
        <v>166</v>
      </c>
      <c r="EV971" s="27" t="s">
        <v>166</v>
      </c>
      <c r="EW971" s="27" t="s">
        <v>166</v>
      </c>
      <c r="EX971" s="25" t="s">
        <v>190</v>
      </c>
      <c r="EY971" s="25" t="s">
        <v>166</v>
      </c>
      <c r="EZ971" s="27" t="s">
        <v>166</v>
      </c>
      <c r="FA971" s="26">
        <v>4</v>
      </c>
      <c r="FB971" s="26">
        <v>2</v>
      </c>
      <c r="FC971" s="26">
        <v>2</v>
      </c>
      <c r="FD971" s="26">
        <v>1</v>
      </c>
      <c r="FE971" s="26" t="s">
        <v>166</v>
      </c>
      <c r="FF971" s="26">
        <v>1</v>
      </c>
      <c r="FG971" s="25" t="s">
        <v>775</v>
      </c>
      <c r="FH971" s="4">
        <f>HYPERLINK("https://my.pitchbook.com?c=181293-49T","View Company Online")</f>
      </c>
    </row>
    <row r="972">
      <c r="A972" s="14" t="s">
        <v>18419</v>
      </c>
      <c r="B972" s="14" t="s">
        <v>18420</v>
      </c>
      <c r="C972" s="14" t="s">
        <v>18421</v>
      </c>
      <c r="D972" s="14" t="s">
        <v>166</v>
      </c>
      <c r="E972" s="23" t="s">
        <v>18422</v>
      </c>
      <c r="F972" s="21">
        <v>7</v>
      </c>
      <c r="G972" s="14" t="s">
        <v>18423</v>
      </c>
      <c r="H972" s="14" t="s">
        <v>166</v>
      </c>
      <c r="I972" s="14" t="s">
        <v>18424</v>
      </c>
      <c r="J972" s="14" t="s">
        <v>18425</v>
      </c>
      <c r="K972" s="14" t="s">
        <v>207</v>
      </c>
      <c r="L972" s="14" t="s">
        <v>208</v>
      </c>
      <c r="M972" s="14" t="s">
        <v>965</v>
      </c>
      <c r="N972" s="14" t="s">
        <v>18426</v>
      </c>
      <c r="O972" s="14" t="s">
        <v>18427</v>
      </c>
      <c r="P972" s="14" t="s">
        <v>18428</v>
      </c>
      <c r="Q972" s="14" t="s">
        <v>166</v>
      </c>
      <c r="R972" s="14" t="s">
        <v>177</v>
      </c>
      <c r="S972" s="14" t="s">
        <v>785</v>
      </c>
      <c r="T972" s="14" t="s">
        <v>179</v>
      </c>
      <c r="U972" s="14" t="s">
        <v>18429</v>
      </c>
      <c r="V972" s="14" t="s">
        <v>18430</v>
      </c>
      <c r="W972" s="21" t="s">
        <v>18431</v>
      </c>
      <c r="X972" s="14" t="s">
        <v>18432</v>
      </c>
      <c r="Y972" s="14" t="s">
        <v>18433</v>
      </c>
      <c r="Z972" s="14" t="s">
        <v>166</v>
      </c>
      <c r="AA972" s="14" t="s">
        <v>242</v>
      </c>
      <c r="AB972" s="14" t="s">
        <v>243</v>
      </c>
      <c r="AC972" s="14" t="s">
        <v>244</v>
      </c>
      <c r="AD972" s="14" t="s">
        <v>166</v>
      </c>
      <c r="AE972" s="14" t="s">
        <v>243</v>
      </c>
      <c r="AF972" s="14" t="s">
        <v>166</v>
      </c>
      <c r="AG972" s="14" t="s">
        <v>246</v>
      </c>
      <c r="AH972" s="21">
        <v>3</v>
      </c>
      <c r="AI972" s="3">
        <f>HYPERLINK("https://my.pitchbook.com/?d=193019-95T","193019-95T")</f>
      </c>
      <c r="AJ972" s="19">
        <v>44449</v>
      </c>
      <c r="AK972" s="19">
        <v>44678</v>
      </c>
      <c r="AL972" s="18">
        <v>4.7</v>
      </c>
      <c r="AM972" s="14" t="s">
        <v>185</v>
      </c>
      <c r="AN972" s="18">
        <v>15</v>
      </c>
      <c r="AO972" s="18">
        <v>19.7</v>
      </c>
      <c r="AP972" s="14" t="s">
        <v>185</v>
      </c>
      <c r="AQ972" s="21" t="s">
        <v>166</v>
      </c>
      <c r="AR972" s="21" t="s">
        <v>166</v>
      </c>
      <c r="AS972" s="17">
        <v>41.31</v>
      </c>
      <c r="AT972" s="18">
        <v>4.92</v>
      </c>
      <c r="AU972" s="21" t="s">
        <v>186</v>
      </c>
      <c r="AV972" s="21" t="s">
        <v>166</v>
      </c>
      <c r="AW972" s="18">
        <v>3.15</v>
      </c>
      <c r="AX972" s="21" t="s">
        <v>166</v>
      </c>
      <c r="AY972" s="14" t="s">
        <v>217</v>
      </c>
      <c r="AZ972" s="14" t="s">
        <v>217</v>
      </c>
      <c r="BA972" s="14" t="s">
        <v>166</v>
      </c>
      <c r="BB972" s="21" t="s">
        <v>166</v>
      </c>
      <c r="BC972" s="14" t="s">
        <v>179</v>
      </c>
      <c r="BD972" s="14" t="s">
        <v>18434</v>
      </c>
      <c r="BE972" s="14" t="s">
        <v>189</v>
      </c>
      <c r="BF972" s="18">
        <v>4.7</v>
      </c>
      <c r="BG972" s="14" t="s">
        <v>190</v>
      </c>
      <c r="BH972" s="14" t="s">
        <v>166</v>
      </c>
      <c r="BI972" s="14" t="s">
        <v>166</v>
      </c>
      <c r="BJ972" s="18" t="s">
        <v>166</v>
      </c>
      <c r="BK972" s="18" t="s">
        <v>166</v>
      </c>
      <c r="BL972" s="14" t="s">
        <v>191</v>
      </c>
      <c r="BM972" s="14" t="s">
        <v>785</v>
      </c>
      <c r="BN972" s="14" t="s">
        <v>177</v>
      </c>
      <c r="BO972" s="22" t="s">
        <v>166</v>
      </c>
      <c r="BP972" s="14" t="s">
        <v>18422</v>
      </c>
      <c r="BQ972" s="21">
        <v>7</v>
      </c>
      <c r="BR972" s="14" t="s">
        <v>166</v>
      </c>
      <c r="BS972" s="21" t="s">
        <v>166</v>
      </c>
      <c r="BT972" s="14" t="s">
        <v>18435</v>
      </c>
      <c r="BU972" s="14" t="s">
        <v>166</v>
      </c>
      <c r="BV972" s="14" t="s">
        <v>166</v>
      </c>
      <c r="BW972" s="14" t="s">
        <v>166</v>
      </c>
      <c r="BX972" s="14" t="s">
        <v>166</v>
      </c>
      <c r="BY972" s="14" t="s">
        <v>166</v>
      </c>
      <c r="BZ972" s="14" t="s">
        <v>6482</v>
      </c>
      <c r="CA972" s="14" t="s">
        <v>166</v>
      </c>
      <c r="CB972" s="14" t="s">
        <v>166</v>
      </c>
      <c r="CC972" s="14" t="s">
        <v>6482</v>
      </c>
      <c r="CD972" s="14" t="s">
        <v>166</v>
      </c>
      <c r="CE972" s="18" t="s">
        <v>166</v>
      </c>
      <c r="CF972" s="16" t="s">
        <v>166</v>
      </c>
      <c r="CG972" s="17" t="s">
        <v>166</v>
      </c>
      <c r="CH972" s="16" t="s">
        <v>166</v>
      </c>
      <c r="CI972" s="16" t="s">
        <v>166</v>
      </c>
      <c r="CJ972" s="16" t="s">
        <v>166</v>
      </c>
      <c r="CK972" s="16" t="s">
        <v>166</v>
      </c>
      <c r="CL972" s="16" t="s">
        <v>166</v>
      </c>
      <c r="CM972" s="20" t="s">
        <v>166</v>
      </c>
      <c r="CN972" s="16" t="s">
        <v>166</v>
      </c>
      <c r="CO972" s="16" t="s">
        <v>166</v>
      </c>
      <c r="CP972" s="16" t="s">
        <v>166</v>
      </c>
      <c r="CQ972" s="16" t="s">
        <v>166</v>
      </c>
      <c r="CR972" s="16" t="s">
        <v>166</v>
      </c>
      <c r="CS972" s="16" t="s">
        <v>166</v>
      </c>
      <c r="CT972" s="16" t="s">
        <v>166</v>
      </c>
      <c r="CU972" s="16" t="s">
        <v>166</v>
      </c>
      <c r="CV972" s="16" t="s">
        <v>166</v>
      </c>
      <c r="CW972" s="16" t="s">
        <v>166</v>
      </c>
      <c r="CX972" s="16" t="s">
        <v>166</v>
      </c>
      <c r="CY972" s="16" t="s">
        <v>166</v>
      </c>
      <c r="CZ972" s="16" t="s">
        <v>166</v>
      </c>
      <c r="DA972" s="16" t="s">
        <v>166</v>
      </c>
      <c r="DB972" s="16" t="s">
        <v>166</v>
      </c>
      <c r="DC972" s="16" t="s">
        <v>166</v>
      </c>
      <c r="DD972" s="16" t="s">
        <v>166</v>
      </c>
      <c r="DE972" s="17" t="s">
        <v>166</v>
      </c>
      <c r="DF972" s="22">
        <v>41</v>
      </c>
      <c r="DG972" s="14" t="s">
        <v>309</v>
      </c>
      <c r="DH972" s="14" t="s">
        <v>193</v>
      </c>
      <c r="DI972" s="14" t="s">
        <v>194</v>
      </c>
      <c r="DJ972" s="14" t="s">
        <v>310</v>
      </c>
      <c r="DK972" s="14" t="s">
        <v>310</v>
      </c>
      <c r="DL972" s="21" t="s">
        <v>18436</v>
      </c>
      <c r="DM972" s="14" t="s">
        <v>198</v>
      </c>
      <c r="DN972" s="13" t="s">
        <v>18437</v>
      </c>
      <c r="DO972" s="20">
        <v>2016</v>
      </c>
      <c r="DP972" s="14" t="s">
        <v>166</v>
      </c>
      <c r="DQ972" s="14" t="s">
        <v>166</v>
      </c>
      <c r="DR972" s="18" t="s">
        <v>166</v>
      </c>
      <c r="DS972" s="16" t="s">
        <v>166</v>
      </c>
      <c r="DT972" s="19" t="s">
        <v>166</v>
      </c>
      <c r="DU972" s="14" t="s">
        <v>166</v>
      </c>
      <c r="DV972" s="18" t="s">
        <v>166</v>
      </c>
      <c r="DW972" s="18" t="s">
        <v>166</v>
      </c>
      <c r="DX972" s="16" t="s">
        <v>166</v>
      </c>
      <c r="DY972" s="16" t="s">
        <v>166</v>
      </c>
      <c r="DZ972" s="17" t="s">
        <v>166</v>
      </c>
      <c r="EA972" s="16" t="s">
        <v>166</v>
      </c>
      <c r="EB972" s="16" t="s">
        <v>166</v>
      </c>
      <c r="EC972" s="16" t="s">
        <v>166</v>
      </c>
      <c r="ED972" s="17" t="s">
        <v>166</v>
      </c>
      <c r="EE972" s="17" t="s">
        <v>166</v>
      </c>
      <c r="EF972" s="17" t="s">
        <v>166</v>
      </c>
      <c r="EG972" s="17" t="s">
        <v>166</v>
      </c>
      <c r="EH972" s="16" t="s">
        <v>166</v>
      </c>
      <c r="EI972" s="16" t="s">
        <v>166</v>
      </c>
      <c r="EJ972" s="16" t="s">
        <v>166</v>
      </c>
      <c r="EK972" s="16" t="s">
        <v>166</v>
      </c>
      <c r="EL972" s="16" t="s">
        <v>166</v>
      </c>
      <c r="EM972" s="16" t="s">
        <v>166</v>
      </c>
      <c r="EN972" s="16" t="s">
        <v>166</v>
      </c>
      <c r="EO972" s="16" t="s">
        <v>166</v>
      </c>
      <c r="EP972" s="16" t="s">
        <v>166</v>
      </c>
      <c r="EQ972" s="16" t="s">
        <v>166</v>
      </c>
      <c r="ER972" s="16" t="s">
        <v>166</v>
      </c>
      <c r="ES972" s="16" t="s">
        <v>166</v>
      </c>
      <c r="ET972" s="14" t="s">
        <v>166</v>
      </c>
      <c r="EU972" s="16" t="s">
        <v>166</v>
      </c>
      <c r="EV972" s="16" t="s">
        <v>166</v>
      </c>
      <c r="EW972" s="16" t="s">
        <v>166</v>
      </c>
      <c r="EX972" s="14" t="s">
        <v>190</v>
      </c>
      <c r="EY972" s="14" t="s">
        <v>166</v>
      </c>
      <c r="EZ972" s="16" t="s">
        <v>166</v>
      </c>
      <c r="FA972" s="15" t="s">
        <v>166</v>
      </c>
      <c r="FB972" s="15" t="s">
        <v>166</v>
      </c>
      <c r="FC972" s="15" t="s">
        <v>166</v>
      </c>
      <c r="FD972" s="15" t="s">
        <v>166</v>
      </c>
      <c r="FE972" s="15" t="s">
        <v>166</v>
      </c>
      <c r="FF972" s="15" t="s">
        <v>166</v>
      </c>
      <c r="FG972" s="14" t="s">
        <v>166</v>
      </c>
      <c r="FH972" s="3">
        <f>HYPERLINK("https://my.pitchbook.com?c=193019-95T","View Company Online")</f>
      </c>
    </row>
    <row r="973">
      <c r="A973" s="25" t="s">
        <v>18438</v>
      </c>
      <c r="B973" s="25" t="s">
        <v>18439</v>
      </c>
      <c r="C973" s="25" t="s">
        <v>18440</v>
      </c>
      <c r="D973" s="25" t="s">
        <v>166</v>
      </c>
      <c r="E973" s="34" t="s">
        <v>18441</v>
      </c>
      <c r="F973" s="32">
        <v>6</v>
      </c>
      <c r="G973" s="25" t="s">
        <v>18442</v>
      </c>
      <c r="H973" s="25" t="s">
        <v>166</v>
      </c>
      <c r="I973" s="25" t="s">
        <v>18443</v>
      </c>
      <c r="J973" s="25" t="s">
        <v>18444</v>
      </c>
      <c r="K973" s="25" t="s">
        <v>207</v>
      </c>
      <c r="L973" s="25" t="s">
        <v>208</v>
      </c>
      <c r="M973" s="25" t="s">
        <v>209</v>
      </c>
      <c r="N973" s="25" t="s">
        <v>269</v>
      </c>
      <c r="O973" s="25" t="s">
        <v>1842</v>
      </c>
      <c r="P973" s="25" t="s">
        <v>18445</v>
      </c>
      <c r="Q973" s="25" t="s">
        <v>166</v>
      </c>
      <c r="R973" s="25" t="s">
        <v>177</v>
      </c>
      <c r="S973" s="25" t="s">
        <v>178</v>
      </c>
      <c r="T973" s="25" t="s">
        <v>179</v>
      </c>
      <c r="U973" s="25" t="s">
        <v>18446</v>
      </c>
      <c r="V973" s="25" t="s">
        <v>18447</v>
      </c>
      <c r="W973" s="32" t="s">
        <v>18448</v>
      </c>
      <c r="X973" s="25" t="s">
        <v>18449</v>
      </c>
      <c r="Y973" s="25" t="s">
        <v>18450</v>
      </c>
      <c r="Z973" s="25" t="s">
        <v>18451</v>
      </c>
      <c r="AA973" s="25" t="s">
        <v>242</v>
      </c>
      <c r="AB973" s="25" t="s">
        <v>243</v>
      </c>
      <c r="AC973" s="25" t="s">
        <v>244</v>
      </c>
      <c r="AD973" s="25" t="s">
        <v>243</v>
      </c>
      <c r="AE973" s="25" t="s">
        <v>243</v>
      </c>
      <c r="AF973" s="25" t="s">
        <v>166</v>
      </c>
      <c r="AG973" s="25" t="s">
        <v>807</v>
      </c>
      <c r="AH973" s="32">
        <v>1</v>
      </c>
      <c r="AI973" s="4">
        <f>HYPERLINK("https://my.pitchbook.com/?d=165278-08T","165278-08T")</f>
      </c>
      <c r="AJ973" s="30" t="s">
        <v>166</v>
      </c>
      <c r="AK973" s="30">
        <v>43983</v>
      </c>
      <c r="AL973" s="29">
        <v>1</v>
      </c>
      <c r="AM973" s="25" t="s">
        <v>185</v>
      </c>
      <c r="AN973" s="29">
        <v>3</v>
      </c>
      <c r="AO973" s="29">
        <v>4</v>
      </c>
      <c r="AP973" s="25" t="s">
        <v>185</v>
      </c>
      <c r="AQ973" s="32" t="s">
        <v>166</v>
      </c>
      <c r="AR973" s="32" t="s">
        <v>166</v>
      </c>
      <c r="AS973" s="28">
        <v>25</v>
      </c>
      <c r="AT973" s="29">
        <v>1</v>
      </c>
      <c r="AU973" s="32" t="s">
        <v>186</v>
      </c>
      <c r="AV973" s="32" t="s">
        <v>166</v>
      </c>
      <c r="AW973" s="29">
        <v>0.37</v>
      </c>
      <c r="AX973" s="32" t="s">
        <v>166</v>
      </c>
      <c r="AY973" s="25" t="s">
        <v>217</v>
      </c>
      <c r="AZ973" s="25" t="s">
        <v>217</v>
      </c>
      <c r="BA973" s="25" t="s">
        <v>166</v>
      </c>
      <c r="BB973" s="32" t="s">
        <v>166</v>
      </c>
      <c r="BC973" s="25" t="s">
        <v>179</v>
      </c>
      <c r="BD973" s="25" t="s">
        <v>18452</v>
      </c>
      <c r="BE973" s="25" t="s">
        <v>189</v>
      </c>
      <c r="BF973" s="29">
        <v>1</v>
      </c>
      <c r="BG973" s="25" t="s">
        <v>190</v>
      </c>
      <c r="BH973" s="25" t="s">
        <v>166</v>
      </c>
      <c r="BI973" s="25" t="s">
        <v>166</v>
      </c>
      <c r="BJ973" s="29" t="s">
        <v>166</v>
      </c>
      <c r="BK973" s="29" t="s">
        <v>166</v>
      </c>
      <c r="BL973" s="25" t="s">
        <v>191</v>
      </c>
      <c r="BM973" s="25" t="s">
        <v>178</v>
      </c>
      <c r="BN973" s="25" t="s">
        <v>177</v>
      </c>
      <c r="BO973" s="33" t="s">
        <v>166</v>
      </c>
      <c r="BP973" s="25" t="s">
        <v>18453</v>
      </c>
      <c r="BQ973" s="32">
        <v>6</v>
      </c>
      <c r="BR973" s="25" t="s">
        <v>166</v>
      </c>
      <c r="BS973" s="32" t="s">
        <v>166</v>
      </c>
      <c r="BT973" s="25" t="s">
        <v>166</v>
      </c>
      <c r="BU973" s="25" t="s">
        <v>166</v>
      </c>
      <c r="BV973" s="25" t="s">
        <v>18454</v>
      </c>
      <c r="BW973" s="25" t="s">
        <v>166</v>
      </c>
      <c r="BX973" s="25" t="s">
        <v>166</v>
      </c>
      <c r="BY973" s="25" t="s">
        <v>166</v>
      </c>
      <c r="BZ973" s="25" t="s">
        <v>166</v>
      </c>
      <c r="CA973" s="25" t="s">
        <v>166</v>
      </c>
      <c r="CB973" s="25" t="s">
        <v>166</v>
      </c>
      <c r="CC973" s="25" t="s">
        <v>166</v>
      </c>
      <c r="CD973" s="25" t="s">
        <v>166</v>
      </c>
      <c r="CE973" s="29" t="s">
        <v>166</v>
      </c>
      <c r="CF973" s="27" t="s">
        <v>166</v>
      </c>
      <c r="CG973" s="28" t="s">
        <v>166</v>
      </c>
      <c r="CH973" s="27" t="s">
        <v>166</v>
      </c>
      <c r="CI973" s="27" t="s">
        <v>166</v>
      </c>
      <c r="CJ973" s="27" t="s">
        <v>166</v>
      </c>
      <c r="CK973" s="27" t="s">
        <v>166</v>
      </c>
      <c r="CL973" s="27" t="s">
        <v>166</v>
      </c>
      <c r="CM973" s="31" t="s">
        <v>166</v>
      </c>
      <c r="CN973" s="27" t="s">
        <v>166</v>
      </c>
      <c r="CO973" s="27" t="s">
        <v>166</v>
      </c>
      <c r="CP973" s="27" t="s">
        <v>166</v>
      </c>
      <c r="CQ973" s="27" t="s">
        <v>166</v>
      </c>
      <c r="CR973" s="27" t="s">
        <v>166</v>
      </c>
      <c r="CS973" s="27" t="s">
        <v>166</v>
      </c>
      <c r="CT973" s="27" t="s">
        <v>166</v>
      </c>
      <c r="CU973" s="27" t="s">
        <v>166</v>
      </c>
      <c r="CV973" s="27" t="s">
        <v>166</v>
      </c>
      <c r="CW973" s="27" t="s">
        <v>166</v>
      </c>
      <c r="CX973" s="27" t="s">
        <v>166</v>
      </c>
      <c r="CY973" s="27" t="s">
        <v>166</v>
      </c>
      <c r="CZ973" s="27" t="s">
        <v>166</v>
      </c>
      <c r="DA973" s="27" t="s">
        <v>166</v>
      </c>
      <c r="DB973" s="27" t="s">
        <v>166</v>
      </c>
      <c r="DC973" s="27" t="s">
        <v>166</v>
      </c>
      <c r="DD973" s="27" t="s">
        <v>166</v>
      </c>
      <c r="DE973" s="28" t="s">
        <v>166</v>
      </c>
      <c r="DF973" s="33">
        <v>36</v>
      </c>
      <c r="DG973" s="25" t="s">
        <v>1191</v>
      </c>
      <c r="DH973" s="25" t="s">
        <v>193</v>
      </c>
      <c r="DI973" s="25" t="s">
        <v>194</v>
      </c>
      <c r="DJ973" s="25" t="s">
        <v>1192</v>
      </c>
      <c r="DK973" s="25" t="s">
        <v>1023</v>
      </c>
      <c r="DL973" s="32" t="s">
        <v>1427</v>
      </c>
      <c r="DM973" s="25" t="s">
        <v>198</v>
      </c>
      <c r="DN973" s="24" t="s">
        <v>18455</v>
      </c>
      <c r="DO973" s="31">
        <v>2020</v>
      </c>
      <c r="DP973" s="25" t="s">
        <v>166</v>
      </c>
      <c r="DQ973" s="25" t="s">
        <v>166</v>
      </c>
      <c r="DR973" s="29" t="s">
        <v>166</v>
      </c>
      <c r="DS973" s="27" t="s">
        <v>166</v>
      </c>
      <c r="DT973" s="30" t="s">
        <v>166</v>
      </c>
      <c r="DU973" s="25" t="s">
        <v>166</v>
      </c>
      <c r="DV973" s="29" t="s">
        <v>166</v>
      </c>
      <c r="DW973" s="29" t="s">
        <v>166</v>
      </c>
      <c r="DX973" s="27" t="s">
        <v>166</v>
      </c>
      <c r="DY973" s="27" t="s">
        <v>166</v>
      </c>
      <c r="DZ973" s="28" t="s">
        <v>166</v>
      </c>
      <c r="EA973" s="27" t="s">
        <v>166</v>
      </c>
      <c r="EB973" s="27" t="s">
        <v>166</v>
      </c>
      <c r="EC973" s="27" t="s">
        <v>166</v>
      </c>
      <c r="ED973" s="28" t="s">
        <v>166</v>
      </c>
      <c r="EE973" s="28" t="s">
        <v>166</v>
      </c>
      <c r="EF973" s="28" t="s">
        <v>166</v>
      </c>
      <c r="EG973" s="28" t="s">
        <v>166</v>
      </c>
      <c r="EH973" s="27" t="s">
        <v>166</v>
      </c>
      <c r="EI973" s="27" t="s">
        <v>166</v>
      </c>
      <c r="EJ973" s="27" t="s">
        <v>166</v>
      </c>
      <c r="EK973" s="27" t="s">
        <v>166</v>
      </c>
      <c r="EL973" s="27" t="s">
        <v>166</v>
      </c>
      <c r="EM973" s="27" t="s">
        <v>166</v>
      </c>
      <c r="EN973" s="27" t="s">
        <v>166</v>
      </c>
      <c r="EO973" s="27" t="s">
        <v>166</v>
      </c>
      <c r="EP973" s="27" t="s">
        <v>166</v>
      </c>
      <c r="EQ973" s="27" t="s">
        <v>166</v>
      </c>
      <c r="ER973" s="27" t="s">
        <v>166</v>
      </c>
      <c r="ES973" s="27" t="s">
        <v>166</v>
      </c>
      <c r="ET973" s="25" t="s">
        <v>166</v>
      </c>
      <c r="EU973" s="27" t="s">
        <v>166</v>
      </c>
      <c r="EV973" s="27" t="s">
        <v>166</v>
      </c>
      <c r="EW973" s="27" t="s">
        <v>166</v>
      </c>
      <c r="EX973" s="25" t="s">
        <v>190</v>
      </c>
      <c r="EY973" s="25" t="s">
        <v>166</v>
      </c>
      <c r="EZ973" s="27" t="s">
        <v>166</v>
      </c>
      <c r="FA973" s="26">
        <v>2</v>
      </c>
      <c r="FB973" s="26">
        <v>2</v>
      </c>
      <c r="FC973" s="26">
        <v>2</v>
      </c>
      <c r="FD973" s="26" t="s">
        <v>166</v>
      </c>
      <c r="FE973" s="26" t="s">
        <v>166</v>
      </c>
      <c r="FF973" s="26" t="s">
        <v>166</v>
      </c>
      <c r="FG973" s="25" t="s">
        <v>18456</v>
      </c>
      <c r="FH973" s="4">
        <f>HYPERLINK("https://my.pitchbook.com?c=165278-08T","View Company Online")</f>
      </c>
    </row>
    <row r="974">
      <c r="A974" s="14" t="s">
        <v>18457</v>
      </c>
      <c r="B974" s="14" t="s">
        <v>18458</v>
      </c>
      <c r="C974" s="14" t="s">
        <v>18459</v>
      </c>
      <c r="D974" s="14" t="s">
        <v>166</v>
      </c>
      <c r="E974" s="23" t="s">
        <v>18460</v>
      </c>
      <c r="F974" s="21">
        <v>8</v>
      </c>
      <c r="G974" s="14" t="s">
        <v>18461</v>
      </c>
      <c r="H974" s="14" t="s">
        <v>166</v>
      </c>
      <c r="I974" s="14" t="s">
        <v>18462</v>
      </c>
      <c r="J974" s="14" t="s">
        <v>18463</v>
      </c>
      <c r="K974" s="14" t="s">
        <v>171</v>
      </c>
      <c r="L974" s="14" t="s">
        <v>172</v>
      </c>
      <c r="M974" s="14" t="s">
        <v>1689</v>
      </c>
      <c r="N974" s="14" t="s">
        <v>2701</v>
      </c>
      <c r="O974" s="14" t="s">
        <v>18464</v>
      </c>
      <c r="P974" s="14" t="s">
        <v>18465</v>
      </c>
      <c r="Q974" s="14" t="s">
        <v>166</v>
      </c>
      <c r="R974" s="14" t="s">
        <v>177</v>
      </c>
      <c r="S974" s="14" t="s">
        <v>178</v>
      </c>
      <c r="T974" s="14" t="s">
        <v>179</v>
      </c>
      <c r="U974" s="14" t="s">
        <v>18466</v>
      </c>
      <c r="V974" s="14" t="s">
        <v>18467</v>
      </c>
      <c r="W974" s="21" t="s">
        <v>18468</v>
      </c>
      <c r="X974" s="14" t="s">
        <v>18469</v>
      </c>
      <c r="Y974" s="14" t="s">
        <v>18470</v>
      </c>
      <c r="Z974" s="14" t="s">
        <v>18471</v>
      </c>
      <c r="AA974" s="14" t="s">
        <v>242</v>
      </c>
      <c r="AB974" s="14" t="s">
        <v>243</v>
      </c>
      <c r="AC974" s="14" t="s">
        <v>244</v>
      </c>
      <c r="AD974" s="14" t="s">
        <v>243</v>
      </c>
      <c r="AE974" s="14" t="s">
        <v>243</v>
      </c>
      <c r="AF974" s="14" t="s">
        <v>245</v>
      </c>
      <c r="AG974" s="14" t="s">
        <v>246</v>
      </c>
      <c r="AH974" s="21">
        <v>1</v>
      </c>
      <c r="AI974" s="3">
        <f>HYPERLINK("https://my.pitchbook.com/?d=162057-79T","162057-79T")</f>
      </c>
      <c r="AJ974" s="19" t="s">
        <v>166</v>
      </c>
      <c r="AK974" s="19">
        <v>44183</v>
      </c>
      <c r="AL974" s="18">
        <v>3.5</v>
      </c>
      <c r="AM974" s="14" t="s">
        <v>185</v>
      </c>
      <c r="AN974" s="18">
        <v>5.5</v>
      </c>
      <c r="AO974" s="18">
        <v>9</v>
      </c>
      <c r="AP974" s="14" t="s">
        <v>185</v>
      </c>
      <c r="AQ974" s="21" t="s">
        <v>166</v>
      </c>
      <c r="AR974" s="21" t="s">
        <v>166</v>
      </c>
      <c r="AS974" s="17">
        <v>38.89</v>
      </c>
      <c r="AT974" s="18">
        <v>3.5</v>
      </c>
      <c r="AU974" s="21" t="s">
        <v>186</v>
      </c>
      <c r="AV974" s="21" t="s">
        <v>166</v>
      </c>
      <c r="AW974" s="18">
        <v>0.53</v>
      </c>
      <c r="AX974" s="21" t="s">
        <v>166</v>
      </c>
      <c r="AY974" s="14" t="s">
        <v>217</v>
      </c>
      <c r="AZ974" s="14" t="s">
        <v>217</v>
      </c>
      <c r="BA974" s="14" t="s">
        <v>166</v>
      </c>
      <c r="BB974" s="21" t="s">
        <v>166</v>
      </c>
      <c r="BC974" s="14" t="s">
        <v>179</v>
      </c>
      <c r="BD974" s="14" t="s">
        <v>18472</v>
      </c>
      <c r="BE974" s="14" t="s">
        <v>189</v>
      </c>
      <c r="BF974" s="18">
        <v>3.5</v>
      </c>
      <c r="BG974" s="14" t="s">
        <v>190</v>
      </c>
      <c r="BH974" s="14" t="s">
        <v>166</v>
      </c>
      <c r="BI974" s="14" t="s">
        <v>166</v>
      </c>
      <c r="BJ974" s="18" t="s">
        <v>166</v>
      </c>
      <c r="BK974" s="18" t="s">
        <v>166</v>
      </c>
      <c r="BL974" s="14" t="s">
        <v>191</v>
      </c>
      <c r="BM974" s="14" t="s">
        <v>178</v>
      </c>
      <c r="BN974" s="14" t="s">
        <v>177</v>
      </c>
      <c r="BO974" s="22" t="s">
        <v>166</v>
      </c>
      <c r="BP974" s="14" t="s">
        <v>18473</v>
      </c>
      <c r="BQ974" s="21">
        <v>8</v>
      </c>
      <c r="BR974" s="14" t="s">
        <v>166</v>
      </c>
      <c r="BS974" s="21" t="s">
        <v>166</v>
      </c>
      <c r="BT974" s="14" t="s">
        <v>18474</v>
      </c>
      <c r="BU974" s="14" t="s">
        <v>166</v>
      </c>
      <c r="BV974" s="14" t="s">
        <v>18475</v>
      </c>
      <c r="BW974" s="14" t="s">
        <v>166</v>
      </c>
      <c r="BX974" s="14" t="s">
        <v>166</v>
      </c>
      <c r="BY974" s="14" t="s">
        <v>166</v>
      </c>
      <c r="BZ974" s="14" t="s">
        <v>18476</v>
      </c>
      <c r="CA974" s="14" t="s">
        <v>18476</v>
      </c>
      <c r="CB974" s="14" t="s">
        <v>166</v>
      </c>
      <c r="CC974" s="14" t="s">
        <v>166</v>
      </c>
      <c r="CD974" s="14" t="s">
        <v>166</v>
      </c>
      <c r="CE974" s="18" t="s">
        <v>166</v>
      </c>
      <c r="CF974" s="16" t="s">
        <v>166</v>
      </c>
      <c r="CG974" s="17" t="s">
        <v>166</v>
      </c>
      <c r="CH974" s="16" t="s">
        <v>166</v>
      </c>
      <c r="CI974" s="16" t="s">
        <v>166</v>
      </c>
      <c r="CJ974" s="16" t="s">
        <v>166</v>
      </c>
      <c r="CK974" s="16" t="s">
        <v>166</v>
      </c>
      <c r="CL974" s="16" t="s">
        <v>166</v>
      </c>
      <c r="CM974" s="20" t="s">
        <v>166</v>
      </c>
      <c r="CN974" s="16" t="s">
        <v>166</v>
      </c>
      <c r="CO974" s="16" t="s">
        <v>166</v>
      </c>
      <c r="CP974" s="16" t="s">
        <v>166</v>
      </c>
      <c r="CQ974" s="16" t="s">
        <v>166</v>
      </c>
      <c r="CR974" s="16" t="s">
        <v>166</v>
      </c>
      <c r="CS974" s="16" t="s">
        <v>166</v>
      </c>
      <c r="CT974" s="16" t="s">
        <v>166</v>
      </c>
      <c r="CU974" s="16" t="s">
        <v>166</v>
      </c>
      <c r="CV974" s="16" t="s">
        <v>166</v>
      </c>
      <c r="CW974" s="16" t="s">
        <v>166</v>
      </c>
      <c r="CX974" s="16" t="s">
        <v>166</v>
      </c>
      <c r="CY974" s="16" t="s">
        <v>166</v>
      </c>
      <c r="CZ974" s="16" t="s">
        <v>166</v>
      </c>
      <c r="DA974" s="16" t="s">
        <v>166</v>
      </c>
      <c r="DB974" s="16" t="s">
        <v>166</v>
      </c>
      <c r="DC974" s="16" t="s">
        <v>166</v>
      </c>
      <c r="DD974" s="16" t="s">
        <v>166</v>
      </c>
      <c r="DE974" s="17" t="s">
        <v>166</v>
      </c>
      <c r="DF974" s="22">
        <v>40</v>
      </c>
      <c r="DG974" s="14" t="s">
        <v>673</v>
      </c>
      <c r="DH974" s="14" t="s">
        <v>193</v>
      </c>
      <c r="DI974" s="14" t="s">
        <v>194</v>
      </c>
      <c r="DJ974" s="14" t="s">
        <v>674</v>
      </c>
      <c r="DK974" s="14" t="s">
        <v>257</v>
      </c>
      <c r="DL974" s="21" t="s">
        <v>851</v>
      </c>
      <c r="DM974" s="14" t="s">
        <v>198</v>
      </c>
      <c r="DN974" s="13" t="s">
        <v>18477</v>
      </c>
      <c r="DO974" s="20">
        <v>2019</v>
      </c>
      <c r="DP974" s="14" t="s">
        <v>166</v>
      </c>
      <c r="DQ974" s="14" t="s">
        <v>166</v>
      </c>
      <c r="DR974" s="18" t="s">
        <v>166</v>
      </c>
      <c r="DS974" s="16" t="s">
        <v>166</v>
      </c>
      <c r="DT974" s="19" t="s">
        <v>166</v>
      </c>
      <c r="DU974" s="14" t="s">
        <v>166</v>
      </c>
      <c r="DV974" s="18" t="s">
        <v>166</v>
      </c>
      <c r="DW974" s="18" t="s">
        <v>166</v>
      </c>
      <c r="DX974" s="16" t="s">
        <v>166</v>
      </c>
      <c r="DY974" s="16" t="s">
        <v>166</v>
      </c>
      <c r="DZ974" s="17" t="s">
        <v>166</v>
      </c>
      <c r="EA974" s="16" t="s">
        <v>166</v>
      </c>
      <c r="EB974" s="16" t="s">
        <v>166</v>
      </c>
      <c r="EC974" s="16" t="s">
        <v>166</v>
      </c>
      <c r="ED974" s="17" t="s">
        <v>166</v>
      </c>
      <c r="EE974" s="17" t="s">
        <v>166</v>
      </c>
      <c r="EF974" s="17" t="s">
        <v>166</v>
      </c>
      <c r="EG974" s="17" t="s">
        <v>166</v>
      </c>
      <c r="EH974" s="16" t="s">
        <v>166</v>
      </c>
      <c r="EI974" s="16" t="s">
        <v>166</v>
      </c>
      <c r="EJ974" s="16" t="s">
        <v>166</v>
      </c>
      <c r="EK974" s="16" t="s">
        <v>166</v>
      </c>
      <c r="EL974" s="16" t="s">
        <v>166</v>
      </c>
      <c r="EM974" s="16" t="s">
        <v>166</v>
      </c>
      <c r="EN974" s="16" t="s">
        <v>166</v>
      </c>
      <c r="EO974" s="16" t="s">
        <v>166</v>
      </c>
      <c r="EP974" s="16" t="s">
        <v>166</v>
      </c>
      <c r="EQ974" s="16" t="s">
        <v>166</v>
      </c>
      <c r="ER974" s="16" t="s">
        <v>166</v>
      </c>
      <c r="ES974" s="16" t="s">
        <v>166</v>
      </c>
      <c r="ET974" s="14" t="s">
        <v>166</v>
      </c>
      <c r="EU974" s="16" t="s">
        <v>166</v>
      </c>
      <c r="EV974" s="16" t="s">
        <v>166</v>
      </c>
      <c r="EW974" s="16" t="s">
        <v>166</v>
      </c>
      <c r="EX974" s="14" t="s">
        <v>190</v>
      </c>
      <c r="EY974" s="14" t="s">
        <v>166</v>
      </c>
      <c r="EZ974" s="16" t="s">
        <v>166</v>
      </c>
      <c r="FA974" s="15" t="s">
        <v>166</v>
      </c>
      <c r="FB974" s="15" t="s">
        <v>166</v>
      </c>
      <c r="FC974" s="15" t="s">
        <v>166</v>
      </c>
      <c r="FD974" s="15" t="s">
        <v>166</v>
      </c>
      <c r="FE974" s="15" t="s">
        <v>166</v>
      </c>
      <c r="FF974" s="15" t="s">
        <v>166</v>
      </c>
      <c r="FG974" s="14" t="s">
        <v>166</v>
      </c>
      <c r="FH974" s="3">
        <f>HYPERLINK("https://my.pitchbook.com?c=162057-79T","View Company Online")</f>
      </c>
    </row>
    <row r="975">
      <c r="A975" s="25" t="s">
        <v>18478</v>
      </c>
      <c r="B975" s="25" t="s">
        <v>18479</v>
      </c>
      <c r="C975" s="25" t="s">
        <v>18480</v>
      </c>
      <c r="D975" s="25" t="s">
        <v>166</v>
      </c>
      <c r="E975" s="34" t="s">
        <v>18481</v>
      </c>
      <c r="F975" s="32">
        <v>2</v>
      </c>
      <c r="G975" s="25" t="s">
        <v>18482</v>
      </c>
      <c r="H975" s="25" t="s">
        <v>166</v>
      </c>
      <c r="I975" s="25" t="s">
        <v>18483</v>
      </c>
      <c r="J975" s="25" t="s">
        <v>18484</v>
      </c>
      <c r="K975" s="25" t="s">
        <v>207</v>
      </c>
      <c r="L975" s="25" t="s">
        <v>208</v>
      </c>
      <c r="M975" s="25" t="s">
        <v>209</v>
      </c>
      <c r="N975" s="25" t="s">
        <v>269</v>
      </c>
      <c r="O975" s="25" t="s">
        <v>18485</v>
      </c>
      <c r="P975" s="25" t="s">
        <v>18486</v>
      </c>
      <c r="Q975" s="25" t="s">
        <v>18487</v>
      </c>
      <c r="R975" s="25" t="s">
        <v>177</v>
      </c>
      <c r="S975" s="25" t="s">
        <v>358</v>
      </c>
      <c r="T975" s="25" t="s">
        <v>179</v>
      </c>
      <c r="U975" s="25" t="s">
        <v>18488</v>
      </c>
      <c r="V975" s="25" t="s">
        <v>18489</v>
      </c>
      <c r="W975" s="32" t="s">
        <v>18490</v>
      </c>
      <c r="X975" s="25" t="s">
        <v>166</v>
      </c>
      <c r="Y975" s="25" t="s">
        <v>18491</v>
      </c>
      <c r="Z975" s="25" t="s">
        <v>18492</v>
      </c>
      <c r="AA975" s="25" t="s">
        <v>242</v>
      </c>
      <c r="AB975" s="25" t="s">
        <v>243</v>
      </c>
      <c r="AC975" s="25" t="s">
        <v>244</v>
      </c>
      <c r="AD975" s="25" t="s">
        <v>243</v>
      </c>
      <c r="AE975" s="25" t="s">
        <v>243</v>
      </c>
      <c r="AF975" s="25" t="s">
        <v>245</v>
      </c>
      <c r="AG975" s="25" t="s">
        <v>246</v>
      </c>
      <c r="AH975" s="32">
        <v>1</v>
      </c>
      <c r="AI975" s="4">
        <f>HYPERLINK("https://my.pitchbook.com/?d=269794-36T","269794-36T")</f>
      </c>
      <c r="AJ975" s="30" t="s">
        <v>166</v>
      </c>
      <c r="AK975" s="30">
        <v>45383</v>
      </c>
      <c r="AL975" s="29">
        <v>61.5</v>
      </c>
      <c r="AM975" s="25" t="s">
        <v>247</v>
      </c>
      <c r="AN975" s="29">
        <v>238.5</v>
      </c>
      <c r="AO975" s="29">
        <v>300</v>
      </c>
      <c r="AP975" s="25" t="s">
        <v>247</v>
      </c>
      <c r="AQ975" s="32" t="s">
        <v>166</v>
      </c>
      <c r="AR975" s="32" t="s">
        <v>166</v>
      </c>
      <c r="AS975" s="28">
        <v>20.78</v>
      </c>
      <c r="AT975" s="29">
        <v>61.5</v>
      </c>
      <c r="AU975" s="32" t="s">
        <v>186</v>
      </c>
      <c r="AV975" s="32" t="s">
        <v>166</v>
      </c>
      <c r="AW975" s="29">
        <v>20.35</v>
      </c>
      <c r="AX975" s="32" t="s">
        <v>248</v>
      </c>
      <c r="AY975" s="25" t="s">
        <v>187</v>
      </c>
      <c r="AZ975" s="25" t="s">
        <v>248</v>
      </c>
      <c r="BA975" s="25" t="s">
        <v>166</v>
      </c>
      <c r="BB975" s="32" t="s">
        <v>166</v>
      </c>
      <c r="BC975" s="25" t="s">
        <v>179</v>
      </c>
      <c r="BD975" s="25" t="s">
        <v>18493</v>
      </c>
      <c r="BE975" s="25" t="s">
        <v>189</v>
      </c>
      <c r="BF975" s="29">
        <v>61.5</v>
      </c>
      <c r="BG975" s="25" t="s">
        <v>190</v>
      </c>
      <c r="BH975" s="25" t="s">
        <v>166</v>
      </c>
      <c r="BI975" s="25" t="s">
        <v>166</v>
      </c>
      <c r="BJ975" s="29" t="s">
        <v>166</v>
      </c>
      <c r="BK975" s="29" t="s">
        <v>166</v>
      </c>
      <c r="BL975" s="25" t="s">
        <v>191</v>
      </c>
      <c r="BM975" s="25" t="s">
        <v>1488</v>
      </c>
      <c r="BN975" s="25" t="s">
        <v>177</v>
      </c>
      <c r="BO975" s="33" t="s">
        <v>166</v>
      </c>
      <c r="BP975" s="25" t="s">
        <v>18481</v>
      </c>
      <c r="BQ975" s="32">
        <v>2</v>
      </c>
      <c r="BR975" s="25" t="s">
        <v>166</v>
      </c>
      <c r="BS975" s="32" t="s">
        <v>166</v>
      </c>
      <c r="BT975" s="25" t="s">
        <v>166</v>
      </c>
      <c r="BU975" s="25" t="s">
        <v>166</v>
      </c>
      <c r="BV975" s="25" t="s">
        <v>166</v>
      </c>
      <c r="BW975" s="25" t="s">
        <v>166</v>
      </c>
      <c r="BX975" s="25" t="s">
        <v>166</v>
      </c>
      <c r="BY975" s="25" t="s">
        <v>166</v>
      </c>
      <c r="BZ975" s="25" t="s">
        <v>4288</v>
      </c>
      <c r="CA975" s="25" t="s">
        <v>166</v>
      </c>
      <c r="CB975" s="25" t="s">
        <v>166</v>
      </c>
      <c r="CC975" s="25" t="s">
        <v>4288</v>
      </c>
      <c r="CD975" s="25" t="s">
        <v>166</v>
      </c>
      <c r="CE975" s="29" t="s">
        <v>166</v>
      </c>
      <c r="CF975" s="27" t="s">
        <v>166</v>
      </c>
      <c r="CG975" s="28" t="s">
        <v>166</v>
      </c>
      <c r="CH975" s="27" t="s">
        <v>166</v>
      </c>
      <c r="CI975" s="27" t="s">
        <v>166</v>
      </c>
      <c r="CJ975" s="27" t="s">
        <v>166</v>
      </c>
      <c r="CK975" s="27" t="s">
        <v>166</v>
      </c>
      <c r="CL975" s="27" t="s">
        <v>166</v>
      </c>
      <c r="CM975" s="31" t="s">
        <v>166</v>
      </c>
      <c r="CN975" s="27" t="s">
        <v>166</v>
      </c>
      <c r="CO975" s="27" t="s">
        <v>166</v>
      </c>
      <c r="CP975" s="27" t="s">
        <v>166</v>
      </c>
      <c r="CQ975" s="27" t="s">
        <v>166</v>
      </c>
      <c r="CR975" s="27" t="s">
        <v>166</v>
      </c>
      <c r="CS975" s="27" t="s">
        <v>166</v>
      </c>
      <c r="CT975" s="27" t="s">
        <v>166</v>
      </c>
      <c r="CU975" s="27" t="s">
        <v>166</v>
      </c>
      <c r="CV975" s="27" t="s">
        <v>166</v>
      </c>
      <c r="CW975" s="27" t="s">
        <v>166</v>
      </c>
      <c r="CX975" s="27" t="s">
        <v>166</v>
      </c>
      <c r="CY975" s="27" t="s">
        <v>166</v>
      </c>
      <c r="CZ975" s="27" t="s">
        <v>166</v>
      </c>
      <c r="DA975" s="27" t="s">
        <v>166</v>
      </c>
      <c r="DB975" s="27" t="s">
        <v>166</v>
      </c>
      <c r="DC975" s="27" t="s">
        <v>166</v>
      </c>
      <c r="DD975" s="27" t="s">
        <v>166</v>
      </c>
      <c r="DE975" s="28" t="s">
        <v>166</v>
      </c>
      <c r="DF975" s="33">
        <v>20</v>
      </c>
      <c r="DG975" s="25" t="s">
        <v>673</v>
      </c>
      <c r="DH975" s="25" t="s">
        <v>193</v>
      </c>
      <c r="DI975" s="25" t="s">
        <v>194</v>
      </c>
      <c r="DJ975" s="25" t="s">
        <v>674</v>
      </c>
      <c r="DK975" s="25" t="s">
        <v>257</v>
      </c>
      <c r="DL975" s="32" t="s">
        <v>166</v>
      </c>
      <c r="DM975" s="25" t="s">
        <v>198</v>
      </c>
      <c r="DN975" s="24" t="s">
        <v>18494</v>
      </c>
      <c r="DO975" s="31">
        <v>2024</v>
      </c>
      <c r="DP975" s="25" t="s">
        <v>166</v>
      </c>
      <c r="DQ975" s="25" t="s">
        <v>166</v>
      </c>
      <c r="DR975" s="29" t="s">
        <v>166</v>
      </c>
      <c r="DS975" s="27" t="s">
        <v>166</v>
      </c>
      <c r="DT975" s="30" t="s">
        <v>166</v>
      </c>
      <c r="DU975" s="25" t="s">
        <v>166</v>
      </c>
      <c r="DV975" s="29" t="s">
        <v>166</v>
      </c>
      <c r="DW975" s="29" t="s">
        <v>166</v>
      </c>
      <c r="DX975" s="27" t="s">
        <v>166</v>
      </c>
      <c r="DY975" s="27" t="s">
        <v>166</v>
      </c>
      <c r="DZ975" s="28" t="s">
        <v>166</v>
      </c>
      <c r="EA975" s="27" t="s">
        <v>166</v>
      </c>
      <c r="EB975" s="27" t="s">
        <v>166</v>
      </c>
      <c r="EC975" s="27" t="s">
        <v>166</v>
      </c>
      <c r="ED975" s="28" t="s">
        <v>166</v>
      </c>
      <c r="EE975" s="28" t="s">
        <v>166</v>
      </c>
      <c r="EF975" s="28" t="s">
        <v>166</v>
      </c>
      <c r="EG975" s="28" t="s">
        <v>166</v>
      </c>
      <c r="EH975" s="27" t="s">
        <v>166</v>
      </c>
      <c r="EI975" s="27" t="s">
        <v>166</v>
      </c>
      <c r="EJ975" s="27" t="s">
        <v>166</v>
      </c>
      <c r="EK975" s="27" t="s">
        <v>166</v>
      </c>
      <c r="EL975" s="27" t="s">
        <v>166</v>
      </c>
      <c r="EM975" s="27" t="s">
        <v>166</v>
      </c>
      <c r="EN975" s="27" t="s">
        <v>166</v>
      </c>
      <c r="EO975" s="27" t="s">
        <v>166</v>
      </c>
      <c r="EP975" s="27" t="s">
        <v>166</v>
      </c>
      <c r="EQ975" s="27" t="s">
        <v>166</v>
      </c>
      <c r="ER975" s="27" t="s">
        <v>166</v>
      </c>
      <c r="ES975" s="27" t="s">
        <v>166</v>
      </c>
      <c r="ET975" s="25" t="s">
        <v>166</v>
      </c>
      <c r="EU975" s="27" t="s">
        <v>166</v>
      </c>
      <c r="EV975" s="27" t="s">
        <v>166</v>
      </c>
      <c r="EW975" s="27" t="s">
        <v>166</v>
      </c>
      <c r="EX975" s="25" t="s">
        <v>190</v>
      </c>
      <c r="EY975" s="25" t="s">
        <v>166</v>
      </c>
      <c r="EZ975" s="27" t="s">
        <v>166</v>
      </c>
      <c r="FA975" s="26" t="s">
        <v>166</v>
      </c>
      <c r="FB975" s="26" t="s">
        <v>166</v>
      </c>
      <c r="FC975" s="26" t="s">
        <v>166</v>
      </c>
      <c r="FD975" s="26" t="s">
        <v>166</v>
      </c>
      <c r="FE975" s="26" t="s">
        <v>166</v>
      </c>
      <c r="FF975" s="26" t="s">
        <v>166</v>
      </c>
      <c r="FG975" s="25" t="s">
        <v>166</v>
      </c>
      <c r="FH975" s="4">
        <f>HYPERLINK("https://my.pitchbook.com?c=269794-36T","View Company Online")</f>
      </c>
    </row>
    <row r="976">
      <c r="A976" s="14" t="s">
        <v>18495</v>
      </c>
      <c r="B976" s="14" t="s">
        <v>18496</v>
      </c>
      <c r="C976" s="14" t="s">
        <v>18497</v>
      </c>
      <c r="D976" s="14" t="s">
        <v>166</v>
      </c>
      <c r="E976" s="23" t="s">
        <v>18498</v>
      </c>
      <c r="F976" s="21">
        <v>6</v>
      </c>
      <c r="G976" s="14" t="s">
        <v>18499</v>
      </c>
      <c r="H976" s="14" t="s">
        <v>166</v>
      </c>
      <c r="I976" s="14" t="s">
        <v>18500</v>
      </c>
      <c r="J976" s="14" t="s">
        <v>18501</v>
      </c>
      <c r="K976" s="14" t="s">
        <v>207</v>
      </c>
      <c r="L976" s="14" t="s">
        <v>208</v>
      </c>
      <c r="M976" s="14" t="s">
        <v>209</v>
      </c>
      <c r="N976" s="14" t="s">
        <v>3407</v>
      </c>
      <c r="O976" s="14" t="s">
        <v>2969</v>
      </c>
      <c r="P976" s="14" t="s">
        <v>18502</v>
      </c>
      <c r="Q976" s="14" t="s">
        <v>166</v>
      </c>
      <c r="R976" s="14" t="s">
        <v>177</v>
      </c>
      <c r="S976" s="14" t="s">
        <v>178</v>
      </c>
      <c r="T976" s="14" t="s">
        <v>179</v>
      </c>
      <c r="U976" s="14" t="s">
        <v>18503</v>
      </c>
      <c r="V976" s="14" t="s">
        <v>18504</v>
      </c>
      <c r="W976" s="21" t="s">
        <v>18505</v>
      </c>
      <c r="X976" s="14" t="s">
        <v>166</v>
      </c>
      <c r="Y976" s="14" t="s">
        <v>18506</v>
      </c>
      <c r="Z976" s="14" t="s">
        <v>18507</v>
      </c>
      <c r="AA976" s="14" t="s">
        <v>242</v>
      </c>
      <c r="AB976" s="14" t="s">
        <v>243</v>
      </c>
      <c r="AC976" s="14" t="s">
        <v>244</v>
      </c>
      <c r="AD976" s="14" t="s">
        <v>243</v>
      </c>
      <c r="AE976" s="14" t="s">
        <v>243</v>
      </c>
      <c r="AF976" s="14" t="s">
        <v>306</v>
      </c>
      <c r="AG976" s="14" t="s">
        <v>246</v>
      </c>
      <c r="AH976" s="21">
        <v>1</v>
      </c>
      <c r="AI976" s="3">
        <f>HYPERLINK("https://my.pitchbook.com/?d=254192-95T","254192-95T")</f>
      </c>
      <c r="AJ976" s="19">
        <v>45261</v>
      </c>
      <c r="AK976" s="19">
        <v>45308</v>
      </c>
      <c r="AL976" s="18">
        <v>12</v>
      </c>
      <c r="AM976" s="14" t="s">
        <v>185</v>
      </c>
      <c r="AN976" s="18">
        <v>46</v>
      </c>
      <c r="AO976" s="18">
        <v>58</v>
      </c>
      <c r="AP976" s="14" t="s">
        <v>185</v>
      </c>
      <c r="AQ976" s="21" t="s">
        <v>166</v>
      </c>
      <c r="AR976" s="21" t="s">
        <v>166</v>
      </c>
      <c r="AS976" s="17">
        <v>29.63</v>
      </c>
      <c r="AT976" s="18">
        <v>12</v>
      </c>
      <c r="AU976" s="21" t="s">
        <v>186</v>
      </c>
      <c r="AV976" s="21" t="s">
        <v>166</v>
      </c>
      <c r="AW976" s="18">
        <v>3.48</v>
      </c>
      <c r="AX976" s="21" t="s">
        <v>166</v>
      </c>
      <c r="AY976" s="14" t="s">
        <v>217</v>
      </c>
      <c r="AZ976" s="14" t="s">
        <v>217</v>
      </c>
      <c r="BA976" s="14" t="s">
        <v>166</v>
      </c>
      <c r="BB976" s="21" t="s">
        <v>166</v>
      </c>
      <c r="BC976" s="14" t="s">
        <v>179</v>
      </c>
      <c r="BD976" s="14" t="s">
        <v>18501</v>
      </c>
      <c r="BE976" s="14" t="s">
        <v>189</v>
      </c>
      <c r="BF976" s="18">
        <v>12</v>
      </c>
      <c r="BG976" s="14" t="s">
        <v>190</v>
      </c>
      <c r="BH976" s="14" t="s">
        <v>166</v>
      </c>
      <c r="BI976" s="14" t="s">
        <v>166</v>
      </c>
      <c r="BJ976" s="18" t="s">
        <v>166</v>
      </c>
      <c r="BK976" s="18" t="s">
        <v>166</v>
      </c>
      <c r="BL976" s="14" t="s">
        <v>191</v>
      </c>
      <c r="BM976" s="14" t="s">
        <v>178</v>
      </c>
      <c r="BN976" s="14" t="s">
        <v>177</v>
      </c>
      <c r="BO976" s="22" t="s">
        <v>166</v>
      </c>
      <c r="BP976" s="14" t="s">
        <v>18498</v>
      </c>
      <c r="BQ976" s="21">
        <v>6</v>
      </c>
      <c r="BR976" s="14" t="s">
        <v>166</v>
      </c>
      <c r="BS976" s="21" t="s">
        <v>166</v>
      </c>
      <c r="BT976" s="14" t="s">
        <v>166</v>
      </c>
      <c r="BU976" s="14" t="s">
        <v>166</v>
      </c>
      <c r="BV976" s="14" t="s">
        <v>18508</v>
      </c>
      <c r="BW976" s="14" t="s">
        <v>166</v>
      </c>
      <c r="BX976" s="14" t="s">
        <v>166</v>
      </c>
      <c r="BY976" s="14" t="s">
        <v>166</v>
      </c>
      <c r="BZ976" s="14" t="s">
        <v>166</v>
      </c>
      <c r="CA976" s="14" t="s">
        <v>166</v>
      </c>
      <c r="CB976" s="14" t="s">
        <v>166</v>
      </c>
      <c r="CC976" s="14" t="s">
        <v>166</v>
      </c>
      <c r="CD976" s="14" t="s">
        <v>166</v>
      </c>
      <c r="CE976" s="18" t="s">
        <v>166</v>
      </c>
      <c r="CF976" s="16" t="s">
        <v>166</v>
      </c>
      <c r="CG976" s="17" t="s">
        <v>166</v>
      </c>
      <c r="CH976" s="16" t="s">
        <v>166</v>
      </c>
      <c r="CI976" s="16" t="s">
        <v>166</v>
      </c>
      <c r="CJ976" s="16" t="s">
        <v>166</v>
      </c>
      <c r="CK976" s="16" t="s">
        <v>166</v>
      </c>
      <c r="CL976" s="16" t="s">
        <v>166</v>
      </c>
      <c r="CM976" s="20" t="s">
        <v>166</v>
      </c>
      <c r="CN976" s="16" t="s">
        <v>166</v>
      </c>
      <c r="CO976" s="16" t="s">
        <v>166</v>
      </c>
      <c r="CP976" s="16" t="s">
        <v>166</v>
      </c>
      <c r="CQ976" s="16" t="s">
        <v>166</v>
      </c>
      <c r="CR976" s="16" t="s">
        <v>166</v>
      </c>
      <c r="CS976" s="16" t="s">
        <v>166</v>
      </c>
      <c r="CT976" s="16" t="s">
        <v>166</v>
      </c>
      <c r="CU976" s="16" t="s">
        <v>166</v>
      </c>
      <c r="CV976" s="16" t="s">
        <v>166</v>
      </c>
      <c r="CW976" s="16" t="s">
        <v>166</v>
      </c>
      <c r="CX976" s="16" t="s">
        <v>166</v>
      </c>
      <c r="CY976" s="16" t="s">
        <v>166</v>
      </c>
      <c r="CZ976" s="16" t="s">
        <v>166</v>
      </c>
      <c r="DA976" s="16" t="s">
        <v>166</v>
      </c>
      <c r="DB976" s="16" t="s">
        <v>166</v>
      </c>
      <c r="DC976" s="16" t="s">
        <v>166</v>
      </c>
      <c r="DD976" s="16" t="s">
        <v>166</v>
      </c>
      <c r="DE976" s="17" t="s">
        <v>166</v>
      </c>
      <c r="DF976" s="22">
        <v>28</v>
      </c>
      <c r="DG976" s="14" t="s">
        <v>18509</v>
      </c>
      <c r="DH976" s="14" t="s">
        <v>193</v>
      </c>
      <c r="DI976" s="14" t="s">
        <v>194</v>
      </c>
      <c r="DJ976" s="14" t="s">
        <v>18510</v>
      </c>
      <c r="DK976" s="14" t="s">
        <v>196</v>
      </c>
      <c r="DL976" s="21" t="s">
        <v>18511</v>
      </c>
      <c r="DM976" s="14" t="s">
        <v>198</v>
      </c>
      <c r="DN976" s="13" t="s">
        <v>18512</v>
      </c>
      <c r="DO976" s="20">
        <v>2023</v>
      </c>
      <c r="DP976" s="14" t="s">
        <v>166</v>
      </c>
      <c r="DQ976" s="14" t="s">
        <v>166</v>
      </c>
      <c r="DR976" s="18" t="s">
        <v>166</v>
      </c>
      <c r="DS976" s="16" t="s">
        <v>166</v>
      </c>
      <c r="DT976" s="19" t="s">
        <v>166</v>
      </c>
      <c r="DU976" s="14" t="s">
        <v>166</v>
      </c>
      <c r="DV976" s="18" t="s">
        <v>166</v>
      </c>
      <c r="DW976" s="18" t="s">
        <v>166</v>
      </c>
      <c r="DX976" s="16" t="s">
        <v>166</v>
      </c>
      <c r="DY976" s="16" t="s">
        <v>166</v>
      </c>
      <c r="DZ976" s="17" t="s">
        <v>166</v>
      </c>
      <c r="EA976" s="16" t="s">
        <v>166</v>
      </c>
      <c r="EB976" s="16" t="s">
        <v>166</v>
      </c>
      <c r="EC976" s="16" t="s">
        <v>166</v>
      </c>
      <c r="ED976" s="17" t="s">
        <v>166</v>
      </c>
      <c r="EE976" s="17" t="s">
        <v>166</v>
      </c>
      <c r="EF976" s="17" t="s">
        <v>166</v>
      </c>
      <c r="EG976" s="17" t="s">
        <v>166</v>
      </c>
      <c r="EH976" s="16" t="s">
        <v>166</v>
      </c>
      <c r="EI976" s="16" t="s">
        <v>166</v>
      </c>
      <c r="EJ976" s="16" t="s">
        <v>166</v>
      </c>
      <c r="EK976" s="16" t="s">
        <v>166</v>
      </c>
      <c r="EL976" s="16" t="s">
        <v>166</v>
      </c>
      <c r="EM976" s="16" t="s">
        <v>166</v>
      </c>
      <c r="EN976" s="16" t="s">
        <v>166</v>
      </c>
      <c r="EO976" s="16" t="s">
        <v>166</v>
      </c>
      <c r="EP976" s="16" t="s">
        <v>166</v>
      </c>
      <c r="EQ976" s="16" t="s">
        <v>166</v>
      </c>
      <c r="ER976" s="16" t="s">
        <v>166</v>
      </c>
      <c r="ES976" s="16" t="s">
        <v>166</v>
      </c>
      <c r="ET976" s="14" t="s">
        <v>166</v>
      </c>
      <c r="EU976" s="16" t="s">
        <v>166</v>
      </c>
      <c r="EV976" s="16" t="s">
        <v>166</v>
      </c>
      <c r="EW976" s="16" t="s">
        <v>166</v>
      </c>
      <c r="EX976" s="14" t="s">
        <v>190</v>
      </c>
      <c r="EY976" s="14" t="s">
        <v>166</v>
      </c>
      <c r="EZ976" s="16" t="s">
        <v>166</v>
      </c>
      <c r="FA976" s="15" t="s">
        <v>166</v>
      </c>
      <c r="FB976" s="15" t="s">
        <v>166</v>
      </c>
      <c r="FC976" s="15" t="s">
        <v>166</v>
      </c>
      <c r="FD976" s="15" t="s">
        <v>166</v>
      </c>
      <c r="FE976" s="15" t="s">
        <v>166</v>
      </c>
      <c r="FF976" s="15" t="s">
        <v>166</v>
      </c>
      <c r="FG976" s="14" t="s">
        <v>166</v>
      </c>
      <c r="FH976" s="3">
        <f>HYPERLINK("https://my.pitchbook.com?c=254192-95T","View Company Online")</f>
      </c>
    </row>
    <row r="977">
      <c r="A977" s="25" t="s">
        <v>18513</v>
      </c>
      <c r="B977" s="25" t="s">
        <v>18514</v>
      </c>
      <c r="C977" s="25" t="s">
        <v>18515</v>
      </c>
      <c r="D977" s="25" t="s">
        <v>166</v>
      </c>
      <c r="E977" s="34" t="s">
        <v>18516</v>
      </c>
      <c r="F977" s="32">
        <v>7</v>
      </c>
      <c r="G977" s="25" t="s">
        <v>18517</v>
      </c>
      <c r="H977" s="25" t="s">
        <v>166</v>
      </c>
      <c r="I977" s="25" t="s">
        <v>18518</v>
      </c>
      <c r="J977" s="25" t="s">
        <v>18519</v>
      </c>
      <c r="K977" s="25" t="s">
        <v>207</v>
      </c>
      <c r="L977" s="25" t="s">
        <v>208</v>
      </c>
      <c r="M977" s="25" t="s">
        <v>209</v>
      </c>
      <c r="N977" s="25" t="s">
        <v>269</v>
      </c>
      <c r="O977" s="25" t="s">
        <v>665</v>
      </c>
      <c r="P977" s="25" t="s">
        <v>18520</v>
      </c>
      <c r="Q977" s="25" t="s">
        <v>11255</v>
      </c>
      <c r="R977" s="25" t="s">
        <v>177</v>
      </c>
      <c r="S977" s="25" t="s">
        <v>178</v>
      </c>
      <c r="T977" s="25" t="s">
        <v>179</v>
      </c>
      <c r="U977" s="25" t="s">
        <v>18521</v>
      </c>
      <c r="V977" s="25" t="s">
        <v>18522</v>
      </c>
      <c r="W977" s="32" t="s">
        <v>18523</v>
      </c>
      <c r="X977" s="25" t="s">
        <v>18524</v>
      </c>
      <c r="Y977" s="25" t="s">
        <v>18525</v>
      </c>
      <c r="Z977" s="25" t="s">
        <v>18526</v>
      </c>
      <c r="AA977" s="25" t="s">
        <v>242</v>
      </c>
      <c r="AB977" s="25" t="s">
        <v>243</v>
      </c>
      <c r="AC977" s="25" t="s">
        <v>244</v>
      </c>
      <c r="AD977" s="25" t="s">
        <v>243</v>
      </c>
      <c r="AE977" s="25" t="s">
        <v>243</v>
      </c>
      <c r="AF977" s="25" t="s">
        <v>245</v>
      </c>
      <c r="AG977" s="25" t="s">
        <v>246</v>
      </c>
      <c r="AH977" s="32">
        <v>1</v>
      </c>
      <c r="AI977" s="4">
        <f>HYPERLINK("https://my.pitchbook.com/?d=157001-14T","157001-14T")</f>
      </c>
      <c r="AJ977" s="30" t="s">
        <v>166</v>
      </c>
      <c r="AK977" s="30">
        <v>44044</v>
      </c>
      <c r="AL977" s="29">
        <v>5</v>
      </c>
      <c r="AM977" s="25" t="s">
        <v>185</v>
      </c>
      <c r="AN977" s="29">
        <v>7.5</v>
      </c>
      <c r="AO977" s="29">
        <v>12.5</v>
      </c>
      <c r="AP977" s="25" t="s">
        <v>185</v>
      </c>
      <c r="AQ977" s="32" t="s">
        <v>166</v>
      </c>
      <c r="AR977" s="32" t="s">
        <v>166</v>
      </c>
      <c r="AS977" s="28">
        <v>40</v>
      </c>
      <c r="AT977" s="29">
        <v>5</v>
      </c>
      <c r="AU977" s="32" t="s">
        <v>186</v>
      </c>
      <c r="AV977" s="32" t="s">
        <v>166</v>
      </c>
      <c r="AW977" s="29">
        <v>1.08</v>
      </c>
      <c r="AX977" s="32" t="s">
        <v>166</v>
      </c>
      <c r="AY977" s="25" t="s">
        <v>217</v>
      </c>
      <c r="AZ977" s="25" t="s">
        <v>217</v>
      </c>
      <c r="BA977" s="25" t="s">
        <v>166</v>
      </c>
      <c r="BB977" s="32" t="s">
        <v>166</v>
      </c>
      <c r="BC977" s="25" t="s">
        <v>179</v>
      </c>
      <c r="BD977" s="25" t="s">
        <v>18527</v>
      </c>
      <c r="BE977" s="25" t="s">
        <v>189</v>
      </c>
      <c r="BF977" s="29">
        <v>5</v>
      </c>
      <c r="BG977" s="25" t="s">
        <v>190</v>
      </c>
      <c r="BH977" s="25" t="s">
        <v>166</v>
      </c>
      <c r="BI977" s="25" t="s">
        <v>166</v>
      </c>
      <c r="BJ977" s="29" t="s">
        <v>166</v>
      </c>
      <c r="BK977" s="29" t="s">
        <v>166</v>
      </c>
      <c r="BL977" s="25" t="s">
        <v>191</v>
      </c>
      <c r="BM977" s="25" t="s">
        <v>178</v>
      </c>
      <c r="BN977" s="25" t="s">
        <v>177</v>
      </c>
      <c r="BO977" s="33" t="s">
        <v>166</v>
      </c>
      <c r="BP977" s="25" t="s">
        <v>18528</v>
      </c>
      <c r="BQ977" s="32">
        <v>7</v>
      </c>
      <c r="BR977" s="25" t="s">
        <v>166</v>
      </c>
      <c r="BS977" s="32" t="s">
        <v>166</v>
      </c>
      <c r="BT977" s="25" t="s">
        <v>1474</v>
      </c>
      <c r="BU977" s="25" t="s">
        <v>166</v>
      </c>
      <c r="BV977" s="25" t="s">
        <v>18529</v>
      </c>
      <c r="BW977" s="25" t="s">
        <v>166</v>
      </c>
      <c r="BX977" s="25" t="s">
        <v>166</v>
      </c>
      <c r="BY977" s="25" t="s">
        <v>166</v>
      </c>
      <c r="BZ977" s="25" t="s">
        <v>166</v>
      </c>
      <c r="CA977" s="25" t="s">
        <v>166</v>
      </c>
      <c r="CB977" s="25" t="s">
        <v>166</v>
      </c>
      <c r="CC977" s="25" t="s">
        <v>166</v>
      </c>
      <c r="CD977" s="25" t="s">
        <v>166</v>
      </c>
      <c r="CE977" s="29" t="s">
        <v>166</v>
      </c>
      <c r="CF977" s="27" t="s">
        <v>166</v>
      </c>
      <c r="CG977" s="28" t="s">
        <v>166</v>
      </c>
      <c r="CH977" s="27" t="s">
        <v>166</v>
      </c>
      <c r="CI977" s="27" t="s">
        <v>166</v>
      </c>
      <c r="CJ977" s="27" t="s">
        <v>166</v>
      </c>
      <c r="CK977" s="27" t="s">
        <v>166</v>
      </c>
      <c r="CL977" s="27" t="s">
        <v>166</v>
      </c>
      <c r="CM977" s="31" t="s">
        <v>166</v>
      </c>
      <c r="CN977" s="27" t="s">
        <v>166</v>
      </c>
      <c r="CO977" s="27" t="s">
        <v>166</v>
      </c>
      <c r="CP977" s="27" t="s">
        <v>166</v>
      </c>
      <c r="CQ977" s="27" t="s">
        <v>166</v>
      </c>
      <c r="CR977" s="27" t="s">
        <v>166</v>
      </c>
      <c r="CS977" s="27" t="s">
        <v>166</v>
      </c>
      <c r="CT977" s="27" t="s">
        <v>166</v>
      </c>
      <c r="CU977" s="27" t="s">
        <v>166</v>
      </c>
      <c r="CV977" s="27" t="s">
        <v>166</v>
      </c>
      <c r="CW977" s="27" t="s">
        <v>166</v>
      </c>
      <c r="CX977" s="27" t="s">
        <v>166</v>
      </c>
      <c r="CY977" s="27" t="s">
        <v>166</v>
      </c>
      <c r="CZ977" s="27" t="s">
        <v>166</v>
      </c>
      <c r="DA977" s="27" t="s">
        <v>166</v>
      </c>
      <c r="DB977" s="27" t="s">
        <v>166</v>
      </c>
      <c r="DC977" s="27" t="s">
        <v>166</v>
      </c>
      <c r="DD977" s="27" t="s">
        <v>166</v>
      </c>
      <c r="DE977" s="28" t="s">
        <v>166</v>
      </c>
      <c r="DF977" s="33">
        <v>200</v>
      </c>
      <c r="DG977" s="25" t="s">
        <v>673</v>
      </c>
      <c r="DH977" s="25" t="s">
        <v>193</v>
      </c>
      <c r="DI977" s="25" t="s">
        <v>194</v>
      </c>
      <c r="DJ977" s="25" t="s">
        <v>674</v>
      </c>
      <c r="DK977" s="25" t="s">
        <v>257</v>
      </c>
      <c r="DL977" s="32" t="s">
        <v>1794</v>
      </c>
      <c r="DM977" s="25" t="s">
        <v>198</v>
      </c>
      <c r="DN977" s="24" t="s">
        <v>18530</v>
      </c>
      <c r="DO977" s="31">
        <v>2020</v>
      </c>
      <c r="DP977" s="25" t="s">
        <v>166</v>
      </c>
      <c r="DQ977" s="25" t="s">
        <v>166</v>
      </c>
      <c r="DR977" s="29" t="s">
        <v>166</v>
      </c>
      <c r="DS977" s="27" t="s">
        <v>166</v>
      </c>
      <c r="DT977" s="30" t="s">
        <v>166</v>
      </c>
      <c r="DU977" s="25" t="s">
        <v>166</v>
      </c>
      <c r="DV977" s="29" t="s">
        <v>166</v>
      </c>
      <c r="DW977" s="29" t="s">
        <v>166</v>
      </c>
      <c r="DX977" s="27" t="s">
        <v>166</v>
      </c>
      <c r="DY977" s="27" t="s">
        <v>166</v>
      </c>
      <c r="DZ977" s="28" t="s">
        <v>166</v>
      </c>
      <c r="EA977" s="27" t="s">
        <v>166</v>
      </c>
      <c r="EB977" s="27" t="s">
        <v>166</v>
      </c>
      <c r="EC977" s="27" t="s">
        <v>166</v>
      </c>
      <c r="ED977" s="28" t="s">
        <v>166</v>
      </c>
      <c r="EE977" s="28" t="s">
        <v>166</v>
      </c>
      <c r="EF977" s="28" t="s">
        <v>166</v>
      </c>
      <c r="EG977" s="28" t="s">
        <v>166</v>
      </c>
      <c r="EH977" s="27" t="s">
        <v>166</v>
      </c>
      <c r="EI977" s="27" t="s">
        <v>166</v>
      </c>
      <c r="EJ977" s="27" t="s">
        <v>166</v>
      </c>
      <c r="EK977" s="27" t="s">
        <v>166</v>
      </c>
      <c r="EL977" s="27" t="s">
        <v>166</v>
      </c>
      <c r="EM977" s="27" t="s">
        <v>166</v>
      </c>
      <c r="EN977" s="27" t="s">
        <v>166</v>
      </c>
      <c r="EO977" s="27" t="s">
        <v>166</v>
      </c>
      <c r="EP977" s="27" t="s">
        <v>166</v>
      </c>
      <c r="EQ977" s="27" t="s">
        <v>166</v>
      </c>
      <c r="ER977" s="27" t="s">
        <v>166</v>
      </c>
      <c r="ES977" s="27" t="s">
        <v>166</v>
      </c>
      <c r="ET977" s="25" t="s">
        <v>166</v>
      </c>
      <c r="EU977" s="27" t="s">
        <v>166</v>
      </c>
      <c r="EV977" s="27" t="s">
        <v>166</v>
      </c>
      <c r="EW977" s="27" t="s">
        <v>166</v>
      </c>
      <c r="EX977" s="25" t="s">
        <v>190</v>
      </c>
      <c r="EY977" s="25" t="s">
        <v>166</v>
      </c>
      <c r="EZ977" s="27" t="s">
        <v>166</v>
      </c>
      <c r="FA977" s="26">
        <v>6</v>
      </c>
      <c r="FB977" s="26">
        <v>3</v>
      </c>
      <c r="FC977" s="26">
        <v>6</v>
      </c>
      <c r="FD977" s="26" t="s">
        <v>166</v>
      </c>
      <c r="FE977" s="26" t="s">
        <v>166</v>
      </c>
      <c r="FF977" s="26" t="s">
        <v>166</v>
      </c>
      <c r="FG977" s="25" t="s">
        <v>4802</v>
      </c>
      <c r="FH977" s="4">
        <f>HYPERLINK("https://my.pitchbook.com?c=157001-14T","View Company Online")</f>
      </c>
    </row>
    <row r="978">
      <c r="A978" s="14" t="s">
        <v>18531</v>
      </c>
      <c r="B978" s="14" t="s">
        <v>18532</v>
      </c>
      <c r="C978" s="14" t="s">
        <v>18533</v>
      </c>
      <c r="D978" s="14" t="s">
        <v>166</v>
      </c>
      <c r="E978" s="23" t="s">
        <v>18534</v>
      </c>
      <c r="F978" s="21">
        <v>17</v>
      </c>
      <c r="G978" s="14" t="s">
        <v>18535</v>
      </c>
      <c r="H978" s="14" t="s">
        <v>166</v>
      </c>
      <c r="I978" s="14" t="s">
        <v>18536</v>
      </c>
      <c r="J978" s="14" t="s">
        <v>18537</v>
      </c>
      <c r="K978" s="14" t="s">
        <v>207</v>
      </c>
      <c r="L978" s="14" t="s">
        <v>208</v>
      </c>
      <c r="M978" s="14" t="s">
        <v>1220</v>
      </c>
      <c r="N978" s="14" t="s">
        <v>18538</v>
      </c>
      <c r="O978" s="14" t="s">
        <v>4158</v>
      </c>
      <c r="P978" s="14" t="s">
        <v>18539</v>
      </c>
      <c r="Q978" s="14" t="s">
        <v>166</v>
      </c>
      <c r="R978" s="14" t="s">
        <v>177</v>
      </c>
      <c r="S978" s="14" t="s">
        <v>178</v>
      </c>
      <c r="T978" s="14" t="s">
        <v>179</v>
      </c>
      <c r="U978" s="14" t="s">
        <v>18540</v>
      </c>
      <c r="V978" s="14" t="s">
        <v>18541</v>
      </c>
      <c r="W978" s="21" t="s">
        <v>18542</v>
      </c>
      <c r="X978" s="14" t="s">
        <v>18543</v>
      </c>
      <c r="Y978" s="14" t="s">
        <v>18544</v>
      </c>
      <c r="Z978" s="14" t="s">
        <v>18545</v>
      </c>
      <c r="AA978" s="14" t="s">
        <v>242</v>
      </c>
      <c r="AB978" s="14" t="s">
        <v>243</v>
      </c>
      <c r="AC978" s="14" t="s">
        <v>244</v>
      </c>
      <c r="AD978" s="14" t="s">
        <v>243</v>
      </c>
      <c r="AE978" s="14" t="s">
        <v>243</v>
      </c>
      <c r="AF978" s="14" t="s">
        <v>166</v>
      </c>
      <c r="AG978" s="14" t="s">
        <v>246</v>
      </c>
      <c r="AH978" s="21">
        <v>1</v>
      </c>
      <c r="AI978" s="3">
        <f>HYPERLINK("https://my.pitchbook.com/?d=179474-41T","179474-41T")</f>
      </c>
      <c r="AJ978" s="19" t="s">
        <v>166</v>
      </c>
      <c r="AK978" s="19">
        <v>44409</v>
      </c>
      <c r="AL978" s="18">
        <v>5</v>
      </c>
      <c r="AM978" s="14" t="s">
        <v>185</v>
      </c>
      <c r="AN978" s="18">
        <v>30</v>
      </c>
      <c r="AO978" s="18">
        <v>35</v>
      </c>
      <c r="AP978" s="14" t="s">
        <v>185</v>
      </c>
      <c r="AQ978" s="21" t="s">
        <v>166</v>
      </c>
      <c r="AR978" s="21" t="s">
        <v>166</v>
      </c>
      <c r="AS978" s="17">
        <v>24.19</v>
      </c>
      <c r="AT978" s="18">
        <v>5</v>
      </c>
      <c r="AU978" s="21" t="s">
        <v>186</v>
      </c>
      <c r="AV978" s="21" t="s">
        <v>166</v>
      </c>
      <c r="AW978" s="18">
        <v>3.62</v>
      </c>
      <c r="AX978" s="21" t="s">
        <v>248</v>
      </c>
      <c r="AY978" s="14" t="s">
        <v>187</v>
      </c>
      <c r="AZ978" s="14" t="s">
        <v>248</v>
      </c>
      <c r="BA978" s="14" t="s">
        <v>166</v>
      </c>
      <c r="BB978" s="21" t="s">
        <v>166</v>
      </c>
      <c r="BC978" s="14" t="s">
        <v>179</v>
      </c>
      <c r="BD978" s="14" t="s">
        <v>18546</v>
      </c>
      <c r="BE978" s="14" t="s">
        <v>189</v>
      </c>
      <c r="BF978" s="18">
        <v>5</v>
      </c>
      <c r="BG978" s="14" t="s">
        <v>190</v>
      </c>
      <c r="BH978" s="14" t="s">
        <v>166</v>
      </c>
      <c r="BI978" s="14" t="s">
        <v>166</v>
      </c>
      <c r="BJ978" s="18" t="s">
        <v>166</v>
      </c>
      <c r="BK978" s="18" t="s">
        <v>166</v>
      </c>
      <c r="BL978" s="14" t="s">
        <v>191</v>
      </c>
      <c r="BM978" s="14" t="s">
        <v>8605</v>
      </c>
      <c r="BN978" s="14" t="s">
        <v>177</v>
      </c>
      <c r="BO978" s="22" t="s">
        <v>166</v>
      </c>
      <c r="BP978" s="14" t="s">
        <v>18547</v>
      </c>
      <c r="BQ978" s="21">
        <v>17</v>
      </c>
      <c r="BR978" s="14" t="s">
        <v>166</v>
      </c>
      <c r="BS978" s="21" t="s">
        <v>166</v>
      </c>
      <c r="BT978" s="14" t="s">
        <v>18548</v>
      </c>
      <c r="BU978" s="14" t="s">
        <v>166</v>
      </c>
      <c r="BV978" s="14" t="s">
        <v>18549</v>
      </c>
      <c r="BW978" s="14" t="s">
        <v>166</v>
      </c>
      <c r="BX978" s="14" t="s">
        <v>166</v>
      </c>
      <c r="BY978" s="14" t="s">
        <v>166</v>
      </c>
      <c r="BZ978" s="14" t="s">
        <v>166</v>
      </c>
      <c r="CA978" s="14" t="s">
        <v>166</v>
      </c>
      <c r="CB978" s="14" t="s">
        <v>166</v>
      </c>
      <c r="CC978" s="14" t="s">
        <v>166</v>
      </c>
      <c r="CD978" s="14" t="s">
        <v>166</v>
      </c>
      <c r="CE978" s="18" t="s">
        <v>166</v>
      </c>
      <c r="CF978" s="16" t="s">
        <v>166</v>
      </c>
      <c r="CG978" s="17" t="s">
        <v>166</v>
      </c>
      <c r="CH978" s="16" t="s">
        <v>166</v>
      </c>
      <c r="CI978" s="16" t="s">
        <v>166</v>
      </c>
      <c r="CJ978" s="16" t="s">
        <v>166</v>
      </c>
      <c r="CK978" s="16" t="s">
        <v>166</v>
      </c>
      <c r="CL978" s="16" t="s">
        <v>166</v>
      </c>
      <c r="CM978" s="20" t="s">
        <v>166</v>
      </c>
      <c r="CN978" s="16" t="s">
        <v>166</v>
      </c>
      <c r="CO978" s="16" t="s">
        <v>166</v>
      </c>
      <c r="CP978" s="16" t="s">
        <v>166</v>
      </c>
      <c r="CQ978" s="16" t="s">
        <v>166</v>
      </c>
      <c r="CR978" s="16" t="s">
        <v>166</v>
      </c>
      <c r="CS978" s="16" t="s">
        <v>166</v>
      </c>
      <c r="CT978" s="16" t="s">
        <v>166</v>
      </c>
      <c r="CU978" s="16" t="s">
        <v>166</v>
      </c>
      <c r="CV978" s="16" t="s">
        <v>166</v>
      </c>
      <c r="CW978" s="16" t="s">
        <v>166</v>
      </c>
      <c r="CX978" s="16" t="s">
        <v>166</v>
      </c>
      <c r="CY978" s="16" t="s">
        <v>166</v>
      </c>
      <c r="CZ978" s="16" t="s">
        <v>166</v>
      </c>
      <c r="DA978" s="16" t="s">
        <v>166</v>
      </c>
      <c r="DB978" s="16" t="s">
        <v>166</v>
      </c>
      <c r="DC978" s="16" t="s">
        <v>166</v>
      </c>
      <c r="DD978" s="16" t="s">
        <v>166</v>
      </c>
      <c r="DE978" s="17" t="s">
        <v>166</v>
      </c>
      <c r="DF978" s="22">
        <v>27</v>
      </c>
      <c r="DG978" s="14" t="s">
        <v>673</v>
      </c>
      <c r="DH978" s="14" t="s">
        <v>193</v>
      </c>
      <c r="DI978" s="14" t="s">
        <v>194</v>
      </c>
      <c r="DJ978" s="14" t="s">
        <v>674</v>
      </c>
      <c r="DK978" s="14" t="s">
        <v>257</v>
      </c>
      <c r="DL978" s="21" t="s">
        <v>13591</v>
      </c>
      <c r="DM978" s="14" t="s">
        <v>198</v>
      </c>
      <c r="DN978" s="13" t="s">
        <v>18550</v>
      </c>
      <c r="DO978" s="20">
        <v>2020</v>
      </c>
      <c r="DP978" s="14" t="s">
        <v>166</v>
      </c>
      <c r="DQ978" s="14" t="s">
        <v>166</v>
      </c>
      <c r="DR978" s="18" t="s">
        <v>166</v>
      </c>
      <c r="DS978" s="16" t="s">
        <v>166</v>
      </c>
      <c r="DT978" s="19" t="s">
        <v>166</v>
      </c>
      <c r="DU978" s="14" t="s">
        <v>166</v>
      </c>
      <c r="DV978" s="18" t="s">
        <v>166</v>
      </c>
      <c r="DW978" s="18" t="s">
        <v>166</v>
      </c>
      <c r="DX978" s="16" t="s">
        <v>166</v>
      </c>
      <c r="DY978" s="16" t="s">
        <v>166</v>
      </c>
      <c r="DZ978" s="17" t="s">
        <v>166</v>
      </c>
      <c r="EA978" s="16" t="s">
        <v>166</v>
      </c>
      <c r="EB978" s="16" t="s">
        <v>166</v>
      </c>
      <c r="EC978" s="16" t="s">
        <v>166</v>
      </c>
      <c r="ED978" s="17" t="s">
        <v>166</v>
      </c>
      <c r="EE978" s="17" t="s">
        <v>166</v>
      </c>
      <c r="EF978" s="17" t="s">
        <v>166</v>
      </c>
      <c r="EG978" s="17" t="s">
        <v>166</v>
      </c>
      <c r="EH978" s="16" t="s">
        <v>166</v>
      </c>
      <c r="EI978" s="16" t="s">
        <v>166</v>
      </c>
      <c r="EJ978" s="16" t="s">
        <v>166</v>
      </c>
      <c r="EK978" s="16" t="s">
        <v>166</v>
      </c>
      <c r="EL978" s="16" t="s">
        <v>166</v>
      </c>
      <c r="EM978" s="16" t="s">
        <v>166</v>
      </c>
      <c r="EN978" s="16" t="s">
        <v>166</v>
      </c>
      <c r="EO978" s="16" t="s">
        <v>166</v>
      </c>
      <c r="EP978" s="16" t="s">
        <v>166</v>
      </c>
      <c r="EQ978" s="16" t="s">
        <v>166</v>
      </c>
      <c r="ER978" s="16" t="s">
        <v>166</v>
      </c>
      <c r="ES978" s="16" t="s">
        <v>166</v>
      </c>
      <c r="ET978" s="14" t="s">
        <v>166</v>
      </c>
      <c r="EU978" s="16" t="s">
        <v>166</v>
      </c>
      <c r="EV978" s="16" t="s">
        <v>166</v>
      </c>
      <c r="EW978" s="16" t="s">
        <v>166</v>
      </c>
      <c r="EX978" s="14" t="s">
        <v>190</v>
      </c>
      <c r="EY978" s="14" t="s">
        <v>166</v>
      </c>
      <c r="EZ978" s="16" t="s">
        <v>166</v>
      </c>
      <c r="FA978" s="15" t="s">
        <v>166</v>
      </c>
      <c r="FB978" s="15" t="s">
        <v>166</v>
      </c>
      <c r="FC978" s="15" t="s">
        <v>166</v>
      </c>
      <c r="FD978" s="15" t="s">
        <v>166</v>
      </c>
      <c r="FE978" s="15" t="s">
        <v>166</v>
      </c>
      <c r="FF978" s="15" t="s">
        <v>166</v>
      </c>
      <c r="FG978" s="14" t="s">
        <v>166</v>
      </c>
      <c r="FH978" s="3">
        <f>HYPERLINK("https://my.pitchbook.com?c=179474-41T","View Company Online")</f>
      </c>
    </row>
    <row r="979">
      <c r="A979" s="25" t="s">
        <v>18551</v>
      </c>
      <c r="B979" s="25" t="s">
        <v>18552</v>
      </c>
      <c r="C979" s="25" t="s">
        <v>18553</v>
      </c>
      <c r="D979" s="25" t="s">
        <v>166</v>
      </c>
      <c r="E979" s="34" t="s">
        <v>18554</v>
      </c>
      <c r="F979" s="32">
        <v>2</v>
      </c>
      <c r="G979" s="25" t="s">
        <v>18555</v>
      </c>
      <c r="H979" s="25" t="s">
        <v>166</v>
      </c>
      <c r="I979" s="25" t="s">
        <v>18556</v>
      </c>
      <c r="J979" s="25" t="s">
        <v>18557</v>
      </c>
      <c r="K979" s="25" t="s">
        <v>207</v>
      </c>
      <c r="L979" s="25" t="s">
        <v>208</v>
      </c>
      <c r="M979" s="25" t="s">
        <v>209</v>
      </c>
      <c r="N979" s="25" t="s">
        <v>1824</v>
      </c>
      <c r="O979" s="25" t="s">
        <v>18558</v>
      </c>
      <c r="P979" s="25" t="s">
        <v>18559</v>
      </c>
      <c r="Q979" s="25" t="s">
        <v>166</v>
      </c>
      <c r="R979" s="25" t="s">
        <v>177</v>
      </c>
      <c r="S979" s="25" t="s">
        <v>178</v>
      </c>
      <c r="T979" s="25" t="s">
        <v>179</v>
      </c>
      <c r="U979" s="25" t="s">
        <v>18560</v>
      </c>
      <c r="V979" s="25" t="s">
        <v>18561</v>
      </c>
      <c r="W979" s="32" t="s">
        <v>18562</v>
      </c>
      <c r="X979" s="25" t="s">
        <v>18563</v>
      </c>
      <c r="Y979" s="25" t="s">
        <v>18564</v>
      </c>
      <c r="Z979" s="25" t="s">
        <v>18565</v>
      </c>
      <c r="AA979" s="25" t="s">
        <v>242</v>
      </c>
      <c r="AB979" s="25" t="s">
        <v>243</v>
      </c>
      <c r="AC979" s="25" t="s">
        <v>244</v>
      </c>
      <c r="AD979" s="25" t="s">
        <v>243</v>
      </c>
      <c r="AE979" s="25" t="s">
        <v>243</v>
      </c>
      <c r="AF979" s="25" t="s">
        <v>166</v>
      </c>
      <c r="AG979" s="25" t="s">
        <v>246</v>
      </c>
      <c r="AH979" s="32">
        <v>1</v>
      </c>
      <c r="AI979" s="4">
        <f>HYPERLINK("https://my.pitchbook.com/?d=189414-73T","189414-73T")</f>
      </c>
      <c r="AJ979" s="30">
        <v>44583</v>
      </c>
      <c r="AK979" s="30">
        <v>44742</v>
      </c>
      <c r="AL979" s="29">
        <v>5</v>
      </c>
      <c r="AM979" s="25" t="s">
        <v>247</v>
      </c>
      <c r="AN979" s="29">
        <v>15</v>
      </c>
      <c r="AO979" s="29">
        <v>20</v>
      </c>
      <c r="AP979" s="25" t="s">
        <v>185</v>
      </c>
      <c r="AQ979" s="32" t="s">
        <v>166</v>
      </c>
      <c r="AR979" s="32" t="s">
        <v>166</v>
      </c>
      <c r="AS979" s="28">
        <v>25.46</v>
      </c>
      <c r="AT979" s="29">
        <v>5</v>
      </c>
      <c r="AU979" s="32" t="s">
        <v>186</v>
      </c>
      <c r="AV979" s="32" t="s">
        <v>166</v>
      </c>
      <c r="AW979" s="29">
        <v>1.67</v>
      </c>
      <c r="AX979" s="32" t="s">
        <v>166</v>
      </c>
      <c r="AY979" s="25" t="s">
        <v>217</v>
      </c>
      <c r="AZ979" s="25" t="s">
        <v>217</v>
      </c>
      <c r="BA979" s="25" t="s">
        <v>166</v>
      </c>
      <c r="BB979" s="32" t="s">
        <v>166</v>
      </c>
      <c r="BC979" s="25" t="s">
        <v>179</v>
      </c>
      <c r="BD979" s="25" t="s">
        <v>18557</v>
      </c>
      <c r="BE979" s="25" t="s">
        <v>189</v>
      </c>
      <c r="BF979" s="29">
        <v>5</v>
      </c>
      <c r="BG979" s="25" t="s">
        <v>190</v>
      </c>
      <c r="BH979" s="25" t="s">
        <v>166</v>
      </c>
      <c r="BI979" s="25" t="s">
        <v>166</v>
      </c>
      <c r="BJ979" s="29" t="s">
        <v>166</v>
      </c>
      <c r="BK979" s="29" t="s">
        <v>166</v>
      </c>
      <c r="BL979" s="25" t="s">
        <v>191</v>
      </c>
      <c r="BM979" s="25" t="s">
        <v>178</v>
      </c>
      <c r="BN979" s="25" t="s">
        <v>177</v>
      </c>
      <c r="BO979" s="33" t="s">
        <v>166</v>
      </c>
      <c r="BP979" s="25" t="s">
        <v>18554</v>
      </c>
      <c r="BQ979" s="32">
        <v>2</v>
      </c>
      <c r="BR979" s="25" t="s">
        <v>166</v>
      </c>
      <c r="BS979" s="32" t="s">
        <v>166</v>
      </c>
      <c r="BT979" s="25" t="s">
        <v>3124</v>
      </c>
      <c r="BU979" s="25" t="s">
        <v>166</v>
      </c>
      <c r="BV979" s="25" t="s">
        <v>18566</v>
      </c>
      <c r="BW979" s="25" t="s">
        <v>166</v>
      </c>
      <c r="BX979" s="25" t="s">
        <v>166</v>
      </c>
      <c r="BY979" s="25" t="s">
        <v>166</v>
      </c>
      <c r="BZ979" s="25" t="s">
        <v>1232</v>
      </c>
      <c r="CA979" s="25" t="s">
        <v>1232</v>
      </c>
      <c r="CB979" s="25" t="s">
        <v>166</v>
      </c>
      <c r="CC979" s="25" t="s">
        <v>166</v>
      </c>
      <c r="CD979" s="25" t="s">
        <v>166</v>
      </c>
      <c r="CE979" s="29" t="s">
        <v>166</v>
      </c>
      <c r="CF979" s="27" t="s">
        <v>166</v>
      </c>
      <c r="CG979" s="28" t="s">
        <v>166</v>
      </c>
      <c r="CH979" s="27" t="s">
        <v>166</v>
      </c>
      <c r="CI979" s="27" t="s">
        <v>166</v>
      </c>
      <c r="CJ979" s="27" t="s">
        <v>166</v>
      </c>
      <c r="CK979" s="27" t="s">
        <v>166</v>
      </c>
      <c r="CL979" s="27" t="s">
        <v>166</v>
      </c>
      <c r="CM979" s="31" t="s">
        <v>166</v>
      </c>
      <c r="CN979" s="27" t="s">
        <v>166</v>
      </c>
      <c r="CO979" s="27" t="s">
        <v>166</v>
      </c>
      <c r="CP979" s="27" t="s">
        <v>166</v>
      </c>
      <c r="CQ979" s="27" t="s">
        <v>166</v>
      </c>
      <c r="CR979" s="27" t="s">
        <v>166</v>
      </c>
      <c r="CS979" s="27" t="s">
        <v>166</v>
      </c>
      <c r="CT979" s="27" t="s">
        <v>166</v>
      </c>
      <c r="CU979" s="27" t="s">
        <v>166</v>
      </c>
      <c r="CV979" s="27" t="s">
        <v>166</v>
      </c>
      <c r="CW979" s="27" t="s">
        <v>166</v>
      </c>
      <c r="CX979" s="27" t="s">
        <v>166</v>
      </c>
      <c r="CY979" s="27" t="s">
        <v>166</v>
      </c>
      <c r="CZ979" s="27" t="s">
        <v>166</v>
      </c>
      <c r="DA979" s="27" t="s">
        <v>166</v>
      </c>
      <c r="DB979" s="27" t="s">
        <v>166</v>
      </c>
      <c r="DC979" s="27" t="s">
        <v>166</v>
      </c>
      <c r="DD979" s="27" t="s">
        <v>166</v>
      </c>
      <c r="DE979" s="28" t="s">
        <v>166</v>
      </c>
      <c r="DF979" s="33">
        <v>106</v>
      </c>
      <c r="DG979" s="25" t="s">
        <v>309</v>
      </c>
      <c r="DH979" s="25" t="s">
        <v>193</v>
      </c>
      <c r="DI979" s="25" t="s">
        <v>194</v>
      </c>
      <c r="DJ979" s="25" t="s">
        <v>310</v>
      </c>
      <c r="DK979" s="25" t="s">
        <v>310</v>
      </c>
      <c r="DL979" s="32" t="s">
        <v>873</v>
      </c>
      <c r="DM979" s="25" t="s">
        <v>198</v>
      </c>
      <c r="DN979" s="24" t="s">
        <v>18567</v>
      </c>
      <c r="DO979" s="31">
        <v>2018</v>
      </c>
      <c r="DP979" s="25" t="s">
        <v>166</v>
      </c>
      <c r="DQ979" s="25" t="s">
        <v>166</v>
      </c>
      <c r="DR979" s="29" t="s">
        <v>166</v>
      </c>
      <c r="DS979" s="27" t="s">
        <v>166</v>
      </c>
      <c r="DT979" s="30" t="s">
        <v>166</v>
      </c>
      <c r="DU979" s="25" t="s">
        <v>166</v>
      </c>
      <c r="DV979" s="29" t="s">
        <v>166</v>
      </c>
      <c r="DW979" s="29" t="s">
        <v>166</v>
      </c>
      <c r="DX979" s="27" t="s">
        <v>166</v>
      </c>
      <c r="DY979" s="27" t="s">
        <v>166</v>
      </c>
      <c r="DZ979" s="28" t="s">
        <v>166</v>
      </c>
      <c r="EA979" s="27" t="s">
        <v>166</v>
      </c>
      <c r="EB979" s="27" t="s">
        <v>166</v>
      </c>
      <c r="EC979" s="27" t="s">
        <v>166</v>
      </c>
      <c r="ED979" s="28" t="s">
        <v>166</v>
      </c>
      <c r="EE979" s="28" t="s">
        <v>166</v>
      </c>
      <c r="EF979" s="28" t="s">
        <v>166</v>
      </c>
      <c r="EG979" s="28" t="s">
        <v>166</v>
      </c>
      <c r="EH979" s="27" t="s">
        <v>166</v>
      </c>
      <c r="EI979" s="27" t="s">
        <v>166</v>
      </c>
      <c r="EJ979" s="27" t="s">
        <v>166</v>
      </c>
      <c r="EK979" s="27" t="s">
        <v>166</v>
      </c>
      <c r="EL979" s="27" t="s">
        <v>166</v>
      </c>
      <c r="EM979" s="27" t="s">
        <v>166</v>
      </c>
      <c r="EN979" s="27" t="s">
        <v>166</v>
      </c>
      <c r="EO979" s="27" t="s">
        <v>166</v>
      </c>
      <c r="EP979" s="27" t="s">
        <v>166</v>
      </c>
      <c r="EQ979" s="27" t="s">
        <v>166</v>
      </c>
      <c r="ER979" s="27" t="s">
        <v>166</v>
      </c>
      <c r="ES979" s="27" t="s">
        <v>166</v>
      </c>
      <c r="ET979" s="25" t="s">
        <v>166</v>
      </c>
      <c r="EU979" s="27" t="s">
        <v>166</v>
      </c>
      <c r="EV979" s="27" t="s">
        <v>166</v>
      </c>
      <c r="EW979" s="27" t="s">
        <v>166</v>
      </c>
      <c r="EX979" s="25" t="s">
        <v>190</v>
      </c>
      <c r="EY979" s="25" t="s">
        <v>166</v>
      </c>
      <c r="EZ979" s="27" t="s">
        <v>166</v>
      </c>
      <c r="FA979" s="26" t="s">
        <v>166</v>
      </c>
      <c r="FB979" s="26" t="s">
        <v>166</v>
      </c>
      <c r="FC979" s="26" t="s">
        <v>166</v>
      </c>
      <c r="FD979" s="26" t="s">
        <v>166</v>
      </c>
      <c r="FE979" s="26" t="s">
        <v>166</v>
      </c>
      <c r="FF979" s="26" t="s">
        <v>166</v>
      </c>
      <c r="FG979" s="25" t="s">
        <v>166</v>
      </c>
      <c r="FH979" s="4">
        <f>HYPERLINK("https://my.pitchbook.com?c=189414-73T","View Company Online")</f>
      </c>
    </row>
    <row r="980">
      <c r="A980" s="14" t="s">
        <v>18568</v>
      </c>
      <c r="B980" s="14" t="s">
        <v>18569</v>
      </c>
      <c r="C980" s="14" t="s">
        <v>18570</v>
      </c>
      <c r="D980" s="14" t="s">
        <v>166</v>
      </c>
      <c r="E980" s="23" t="s">
        <v>18571</v>
      </c>
      <c r="F980" s="21">
        <v>6</v>
      </c>
      <c r="G980" s="14" t="s">
        <v>18572</v>
      </c>
      <c r="H980" s="14" t="s">
        <v>166</v>
      </c>
      <c r="I980" s="14" t="s">
        <v>18573</v>
      </c>
      <c r="J980" s="14" t="s">
        <v>18574</v>
      </c>
      <c r="K980" s="14" t="s">
        <v>207</v>
      </c>
      <c r="L980" s="14" t="s">
        <v>208</v>
      </c>
      <c r="M980" s="14" t="s">
        <v>839</v>
      </c>
      <c r="N980" s="14" t="s">
        <v>9025</v>
      </c>
      <c r="O980" s="14" t="s">
        <v>1295</v>
      </c>
      <c r="P980" s="14" t="s">
        <v>18575</v>
      </c>
      <c r="Q980" s="14" t="s">
        <v>166</v>
      </c>
      <c r="R980" s="14" t="s">
        <v>177</v>
      </c>
      <c r="S980" s="14" t="s">
        <v>178</v>
      </c>
      <c r="T980" s="14" t="s">
        <v>179</v>
      </c>
      <c r="U980" s="14" t="s">
        <v>18576</v>
      </c>
      <c r="V980" s="14" t="s">
        <v>18577</v>
      </c>
      <c r="W980" s="21" t="s">
        <v>18578</v>
      </c>
      <c r="X980" s="14" t="s">
        <v>166</v>
      </c>
      <c r="Y980" s="14" t="s">
        <v>18579</v>
      </c>
      <c r="Z980" s="14" t="s">
        <v>166</v>
      </c>
      <c r="AA980" s="14" t="s">
        <v>242</v>
      </c>
      <c r="AB980" s="14" t="s">
        <v>243</v>
      </c>
      <c r="AC980" s="14" t="s">
        <v>244</v>
      </c>
      <c r="AD980" s="14" t="s">
        <v>243</v>
      </c>
      <c r="AE980" s="14" t="s">
        <v>243</v>
      </c>
      <c r="AF980" s="14" t="s">
        <v>166</v>
      </c>
      <c r="AG980" s="14" t="s">
        <v>807</v>
      </c>
      <c r="AH980" s="21">
        <v>1</v>
      </c>
      <c r="AI980" s="3">
        <f>HYPERLINK("https://my.pitchbook.com/?d=200985-85T","200985-85T")</f>
      </c>
      <c r="AJ980" s="19" t="s">
        <v>166</v>
      </c>
      <c r="AK980" s="19">
        <v>44760</v>
      </c>
      <c r="AL980" s="18">
        <v>5.2</v>
      </c>
      <c r="AM980" s="14" t="s">
        <v>247</v>
      </c>
      <c r="AN980" s="18">
        <v>14.8</v>
      </c>
      <c r="AO980" s="18">
        <v>20</v>
      </c>
      <c r="AP980" s="14" t="s">
        <v>185</v>
      </c>
      <c r="AQ980" s="21" t="s">
        <v>166</v>
      </c>
      <c r="AR980" s="21" t="s">
        <v>166</v>
      </c>
      <c r="AS980" s="17">
        <v>26</v>
      </c>
      <c r="AT980" s="18">
        <v>5.2</v>
      </c>
      <c r="AU980" s="21" t="s">
        <v>186</v>
      </c>
      <c r="AV980" s="21" t="s">
        <v>166</v>
      </c>
      <c r="AW980" s="18">
        <v>2.09</v>
      </c>
      <c r="AX980" s="21" t="s">
        <v>166</v>
      </c>
      <c r="AY980" s="14" t="s">
        <v>217</v>
      </c>
      <c r="AZ980" s="14" t="s">
        <v>217</v>
      </c>
      <c r="BA980" s="14" t="s">
        <v>166</v>
      </c>
      <c r="BB980" s="21" t="s">
        <v>166</v>
      </c>
      <c r="BC980" s="14" t="s">
        <v>179</v>
      </c>
      <c r="BD980" s="14" t="s">
        <v>18574</v>
      </c>
      <c r="BE980" s="14" t="s">
        <v>189</v>
      </c>
      <c r="BF980" s="18">
        <v>5.2</v>
      </c>
      <c r="BG980" s="14" t="s">
        <v>190</v>
      </c>
      <c r="BH980" s="14" t="s">
        <v>166</v>
      </c>
      <c r="BI980" s="14" t="s">
        <v>166</v>
      </c>
      <c r="BJ980" s="18" t="s">
        <v>166</v>
      </c>
      <c r="BK980" s="18" t="s">
        <v>166</v>
      </c>
      <c r="BL980" s="14" t="s">
        <v>191</v>
      </c>
      <c r="BM980" s="14" t="s">
        <v>178</v>
      </c>
      <c r="BN980" s="14" t="s">
        <v>177</v>
      </c>
      <c r="BO980" s="22" t="s">
        <v>166</v>
      </c>
      <c r="BP980" s="14" t="s">
        <v>18580</v>
      </c>
      <c r="BQ980" s="21">
        <v>6</v>
      </c>
      <c r="BR980" s="14" t="s">
        <v>166</v>
      </c>
      <c r="BS980" s="21" t="s">
        <v>166</v>
      </c>
      <c r="BT980" s="14" t="s">
        <v>166</v>
      </c>
      <c r="BU980" s="14" t="s">
        <v>166</v>
      </c>
      <c r="BV980" s="14" t="s">
        <v>166</v>
      </c>
      <c r="BW980" s="14" t="s">
        <v>166</v>
      </c>
      <c r="BX980" s="14" t="s">
        <v>166</v>
      </c>
      <c r="BY980" s="14" t="s">
        <v>166</v>
      </c>
      <c r="BZ980" s="14" t="s">
        <v>18581</v>
      </c>
      <c r="CA980" s="14" t="s">
        <v>1232</v>
      </c>
      <c r="CB980" s="14" t="s">
        <v>166</v>
      </c>
      <c r="CC980" s="14" t="s">
        <v>18582</v>
      </c>
      <c r="CD980" s="14" t="s">
        <v>166</v>
      </c>
      <c r="CE980" s="18" t="s">
        <v>166</v>
      </c>
      <c r="CF980" s="16" t="s">
        <v>166</v>
      </c>
      <c r="CG980" s="17" t="s">
        <v>166</v>
      </c>
      <c r="CH980" s="16" t="s">
        <v>166</v>
      </c>
      <c r="CI980" s="16" t="s">
        <v>166</v>
      </c>
      <c r="CJ980" s="16" t="s">
        <v>166</v>
      </c>
      <c r="CK980" s="16" t="s">
        <v>166</v>
      </c>
      <c r="CL980" s="16" t="s">
        <v>166</v>
      </c>
      <c r="CM980" s="20" t="s">
        <v>166</v>
      </c>
      <c r="CN980" s="16" t="s">
        <v>166</v>
      </c>
      <c r="CO980" s="16" t="s">
        <v>166</v>
      </c>
      <c r="CP980" s="16" t="s">
        <v>166</v>
      </c>
      <c r="CQ980" s="16" t="s">
        <v>166</v>
      </c>
      <c r="CR980" s="16" t="s">
        <v>166</v>
      </c>
      <c r="CS980" s="16" t="s">
        <v>166</v>
      </c>
      <c r="CT980" s="16" t="s">
        <v>166</v>
      </c>
      <c r="CU980" s="16" t="s">
        <v>166</v>
      </c>
      <c r="CV980" s="16" t="s">
        <v>166</v>
      </c>
      <c r="CW980" s="16" t="s">
        <v>166</v>
      </c>
      <c r="CX980" s="16" t="s">
        <v>166</v>
      </c>
      <c r="CY980" s="16" t="s">
        <v>166</v>
      </c>
      <c r="CZ980" s="16" t="s">
        <v>166</v>
      </c>
      <c r="DA980" s="16" t="s">
        <v>166</v>
      </c>
      <c r="DB980" s="16" t="s">
        <v>166</v>
      </c>
      <c r="DC980" s="16" t="s">
        <v>166</v>
      </c>
      <c r="DD980" s="16" t="s">
        <v>166</v>
      </c>
      <c r="DE980" s="17" t="s">
        <v>166</v>
      </c>
      <c r="DF980" s="22">
        <v>10</v>
      </c>
      <c r="DG980" s="14" t="s">
        <v>2439</v>
      </c>
      <c r="DH980" s="14" t="s">
        <v>193</v>
      </c>
      <c r="DI980" s="14" t="s">
        <v>194</v>
      </c>
      <c r="DJ980" s="14" t="s">
        <v>2440</v>
      </c>
      <c r="DK980" s="14" t="s">
        <v>454</v>
      </c>
      <c r="DL980" s="21" t="s">
        <v>18583</v>
      </c>
      <c r="DM980" s="14" t="s">
        <v>198</v>
      </c>
      <c r="DN980" s="13" t="s">
        <v>18584</v>
      </c>
      <c r="DO980" s="20">
        <v>2022</v>
      </c>
      <c r="DP980" s="14" t="s">
        <v>166</v>
      </c>
      <c r="DQ980" s="14" t="s">
        <v>166</v>
      </c>
      <c r="DR980" s="18" t="s">
        <v>166</v>
      </c>
      <c r="DS980" s="16" t="s">
        <v>166</v>
      </c>
      <c r="DT980" s="19" t="s">
        <v>166</v>
      </c>
      <c r="DU980" s="14" t="s">
        <v>166</v>
      </c>
      <c r="DV980" s="18" t="s">
        <v>166</v>
      </c>
      <c r="DW980" s="18" t="s">
        <v>166</v>
      </c>
      <c r="DX980" s="16" t="s">
        <v>166</v>
      </c>
      <c r="DY980" s="16" t="s">
        <v>166</v>
      </c>
      <c r="DZ980" s="17" t="s">
        <v>166</v>
      </c>
      <c r="EA980" s="16" t="s">
        <v>166</v>
      </c>
      <c r="EB980" s="16" t="s">
        <v>166</v>
      </c>
      <c r="EC980" s="16" t="s">
        <v>166</v>
      </c>
      <c r="ED980" s="17" t="s">
        <v>166</v>
      </c>
      <c r="EE980" s="17" t="s">
        <v>166</v>
      </c>
      <c r="EF980" s="17" t="s">
        <v>166</v>
      </c>
      <c r="EG980" s="17" t="s">
        <v>166</v>
      </c>
      <c r="EH980" s="16" t="s">
        <v>166</v>
      </c>
      <c r="EI980" s="16" t="s">
        <v>166</v>
      </c>
      <c r="EJ980" s="16" t="s">
        <v>166</v>
      </c>
      <c r="EK980" s="16" t="s">
        <v>166</v>
      </c>
      <c r="EL980" s="16" t="s">
        <v>166</v>
      </c>
      <c r="EM980" s="16" t="s">
        <v>166</v>
      </c>
      <c r="EN980" s="16" t="s">
        <v>166</v>
      </c>
      <c r="EO980" s="16" t="s">
        <v>166</v>
      </c>
      <c r="EP980" s="16" t="s">
        <v>166</v>
      </c>
      <c r="EQ980" s="16" t="s">
        <v>166</v>
      </c>
      <c r="ER980" s="16" t="s">
        <v>166</v>
      </c>
      <c r="ES980" s="16" t="s">
        <v>166</v>
      </c>
      <c r="ET980" s="14" t="s">
        <v>166</v>
      </c>
      <c r="EU980" s="16" t="s">
        <v>166</v>
      </c>
      <c r="EV980" s="16" t="s">
        <v>166</v>
      </c>
      <c r="EW980" s="16" t="s">
        <v>166</v>
      </c>
      <c r="EX980" s="14" t="s">
        <v>190</v>
      </c>
      <c r="EY980" s="14" t="s">
        <v>166</v>
      </c>
      <c r="EZ980" s="16" t="s">
        <v>166</v>
      </c>
      <c r="FA980" s="15" t="s">
        <v>166</v>
      </c>
      <c r="FB980" s="15" t="s">
        <v>166</v>
      </c>
      <c r="FC980" s="15" t="s">
        <v>166</v>
      </c>
      <c r="FD980" s="15" t="s">
        <v>166</v>
      </c>
      <c r="FE980" s="15" t="s">
        <v>166</v>
      </c>
      <c r="FF980" s="15" t="s">
        <v>166</v>
      </c>
      <c r="FG980" s="14" t="s">
        <v>166</v>
      </c>
      <c r="FH980" s="3">
        <f>HYPERLINK("https://my.pitchbook.com?c=200985-85T","View Company Online")</f>
      </c>
    </row>
    <row r="981">
      <c r="A981" s="25" t="s">
        <v>18585</v>
      </c>
      <c r="B981" s="25" t="s">
        <v>18586</v>
      </c>
      <c r="C981" s="25" t="s">
        <v>18587</v>
      </c>
      <c r="D981" s="25" t="s">
        <v>166</v>
      </c>
      <c r="E981" s="34" t="s">
        <v>18588</v>
      </c>
      <c r="F981" s="32">
        <v>64</v>
      </c>
      <c r="G981" s="25" t="s">
        <v>18589</v>
      </c>
      <c r="H981" s="25" t="s">
        <v>166</v>
      </c>
      <c r="I981" s="25" t="s">
        <v>18590</v>
      </c>
      <c r="J981" s="25" t="s">
        <v>18591</v>
      </c>
      <c r="K981" s="25" t="s">
        <v>321</v>
      </c>
      <c r="L981" s="25" t="s">
        <v>322</v>
      </c>
      <c r="M981" s="25" t="s">
        <v>322</v>
      </c>
      <c r="N981" s="25" t="s">
        <v>2410</v>
      </c>
      <c r="O981" s="25" t="s">
        <v>509</v>
      </c>
      <c r="P981" s="25" t="s">
        <v>18592</v>
      </c>
      <c r="Q981" s="25" t="s">
        <v>166</v>
      </c>
      <c r="R981" s="25" t="s">
        <v>177</v>
      </c>
      <c r="S981" s="25" t="s">
        <v>178</v>
      </c>
      <c r="T981" s="25" t="s">
        <v>179</v>
      </c>
      <c r="U981" s="25" t="s">
        <v>18593</v>
      </c>
      <c r="V981" s="25" t="s">
        <v>18594</v>
      </c>
      <c r="W981" s="32" t="s">
        <v>18595</v>
      </c>
      <c r="X981" s="25" t="s">
        <v>166</v>
      </c>
      <c r="Y981" s="25" t="s">
        <v>18596</v>
      </c>
      <c r="Z981" s="25" t="s">
        <v>166</v>
      </c>
      <c r="AA981" s="25" t="s">
        <v>242</v>
      </c>
      <c r="AB981" s="25" t="s">
        <v>243</v>
      </c>
      <c r="AC981" s="25" t="s">
        <v>244</v>
      </c>
      <c r="AD981" s="25" t="s">
        <v>243</v>
      </c>
      <c r="AE981" s="25" t="s">
        <v>243</v>
      </c>
      <c r="AF981" s="25" t="s">
        <v>166</v>
      </c>
      <c r="AG981" s="25" t="s">
        <v>807</v>
      </c>
      <c r="AH981" s="32">
        <v>1</v>
      </c>
      <c r="AI981" s="4">
        <f>HYPERLINK("https://my.pitchbook.com/?d=187785-46T","187785-46T")</f>
      </c>
      <c r="AJ981" s="30">
        <v>44642</v>
      </c>
      <c r="AK981" s="30">
        <v>44642</v>
      </c>
      <c r="AL981" s="29">
        <v>449.99</v>
      </c>
      <c r="AM981" s="25" t="s">
        <v>185</v>
      </c>
      <c r="AN981" s="29">
        <v>3550.01</v>
      </c>
      <c r="AO981" s="29">
        <v>4000</v>
      </c>
      <c r="AP981" s="25" t="s">
        <v>185</v>
      </c>
      <c r="AQ981" s="32" t="s">
        <v>166</v>
      </c>
      <c r="AR981" s="32" t="s">
        <v>166</v>
      </c>
      <c r="AS981" s="28">
        <v>11.25</v>
      </c>
      <c r="AT981" s="29">
        <v>449.99</v>
      </c>
      <c r="AU981" s="32" t="s">
        <v>186</v>
      </c>
      <c r="AV981" s="32" t="s">
        <v>166</v>
      </c>
      <c r="AW981" s="29">
        <v>314</v>
      </c>
      <c r="AX981" s="32" t="s">
        <v>166</v>
      </c>
      <c r="AY981" s="25" t="s">
        <v>217</v>
      </c>
      <c r="AZ981" s="25" t="s">
        <v>217</v>
      </c>
      <c r="BA981" s="25" t="s">
        <v>166</v>
      </c>
      <c r="BB981" s="32" t="s">
        <v>166</v>
      </c>
      <c r="BC981" s="25" t="s">
        <v>179</v>
      </c>
      <c r="BD981" s="25" t="s">
        <v>18597</v>
      </c>
      <c r="BE981" s="25" t="s">
        <v>189</v>
      </c>
      <c r="BF981" s="29">
        <v>449.99</v>
      </c>
      <c r="BG981" s="25" t="s">
        <v>190</v>
      </c>
      <c r="BH981" s="25" t="s">
        <v>166</v>
      </c>
      <c r="BI981" s="25" t="s">
        <v>166</v>
      </c>
      <c r="BJ981" s="29" t="s">
        <v>166</v>
      </c>
      <c r="BK981" s="29" t="s">
        <v>166</v>
      </c>
      <c r="BL981" s="25" t="s">
        <v>191</v>
      </c>
      <c r="BM981" s="25" t="s">
        <v>178</v>
      </c>
      <c r="BN981" s="25" t="s">
        <v>177</v>
      </c>
      <c r="BO981" s="33" t="s">
        <v>166</v>
      </c>
      <c r="BP981" s="25" t="s">
        <v>18598</v>
      </c>
      <c r="BQ981" s="32">
        <v>64</v>
      </c>
      <c r="BR981" s="25" t="s">
        <v>166</v>
      </c>
      <c r="BS981" s="32" t="s">
        <v>166</v>
      </c>
      <c r="BT981" s="25" t="s">
        <v>18599</v>
      </c>
      <c r="BU981" s="25" t="s">
        <v>166</v>
      </c>
      <c r="BV981" s="25" t="s">
        <v>18600</v>
      </c>
      <c r="BW981" s="25" t="s">
        <v>166</v>
      </c>
      <c r="BX981" s="25" t="s">
        <v>166</v>
      </c>
      <c r="BY981" s="25" t="s">
        <v>166</v>
      </c>
      <c r="BZ981" s="25" t="s">
        <v>18601</v>
      </c>
      <c r="CA981" s="25" t="s">
        <v>166</v>
      </c>
      <c r="CB981" s="25" t="s">
        <v>166</v>
      </c>
      <c r="CC981" s="25" t="s">
        <v>18601</v>
      </c>
      <c r="CD981" s="25" t="s">
        <v>166</v>
      </c>
      <c r="CE981" s="29" t="s">
        <v>166</v>
      </c>
      <c r="CF981" s="27">
        <v>5000</v>
      </c>
      <c r="CG981" s="28" t="s">
        <v>166</v>
      </c>
      <c r="CH981" s="27" t="s">
        <v>166</v>
      </c>
      <c r="CI981" s="27">
        <v>4000</v>
      </c>
      <c r="CJ981" s="27" t="s">
        <v>166</v>
      </c>
      <c r="CK981" s="27" t="s">
        <v>166</v>
      </c>
      <c r="CL981" s="27" t="s">
        <v>166</v>
      </c>
      <c r="CM981" s="31">
        <v>2021</v>
      </c>
      <c r="CN981" s="27" t="s">
        <v>166</v>
      </c>
      <c r="CO981" s="27" t="s">
        <v>166</v>
      </c>
      <c r="CP981" s="27">
        <v>1</v>
      </c>
      <c r="CQ981" s="27">
        <v>0.8</v>
      </c>
      <c r="CR981" s="27" t="s">
        <v>166</v>
      </c>
      <c r="CS981" s="27" t="s">
        <v>166</v>
      </c>
      <c r="CT981" s="27" t="s">
        <v>166</v>
      </c>
      <c r="CU981" s="27">
        <v>0.11</v>
      </c>
      <c r="CV981" s="27">
        <v>0.09</v>
      </c>
      <c r="CW981" s="27" t="s">
        <v>166</v>
      </c>
      <c r="CX981" s="27" t="s">
        <v>166</v>
      </c>
      <c r="CY981" s="27" t="s">
        <v>166</v>
      </c>
      <c r="CZ981" s="27" t="s">
        <v>166</v>
      </c>
      <c r="DA981" s="27" t="s">
        <v>166</v>
      </c>
      <c r="DB981" s="27" t="s">
        <v>166</v>
      </c>
      <c r="DC981" s="27" t="s">
        <v>166</v>
      </c>
      <c r="DD981" s="27" t="s">
        <v>166</v>
      </c>
      <c r="DE981" s="28" t="s">
        <v>166</v>
      </c>
      <c r="DF981" s="33">
        <v>109</v>
      </c>
      <c r="DG981" s="25" t="s">
        <v>18602</v>
      </c>
      <c r="DH981" s="25" t="s">
        <v>193</v>
      </c>
      <c r="DI981" s="25" t="s">
        <v>194</v>
      </c>
      <c r="DJ981" s="25" t="s">
        <v>18603</v>
      </c>
      <c r="DK981" s="25" t="s">
        <v>196</v>
      </c>
      <c r="DL981" s="32" t="s">
        <v>18604</v>
      </c>
      <c r="DM981" s="25" t="s">
        <v>198</v>
      </c>
      <c r="DN981" s="24" t="s">
        <v>18605</v>
      </c>
      <c r="DO981" s="31">
        <v>2021</v>
      </c>
      <c r="DP981" s="25" t="s">
        <v>166</v>
      </c>
      <c r="DQ981" s="25" t="s">
        <v>166</v>
      </c>
      <c r="DR981" s="29" t="s">
        <v>166</v>
      </c>
      <c r="DS981" s="27" t="s">
        <v>166</v>
      </c>
      <c r="DT981" s="30" t="s">
        <v>166</v>
      </c>
      <c r="DU981" s="25" t="s">
        <v>166</v>
      </c>
      <c r="DV981" s="29" t="s">
        <v>166</v>
      </c>
      <c r="DW981" s="29" t="s">
        <v>166</v>
      </c>
      <c r="DX981" s="27" t="s">
        <v>166</v>
      </c>
      <c r="DY981" s="27" t="s">
        <v>166</v>
      </c>
      <c r="DZ981" s="28" t="s">
        <v>166</v>
      </c>
      <c r="EA981" s="27" t="s">
        <v>166</v>
      </c>
      <c r="EB981" s="27" t="s">
        <v>166</v>
      </c>
      <c r="EC981" s="27" t="s">
        <v>166</v>
      </c>
      <c r="ED981" s="28" t="s">
        <v>166</v>
      </c>
      <c r="EE981" s="28" t="s">
        <v>166</v>
      </c>
      <c r="EF981" s="28" t="s">
        <v>166</v>
      </c>
      <c r="EG981" s="28" t="s">
        <v>166</v>
      </c>
      <c r="EH981" s="27" t="s">
        <v>166</v>
      </c>
      <c r="EI981" s="27" t="s">
        <v>166</v>
      </c>
      <c r="EJ981" s="27" t="s">
        <v>166</v>
      </c>
      <c r="EK981" s="27" t="s">
        <v>166</v>
      </c>
      <c r="EL981" s="27" t="s">
        <v>166</v>
      </c>
      <c r="EM981" s="27" t="s">
        <v>166</v>
      </c>
      <c r="EN981" s="27" t="s">
        <v>166</v>
      </c>
      <c r="EO981" s="27" t="s">
        <v>166</v>
      </c>
      <c r="EP981" s="27" t="s">
        <v>166</v>
      </c>
      <c r="EQ981" s="27" t="s">
        <v>166</v>
      </c>
      <c r="ER981" s="27" t="s">
        <v>166</v>
      </c>
      <c r="ES981" s="27" t="s">
        <v>166</v>
      </c>
      <c r="ET981" s="25" t="s">
        <v>166</v>
      </c>
      <c r="EU981" s="27" t="s">
        <v>166</v>
      </c>
      <c r="EV981" s="27" t="s">
        <v>166</v>
      </c>
      <c r="EW981" s="27" t="s">
        <v>166</v>
      </c>
      <c r="EX981" s="25" t="s">
        <v>190</v>
      </c>
      <c r="EY981" s="25" t="s">
        <v>166</v>
      </c>
      <c r="EZ981" s="27" t="s">
        <v>166</v>
      </c>
      <c r="FA981" s="26">
        <v>6</v>
      </c>
      <c r="FB981" s="26">
        <v>4</v>
      </c>
      <c r="FC981" s="26">
        <v>3</v>
      </c>
      <c r="FD981" s="26">
        <v>2</v>
      </c>
      <c r="FE981" s="26" t="s">
        <v>166</v>
      </c>
      <c r="FF981" s="26">
        <v>1</v>
      </c>
      <c r="FG981" s="25" t="s">
        <v>18606</v>
      </c>
      <c r="FH981" s="4">
        <f>HYPERLINK("https://my.pitchbook.com?c=187785-46T","View Company Online")</f>
      </c>
    </row>
    <row r="982">
      <c r="A982" s="14" t="s">
        <v>18607</v>
      </c>
      <c r="B982" s="14" t="s">
        <v>18608</v>
      </c>
      <c r="C982" s="14" t="s">
        <v>18609</v>
      </c>
      <c r="D982" s="14" t="s">
        <v>166</v>
      </c>
      <c r="E982" s="23" t="s">
        <v>18610</v>
      </c>
      <c r="F982" s="21">
        <v>6</v>
      </c>
      <c r="G982" s="14" t="s">
        <v>18611</v>
      </c>
      <c r="H982" s="14" t="s">
        <v>166</v>
      </c>
      <c r="I982" s="14" t="s">
        <v>18612</v>
      </c>
      <c r="J982" s="14" t="s">
        <v>18613</v>
      </c>
      <c r="K982" s="14" t="s">
        <v>207</v>
      </c>
      <c r="L982" s="14" t="s">
        <v>208</v>
      </c>
      <c r="M982" s="14" t="s">
        <v>296</v>
      </c>
      <c r="N982" s="14" t="s">
        <v>1052</v>
      </c>
      <c r="O982" s="14" t="s">
        <v>1318</v>
      </c>
      <c r="P982" s="14" t="s">
        <v>18614</v>
      </c>
      <c r="Q982" s="14" t="s">
        <v>166</v>
      </c>
      <c r="R982" s="14" t="s">
        <v>177</v>
      </c>
      <c r="S982" s="14" t="s">
        <v>178</v>
      </c>
      <c r="T982" s="14" t="s">
        <v>179</v>
      </c>
      <c r="U982" s="14" t="s">
        <v>18615</v>
      </c>
      <c r="V982" s="14" t="s">
        <v>18616</v>
      </c>
      <c r="W982" s="21" t="s">
        <v>18617</v>
      </c>
      <c r="X982" s="14" t="s">
        <v>18618</v>
      </c>
      <c r="Y982" s="14" t="s">
        <v>18619</v>
      </c>
      <c r="Z982" s="14" t="s">
        <v>18620</v>
      </c>
      <c r="AA982" s="14" t="s">
        <v>242</v>
      </c>
      <c r="AB982" s="14" t="s">
        <v>243</v>
      </c>
      <c r="AC982" s="14" t="s">
        <v>244</v>
      </c>
      <c r="AD982" s="14" t="s">
        <v>243</v>
      </c>
      <c r="AE982" s="14" t="s">
        <v>243</v>
      </c>
      <c r="AF982" s="14" t="s">
        <v>166</v>
      </c>
      <c r="AG982" s="14" t="s">
        <v>807</v>
      </c>
      <c r="AH982" s="21">
        <v>1</v>
      </c>
      <c r="AI982" s="3">
        <f>HYPERLINK("https://my.pitchbook.com/?d=158248-54T","158248-54T")</f>
      </c>
      <c r="AJ982" s="19" t="s">
        <v>166</v>
      </c>
      <c r="AK982" s="19">
        <v>44131</v>
      </c>
      <c r="AL982" s="18">
        <v>2</v>
      </c>
      <c r="AM982" s="14" t="s">
        <v>185</v>
      </c>
      <c r="AN982" s="18">
        <v>6</v>
      </c>
      <c r="AO982" s="18">
        <v>8</v>
      </c>
      <c r="AP982" s="14" t="s">
        <v>185</v>
      </c>
      <c r="AQ982" s="21" t="s">
        <v>166</v>
      </c>
      <c r="AR982" s="21" t="s">
        <v>166</v>
      </c>
      <c r="AS982" s="17">
        <v>25</v>
      </c>
      <c r="AT982" s="18">
        <v>2</v>
      </c>
      <c r="AU982" s="21" t="s">
        <v>186</v>
      </c>
      <c r="AV982" s="21" t="s">
        <v>166</v>
      </c>
      <c r="AW982" s="18">
        <v>4.48</v>
      </c>
      <c r="AX982" s="21" t="s">
        <v>166</v>
      </c>
      <c r="AY982" s="14" t="s">
        <v>217</v>
      </c>
      <c r="AZ982" s="14" t="s">
        <v>217</v>
      </c>
      <c r="BA982" s="14" t="s">
        <v>166</v>
      </c>
      <c r="BB982" s="21" t="s">
        <v>166</v>
      </c>
      <c r="BC982" s="14" t="s">
        <v>179</v>
      </c>
      <c r="BD982" s="14" t="s">
        <v>18621</v>
      </c>
      <c r="BE982" s="14" t="s">
        <v>189</v>
      </c>
      <c r="BF982" s="18">
        <v>2</v>
      </c>
      <c r="BG982" s="14" t="s">
        <v>190</v>
      </c>
      <c r="BH982" s="14" t="s">
        <v>166</v>
      </c>
      <c r="BI982" s="14" t="s">
        <v>166</v>
      </c>
      <c r="BJ982" s="18" t="s">
        <v>166</v>
      </c>
      <c r="BK982" s="18" t="s">
        <v>166</v>
      </c>
      <c r="BL982" s="14" t="s">
        <v>191</v>
      </c>
      <c r="BM982" s="14" t="s">
        <v>178</v>
      </c>
      <c r="BN982" s="14" t="s">
        <v>177</v>
      </c>
      <c r="BO982" s="22" t="s">
        <v>166</v>
      </c>
      <c r="BP982" s="14" t="s">
        <v>18622</v>
      </c>
      <c r="BQ982" s="21">
        <v>6</v>
      </c>
      <c r="BR982" s="14" t="s">
        <v>166</v>
      </c>
      <c r="BS982" s="21" t="s">
        <v>166</v>
      </c>
      <c r="BT982" s="14" t="s">
        <v>18623</v>
      </c>
      <c r="BU982" s="14" t="s">
        <v>166</v>
      </c>
      <c r="BV982" s="14" t="s">
        <v>18624</v>
      </c>
      <c r="BW982" s="14" t="s">
        <v>166</v>
      </c>
      <c r="BX982" s="14" t="s">
        <v>166</v>
      </c>
      <c r="BY982" s="14" t="s">
        <v>166</v>
      </c>
      <c r="BZ982" s="14" t="s">
        <v>770</v>
      </c>
      <c r="CA982" s="14" t="s">
        <v>770</v>
      </c>
      <c r="CB982" s="14" t="s">
        <v>166</v>
      </c>
      <c r="CC982" s="14" t="s">
        <v>166</v>
      </c>
      <c r="CD982" s="14" t="s">
        <v>166</v>
      </c>
      <c r="CE982" s="18" t="s">
        <v>166</v>
      </c>
      <c r="CF982" s="16" t="s">
        <v>166</v>
      </c>
      <c r="CG982" s="17" t="s">
        <v>166</v>
      </c>
      <c r="CH982" s="16" t="s">
        <v>166</v>
      </c>
      <c r="CI982" s="16" t="s">
        <v>166</v>
      </c>
      <c r="CJ982" s="16" t="s">
        <v>166</v>
      </c>
      <c r="CK982" s="16" t="s">
        <v>166</v>
      </c>
      <c r="CL982" s="16" t="s">
        <v>166</v>
      </c>
      <c r="CM982" s="20" t="s">
        <v>166</v>
      </c>
      <c r="CN982" s="16" t="s">
        <v>166</v>
      </c>
      <c r="CO982" s="16" t="s">
        <v>166</v>
      </c>
      <c r="CP982" s="16" t="s">
        <v>166</v>
      </c>
      <c r="CQ982" s="16" t="s">
        <v>166</v>
      </c>
      <c r="CR982" s="16" t="s">
        <v>166</v>
      </c>
      <c r="CS982" s="16" t="s">
        <v>166</v>
      </c>
      <c r="CT982" s="16" t="s">
        <v>166</v>
      </c>
      <c r="CU982" s="16" t="s">
        <v>166</v>
      </c>
      <c r="CV982" s="16" t="s">
        <v>166</v>
      </c>
      <c r="CW982" s="16" t="s">
        <v>166</v>
      </c>
      <c r="CX982" s="16" t="s">
        <v>166</v>
      </c>
      <c r="CY982" s="16" t="s">
        <v>166</v>
      </c>
      <c r="CZ982" s="16" t="s">
        <v>166</v>
      </c>
      <c r="DA982" s="16" t="s">
        <v>166</v>
      </c>
      <c r="DB982" s="16" t="s">
        <v>166</v>
      </c>
      <c r="DC982" s="16" t="s">
        <v>166</v>
      </c>
      <c r="DD982" s="16" t="s">
        <v>166</v>
      </c>
      <c r="DE982" s="17" t="s">
        <v>166</v>
      </c>
      <c r="DF982" s="22">
        <v>16</v>
      </c>
      <c r="DG982" s="14" t="s">
        <v>309</v>
      </c>
      <c r="DH982" s="14" t="s">
        <v>193</v>
      </c>
      <c r="DI982" s="14" t="s">
        <v>194</v>
      </c>
      <c r="DJ982" s="14" t="s">
        <v>310</v>
      </c>
      <c r="DK982" s="14" t="s">
        <v>310</v>
      </c>
      <c r="DL982" s="21" t="s">
        <v>873</v>
      </c>
      <c r="DM982" s="14" t="s">
        <v>198</v>
      </c>
      <c r="DN982" s="13" t="s">
        <v>18625</v>
      </c>
      <c r="DO982" s="20">
        <v>2018</v>
      </c>
      <c r="DP982" s="14" t="s">
        <v>166</v>
      </c>
      <c r="DQ982" s="14" t="s">
        <v>166</v>
      </c>
      <c r="DR982" s="18" t="s">
        <v>166</v>
      </c>
      <c r="DS982" s="16" t="s">
        <v>166</v>
      </c>
      <c r="DT982" s="19" t="s">
        <v>166</v>
      </c>
      <c r="DU982" s="14" t="s">
        <v>166</v>
      </c>
      <c r="DV982" s="18" t="s">
        <v>166</v>
      </c>
      <c r="DW982" s="18" t="s">
        <v>166</v>
      </c>
      <c r="DX982" s="16" t="s">
        <v>166</v>
      </c>
      <c r="DY982" s="16" t="s">
        <v>166</v>
      </c>
      <c r="DZ982" s="17" t="s">
        <v>166</v>
      </c>
      <c r="EA982" s="16" t="s">
        <v>166</v>
      </c>
      <c r="EB982" s="16" t="s">
        <v>166</v>
      </c>
      <c r="EC982" s="16" t="s">
        <v>166</v>
      </c>
      <c r="ED982" s="17" t="s">
        <v>166</v>
      </c>
      <c r="EE982" s="17" t="s">
        <v>166</v>
      </c>
      <c r="EF982" s="17" t="s">
        <v>166</v>
      </c>
      <c r="EG982" s="17" t="s">
        <v>166</v>
      </c>
      <c r="EH982" s="16" t="s">
        <v>166</v>
      </c>
      <c r="EI982" s="16" t="s">
        <v>166</v>
      </c>
      <c r="EJ982" s="16" t="s">
        <v>166</v>
      </c>
      <c r="EK982" s="16" t="s">
        <v>166</v>
      </c>
      <c r="EL982" s="16" t="s">
        <v>166</v>
      </c>
      <c r="EM982" s="16" t="s">
        <v>166</v>
      </c>
      <c r="EN982" s="16" t="s">
        <v>166</v>
      </c>
      <c r="EO982" s="16" t="s">
        <v>166</v>
      </c>
      <c r="EP982" s="16" t="s">
        <v>166</v>
      </c>
      <c r="EQ982" s="16" t="s">
        <v>166</v>
      </c>
      <c r="ER982" s="16" t="s">
        <v>166</v>
      </c>
      <c r="ES982" s="16" t="s">
        <v>166</v>
      </c>
      <c r="ET982" s="14" t="s">
        <v>166</v>
      </c>
      <c r="EU982" s="16" t="s">
        <v>166</v>
      </c>
      <c r="EV982" s="16" t="s">
        <v>166</v>
      </c>
      <c r="EW982" s="16" t="s">
        <v>166</v>
      </c>
      <c r="EX982" s="14" t="s">
        <v>190</v>
      </c>
      <c r="EY982" s="14" t="s">
        <v>166</v>
      </c>
      <c r="EZ982" s="16" t="s">
        <v>166</v>
      </c>
      <c r="FA982" s="15" t="s">
        <v>166</v>
      </c>
      <c r="FB982" s="15" t="s">
        <v>166</v>
      </c>
      <c r="FC982" s="15" t="s">
        <v>166</v>
      </c>
      <c r="FD982" s="15" t="s">
        <v>166</v>
      </c>
      <c r="FE982" s="15" t="s">
        <v>166</v>
      </c>
      <c r="FF982" s="15" t="s">
        <v>166</v>
      </c>
      <c r="FG982" s="14" t="s">
        <v>166</v>
      </c>
      <c r="FH982" s="3">
        <f>HYPERLINK("https://my.pitchbook.com?c=158248-54T","View Company Online")</f>
      </c>
    </row>
    <row r="983">
      <c r="A983" s="25" t="s">
        <v>18626</v>
      </c>
      <c r="B983" s="25" t="s">
        <v>18627</v>
      </c>
      <c r="C983" s="25" t="s">
        <v>18628</v>
      </c>
      <c r="D983" s="25" t="s">
        <v>166</v>
      </c>
      <c r="E983" s="34" t="s">
        <v>18629</v>
      </c>
      <c r="F983" s="32">
        <v>2</v>
      </c>
      <c r="G983" s="25" t="s">
        <v>18630</v>
      </c>
      <c r="H983" s="25" t="s">
        <v>166</v>
      </c>
      <c r="I983" s="25" t="s">
        <v>18631</v>
      </c>
      <c r="J983" s="25" t="s">
        <v>18632</v>
      </c>
      <c r="K983" s="25" t="s">
        <v>1500</v>
      </c>
      <c r="L983" s="25" t="s">
        <v>2334</v>
      </c>
      <c r="M983" s="25" t="s">
        <v>7469</v>
      </c>
      <c r="N983" s="25" t="s">
        <v>18633</v>
      </c>
      <c r="O983" s="25" t="s">
        <v>7860</v>
      </c>
      <c r="P983" s="25" t="s">
        <v>18634</v>
      </c>
      <c r="Q983" s="25" t="s">
        <v>166</v>
      </c>
      <c r="R983" s="25" t="s">
        <v>177</v>
      </c>
      <c r="S983" s="25" t="s">
        <v>178</v>
      </c>
      <c r="T983" s="25" t="s">
        <v>179</v>
      </c>
      <c r="U983" s="25" t="s">
        <v>18635</v>
      </c>
      <c r="V983" s="25" t="s">
        <v>18636</v>
      </c>
      <c r="W983" s="32" t="s">
        <v>18637</v>
      </c>
      <c r="X983" s="25" t="s">
        <v>18638</v>
      </c>
      <c r="Y983" s="25" t="s">
        <v>18639</v>
      </c>
      <c r="Z983" s="25" t="s">
        <v>166</v>
      </c>
      <c r="AA983" s="25" t="s">
        <v>166</v>
      </c>
      <c r="AB983" s="25" t="s">
        <v>166</v>
      </c>
      <c r="AC983" s="25" t="s">
        <v>166</v>
      </c>
      <c r="AD983" s="25" t="s">
        <v>166</v>
      </c>
      <c r="AE983" s="25" t="s">
        <v>166</v>
      </c>
      <c r="AF983" s="25" t="s">
        <v>166</v>
      </c>
      <c r="AG983" s="25" t="s">
        <v>166</v>
      </c>
      <c r="AH983" s="32">
        <v>1</v>
      </c>
      <c r="AI983" s="4">
        <f>HYPERLINK("https://my.pitchbook.com/?d=184995-82T","184995-82T")</f>
      </c>
      <c r="AJ983" s="30" t="s">
        <v>166</v>
      </c>
      <c r="AK983" s="30">
        <v>44438</v>
      </c>
      <c r="AL983" s="29">
        <v>0.55</v>
      </c>
      <c r="AM983" s="25" t="s">
        <v>185</v>
      </c>
      <c r="AN983" s="29">
        <v>15</v>
      </c>
      <c r="AO983" s="29">
        <v>15.55</v>
      </c>
      <c r="AP983" s="25" t="s">
        <v>185</v>
      </c>
      <c r="AQ983" s="32" t="s">
        <v>166</v>
      </c>
      <c r="AR983" s="32" t="s">
        <v>166</v>
      </c>
      <c r="AS983" s="28">
        <v>3.53</v>
      </c>
      <c r="AT983" s="29">
        <v>0.55</v>
      </c>
      <c r="AU983" s="32" t="s">
        <v>186</v>
      </c>
      <c r="AV983" s="32" t="s">
        <v>166</v>
      </c>
      <c r="AW983" s="29" t="s">
        <v>166</v>
      </c>
      <c r="AX983" s="32" t="s">
        <v>166</v>
      </c>
      <c r="AY983" s="25" t="s">
        <v>187</v>
      </c>
      <c r="AZ983" s="25" t="s">
        <v>166</v>
      </c>
      <c r="BA983" s="25" t="s">
        <v>166</v>
      </c>
      <c r="BB983" s="32" t="s">
        <v>166</v>
      </c>
      <c r="BC983" s="25" t="s">
        <v>179</v>
      </c>
      <c r="BD983" s="25" t="s">
        <v>18632</v>
      </c>
      <c r="BE983" s="25" t="s">
        <v>189</v>
      </c>
      <c r="BF983" s="29">
        <v>0.55</v>
      </c>
      <c r="BG983" s="25" t="s">
        <v>190</v>
      </c>
      <c r="BH983" s="25" t="s">
        <v>166</v>
      </c>
      <c r="BI983" s="25" t="s">
        <v>166</v>
      </c>
      <c r="BJ983" s="29" t="s">
        <v>166</v>
      </c>
      <c r="BK983" s="29" t="s">
        <v>166</v>
      </c>
      <c r="BL983" s="25" t="s">
        <v>191</v>
      </c>
      <c r="BM983" s="25" t="s">
        <v>178</v>
      </c>
      <c r="BN983" s="25" t="s">
        <v>177</v>
      </c>
      <c r="BO983" s="33">
        <v>4</v>
      </c>
      <c r="BP983" s="25" t="s">
        <v>18629</v>
      </c>
      <c r="BQ983" s="32">
        <v>2</v>
      </c>
      <c r="BR983" s="25" t="s">
        <v>166</v>
      </c>
      <c r="BS983" s="32" t="s">
        <v>166</v>
      </c>
      <c r="BT983" s="25" t="s">
        <v>166</v>
      </c>
      <c r="BU983" s="25" t="s">
        <v>166</v>
      </c>
      <c r="BV983" s="25" t="s">
        <v>166</v>
      </c>
      <c r="BW983" s="25" t="s">
        <v>166</v>
      </c>
      <c r="BX983" s="25" t="s">
        <v>166</v>
      </c>
      <c r="BY983" s="25" t="s">
        <v>166</v>
      </c>
      <c r="BZ983" s="25" t="s">
        <v>166</v>
      </c>
      <c r="CA983" s="25" t="s">
        <v>166</v>
      </c>
      <c r="CB983" s="25" t="s">
        <v>166</v>
      </c>
      <c r="CC983" s="25" t="s">
        <v>166</v>
      </c>
      <c r="CD983" s="25" t="s">
        <v>166</v>
      </c>
      <c r="CE983" s="29" t="s">
        <v>166</v>
      </c>
      <c r="CF983" s="27" t="s">
        <v>166</v>
      </c>
      <c r="CG983" s="28" t="s">
        <v>166</v>
      </c>
      <c r="CH983" s="27" t="s">
        <v>166</v>
      </c>
      <c r="CI983" s="27" t="s">
        <v>166</v>
      </c>
      <c r="CJ983" s="27" t="s">
        <v>166</v>
      </c>
      <c r="CK983" s="27" t="s">
        <v>166</v>
      </c>
      <c r="CL983" s="27" t="s">
        <v>166</v>
      </c>
      <c r="CM983" s="31" t="s">
        <v>166</v>
      </c>
      <c r="CN983" s="27" t="s">
        <v>166</v>
      </c>
      <c r="CO983" s="27" t="s">
        <v>166</v>
      </c>
      <c r="CP983" s="27" t="s">
        <v>166</v>
      </c>
      <c r="CQ983" s="27" t="s">
        <v>166</v>
      </c>
      <c r="CR983" s="27" t="s">
        <v>166</v>
      </c>
      <c r="CS983" s="27" t="s">
        <v>166</v>
      </c>
      <c r="CT983" s="27" t="s">
        <v>166</v>
      </c>
      <c r="CU983" s="27" t="s">
        <v>166</v>
      </c>
      <c r="CV983" s="27" t="s">
        <v>166</v>
      </c>
      <c r="CW983" s="27" t="s">
        <v>166</v>
      </c>
      <c r="CX983" s="27" t="s">
        <v>166</v>
      </c>
      <c r="CY983" s="27" t="s">
        <v>166</v>
      </c>
      <c r="CZ983" s="27" t="s">
        <v>166</v>
      </c>
      <c r="DA983" s="27" t="s">
        <v>166</v>
      </c>
      <c r="DB983" s="27" t="s">
        <v>166</v>
      </c>
      <c r="DC983" s="27" t="s">
        <v>166</v>
      </c>
      <c r="DD983" s="27" t="s">
        <v>166</v>
      </c>
      <c r="DE983" s="28" t="s">
        <v>166</v>
      </c>
      <c r="DF983" s="33">
        <v>3</v>
      </c>
      <c r="DG983" s="25" t="s">
        <v>309</v>
      </c>
      <c r="DH983" s="25" t="s">
        <v>193</v>
      </c>
      <c r="DI983" s="25" t="s">
        <v>194</v>
      </c>
      <c r="DJ983" s="25" t="s">
        <v>310</v>
      </c>
      <c r="DK983" s="25" t="s">
        <v>310</v>
      </c>
      <c r="DL983" s="32" t="s">
        <v>1848</v>
      </c>
      <c r="DM983" s="25" t="s">
        <v>198</v>
      </c>
      <c r="DN983" s="24" t="s">
        <v>18640</v>
      </c>
      <c r="DO983" s="31">
        <v>2020</v>
      </c>
      <c r="DP983" s="25" t="s">
        <v>166</v>
      </c>
      <c r="DQ983" s="25" t="s">
        <v>166</v>
      </c>
      <c r="DR983" s="29" t="s">
        <v>166</v>
      </c>
      <c r="DS983" s="27" t="s">
        <v>166</v>
      </c>
      <c r="DT983" s="30" t="s">
        <v>166</v>
      </c>
      <c r="DU983" s="25" t="s">
        <v>166</v>
      </c>
      <c r="DV983" s="29" t="s">
        <v>166</v>
      </c>
      <c r="DW983" s="29" t="s">
        <v>166</v>
      </c>
      <c r="DX983" s="27" t="s">
        <v>166</v>
      </c>
      <c r="DY983" s="27" t="s">
        <v>166</v>
      </c>
      <c r="DZ983" s="28" t="s">
        <v>166</v>
      </c>
      <c r="EA983" s="27" t="s">
        <v>166</v>
      </c>
      <c r="EB983" s="27" t="s">
        <v>166</v>
      </c>
      <c r="EC983" s="27" t="s">
        <v>166</v>
      </c>
      <c r="ED983" s="28" t="s">
        <v>166</v>
      </c>
      <c r="EE983" s="28" t="s">
        <v>166</v>
      </c>
      <c r="EF983" s="28" t="s">
        <v>166</v>
      </c>
      <c r="EG983" s="28" t="s">
        <v>166</v>
      </c>
      <c r="EH983" s="27" t="s">
        <v>166</v>
      </c>
      <c r="EI983" s="27" t="s">
        <v>166</v>
      </c>
      <c r="EJ983" s="27" t="s">
        <v>166</v>
      </c>
      <c r="EK983" s="27" t="s">
        <v>166</v>
      </c>
      <c r="EL983" s="27" t="s">
        <v>166</v>
      </c>
      <c r="EM983" s="27" t="s">
        <v>166</v>
      </c>
      <c r="EN983" s="27" t="s">
        <v>166</v>
      </c>
      <c r="EO983" s="27" t="s">
        <v>166</v>
      </c>
      <c r="EP983" s="27" t="s">
        <v>166</v>
      </c>
      <c r="EQ983" s="27" t="s">
        <v>166</v>
      </c>
      <c r="ER983" s="27" t="s">
        <v>166</v>
      </c>
      <c r="ES983" s="27" t="s">
        <v>166</v>
      </c>
      <c r="ET983" s="25" t="s">
        <v>166</v>
      </c>
      <c r="EU983" s="27" t="s">
        <v>166</v>
      </c>
      <c r="EV983" s="27" t="s">
        <v>166</v>
      </c>
      <c r="EW983" s="27" t="s">
        <v>166</v>
      </c>
      <c r="EX983" s="25" t="s">
        <v>190</v>
      </c>
      <c r="EY983" s="25" t="s">
        <v>166</v>
      </c>
      <c r="EZ983" s="27" t="s">
        <v>166</v>
      </c>
      <c r="FA983" s="26" t="s">
        <v>166</v>
      </c>
      <c r="FB983" s="26" t="s">
        <v>166</v>
      </c>
      <c r="FC983" s="26" t="s">
        <v>166</v>
      </c>
      <c r="FD983" s="26" t="s">
        <v>166</v>
      </c>
      <c r="FE983" s="26" t="s">
        <v>166</v>
      </c>
      <c r="FF983" s="26" t="s">
        <v>166</v>
      </c>
      <c r="FG983" s="25" t="s">
        <v>166</v>
      </c>
      <c r="FH983" s="4">
        <f>HYPERLINK("https://my.pitchbook.com?c=184995-82T","View Company Online")</f>
      </c>
    </row>
    <row r="984">
      <c r="A984" s="14" t="s">
        <v>18641</v>
      </c>
      <c r="B984" s="14" t="s">
        <v>18642</v>
      </c>
      <c r="C984" s="14" t="s">
        <v>18643</v>
      </c>
      <c r="D984" s="14" t="s">
        <v>166</v>
      </c>
      <c r="E984" s="23" t="s">
        <v>18644</v>
      </c>
      <c r="F984" s="21">
        <v>4</v>
      </c>
      <c r="G984" s="14" t="s">
        <v>18645</v>
      </c>
      <c r="H984" s="14" t="s">
        <v>166</v>
      </c>
      <c r="I984" s="14" t="s">
        <v>18646</v>
      </c>
      <c r="J984" s="14" t="s">
        <v>18647</v>
      </c>
      <c r="K984" s="14" t="s">
        <v>171</v>
      </c>
      <c r="L984" s="14" t="s">
        <v>172</v>
      </c>
      <c r="M984" s="14" t="s">
        <v>173</v>
      </c>
      <c r="N984" s="14" t="s">
        <v>2890</v>
      </c>
      <c r="O984" s="14" t="s">
        <v>166</v>
      </c>
      <c r="P984" s="14" t="s">
        <v>18648</v>
      </c>
      <c r="Q984" s="14" t="s">
        <v>166</v>
      </c>
      <c r="R984" s="14" t="s">
        <v>177</v>
      </c>
      <c r="S984" s="14" t="s">
        <v>178</v>
      </c>
      <c r="T984" s="14" t="s">
        <v>179</v>
      </c>
      <c r="U984" s="14" t="s">
        <v>18649</v>
      </c>
      <c r="V984" s="14" t="s">
        <v>18650</v>
      </c>
      <c r="W984" s="21" t="s">
        <v>166</v>
      </c>
      <c r="X984" s="14" t="s">
        <v>166</v>
      </c>
      <c r="Y984" s="14" t="s">
        <v>18651</v>
      </c>
      <c r="Z984" s="14" t="s">
        <v>166</v>
      </c>
      <c r="AA984" s="14" t="s">
        <v>242</v>
      </c>
      <c r="AB984" s="14" t="s">
        <v>243</v>
      </c>
      <c r="AC984" s="14" t="s">
        <v>244</v>
      </c>
      <c r="AD984" s="14" t="s">
        <v>243</v>
      </c>
      <c r="AE984" s="14" t="s">
        <v>243</v>
      </c>
      <c r="AF984" s="14" t="s">
        <v>166</v>
      </c>
      <c r="AG984" s="14" t="s">
        <v>246</v>
      </c>
      <c r="AH984" s="21">
        <v>1</v>
      </c>
      <c r="AI984" s="3">
        <f>HYPERLINK("https://my.pitchbook.com/?d=216293-14T","216293-14T")</f>
      </c>
      <c r="AJ984" s="19" t="s">
        <v>166</v>
      </c>
      <c r="AK984" s="19">
        <v>44986</v>
      </c>
      <c r="AL984" s="18">
        <v>5.7</v>
      </c>
      <c r="AM984" s="14" t="s">
        <v>185</v>
      </c>
      <c r="AN984" s="18">
        <v>29.3</v>
      </c>
      <c r="AO984" s="18">
        <v>35</v>
      </c>
      <c r="AP984" s="14" t="s">
        <v>185</v>
      </c>
      <c r="AQ984" s="21" t="s">
        <v>166</v>
      </c>
      <c r="AR984" s="21" t="s">
        <v>166</v>
      </c>
      <c r="AS984" s="17">
        <v>16.29</v>
      </c>
      <c r="AT984" s="18">
        <v>5.7</v>
      </c>
      <c r="AU984" s="21" t="s">
        <v>186</v>
      </c>
      <c r="AV984" s="21" t="s">
        <v>166</v>
      </c>
      <c r="AW984" s="18">
        <v>2.83</v>
      </c>
      <c r="AX984" s="21" t="s">
        <v>166</v>
      </c>
      <c r="AY984" s="14" t="s">
        <v>217</v>
      </c>
      <c r="AZ984" s="14" t="s">
        <v>217</v>
      </c>
      <c r="BA984" s="14" t="s">
        <v>166</v>
      </c>
      <c r="BB984" s="21" t="s">
        <v>166</v>
      </c>
      <c r="BC984" s="14" t="s">
        <v>179</v>
      </c>
      <c r="BD984" s="14" t="s">
        <v>18647</v>
      </c>
      <c r="BE984" s="14" t="s">
        <v>189</v>
      </c>
      <c r="BF984" s="18">
        <v>5.7</v>
      </c>
      <c r="BG984" s="14" t="s">
        <v>190</v>
      </c>
      <c r="BH984" s="14" t="s">
        <v>166</v>
      </c>
      <c r="BI984" s="14" t="s">
        <v>166</v>
      </c>
      <c r="BJ984" s="18" t="s">
        <v>166</v>
      </c>
      <c r="BK984" s="18" t="s">
        <v>166</v>
      </c>
      <c r="BL984" s="14" t="s">
        <v>191</v>
      </c>
      <c r="BM984" s="14" t="s">
        <v>178</v>
      </c>
      <c r="BN984" s="14" t="s">
        <v>177</v>
      </c>
      <c r="BO984" s="22" t="s">
        <v>166</v>
      </c>
      <c r="BP984" s="14" t="s">
        <v>18652</v>
      </c>
      <c r="BQ984" s="21">
        <v>4</v>
      </c>
      <c r="BR984" s="14" t="s">
        <v>166</v>
      </c>
      <c r="BS984" s="21" t="s">
        <v>166</v>
      </c>
      <c r="BT984" s="14" t="s">
        <v>10449</v>
      </c>
      <c r="BU984" s="14" t="s">
        <v>166</v>
      </c>
      <c r="BV984" s="14" t="s">
        <v>166</v>
      </c>
      <c r="BW984" s="14" t="s">
        <v>166</v>
      </c>
      <c r="BX984" s="14" t="s">
        <v>166</v>
      </c>
      <c r="BY984" s="14" t="s">
        <v>166</v>
      </c>
      <c r="BZ984" s="14" t="s">
        <v>166</v>
      </c>
      <c r="CA984" s="14" t="s">
        <v>166</v>
      </c>
      <c r="CB984" s="14" t="s">
        <v>166</v>
      </c>
      <c r="CC984" s="14" t="s">
        <v>166</v>
      </c>
      <c r="CD984" s="14" t="s">
        <v>166</v>
      </c>
      <c r="CE984" s="18" t="s">
        <v>166</v>
      </c>
      <c r="CF984" s="16" t="s">
        <v>166</v>
      </c>
      <c r="CG984" s="17" t="s">
        <v>166</v>
      </c>
      <c r="CH984" s="16" t="s">
        <v>166</v>
      </c>
      <c r="CI984" s="16" t="s">
        <v>166</v>
      </c>
      <c r="CJ984" s="16" t="s">
        <v>166</v>
      </c>
      <c r="CK984" s="16" t="s">
        <v>166</v>
      </c>
      <c r="CL984" s="16" t="s">
        <v>166</v>
      </c>
      <c r="CM984" s="20" t="s">
        <v>166</v>
      </c>
      <c r="CN984" s="16" t="s">
        <v>166</v>
      </c>
      <c r="CO984" s="16" t="s">
        <v>166</v>
      </c>
      <c r="CP984" s="16" t="s">
        <v>166</v>
      </c>
      <c r="CQ984" s="16" t="s">
        <v>166</v>
      </c>
      <c r="CR984" s="16" t="s">
        <v>166</v>
      </c>
      <c r="CS984" s="16" t="s">
        <v>166</v>
      </c>
      <c r="CT984" s="16" t="s">
        <v>166</v>
      </c>
      <c r="CU984" s="16" t="s">
        <v>166</v>
      </c>
      <c r="CV984" s="16" t="s">
        <v>166</v>
      </c>
      <c r="CW984" s="16" t="s">
        <v>166</v>
      </c>
      <c r="CX984" s="16" t="s">
        <v>166</v>
      </c>
      <c r="CY984" s="16" t="s">
        <v>166</v>
      </c>
      <c r="CZ984" s="16" t="s">
        <v>166</v>
      </c>
      <c r="DA984" s="16" t="s">
        <v>166</v>
      </c>
      <c r="DB984" s="16" t="s">
        <v>166</v>
      </c>
      <c r="DC984" s="16" t="s">
        <v>166</v>
      </c>
      <c r="DD984" s="16" t="s">
        <v>166</v>
      </c>
      <c r="DE984" s="17" t="s">
        <v>166</v>
      </c>
      <c r="DF984" s="22">
        <v>4</v>
      </c>
      <c r="DG984" s="14" t="s">
        <v>673</v>
      </c>
      <c r="DH984" s="14" t="s">
        <v>193</v>
      </c>
      <c r="DI984" s="14" t="s">
        <v>194</v>
      </c>
      <c r="DJ984" s="14" t="s">
        <v>674</v>
      </c>
      <c r="DK984" s="14" t="s">
        <v>257</v>
      </c>
      <c r="DL984" s="21" t="s">
        <v>1491</v>
      </c>
      <c r="DM984" s="14" t="s">
        <v>198</v>
      </c>
      <c r="DN984" s="13" t="s">
        <v>18653</v>
      </c>
      <c r="DO984" s="20">
        <v>2021</v>
      </c>
      <c r="DP984" s="14" t="s">
        <v>166</v>
      </c>
      <c r="DQ984" s="14" t="s">
        <v>166</v>
      </c>
      <c r="DR984" s="18" t="s">
        <v>166</v>
      </c>
      <c r="DS984" s="16" t="s">
        <v>166</v>
      </c>
      <c r="DT984" s="19" t="s">
        <v>166</v>
      </c>
      <c r="DU984" s="14" t="s">
        <v>166</v>
      </c>
      <c r="DV984" s="18" t="s">
        <v>166</v>
      </c>
      <c r="DW984" s="18" t="s">
        <v>166</v>
      </c>
      <c r="DX984" s="16" t="s">
        <v>166</v>
      </c>
      <c r="DY984" s="16" t="s">
        <v>166</v>
      </c>
      <c r="DZ984" s="17" t="s">
        <v>166</v>
      </c>
      <c r="EA984" s="16" t="s">
        <v>166</v>
      </c>
      <c r="EB984" s="16" t="s">
        <v>166</v>
      </c>
      <c r="EC984" s="16" t="s">
        <v>166</v>
      </c>
      <c r="ED984" s="17" t="s">
        <v>166</v>
      </c>
      <c r="EE984" s="17" t="s">
        <v>166</v>
      </c>
      <c r="EF984" s="17" t="s">
        <v>166</v>
      </c>
      <c r="EG984" s="17" t="s">
        <v>166</v>
      </c>
      <c r="EH984" s="16" t="s">
        <v>166</v>
      </c>
      <c r="EI984" s="16" t="s">
        <v>166</v>
      </c>
      <c r="EJ984" s="16" t="s">
        <v>166</v>
      </c>
      <c r="EK984" s="16" t="s">
        <v>166</v>
      </c>
      <c r="EL984" s="16" t="s">
        <v>166</v>
      </c>
      <c r="EM984" s="16" t="s">
        <v>166</v>
      </c>
      <c r="EN984" s="16" t="s">
        <v>166</v>
      </c>
      <c r="EO984" s="16" t="s">
        <v>166</v>
      </c>
      <c r="EP984" s="16" t="s">
        <v>166</v>
      </c>
      <c r="EQ984" s="16" t="s">
        <v>166</v>
      </c>
      <c r="ER984" s="16" t="s">
        <v>166</v>
      </c>
      <c r="ES984" s="16" t="s">
        <v>166</v>
      </c>
      <c r="ET984" s="14" t="s">
        <v>166</v>
      </c>
      <c r="EU984" s="16" t="s">
        <v>166</v>
      </c>
      <c r="EV984" s="16" t="s">
        <v>166</v>
      </c>
      <c r="EW984" s="16" t="s">
        <v>166</v>
      </c>
      <c r="EX984" s="14" t="s">
        <v>190</v>
      </c>
      <c r="EY984" s="14" t="s">
        <v>166</v>
      </c>
      <c r="EZ984" s="16" t="s">
        <v>166</v>
      </c>
      <c r="FA984" s="15" t="s">
        <v>166</v>
      </c>
      <c r="FB984" s="15" t="s">
        <v>166</v>
      </c>
      <c r="FC984" s="15" t="s">
        <v>166</v>
      </c>
      <c r="FD984" s="15" t="s">
        <v>166</v>
      </c>
      <c r="FE984" s="15" t="s">
        <v>166</v>
      </c>
      <c r="FF984" s="15" t="s">
        <v>166</v>
      </c>
      <c r="FG984" s="14" t="s">
        <v>166</v>
      </c>
      <c r="FH984" s="3">
        <f>HYPERLINK("https://my.pitchbook.com?c=216293-14T","View Company Online")</f>
      </c>
    </row>
    <row r="985">
      <c r="A985" s="25" t="s">
        <v>18654</v>
      </c>
      <c r="B985" s="25" t="s">
        <v>18655</v>
      </c>
      <c r="C985" s="25" t="s">
        <v>18656</v>
      </c>
      <c r="D985" s="25" t="s">
        <v>166</v>
      </c>
      <c r="E985" s="34" t="s">
        <v>18657</v>
      </c>
      <c r="F985" s="32">
        <v>1</v>
      </c>
      <c r="G985" s="25" t="s">
        <v>18658</v>
      </c>
      <c r="H985" s="25" t="s">
        <v>166</v>
      </c>
      <c r="I985" s="25" t="s">
        <v>18659</v>
      </c>
      <c r="J985" s="25" t="s">
        <v>18660</v>
      </c>
      <c r="K985" s="25" t="s">
        <v>207</v>
      </c>
      <c r="L985" s="25" t="s">
        <v>208</v>
      </c>
      <c r="M985" s="25" t="s">
        <v>18661</v>
      </c>
      <c r="N985" s="25" t="s">
        <v>18662</v>
      </c>
      <c r="O985" s="25" t="s">
        <v>397</v>
      </c>
      <c r="P985" s="25" t="s">
        <v>18663</v>
      </c>
      <c r="Q985" s="25" t="s">
        <v>166</v>
      </c>
      <c r="R985" s="25" t="s">
        <v>177</v>
      </c>
      <c r="S985" s="25" t="s">
        <v>178</v>
      </c>
      <c r="T985" s="25" t="s">
        <v>179</v>
      </c>
      <c r="U985" s="25" t="s">
        <v>18664</v>
      </c>
      <c r="V985" s="25" t="s">
        <v>18665</v>
      </c>
      <c r="W985" s="32" t="s">
        <v>18666</v>
      </c>
      <c r="X985" s="25" t="s">
        <v>18667</v>
      </c>
      <c r="Y985" s="25" t="s">
        <v>18668</v>
      </c>
      <c r="Z985" s="25" t="s">
        <v>18669</v>
      </c>
      <c r="AA985" s="25" t="s">
        <v>242</v>
      </c>
      <c r="AB985" s="25" t="s">
        <v>243</v>
      </c>
      <c r="AC985" s="25" t="s">
        <v>244</v>
      </c>
      <c r="AD985" s="25" t="s">
        <v>243</v>
      </c>
      <c r="AE985" s="25" t="s">
        <v>243</v>
      </c>
      <c r="AF985" s="25" t="s">
        <v>166</v>
      </c>
      <c r="AG985" s="25" t="s">
        <v>246</v>
      </c>
      <c r="AH985" s="32">
        <v>1</v>
      </c>
      <c r="AI985" s="4">
        <f>HYPERLINK("https://my.pitchbook.com/?d=170359-03T","170359-03T")</f>
      </c>
      <c r="AJ985" s="30">
        <v>44299</v>
      </c>
      <c r="AK985" s="30">
        <v>44543</v>
      </c>
      <c r="AL985" s="29">
        <v>4.47</v>
      </c>
      <c r="AM985" s="25" t="s">
        <v>185</v>
      </c>
      <c r="AN985" s="29">
        <v>35</v>
      </c>
      <c r="AO985" s="29">
        <v>39.47</v>
      </c>
      <c r="AP985" s="25" t="s">
        <v>185</v>
      </c>
      <c r="AQ985" s="32" t="s">
        <v>166</v>
      </c>
      <c r="AR985" s="32" t="s">
        <v>166</v>
      </c>
      <c r="AS985" s="28">
        <v>15.42</v>
      </c>
      <c r="AT985" s="29">
        <v>4.47</v>
      </c>
      <c r="AU985" s="32" t="s">
        <v>186</v>
      </c>
      <c r="AV985" s="32" t="s">
        <v>166</v>
      </c>
      <c r="AW985" s="29">
        <v>0.37</v>
      </c>
      <c r="AX985" s="32" t="s">
        <v>166</v>
      </c>
      <c r="AY985" s="25" t="s">
        <v>217</v>
      </c>
      <c r="AZ985" s="25" t="s">
        <v>217</v>
      </c>
      <c r="BA985" s="25" t="s">
        <v>166</v>
      </c>
      <c r="BB985" s="32" t="s">
        <v>166</v>
      </c>
      <c r="BC985" s="25" t="s">
        <v>179</v>
      </c>
      <c r="BD985" s="25" t="s">
        <v>18670</v>
      </c>
      <c r="BE985" s="25" t="s">
        <v>189</v>
      </c>
      <c r="BF985" s="29">
        <v>4.47</v>
      </c>
      <c r="BG985" s="25" t="s">
        <v>190</v>
      </c>
      <c r="BH985" s="25" t="s">
        <v>166</v>
      </c>
      <c r="BI985" s="25" t="s">
        <v>166</v>
      </c>
      <c r="BJ985" s="29" t="s">
        <v>166</v>
      </c>
      <c r="BK985" s="29" t="s">
        <v>166</v>
      </c>
      <c r="BL985" s="25" t="s">
        <v>191</v>
      </c>
      <c r="BM985" s="25" t="s">
        <v>178</v>
      </c>
      <c r="BN985" s="25" t="s">
        <v>177</v>
      </c>
      <c r="BO985" s="33" t="s">
        <v>166</v>
      </c>
      <c r="BP985" s="25" t="s">
        <v>18657</v>
      </c>
      <c r="BQ985" s="32">
        <v>1</v>
      </c>
      <c r="BR985" s="25" t="s">
        <v>166</v>
      </c>
      <c r="BS985" s="32" t="s">
        <v>166</v>
      </c>
      <c r="BT985" s="25" t="s">
        <v>166</v>
      </c>
      <c r="BU985" s="25" t="s">
        <v>166</v>
      </c>
      <c r="BV985" s="25" t="s">
        <v>166</v>
      </c>
      <c r="BW985" s="25" t="s">
        <v>166</v>
      </c>
      <c r="BX985" s="25" t="s">
        <v>166</v>
      </c>
      <c r="BY985" s="25" t="s">
        <v>166</v>
      </c>
      <c r="BZ985" s="25" t="s">
        <v>166</v>
      </c>
      <c r="CA985" s="25" t="s">
        <v>166</v>
      </c>
      <c r="CB985" s="25" t="s">
        <v>166</v>
      </c>
      <c r="CC985" s="25" t="s">
        <v>166</v>
      </c>
      <c r="CD985" s="25" t="s">
        <v>166</v>
      </c>
      <c r="CE985" s="29" t="s">
        <v>166</v>
      </c>
      <c r="CF985" s="27">
        <v>10</v>
      </c>
      <c r="CG985" s="28" t="s">
        <v>166</v>
      </c>
      <c r="CH985" s="27" t="s">
        <v>166</v>
      </c>
      <c r="CI985" s="27" t="s">
        <v>166</v>
      </c>
      <c r="CJ985" s="27" t="s">
        <v>166</v>
      </c>
      <c r="CK985" s="27" t="s">
        <v>166</v>
      </c>
      <c r="CL985" s="27" t="s">
        <v>166</v>
      </c>
      <c r="CM985" s="31">
        <v>2021</v>
      </c>
      <c r="CN985" s="27" t="s">
        <v>166</v>
      </c>
      <c r="CO985" s="27" t="s">
        <v>166</v>
      </c>
      <c r="CP985" s="27" t="s">
        <v>166</v>
      </c>
      <c r="CQ985" s="27">
        <v>3.95</v>
      </c>
      <c r="CR985" s="27" t="s">
        <v>166</v>
      </c>
      <c r="CS985" s="27" t="s">
        <v>166</v>
      </c>
      <c r="CT985" s="27" t="s">
        <v>166</v>
      </c>
      <c r="CU985" s="27" t="s">
        <v>166</v>
      </c>
      <c r="CV985" s="27">
        <v>0.45</v>
      </c>
      <c r="CW985" s="27" t="s">
        <v>166</v>
      </c>
      <c r="CX985" s="27" t="s">
        <v>166</v>
      </c>
      <c r="CY985" s="27" t="s">
        <v>166</v>
      </c>
      <c r="CZ985" s="27" t="s">
        <v>166</v>
      </c>
      <c r="DA985" s="27" t="s">
        <v>166</v>
      </c>
      <c r="DB985" s="27" t="s">
        <v>166</v>
      </c>
      <c r="DC985" s="27" t="s">
        <v>166</v>
      </c>
      <c r="DD985" s="27" t="s">
        <v>166</v>
      </c>
      <c r="DE985" s="28" t="s">
        <v>166</v>
      </c>
      <c r="DF985" s="33">
        <v>89</v>
      </c>
      <c r="DG985" s="25" t="s">
        <v>5506</v>
      </c>
      <c r="DH985" s="25" t="s">
        <v>193</v>
      </c>
      <c r="DI985" s="25" t="s">
        <v>194</v>
      </c>
      <c r="DJ985" s="25" t="s">
        <v>5507</v>
      </c>
      <c r="DK985" s="25" t="s">
        <v>5508</v>
      </c>
      <c r="DL985" s="32" t="s">
        <v>5509</v>
      </c>
      <c r="DM985" s="25" t="s">
        <v>198</v>
      </c>
      <c r="DN985" s="24" t="s">
        <v>18671</v>
      </c>
      <c r="DO985" s="31">
        <v>2019</v>
      </c>
      <c r="DP985" s="25" t="s">
        <v>166</v>
      </c>
      <c r="DQ985" s="25" t="s">
        <v>166</v>
      </c>
      <c r="DR985" s="29" t="s">
        <v>166</v>
      </c>
      <c r="DS985" s="27" t="s">
        <v>166</v>
      </c>
      <c r="DT985" s="30" t="s">
        <v>166</v>
      </c>
      <c r="DU985" s="25" t="s">
        <v>166</v>
      </c>
      <c r="DV985" s="29" t="s">
        <v>166</v>
      </c>
      <c r="DW985" s="29" t="s">
        <v>166</v>
      </c>
      <c r="DX985" s="27" t="s">
        <v>166</v>
      </c>
      <c r="DY985" s="27" t="s">
        <v>166</v>
      </c>
      <c r="DZ985" s="28" t="s">
        <v>166</v>
      </c>
      <c r="EA985" s="27" t="s">
        <v>166</v>
      </c>
      <c r="EB985" s="27" t="s">
        <v>166</v>
      </c>
      <c r="EC985" s="27" t="s">
        <v>166</v>
      </c>
      <c r="ED985" s="28" t="s">
        <v>166</v>
      </c>
      <c r="EE985" s="28" t="s">
        <v>166</v>
      </c>
      <c r="EF985" s="28" t="s">
        <v>166</v>
      </c>
      <c r="EG985" s="28" t="s">
        <v>166</v>
      </c>
      <c r="EH985" s="27" t="s">
        <v>166</v>
      </c>
      <c r="EI985" s="27" t="s">
        <v>166</v>
      </c>
      <c r="EJ985" s="27" t="s">
        <v>166</v>
      </c>
      <c r="EK985" s="27" t="s">
        <v>166</v>
      </c>
      <c r="EL985" s="27" t="s">
        <v>166</v>
      </c>
      <c r="EM985" s="27" t="s">
        <v>166</v>
      </c>
      <c r="EN985" s="27" t="s">
        <v>166</v>
      </c>
      <c r="EO985" s="27" t="s">
        <v>166</v>
      </c>
      <c r="EP985" s="27" t="s">
        <v>166</v>
      </c>
      <c r="EQ985" s="27" t="s">
        <v>166</v>
      </c>
      <c r="ER985" s="27" t="s">
        <v>166</v>
      </c>
      <c r="ES985" s="27" t="s">
        <v>166</v>
      </c>
      <c r="ET985" s="25" t="s">
        <v>166</v>
      </c>
      <c r="EU985" s="27" t="s">
        <v>166</v>
      </c>
      <c r="EV985" s="27" t="s">
        <v>166</v>
      </c>
      <c r="EW985" s="27" t="s">
        <v>166</v>
      </c>
      <c r="EX985" s="25" t="s">
        <v>190</v>
      </c>
      <c r="EY985" s="25" t="s">
        <v>166</v>
      </c>
      <c r="EZ985" s="27" t="s">
        <v>166</v>
      </c>
      <c r="FA985" s="26" t="s">
        <v>166</v>
      </c>
      <c r="FB985" s="26" t="s">
        <v>166</v>
      </c>
      <c r="FC985" s="26" t="s">
        <v>166</v>
      </c>
      <c r="FD985" s="26" t="s">
        <v>166</v>
      </c>
      <c r="FE985" s="26" t="s">
        <v>166</v>
      </c>
      <c r="FF985" s="26" t="s">
        <v>166</v>
      </c>
      <c r="FG985" s="25" t="s">
        <v>166</v>
      </c>
      <c r="FH985" s="4">
        <f>HYPERLINK("https://my.pitchbook.com?c=170359-03T","View Company Online")</f>
      </c>
    </row>
    <row r="986">
      <c r="A986" s="14" t="s">
        <v>18672</v>
      </c>
      <c r="B986" s="14" t="s">
        <v>18673</v>
      </c>
      <c r="C986" s="14" t="s">
        <v>18674</v>
      </c>
      <c r="D986" s="14" t="s">
        <v>166</v>
      </c>
      <c r="E986" s="23" t="s">
        <v>18675</v>
      </c>
      <c r="F986" s="21">
        <v>20</v>
      </c>
      <c r="G986" s="14" t="s">
        <v>18676</v>
      </c>
      <c r="H986" s="14" t="s">
        <v>166</v>
      </c>
      <c r="I986" s="14" t="s">
        <v>18677</v>
      </c>
      <c r="J986" s="14" t="s">
        <v>18678</v>
      </c>
      <c r="K986" s="14" t="s">
        <v>207</v>
      </c>
      <c r="L986" s="14" t="s">
        <v>208</v>
      </c>
      <c r="M986" s="14" t="s">
        <v>209</v>
      </c>
      <c r="N986" s="14" t="s">
        <v>6334</v>
      </c>
      <c r="O986" s="14" t="s">
        <v>18679</v>
      </c>
      <c r="P986" s="14" t="s">
        <v>18680</v>
      </c>
      <c r="Q986" s="14" t="s">
        <v>166</v>
      </c>
      <c r="R986" s="14" t="s">
        <v>177</v>
      </c>
      <c r="S986" s="14" t="s">
        <v>178</v>
      </c>
      <c r="T986" s="14" t="s">
        <v>179</v>
      </c>
      <c r="U986" s="14" t="s">
        <v>18681</v>
      </c>
      <c r="V986" s="14" t="s">
        <v>18682</v>
      </c>
      <c r="W986" s="21" t="s">
        <v>18683</v>
      </c>
      <c r="X986" s="14" t="s">
        <v>18684</v>
      </c>
      <c r="Y986" s="14" t="s">
        <v>18685</v>
      </c>
      <c r="Z986" s="14" t="s">
        <v>166</v>
      </c>
      <c r="AA986" s="14" t="s">
        <v>242</v>
      </c>
      <c r="AB986" s="14" t="s">
        <v>243</v>
      </c>
      <c r="AC986" s="14" t="s">
        <v>244</v>
      </c>
      <c r="AD986" s="14" t="s">
        <v>243</v>
      </c>
      <c r="AE986" s="14" t="s">
        <v>243</v>
      </c>
      <c r="AF986" s="14" t="s">
        <v>245</v>
      </c>
      <c r="AG986" s="14" t="s">
        <v>246</v>
      </c>
      <c r="AH986" s="21">
        <v>2</v>
      </c>
      <c r="AI986" s="3">
        <f>HYPERLINK("https://my.pitchbook.com/?d=179096-95T","179096-95T")</f>
      </c>
      <c r="AJ986" s="19">
        <v>44378</v>
      </c>
      <c r="AK986" s="19">
        <v>44435</v>
      </c>
      <c r="AL986" s="18">
        <v>13</v>
      </c>
      <c r="AM986" s="14" t="s">
        <v>185</v>
      </c>
      <c r="AN986" s="18">
        <v>45</v>
      </c>
      <c r="AO986" s="18">
        <v>58</v>
      </c>
      <c r="AP986" s="14" t="s">
        <v>185</v>
      </c>
      <c r="AQ986" s="21" t="s">
        <v>166</v>
      </c>
      <c r="AR986" s="21" t="s">
        <v>166</v>
      </c>
      <c r="AS986" s="17">
        <v>38.94</v>
      </c>
      <c r="AT986" s="18">
        <v>13.15</v>
      </c>
      <c r="AU986" s="21" t="s">
        <v>186</v>
      </c>
      <c r="AV986" s="21" t="s">
        <v>166</v>
      </c>
      <c r="AW986" s="18">
        <v>3.53</v>
      </c>
      <c r="AX986" s="21" t="s">
        <v>248</v>
      </c>
      <c r="AY986" s="14" t="s">
        <v>187</v>
      </c>
      <c r="AZ986" s="14" t="s">
        <v>248</v>
      </c>
      <c r="BA986" s="14" t="s">
        <v>166</v>
      </c>
      <c r="BB986" s="21" t="s">
        <v>166</v>
      </c>
      <c r="BC986" s="14" t="s">
        <v>179</v>
      </c>
      <c r="BD986" s="14" t="s">
        <v>18686</v>
      </c>
      <c r="BE986" s="14" t="s">
        <v>189</v>
      </c>
      <c r="BF986" s="18">
        <v>13</v>
      </c>
      <c r="BG986" s="14" t="s">
        <v>190</v>
      </c>
      <c r="BH986" s="14" t="s">
        <v>166</v>
      </c>
      <c r="BI986" s="14" t="s">
        <v>166</v>
      </c>
      <c r="BJ986" s="18" t="s">
        <v>166</v>
      </c>
      <c r="BK986" s="18" t="s">
        <v>166</v>
      </c>
      <c r="BL986" s="14" t="s">
        <v>191</v>
      </c>
      <c r="BM986" s="14" t="s">
        <v>178</v>
      </c>
      <c r="BN986" s="14" t="s">
        <v>177</v>
      </c>
      <c r="BO986" s="22" t="s">
        <v>166</v>
      </c>
      <c r="BP986" s="14" t="s">
        <v>18687</v>
      </c>
      <c r="BQ986" s="21">
        <v>20</v>
      </c>
      <c r="BR986" s="14" t="s">
        <v>166</v>
      </c>
      <c r="BS986" s="21" t="s">
        <v>166</v>
      </c>
      <c r="BT986" s="14" t="s">
        <v>18688</v>
      </c>
      <c r="BU986" s="14" t="s">
        <v>166</v>
      </c>
      <c r="BV986" s="14" t="s">
        <v>18689</v>
      </c>
      <c r="BW986" s="14" t="s">
        <v>166</v>
      </c>
      <c r="BX986" s="14" t="s">
        <v>166</v>
      </c>
      <c r="BY986" s="14" t="s">
        <v>166</v>
      </c>
      <c r="BZ986" s="14" t="s">
        <v>18690</v>
      </c>
      <c r="CA986" s="14" t="s">
        <v>872</v>
      </c>
      <c r="CB986" s="14" t="s">
        <v>166</v>
      </c>
      <c r="CC986" s="14" t="s">
        <v>18691</v>
      </c>
      <c r="CD986" s="14" t="s">
        <v>166</v>
      </c>
      <c r="CE986" s="18" t="s">
        <v>166</v>
      </c>
      <c r="CF986" s="16" t="s">
        <v>166</v>
      </c>
      <c r="CG986" s="17" t="s">
        <v>166</v>
      </c>
      <c r="CH986" s="16" t="s">
        <v>166</v>
      </c>
      <c r="CI986" s="16" t="s">
        <v>166</v>
      </c>
      <c r="CJ986" s="16" t="s">
        <v>166</v>
      </c>
      <c r="CK986" s="16" t="s">
        <v>166</v>
      </c>
      <c r="CL986" s="16" t="s">
        <v>166</v>
      </c>
      <c r="CM986" s="20" t="s">
        <v>166</v>
      </c>
      <c r="CN986" s="16" t="s">
        <v>166</v>
      </c>
      <c r="CO986" s="16" t="s">
        <v>166</v>
      </c>
      <c r="CP986" s="16" t="s">
        <v>166</v>
      </c>
      <c r="CQ986" s="16" t="s">
        <v>166</v>
      </c>
      <c r="CR986" s="16" t="s">
        <v>166</v>
      </c>
      <c r="CS986" s="16" t="s">
        <v>166</v>
      </c>
      <c r="CT986" s="16" t="s">
        <v>166</v>
      </c>
      <c r="CU986" s="16" t="s">
        <v>166</v>
      </c>
      <c r="CV986" s="16" t="s">
        <v>166</v>
      </c>
      <c r="CW986" s="16" t="s">
        <v>166</v>
      </c>
      <c r="CX986" s="16" t="s">
        <v>166</v>
      </c>
      <c r="CY986" s="16" t="s">
        <v>166</v>
      </c>
      <c r="CZ986" s="16" t="s">
        <v>166</v>
      </c>
      <c r="DA986" s="16" t="s">
        <v>166</v>
      </c>
      <c r="DB986" s="16" t="s">
        <v>166</v>
      </c>
      <c r="DC986" s="16" t="s">
        <v>166</v>
      </c>
      <c r="DD986" s="16" t="s">
        <v>166</v>
      </c>
      <c r="DE986" s="17" t="s">
        <v>166</v>
      </c>
      <c r="DF986" s="22">
        <v>43</v>
      </c>
      <c r="DG986" s="14" t="s">
        <v>673</v>
      </c>
      <c r="DH986" s="14" t="s">
        <v>193</v>
      </c>
      <c r="DI986" s="14" t="s">
        <v>194</v>
      </c>
      <c r="DJ986" s="14" t="s">
        <v>674</v>
      </c>
      <c r="DK986" s="14" t="s">
        <v>257</v>
      </c>
      <c r="DL986" s="21" t="s">
        <v>851</v>
      </c>
      <c r="DM986" s="14" t="s">
        <v>198</v>
      </c>
      <c r="DN986" s="13" t="s">
        <v>18692</v>
      </c>
      <c r="DO986" s="20">
        <v>2019</v>
      </c>
      <c r="DP986" s="14" t="s">
        <v>166</v>
      </c>
      <c r="DQ986" s="14" t="s">
        <v>166</v>
      </c>
      <c r="DR986" s="18" t="s">
        <v>166</v>
      </c>
      <c r="DS986" s="16" t="s">
        <v>166</v>
      </c>
      <c r="DT986" s="19" t="s">
        <v>166</v>
      </c>
      <c r="DU986" s="14" t="s">
        <v>166</v>
      </c>
      <c r="DV986" s="18" t="s">
        <v>166</v>
      </c>
      <c r="DW986" s="18" t="s">
        <v>166</v>
      </c>
      <c r="DX986" s="16" t="s">
        <v>166</v>
      </c>
      <c r="DY986" s="16" t="s">
        <v>166</v>
      </c>
      <c r="DZ986" s="17" t="s">
        <v>166</v>
      </c>
      <c r="EA986" s="16" t="s">
        <v>166</v>
      </c>
      <c r="EB986" s="16" t="s">
        <v>166</v>
      </c>
      <c r="EC986" s="16" t="s">
        <v>166</v>
      </c>
      <c r="ED986" s="17" t="s">
        <v>166</v>
      </c>
      <c r="EE986" s="17" t="s">
        <v>166</v>
      </c>
      <c r="EF986" s="17" t="s">
        <v>166</v>
      </c>
      <c r="EG986" s="17" t="s">
        <v>166</v>
      </c>
      <c r="EH986" s="16" t="s">
        <v>166</v>
      </c>
      <c r="EI986" s="16" t="s">
        <v>166</v>
      </c>
      <c r="EJ986" s="16" t="s">
        <v>166</v>
      </c>
      <c r="EK986" s="16" t="s">
        <v>166</v>
      </c>
      <c r="EL986" s="16" t="s">
        <v>166</v>
      </c>
      <c r="EM986" s="16" t="s">
        <v>166</v>
      </c>
      <c r="EN986" s="16" t="s">
        <v>166</v>
      </c>
      <c r="EO986" s="16" t="s">
        <v>166</v>
      </c>
      <c r="EP986" s="16" t="s">
        <v>166</v>
      </c>
      <c r="EQ986" s="16" t="s">
        <v>166</v>
      </c>
      <c r="ER986" s="16" t="s">
        <v>166</v>
      </c>
      <c r="ES986" s="16" t="s">
        <v>166</v>
      </c>
      <c r="ET986" s="14" t="s">
        <v>166</v>
      </c>
      <c r="EU986" s="16" t="s">
        <v>166</v>
      </c>
      <c r="EV986" s="16" t="s">
        <v>166</v>
      </c>
      <c r="EW986" s="16" t="s">
        <v>166</v>
      </c>
      <c r="EX986" s="14" t="s">
        <v>190</v>
      </c>
      <c r="EY986" s="14" t="s">
        <v>166</v>
      </c>
      <c r="EZ986" s="16" t="s">
        <v>166</v>
      </c>
      <c r="FA986" s="15" t="s">
        <v>166</v>
      </c>
      <c r="FB986" s="15" t="s">
        <v>166</v>
      </c>
      <c r="FC986" s="15" t="s">
        <v>166</v>
      </c>
      <c r="FD986" s="15" t="s">
        <v>166</v>
      </c>
      <c r="FE986" s="15" t="s">
        <v>166</v>
      </c>
      <c r="FF986" s="15" t="s">
        <v>166</v>
      </c>
      <c r="FG986" s="14" t="s">
        <v>166</v>
      </c>
      <c r="FH986" s="3">
        <f>HYPERLINK("https://my.pitchbook.com?c=179096-95T","View Company Online")</f>
      </c>
    </row>
    <row r="987">
      <c r="A987" s="25" t="s">
        <v>18693</v>
      </c>
      <c r="B987" s="25" t="s">
        <v>18694</v>
      </c>
      <c r="C987" s="25" t="s">
        <v>18695</v>
      </c>
      <c r="D987" s="25" t="s">
        <v>166</v>
      </c>
      <c r="E987" s="34" t="s">
        <v>18696</v>
      </c>
      <c r="F987" s="32">
        <v>11</v>
      </c>
      <c r="G987" s="25" t="s">
        <v>18697</v>
      </c>
      <c r="H987" s="25" t="s">
        <v>166</v>
      </c>
      <c r="I987" s="25" t="s">
        <v>18698</v>
      </c>
      <c r="J987" s="25" t="s">
        <v>18699</v>
      </c>
      <c r="K987" s="25" t="s">
        <v>1500</v>
      </c>
      <c r="L987" s="25" t="s">
        <v>2334</v>
      </c>
      <c r="M987" s="25" t="s">
        <v>2335</v>
      </c>
      <c r="N987" s="25" t="s">
        <v>18700</v>
      </c>
      <c r="O987" s="25" t="s">
        <v>18701</v>
      </c>
      <c r="P987" s="25" t="s">
        <v>18702</v>
      </c>
      <c r="Q987" s="25" t="s">
        <v>166</v>
      </c>
      <c r="R987" s="25" t="s">
        <v>177</v>
      </c>
      <c r="S987" s="25" t="s">
        <v>178</v>
      </c>
      <c r="T987" s="25" t="s">
        <v>179</v>
      </c>
      <c r="U987" s="25" t="s">
        <v>18703</v>
      </c>
      <c r="V987" s="25" t="s">
        <v>18704</v>
      </c>
      <c r="W987" s="32" t="s">
        <v>18705</v>
      </c>
      <c r="X987" s="25" t="s">
        <v>18706</v>
      </c>
      <c r="Y987" s="25" t="s">
        <v>18707</v>
      </c>
      <c r="Z987" s="25" t="s">
        <v>18708</v>
      </c>
      <c r="AA987" s="25" t="s">
        <v>242</v>
      </c>
      <c r="AB987" s="25" t="s">
        <v>243</v>
      </c>
      <c r="AC987" s="25" t="s">
        <v>244</v>
      </c>
      <c r="AD987" s="25" t="s">
        <v>243</v>
      </c>
      <c r="AE987" s="25" t="s">
        <v>243</v>
      </c>
      <c r="AF987" s="25" t="s">
        <v>245</v>
      </c>
      <c r="AG987" s="25" t="s">
        <v>246</v>
      </c>
      <c r="AH987" s="32">
        <v>1</v>
      </c>
      <c r="AI987" s="4">
        <f>HYPERLINK("https://my.pitchbook.com/?d=127717-57T","127717-57T")</f>
      </c>
      <c r="AJ987" s="30">
        <v>43709</v>
      </c>
      <c r="AK987" s="30">
        <v>43993</v>
      </c>
      <c r="AL987" s="29">
        <v>6</v>
      </c>
      <c r="AM987" s="25" t="s">
        <v>185</v>
      </c>
      <c r="AN987" s="29">
        <v>9</v>
      </c>
      <c r="AO987" s="29">
        <v>15</v>
      </c>
      <c r="AP987" s="25" t="s">
        <v>185</v>
      </c>
      <c r="AQ987" s="32" t="s">
        <v>166</v>
      </c>
      <c r="AR987" s="32" t="s">
        <v>166</v>
      </c>
      <c r="AS987" s="28">
        <v>48.1</v>
      </c>
      <c r="AT987" s="29">
        <v>6</v>
      </c>
      <c r="AU987" s="32" t="s">
        <v>186</v>
      </c>
      <c r="AV987" s="32" t="s">
        <v>166</v>
      </c>
      <c r="AW987" s="29">
        <v>0.59</v>
      </c>
      <c r="AX987" s="32" t="s">
        <v>166</v>
      </c>
      <c r="AY987" s="25" t="s">
        <v>217</v>
      </c>
      <c r="AZ987" s="25" t="s">
        <v>217</v>
      </c>
      <c r="BA987" s="25" t="s">
        <v>166</v>
      </c>
      <c r="BB987" s="32" t="s">
        <v>166</v>
      </c>
      <c r="BC987" s="25" t="s">
        <v>179</v>
      </c>
      <c r="BD987" s="25" t="s">
        <v>18709</v>
      </c>
      <c r="BE987" s="25" t="s">
        <v>189</v>
      </c>
      <c r="BF987" s="29">
        <v>6</v>
      </c>
      <c r="BG987" s="25" t="s">
        <v>190</v>
      </c>
      <c r="BH987" s="25" t="s">
        <v>166</v>
      </c>
      <c r="BI987" s="25" t="s">
        <v>166</v>
      </c>
      <c r="BJ987" s="29" t="s">
        <v>166</v>
      </c>
      <c r="BK987" s="29" t="s">
        <v>166</v>
      </c>
      <c r="BL987" s="25" t="s">
        <v>191</v>
      </c>
      <c r="BM987" s="25" t="s">
        <v>178</v>
      </c>
      <c r="BN987" s="25" t="s">
        <v>177</v>
      </c>
      <c r="BO987" s="33" t="s">
        <v>166</v>
      </c>
      <c r="BP987" s="25" t="s">
        <v>18710</v>
      </c>
      <c r="BQ987" s="32">
        <v>11</v>
      </c>
      <c r="BR987" s="25" t="s">
        <v>166</v>
      </c>
      <c r="BS987" s="32" t="s">
        <v>166</v>
      </c>
      <c r="BT987" s="25" t="s">
        <v>166</v>
      </c>
      <c r="BU987" s="25" t="s">
        <v>166</v>
      </c>
      <c r="BV987" s="25" t="s">
        <v>18711</v>
      </c>
      <c r="BW987" s="25" t="s">
        <v>166</v>
      </c>
      <c r="BX987" s="25" t="s">
        <v>166</v>
      </c>
      <c r="BY987" s="25" t="s">
        <v>166</v>
      </c>
      <c r="BZ987" s="25" t="s">
        <v>18712</v>
      </c>
      <c r="CA987" s="25" t="s">
        <v>770</v>
      </c>
      <c r="CB987" s="25" t="s">
        <v>166</v>
      </c>
      <c r="CC987" s="25" t="s">
        <v>18713</v>
      </c>
      <c r="CD987" s="25" t="s">
        <v>166</v>
      </c>
      <c r="CE987" s="29" t="s">
        <v>166</v>
      </c>
      <c r="CF987" s="27" t="s">
        <v>166</v>
      </c>
      <c r="CG987" s="28" t="s">
        <v>166</v>
      </c>
      <c r="CH987" s="27" t="s">
        <v>166</v>
      </c>
      <c r="CI987" s="27" t="s">
        <v>166</v>
      </c>
      <c r="CJ987" s="27" t="s">
        <v>166</v>
      </c>
      <c r="CK987" s="27" t="s">
        <v>166</v>
      </c>
      <c r="CL987" s="27" t="s">
        <v>166</v>
      </c>
      <c r="CM987" s="31" t="s">
        <v>166</v>
      </c>
      <c r="CN987" s="27" t="s">
        <v>166</v>
      </c>
      <c r="CO987" s="27" t="s">
        <v>166</v>
      </c>
      <c r="CP987" s="27" t="s">
        <v>166</v>
      </c>
      <c r="CQ987" s="27" t="s">
        <v>166</v>
      </c>
      <c r="CR987" s="27" t="s">
        <v>166</v>
      </c>
      <c r="CS987" s="27" t="s">
        <v>166</v>
      </c>
      <c r="CT987" s="27" t="s">
        <v>166</v>
      </c>
      <c r="CU987" s="27" t="s">
        <v>166</v>
      </c>
      <c r="CV987" s="27" t="s">
        <v>166</v>
      </c>
      <c r="CW987" s="27" t="s">
        <v>166</v>
      </c>
      <c r="CX987" s="27" t="s">
        <v>166</v>
      </c>
      <c r="CY987" s="27" t="s">
        <v>166</v>
      </c>
      <c r="CZ987" s="27" t="s">
        <v>166</v>
      </c>
      <c r="DA987" s="27" t="s">
        <v>166</v>
      </c>
      <c r="DB987" s="27" t="s">
        <v>166</v>
      </c>
      <c r="DC987" s="27" t="s">
        <v>166</v>
      </c>
      <c r="DD987" s="27" t="s">
        <v>166</v>
      </c>
      <c r="DE987" s="28" t="s">
        <v>166</v>
      </c>
      <c r="DF987" s="33">
        <v>115</v>
      </c>
      <c r="DG987" s="25" t="s">
        <v>309</v>
      </c>
      <c r="DH987" s="25" t="s">
        <v>193</v>
      </c>
      <c r="DI987" s="25" t="s">
        <v>194</v>
      </c>
      <c r="DJ987" s="25" t="s">
        <v>310</v>
      </c>
      <c r="DK987" s="25" t="s">
        <v>310</v>
      </c>
      <c r="DL987" s="32" t="s">
        <v>3037</v>
      </c>
      <c r="DM987" s="25" t="s">
        <v>198</v>
      </c>
      <c r="DN987" s="24" t="s">
        <v>18714</v>
      </c>
      <c r="DO987" s="31">
        <v>2019</v>
      </c>
      <c r="DP987" s="25" t="s">
        <v>166</v>
      </c>
      <c r="DQ987" s="25" t="s">
        <v>166</v>
      </c>
      <c r="DR987" s="29" t="s">
        <v>166</v>
      </c>
      <c r="DS987" s="27" t="s">
        <v>166</v>
      </c>
      <c r="DT987" s="30" t="s">
        <v>166</v>
      </c>
      <c r="DU987" s="25" t="s">
        <v>166</v>
      </c>
      <c r="DV987" s="29" t="s">
        <v>166</v>
      </c>
      <c r="DW987" s="29" t="s">
        <v>166</v>
      </c>
      <c r="DX987" s="27" t="s">
        <v>166</v>
      </c>
      <c r="DY987" s="27" t="s">
        <v>166</v>
      </c>
      <c r="DZ987" s="28" t="s">
        <v>166</v>
      </c>
      <c r="EA987" s="27" t="s">
        <v>166</v>
      </c>
      <c r="EB987" s="27" t="s">
        <v>166</v>
      </c>
      <c r="EC987" s="27" t="s">
        <v>166</v>
      </c>
      <c r="ED987" s="28" t="s">
        <v>166</v>
      </c>
      <c r="EE987" s="28" t="s">
        <v>166</v>
      </c>
      <c r="EF987" s="28" t="s">
        <v>166</v>
      </c>
      <c r="EG987" s="28" t="s">
        <v>166</v>
      </c>
      <c r="EH987" s="27" t="s">
        <v>166</v>
      </c>
      <c r="EI987" s="27" t="s">
        <v>166</v>
      </c>
      <c r="EJ987" s="27" t="s">
        <v>166</v>
      </c>
      <c r="EK987" s="27" t="s">
        <v>166</v>
      </c>
      <c r="EL987" s="27" t="s">
        <v>166</v>
      </c>
      <c r="EM987" s="27" t="s">
        <v>166</v>
      </c>
      <c r="EN987" s="27" t="s">
        <v>166</v>
      </c>
      <c r="EO987" s="27" t="s">
        <v>166</v>
      </c>
      <c r="EP987" s="27" t="s">
        <v>166</v>
      </c>
      <c r="EQ987" s="27" t="s">
        <v>166</v>
      </c>
      <c r="ER987" s="27" t="s">
        <v>166</v>
      </c>
      <c r="ES987" s="27" t="s">
        <v>166</v>
      </c>
      <c r="ET987" s="25" t="s">
        <v>166</v>
      </c>
      <c r="EU987" s="27" t="s">
        <v>166</v>
      </c>
      <c r="EV987" s="27" t="s">
        <v>166</v>
      </c>
      <c r="EW987" s="27" t="s">
        <v>166</v>
      </c>
      <c r="EX987" s="25" t="s">
        <v>190</v>
      </c>
      <c r="EY987" s="25" t="s">
        <v>166</v>
      </c>
      <c r="EZ987" s="27" t="s">
        <v>166</v>
      </c>
      <c r="FA987" s="26" t="s">
        <v>166</v>
      </c>
      <c r="FB987" s="26" t="s">
        <v>166</v>
      </c>
      <c r="FC987" s="26" t="s">
        <v>166</v>
      </c>
      <c r="FD987" s="26" t="s">
        <v>166</v>
      </c>
      <c r="FE987" s="26" t="s">
        <v>166</v>
      </c>
      <c r="FF987" s="26" t="s">
        <v>166</v>
      </c>
      <c r="FG987" s="25" t="s">
        <v>166</v>
      </c>
      <c r="FH987" s="4">
        <f>HYPERLINK("https://my.pitchbook.com?c=127717-57T","View Company Online")</f>
      </c>
    </row>
    <row r="988">
      <c r="A988" s="14" t="s">
        <v>18715</v>
      </c>
      <c r="B988" s="14" t="s">
        <v>18716</v>
      </c>
      <c r="C988" s="14" t="s">
        <v>18717</v>
      </c>
      <c r="D988" s="14" t="s">
        <v>166</v>
      </c>
      <c r="E988" s="23" t="s">
        <v>18718</v>
      </c>
      <c r="F988" s="21">
        <v>2</v>
      </c>
      <c r="G988" s="14" t="s">
        <v>18719</v>
      </c>
      <c r="H988" s="14" t="s">
        <v>166</v>
      </c>
      <c r="I988" s="14" t="s">
        <v>18720</v>
      </c>
      <c r="J988" s="14" t="s">
        <v>18721</v>
      </c>
      <c r="K988" s="14" t="s">
        <v>207</v>
      </c>
      <c r="L988" s="14" t="s">
        <v>208</v>
      </c>
      <c r="M988" s="14" t="s">
        <v>209</v>
      </c>
      <c r="N988" s="14" t="s">
        <v>1966</v>
      </c>
      <c r="O988" s="14" t="s">
        <v>5133</v>
      </c>
      <c r="P988" s="14" t="s">
        <v>18722</v>
      </c>
      <c r="Q988" s="14" t="s">
        <v>166</v>
      </c>
      <c r="R988" s="14" t="s">
        <v>177</v>
      </c>
      <c r="S988" s="14" t="s">
        <v>178</v>
      </c>
      <c r="T988" s="14" t="s">
        <v>179</v>
      </c>
      <c r="U988" s="14" t="s">
        <v>18723</v>
      </c>
      <c r="V988" s="14" t="s">
        <v>18724</v>
      </c>
      <c r="W988" s="21" t="s">
        <v>166</v>
      </c>
      <c r="X988" s="14" t="s">
        <v>18725</v>
      </c>
      <c r="Y988" s="14" t="s">
        <v>18726</v>
      </c>
      <c r="Z988" s="14" t="s">
        <v>166</v>
      </c>
      <c r="AA988" s="14" t="s">
        <v>166</v>
      </c>
      <c r="AB988" s="14" t="s">
        <v>166</v>
      </c>
      <c r="AC988" s="14" t="s">
        <v>166</v>
      </c>
      <c r="AD988" s="14" t="s">
        <v>166</v>
      </c>
      <c r="AE988" s="14" t="s">
        <v>166</v>
      </c>
      <c r="AF988" s="14" t="s">
        <v>166</v>
      </c>
      <c r="AG988" s="14" t="s">
        <v>166</v>
      </c>
      <c r="AH988" s="21">
        <v>1</v>
      </c>
      <c r="AI988" s="3">
        <f>HYPERLINK("https://my.pitchbook.com/?d=244799-29T","244799-29T")</f>
      </c>
      <c r="AJ988" s="19" t="s">
        <v>166</v>
      </c>
      <c r="AK988" s="19">
        <v>45236</v>
      </c>
      <c r="AL988" s="18">
        <v>15</v>
      </c>
      <c r="AM988" s="14" t="s">
        <v>185</v>
      </c>
      <c r="AN988" s="18">
        <v>85</v>
      </c>
      <c r="AO988" s="18">
        <v>100</v>
      </c>
      <c r="AP988" s="14" t="s">
        <v>185</v>
      </c>
      <c r="AQ988" s="21" t="s">
        <v>166</v>
      </c>
      <c r="AR988" s="21" t="s">
        <v>166</v>
      </c>
      <c r="AS988" s="17">
        <v>15</v>
      </c>
      <c r="AT988" s="18">
        <v>15</v>
      </c>
      <c r="AU988" s="21" t="s">
        <v>186</v>
      </c>
      <c r="AV988" s="21" t="s">
        <v>166</v>
      </c>
      <c r="AW988" s="18" t="s">
        <v>166</v>
      </c>
      <c r="AX988" s="21" t="s">
        <v>248</v>
      </c>
      <c r="AY988" s="14" t="s">
        <v>187</v>
      </c>
      <c r="AZ988" s="14" t="s">
        <v>248</v>
      </c>
      <c r="BA988" s="14" t="s">
        <v>166</v>
      </c>
      <c r="BB988" s="21" t="s">
        <v>166</v>
      </c>
      <c r="BC988" s="14" t="s">
        <v>179</v>
      </c>
      <c r="BD988" s="14" t="s">
        <v>18721</v>
      </c>
      <c r="BE988" s="14" t="s">
        <v>189</v>
      </c>
      <c r="BF988" s="18">
        <v>15</v>
      </c>
      <c r="BG988" s="14" t="s">
        <v>190</v>
      </c>
      <c r="BH988" s="14" t="s">
        <v>166</v>
      </c>
      <c r="BI988" s="14" t="s">
        <v>166</v>
      </c>
      <c r="BJ988" s="18" t="s">
        <v>166</v>
      </c>
      <c r="BK988" s="18" t="s">
        <v>166</v>
      </c>
      <c r="BL988" s="14" t="s">
        <v>191</v>
      </c>
      <c r="BM988" s="14" t="s">
        <v>178</v>
      </c>
      <c r="BN988" s="14" t="s">
        <v>177</v>
      </c>
      <c r="BO988" s="22" t="s">
        <v>166</v>
      </c>
      <c r="BP988" s="14" t="s">
        <v>18727</v>
      </c>
      <c r="BQ988" s="21">
        <v>2</v>
      </c>
      <c r="BR988" s="14" t="s">
        <v>166</v>
      </c>
      <c r="BS988" s="21" t="s">
        <v>166</v>
      </c>
      <c r="BT988" s="14" t="s">
        <v>18728</v>
      </c>
      <c r="BU988" s="14" t="s">
        <v>166</v>
      </c>
      <c r="BV988" s="14" t="s">
        <v>166</v>
      </c>
      <c r="BW988" s="14" t="s">
        <v>166</v>
      </c>
      <c r="BX988" s="14" t="s">
        <v>166</v>
      </c>
      <c r="BY988" s="14" t="s">
        <v>166</v>
      </c>
      <c r="BZ988" s="14" t="s">
        <v>166</v>
      </c>
      <c r="CA988" s="14" t="s">
        <v>166</v>
      </c>
      <c r="CB988" s="14" t="s">
        <v>166</v>
      </c>
      <c r="CC988" s="14" t="s">
        <v>166</v>
      </c>
      <c r="CD988" s="14" t="s">
        <v>166</v>
      </c>
      <c r="CE988" s="18" t="s">
        <v>166</v>
      </c>
      <c r="CF988" s="16" t="s">
        <v>166</v>
      </c>
      <c r="CG988" s="17" t="s">
        <v>166</v>
      </c>
      <c r="CH988" s="16" t="s">
        <v>166</v>
      </c>
      <c r="CI988" s="16" t="s">
        <v>166</v>
      </c>
      <c r="CJ988" s="16" t="s">
        <v>166</v>
      </c>
      <c r="CK988" s="16" t="s">
        <v>166</v>
      </c>
      <c r="CL988" s="16" t="s">
        <v>166</v>
      </c>
      <c r="CM988" s="20" t="s">
        <v>166</v>
      </c>
      <c r="CN988" s="16" t="s">
        <v>166</v>
      </c>
      <c r="CO988" s="16" t="s">
        <v>166</v>
      </c>
      <c r="CP988" s="16" t="s">
        <v>166</v>
      </c>
      <c r="CQ988" s="16" t="s">
        <v>166</v>
      </c>
      <c r="CR988" s="16" t="s">
        <v>166</v>
      </c>
      <c r="CS988" s="16" t="s">
        <v>166</v>
      </c>
      <c r="CT988" s="16" t="s">
        <v>166</v>
      </c>
      <c r="CU988" s="16" t="s">
        <v>166</v>
      </c>
      <c r="CV988" s="16" t="s">
        <v>166</v>
      </c>
      <c r="CW988" s="16" t="s">
        <v>166</v>
      </c>
      <c r="CX988" s="16" t="s">
        <v>166</v>
      </c>
      <c r="CY988" s="16" t="s">
        <v>166</v>
      </c>
      <c r="CZ988" s="16" t="s">
        <v>166</v>
      </c>
      <c r="DA988" s="16" t="s">
        <v>166</v>
      </c>
      <c r="DB988" s="16" t="s">
        <v>166</v>
      </c>
      <c r="DC988" s="16" t="s">
        <v>166</v>
      </c>
      <c r="DD988" s="16" t="s">
        <v>166</v>
      </c>
      <c r="DE988" s="17" t="s">
        <v>166</v>
      </c>
      <c r="DF988" s="22">
        <v>28</v>
      </c>
      <c r="DG988" s="14" t="s">
        <v>1540</v>
      </c>
      <c r="DH988" s="14" t="s">
        <v>193</v>
      </c>
      <c r="DI988" s="14" t="s">
        <v>194</v>
      </c>
      <c r="DJ988" s="14" t="s">
        <v>1541</v>
      </c>
      <c r="DK988" s="14" t="s">
        <v>257</v>
      </c>
      <c r="DL988" s="21" t="s">
        <v>4730</v>
      </c>
      <c r="DM988" s="14" t="s">
        <v>198</v>
      </c>
      <c r="DN988" s="13" t="s">
        <v>18729</v>
      </c>
      <c r="DO988" s="20">
        <v>2021</v>
      </c>
      <c r="DP988" s="14" t="s">
        <v>166</v>
      </c>
      <c r="DQ988" s="14" t="s">
        <v>166</v>
      </c>
      <c r="DR988" s="18" t="s">
        <v>166</v>
      </c>
      <c r="DS988" s="16" t="s">
        <v>166</v>
      </c>
      <c r="DT988" s="19" t="s">
        <v>166</v>
      </c>
      <c r="DU988" s="14" t="s">
        <v>166</v>
      </c>
      <c r="DV988" s="18" t="s">
        <v>166</v>
      </c>
      <c r="DW988" s="18" t="s">
        <v>166</v>
      </c>
      <c r="DX988" s="16" t="s">
        <v>166</v>
      </c>
      <c r="DY988" s="16" t="s">
        <v>166</v>
      </c>
      <c r="DZ988" s="17" t="s">
        <v>166</v>
      </c>
      <c r="EA988" s="16" t="s">
        <v>166</v>
      </c>
      <c r="EB988" s="16" t="s">
        <v>166</v>
      </c>
      <c r="EC988" s="16" t="s">
        <v>166</v>
      </c>
      <c r="ED988" s="17" t="s">
        <v>166</v>
      </c>
      <c r="EE988" s="17" t="s">
        <v>166</v>
      </c>
      <c r="EF988" s="17" t="s">
        <v>166</v>
      </c>
      <c r="EG988" s="17" t="s">
        <v>166</v>
      </c>
      <c r="EH988" s="16" t="s">
        <v>166</v>
      </c>
      <c r="EI988" s="16" t="s">
        <v>166</v>
      </c>
      <c r="EJ988" s="16" t="s">
        <v>166</v>
      </c>
      <c r="EK988" s="16" t="s">
        <v>166</v>
      </c>
      <c r="EL988" s="16" t="s">
        <v>166</v>
      </c>
      <c r="EM988" s="16" t="s">
        <v>166</v>
      </c>
      <c r="EN988" s="16" t="s">
        <v>166</v>
      </c>
      <c r="EO988" s="16" t="s">
        <v>166</v>
      </c>
      <c r="EP988" s="16" t="s">
        <v>166</v>
      </c>
      <c r="EQ988" s="16" t="s">
        <v>166</v>
      </c>
      <c r="ER988" s="16" t="s">
        <v>166</v>
      </c>
      <c r="ES988" s="16" t="s">
        <v>166</v>
      </c>
      <c r="ET988" s="14" t="s">
        <v>166</v>
      </c>
      <c r="EU988" s="16" t="s">
        <v>166</v>
      </c>
      <c r="EV988" s="16" t="s">
        <v>166</v>
      </c>
      <c r="EW988" s="16" t="s">
        <v>166</v>
      </c>
      <c r="EX988" s="14" t="s">
        <v>190</v>
      </c>
      <c r="EY988" s="14" t="s">
        <v>166</v>
      </c>
      <c r="EZ988" s="16" t="s">
        <v>166</v>
      </c>
      <c r="FA988" s="15">
        <v>4</v>
      </c>
      <c r="FB988" s="15">
        <v>2</v>
      </c>
      <c r="FC988" s="15">
        <v>2</v>
      </c>
      <c r="FD988" s="15">
        <v>2</v>
      </c>
      <c r="FE988" s="15" t="s">
        <v>166</v>
      </c>
      <c r="FF988" s="15" t="s">
        <v>166</v>
      </c>
      <c r="FG988" s="14" t="s">
        <v>10867</v>
      </c>
      <c r="FH988" s="3">
        <f>HYPERLINK("https://my.pitchbook.com?c=244799-29T","View Company Online")</f>
      </c>
    </row>
    <row r="989">
      <c r="A989" s="25" t="s">
        <v>18730</v>
      </c>
      <c r="B989" s="25" t="s">
        <v>18731</v>
      </c>
      <c r="C989" s="25" t="s">
        <v>18732</v>
      </c>
      <c r="D989" s="25" t="s">
        <v>166</v>
      </c>
      <c r="E989" s="34" t="s">
        <v>18733</v>
      </c>
      <c r="F989" s="32">
        <v>2</v>
      </c>
      <c r="G989" s="25" t="s">
        <v>18734</v>
      </c>
      <c r="H989" s="25" t="s">
        <v>166</v>
      </c>
      <c r="I989" s="25" t="s">
        <v>18735</v>
      </c>
      <c r="J989" s="25" t="s">
        <v>18736</v>
      </c>
      <c r="K989" s="25" t="s">
        <v>207</v>
      </c>
      <c r="L989" s="25" t="s">
        <v>208</v>
      </c>
      <c r="M989" s="25" t="s">
        <v>296</v>
      </c>
      <c r="N989" s="25" t="s">
        <v>18737</v>
      </c>
      <c r="O989" s="25" t="s">
        <v>18738</v>
      </c>
      <c r="P989" s="25" t="s">
        <v>18739</v>
      </c>
      <c r="Q989" s="25" t="s">
        <v>166</v>
      </c>
      <c r="R989" s="25" t="s">
        <v>177</v>
      </c>
      <c r="S989" s="25" t="s">
        <v>178</v>
      </c>
      <c r="T989" s="25" t="s">
        <v>179</v>
      </c>
      <c r="U989" s="25" t="s">
        <v>18740</v>
      </c>
      <c r="V989" s="25" t="s">
        <v>18741</v>
      </c>
      <c r="W989" s="32" t="s">
        <v>166</v>
      </c>
      <c r="X989" s="25" t="s">
        <v>166</v>
      </c>
      <c r="Y989" s="25" t="s">
        <v>18742</v>
      </c>
      <c r="Z989" s="25" t="s">
        <v>166</v>
      </c>
      <c r="AA989" s="25" t="s">
        <v>242</v>
      </c>
      <c r="AB989" s="25" t="s">
        <v>243</v>
      </c>
      <c r="AC989" s="25" t="s">
        <v>244</v>
      </c>
      <c r="AD989" s="25" t="s">
        <v>243</v>
      </c>
      <c r="AE989" s="25" t="s">
        <v>243</v>
      </c>
      <c r="AF989" s="25" t="s">
        <v>306</v>
      </c>
      <c r="AG989" s="25" t="s">
        <v>807</v>
      </c>
      <c r="AH989" s="32">
        <v>7</v>
      </c>
      <c r="AI989" s="4">
        <f>HYPERLINK("https://my.pitchbook.com/?d=136048-15T","136048-15T")</f>
      </c>
      <c r="AJ989" s="30">
        <v>43950</v>
      </c>
      <c r="AK989" s="30">
        <v>43955</v>
      </c>
      <c r="AL989" s="29">
        <v>0.78</v>
      </c>
      <c r="AM989" s="25" t="s">
        <v>185</v>
      </c>
      <c r="AN989" s="29">
        <v>3</v>
      </c>
      <c r="AO989" s="29">
        <v>3.78</v>
      </c>
      <c r="AP989" s="25" t="s">
        <v>185</v>
      </c>
      <c r="AQ989" s="32" t="s">
        <v>166</v>
      </c>
      <c r="AR989" s="32" t="s">
        <v>166</v>
      </c>
      <c r="AS989" s="28">
        <v>20.7</v>
      </c>
      <c r="AT989" s="29">
        <v>0.9</v>
      </c>
      <c r="AU989" s="32" t="s">
        <v>186</v>
      </c>
      <c r="AV989" s="32" t="s">
        <v>166</v>
      </c>
      <c r="AW989" s="29">
        <v>0.4</v>
      </c>
      <c r="AX989" s="32" t="s">
        <v>166</v>
      </c>
      <c r="AY989" s="25" t="s">
        <v>217</v>
      </c>
      <c r="AZ989" s="25" t="s">
        <v>217</v>
      </c>
      <c r="BA989" s="25" t="s">
        <v>166</v>
      </c>
      <c r="BB989" s="32" t="s">
        <v>166</v>
      </c>
      <c r="BC989" s="25" t="s">
        <v>179</v>
      </c>
      <c r="BD989" s="25" t="s">
        <v>18743</v>
      </c>
      <c r="BE989" s="25" t="s">
        <v>189</v>
      </c>
      <c r="BF989" s="29">
        <v>0.78</v>
      </c>
      <c r="BG989" s="25" t="s">
        <v>190</v>
      </c>
      <c r="BH989" s="25" t="s">
        <v>166</v>
      </c>
      <c r="BI989" s="25" t="s">
        <v>166</v>
      </c>
      <c r="BJ989" s="29" t="s">
        <v>166</v>
      </c>
      <c r="BK989" s="29" t="s">
        <v>166</v>
      </c>
      <c r="BL989" s="25" t="s">
        <v>191</v>
      </c>
      <c r="BM989" s="25" t="s">
        <v>178</v>
      </c>
      <c r="BN989" s="25" t="s">
        <v>177</v>
      </c>
      <c r="BO989" s="33" t="s">
        <v>166</v>
      </c>
      <c r="BP989" s="25" t="s">
        <v>18733</v>
      </c>
      <c r="BQ989" s="32">
        <v>2</v>
      </c>
      <c r="BR989" s="25" t="s">
        <v>166</v>
      </c>
      <c r="BS989" s="32" t="s">
        <v>166</v>
      </c>
      <c r="BT989" s="25" t="s">
        <v>166</v>
      </c>
      <c r="BU989" s="25" t="s">
        <v>166</v>
      </c>
      <c r="BV989" s="25" t="s">
        <v>18744</v>
      </c>
      <c r="BW989" s="25" t="s">
        <v>166</v>
      </c>
      <c r="BX989" s="25" t="s">
        <v>166</v>
      </c>
      <c r="BY989" s="25" t="s">
        <v>166</v>
      </c>
      <c r="BZ989" s="25" t="s">
        <v>166</v>
      </c>
      <c r="CA989" s="25" t="s">
        <v>166</v>
      </c>
      <c r="CB989" s="25" t="s">
        <v>166</v>
      </c>
      <c r="CC989" s="25" t="s">
        <v>166</v>
      </c>
      <c r="CD989" s="25" t="s">
        <v>166</v>
      </c>
      <c r="CE989" s="29" t="s">
        <v>166</v>
      </c>
      <c r="CF989" s="27" t="s">
        <v>166</v>
      </c>
      <c r="CG989" s="28" t="s">
        <v>166</v>
      </c>
      <c r="CH989" s="27" t="s">
        <v>166</v>
      </c>
      <c r="CI989" s="27" t="s">
        <v>166</v>
      </c>
      <c r="CJ989" s="27" t="s">
        <v>166</v>
      </c>
      <c r="CK989" s="27" t="s">
        <v>166</v>
      </c>
      <c r="CL989" s="27" t="s">
        <v>166</v>
      </c>
      <c r="CM989" s="31" t="s">
        <v>166</v>
      </c>
      <c r="CN989" s="27" t="s">
        <v>166</v>
      </c>
      <c r="CO989" s="27" t="s">
        <v>166</v>
      </c>
      <c r="CP989" s="27" t="s">
        <v>166</v>
      </c>
      <c r="CQ989" s="27" t="s">
        <v>166</v>
      </c>
      <c r="CR989" s="27" t="s">
        <v>166</v>
      </c>
      <c r="CS989" s="27" t="s">
        <v>166</v>
      </c>
      <c r="CT989" s="27" t="s">
        <v>166</v>
      </c>
      <c r="CU989" s="27" t="s">
        <v>166</v>
      </c>
      <c r="CV989" s="27" t="s">
        <v>166</v>
      </c>
      <c r="CW989" s="27" t="s">
        <v>166</v>
      </c>
      <c r="CX989" s="27" t="s">
        <v>166</v>
      </c>
      <c r="CY989" s="27" t="s">
        <v>166</v>
      </c>
      <c r="CZ989" s="27" t="s">
        <v>166</v>
      </c>
      <c r="DA989" s="27" t="s">
        <v>166</v>
      </c>
      <c r="DB989" s="27" t="s">
        <v>166</v>
      </c>
      <c r="DC989" s="27" t="s">
        <v>166</v>
      </c>
      <c r="DD989" s="27" t="s">
        <v>166</v>
      </c>
      <c r="DE989" s="28" t="s">
        <v>166</v>
      </c>
      <c r="DF989" s="33">
        <v>8</v>
      </c>
      <c r="DG989" s="25" t="s">
        <v>673</v>
      </c>
      <c r="DH989" s="25" t="s">
        <v>193</v>
      </c>
      <c r="DI989" s="25" t="s">
        <v>194</v>
      </c>
      <c r="DJ989" s="25" t="s">
        <v>674</v>
      </c>
      <c r="DK989" s="25" t="s">
        <v>257</v>
      </c>
      <c r="DL989" s="32" t="s">
        <v>675</v>
      </c>
      <c r="DM989" s="25" t="s">
        <v>198</v>
      </c>
      <c r="DN989" s="24" t="s">
        <v>18745</v>
      </c>
      <c r="DO989" s="31">
        <v>2017</v>
      </c>
      <c r="DP989" s="25" t="s">
        <v>166</v>
      </c>
      <c r="DQ989" s="25" t="s">
        <v>166</v>
      </c>
      <c r="DR989" s="29" t="s">
        <v>166</v>
      </c>
      <c r="DS989" s="27" t="s">
        <v>166</v>
      </c>
      <c r="DT989" s="30" t="s">
        <v>166</v>
      </c>
      <c r="DU989" s="25" t="s">
        <v>166</v>
      </c>
      <c r="DV989" s="29" t="s">
        <v>166</v>
      </c>
      <c r="DW989" s="29" t="s">
        <v>166</v>
      </c>
      <c r="DX989" s="27" t="s">
        <v>166</v>
      </c>
      <c r="DY989" s="27" t="s">
        <v>166</v>
      </c>
      <c r="DZ989" s="28" t="s">
        <v>166</v>
      </c>
      <c r="EA989" s="27" t="s">
        <v>166</v>
      </c>
      <c r="EB989" s="27" t="s">
        <v>166</v>
      </c>
      <c r="EC989" s="27" t="s">
        <v>166</v>
      </c>
      <c r="ED989" s="28" t="s">
        <v>166</v>
      </c>
      <c r="EE989" s="28" t="s">
        <v>166</v>
      </c>
      <c r="EF989" s="28" t="s">
        <v>166</v>
      </c>
      <c r="EG989" s="28" t="s">
        <v>166</v>
      </c>
      <c r="EH989" s="27" t="s">
        <v>166</v>
      </c>
      <c r="EI989" s="27" t="s">
        <v>166</v>
      </c>
      <c r="EJ989" s="27" t="s">
        <v>166</v>
      </c>
      <c r="EK989" s="27" t="s">
        <v>166</v>
      </c>
      <c r="EL989" s="27" t="s">
        <v>166</v>
      </c>
      <c r="EM989" s="27" t="s">
        <v>166</v>
      </c>
      <c r="EN989" s="27" t="s">
        <v>166</v>
      </c>
      <c r="EO989" s="27" t="s">
        <v>166</v>
      </c>
      <c r="EP989" s="27" t="s">
        <v>166</v>
      </c>
      <c r="EQ989" s="27" t="s">
        <v>166</v>
      </c>
      <c r="ER989" s="27" t="s">
        <v>166</v>
      </c>
      <c r="ES989" s="27" t="s">
        <v>166</v>
      </c>
      <c r="ET989" s="25" t="s">
        <v>166</v>
      </c>
      <c r="EU989" s="27" t="s">
        <v>166</v>
      </c>
      <c r="EV989" s="27" t="s">
        <v>166</v>
      </c>
      <c r="EW989" s="27" t="s">
        <v>166</v>
      </c>
      <c r="EX989" s="25" t="s">
        <v>190</v>
      </c>
      <c r="EY989" s="25" t="s">
        <v>166</v>
      </c>
      <c r="EZ989" s="27" t="s">
        <v>166</v>
      </c>
      <c r="FA989" s="26" t="s">
        <v>166</v>
      </c>
      <c r="FB989" s="26" t="s">
        <v>166</v>
      </c>
      <c r="FC989" s="26" t="s">
        <v>166</v>
      </c>
      <c r="FD989" s="26" t="s">
        <v>166</v>
      </c>
      <c r="FE989" s="26" t="s">
        <v>166</v>
      </c>
      <c r="FF989" s="26" t="s">
        <v>166</v>
      </c>
      <c r="FG989" s="25" t="s">
        <v>166</v>
      </c>
      <c r="FH989" s="4">
        <f>HYPERLINK("https://my.pitchbook.com?c=136048-15T","View Company Online")</f>
      </c>
    </row>
    <row r="990">
      <c r="A990" s="14" t="s">
        <v>18746</v>
      </c>
      <c r="B990" s="14" t="s">
        <v>18747</v>
      </c>
      <c r="C990" s="14" t="s">
        <v>18748</v>
      </c>
      <c r="D990" s="14" t="s">
        <v>166</v>
      </c>
      <c r="E990" s="23" t="s">
        <v>18749</v>
      </c>
      <c r="F990" s="21">
        <v>3</v>
      </c>
      <c r="G990" s="14" t="s">
        <v>18750</v>
      </c>
      <c r="H990" s="14" t="s">
        <v>166</v>
      </c>
      <c r="I990" s="14" t="s">
        <v>18751</v>
      </c>
      <c r="J990" s="14" t="s">
        <v>18752</v>
      </c>
      <c r="K990" s="14" t="s">
        <v>207</v>
      </c>
      <c r="L990" s="14" t="s">
        <v>208</v>
      </c>
      <c r="M990" s="14" t="s">
        <v>209</v>
      </c>
      <c r="N990" s="14" t="s">
        <v>18753</v>
      </c>
      <c r="O990" s="14" t="s">
        <v>211</v>
      </c>
      <c r="P990" s="14" t="s">
        <v>18754</v>
      </c>
      <c r="Q990" s="14" t="s">
        <v>166</v>
      </c>
      <c r="R990" s="14" t="s">
        <v>177</v>
      </c>
      <c r="S990" s="14" t="s">
        <v>178</v>
      </c>
      <c r="T990" s="14" t="s">
        <v>1401</v>
      </c>
      <c r="U990" s="14" t="s">
        <v>18755</v>
      </c>
      <c r="V990" s="14" t="s">
        <v>18756</v>
      </c>
      <c r="W990" s="21" t="s">
        <v>18757</v>
      </c>
      <c r="X990" s="14" t="s">
        <v>166</v>
      </c>
      <c r="Y990" s="14" t="s">
        <v>18758</v>
      </c>
      <c r="Z990" s="14" t="s">
        <v>18759</v>
      </c>
      <c r="AA990" s="14" t="s">
        <v>242</v>
      </c>
      <c r="AB990" s="14" t="s">
        <v>243</v>
      </c>
      <c r="AC990" s="14" t="s">
        <v>244</v>
      </c>
      <c r="AD990" s="14" t="s">
        <v>243</v>
      </c>
      <c r="AE990" s="14" t="s">
        <v>243</v>
      </c>
      <c r="AF990" s="14" t="s">
        <v>166</v>
      </c>
      <c r="AG990" s="14" t="s">
        <v>807</v>
      </c>
      <c r="AH990" s="21">
        <v>1</v>
      </c>
      <c r="AI990" s="3">
        <f>HYPERLINK("https://my.pitchbook.com/?d=182030-77T","182030-77T")</f>
      </c>
      <c r="AJ990" s="19" t="s">
        <v>166</v>
      </c>
      <c r="AK990" s="19">
        <v>43831</v>
      </c>
      <c r="AL990" s="18">
        <v>5.5</v>
      </c>
      <c r="AM990" s="14" t="s">
        <v>185</v>
      </c>
      <c r="AN990" s="18">
        <v>15</v>
      </c>
      <c r="AO990" s="18">
        <v>20.5</v>
      </c>
      <c r="AP990" s="14" t="s">
        <v>185</v>
      </c>
      <c r="AQ990" s="21" t="s">
        <v>166</v>
      </c>
      <c r="AR990" s="21" t="s">
        <v>166</v>
      </c>
      <c r="AS990" s="17">
        <v>26.83</v>
      </c>
      <c r="AT990" s="18">
        <v>5.5</v>
      </c>
      <c r="AU990" s="21" t="s">
        <v>186</v>
      </c>
      <c r="AV990" s="21" t="s">
        <v>166</v>
      </c>
      <c r="AW990" s="18">
        <v>0.23</v>
      </c>
      <c r="AX990" s="21" t="s">
        <v>166</v>
      </c>
      <c r="AY990" s="14" t="s">
        <v>217</v>
      </c>
      <c r="AZ990" s="14" t="s">
        <v>217</v>
      </c>
      <c r="BA990" s="14" t="s">
        <v>166</v>
      </c>
      <c r="BB990" s="21" t="s">
        <v>166</v>
      </c>
      <c r="BC990" s="14" t="s">
        <v>179</v>
      </c>
      <c r="BD990" s="14" t="s">
        <v>18760</v>
      </c>
      <c r="BE990" s="14" t="s">
        <v>189</v>
      </c>
      <c r="BF990" s="18">
        <v>5.5</v>
      </c>
      <c r="BG990" s="14" t="s">
        <v>190</v>
      </c>
      <c r="BH990" s="14" t="s">
        <v>166</v>
      </c>
      <c r="BI990" s="14" t="s">
        <v>166</v>
      </c>
      <c r="BJ990" s="18" t="s">
        <v>166</v>
      </c>
      <c r="BK990" s="18" t="s">
        <v>166</v>
      </c>
      <c r="BL990" s="14" t="s">
        <v>191</v>
      </c>
      <c r="BM990" s="14" t="s">
        <v>178</v>
      </c>
      <c r="BN990" s="14" t="s">
        <v>177</v>
      </c>
      <c r="BO990" s="22" t="s">
        <v>166</v>
      </c>
      <c r="BP990" s="14" t="s">
        <v>18749</v>
      </c>
      <c r="BQ990" s="21">
        <v>3</v>
      </c>
      <c r="BR990" s="14" t="s">
        <v>166</v>
      </c>
      <c r="BS990" s="21" t="s">
        <v>166</v>
      </c>
      <c r="BT990" s="14" t="s">
        <v>18761</v>
      </c>
      <c r="BU990" s="14" t="s">
        <v>166</v>
      </c>
      <c r="BV990" s="14" t="s">
        <v>166</v>
      </c>
      <c r="BW990" s="14" t="s">
        <v>166</v>
      </c>
      <c r="BX990" s="14" t="s">
        <v>166</v>
      </c>
      <c r="BY990" s="14" t="s">
        <v>166</v>
      </c>
      <c r="BZ990" s="14" t="s">
        <v>166</v>
      </c>
      <c r="CA990" s="14" t="s">
        <v>166</v>
      </c>
      <c r="CB990" s="14" t="s">
        <v>166</v>
      </c>
      <c r="CC990" s="14" t="s">
        <v>166</v>
      </c>
      <c r="CD990" s="14" t="s">
        <v>166</v>
      </c>
      <c r="CE990" s="18" t="s">
        <v>166</v>
      </c>
      <c r="CF990" s="16" t="s">
        <v>166</v>
      </c>
      <c r="CG990" s="17" t="s">
        <v>166</v>
      </c>
      <c r="CH990" s="16" t="s">
        <v>166</v>
      </c>
      <c r="CI990" s="16" t="s">
        <v>166</v>
      </c>
      <c r="CJ990" s="16" t="s">
        <v>166</v>
      </c>
      <c r="CK990" s="16" t="s">
        <v>166</v>
      </c>
      <c r="CL990" s="16" t="s">
        <v>166</v>
      </c>
      <c r="CM990" s="20" t="s">
        <v>166</v>
      </c>
      <c r="CN990" s="16" t="s">
        <v>166</v>
      </c>
      <c r="CO990" s="16" t="s">
        <v>166</v>
      </c>
      <c r="CP990" s="16" t="s">
        <v>166</v>
      </c>
      <c r="CQ990" s="16" t="s">
        <v>166</v>
      </c>
      <c r="CR990" s="16" t="s">
        <v>166</v>
      </c>
      <c r="CS990" s="16" t="s">
        <v>166</v>
      </c>
      <c r="CT990" s="16" t="s">
        <v>166</v>
      </c>
      <c r="CU990" s="16" t="s">
        <v>166</v>
      </c>
      <c r="CV990" s="16" t="s">
        <v>166</v>
      </c>
      <c r="CW990" s="16" t="s">
        <v>166</v>
      </c>
      <c r="CX990" s="16" t="s">
        <v>166</v>
      </c>
      <c r="CY990" s="16" t="s">
        <v>166</v>
      </c>
      <c r="CZ990" s="16" t="s">
        <v>166</v>
      </c>
      <c r="DA990" s="16" t="s">
        <v>166</v>
      </c>
      <c r="DB990" s="16" t="s">
        <v>166</v>
      </c>
      <c r="DC990" s="16" t="s">
        <v>166</v>
      </c>
      <c r="DD990" s="16" t="s">
        <v>166</v>
      </c>
      <c r="DE990" s="17" t="s">
        <v>166</v>
      </c>
      <c r="DF990" s="22">
        <v>19</v>
      </c>
      <c r="DG990" s="14" t="s">
        <v>18762</v>
      </c>
      <c r="DH990" s="14" t="s">
        <v>193</v>
      </c>
      <c r="DI990" s="14" t="s">
        <v>194</v>
      </c>
      <c r="DJ990" s="14" t="s">
        <v>18763</v>
      </c>
      <c r="DK990" s="14" t="s">
        <v>1467</v>
      </c>
      <c r="DL990" s="21" t="s">
        <v>18764</v>
      </c>
      <c r="DM990" s="14" t="s">
        <v>198</v>
      </c>
      <c r="DN990" s="13" t="s">
        <v>18765</v>
      </c>
      <c r="DO990" s="20">
        <v>2020</v>
      </c>
      <c r="DP990" s="14" t="s">
        <v>166</v>
      </c>
      <c r="DQ990" s="14" t="s">
        <v>166</v>
      </c>
      <c r="DR990" s="18" t="s">
        <v>166</v>
      </c>
      <c r="DS990" s="16" t="s">
        <v>166</v>
      </c>
      <c r="DT990" s="19" t="s">
        <v>166</v>
      </c>
      <c r="DU990" s="14" t="s">
        <v>166</v>
      </c>
      <c r="DV990" s="18" t="s">
        <v>166</v>
      </c>
      <c r="DW990" s="18" t="s">
        <v>166</v>
      </c>
      <c r="DX990" s="16" t="s">
        <v>166</v>
      </c>
      <c r="DY990" s="16" t="s">
        <v>166</v>
      </c>
      <c r="DZ990" s="17" t="s">
        <v>166</v>
      </c>
      <c r="EA990" s="16" t="s">
        <v>166</v>
      </c>
      <c r="EB990" s="16" t="s">
        <v>166</v>
      </c>
      <c r="EC990" s="16" t="s">
        <v>166</v>
      </c>
      <c r="ED990" s="17" t="s">
        <v>166</v>
      </c>
      <c r="EE990" s="17" t="s">
        <v>166</v>
      </c>
      <c r="EF990" s="17" t="s">
        <v>166</v>
      </c>
      <c r="EG990" s="17" t="s">
        <v>166</v>
      </c>
      <c r="EH990" s="16" t="s">
        <v>166</v>
      </c>
      <c r="EI990" s="16" t="s">
        <v>166</v>
      </c>
      <c r="EJ990" s="16" t="s">
        <v>166</v>
      </c>
      <c r="EK990" s="16" t="s">
        <v>166</v>
      </c>
      <c r="EL990" s="16" t="s">
        <v>166</v>
      </c>
      <c r="EM990" s="16" t="s">
        <v>166</v>
      </c>
      <c r="EN990" s="16" t="s">
        <v>166</v>
      </c>
      <c r="EO990" s="16" t="s">
        <v>166</v>
      </c>
      <c r="EP990" s="16" t="s">
        <v>166</v>
      </c>
      <c r="EQ990" s="16" t="s">
        <v>166</v>
      </c>
      <c r="ER990" s="16" t="s">
        <v>166</v>
      </c>
      <c r="ES990" s="16" t="s">
        <v>166</v>
      </c>
      <c r="ET990" s="14" t="s">
        <v>166</v>
      </c>
      <c r="EU990" s="16" t="s">
        <v>166</v>
      </c>
      <c r="EV990" s="16" t="s">
        <v>166</v>
      </c>
      <c r="EW990" s="16" t="s">
        <v>166</v>
      </c>
      <c r="EX990" s="14" t="s">
        <v>190</v>
      </c>
      <c r="EY990" s="14" t="s">
        <v>166</v>
      </c>
      <c r="EZ990" s="16" t="s">
        <v>166</v>
      </c>
      <c r="FA990" s="15" t="s">
        <v>166</v>
      </c>
      <c r="FB990" s="15" t="s">
        <v>166</v>
      </c>
      <c r="FC990" s="15" t="s">
        <v>166</v>
      </c>
      <c r="FD990" s="15" t="s">
        <v>166</v>
      </c>
      <c r="FE990" s="15" t="s">
        <v>166</v>
      </c>
      <c r="FF990" s="15" t="s">
        <v>166</v>
      </c>
      <c r="FG990" s="14" t="s">
        <v>166</v>
      </c>
      <c r="FH990" s="3">
        <f>HYPERLINK("https://my.pitchbook.com?c=182030-77T","View Company Online")</f>
      </c>
    </row>
    <row r="991">
      <c r="A991" s="25" t="s">
        <v>18766</v>
      </c>
      <c r="B991" s="25" t="s">
        <v>18767</v>
      </c>
      <c r="C991" s="25" t="s">
        <v>18768</v>
      </c>
      <c r="D991" s="25" t="s">
        <v>166</v>
      </c>
      <c r="E991" s="34" t="s">
        <v>18769</v>
      </c>
      <c r="F991" s="32">
        <v>5</v>
      </c>
      <c r="G991" s="25" t="s">
        <v>18770</v>
      </c>
      <c r="H991" s="25" t="s">
        <v>166</v>
      </c>
      <c r="I991" s="25" t="s">
        <v>18771</v>
      </c>
      <c r="J991" s="25" t="s">
        <v>18772</v>
      </c>
      <c r="K991" s="25" t="s">
        <v>207</v>
      </c>
      <c r="L991" s="25" t="s">
        <v>208</v>
      </c>
      <c r="M991" s="25" t="s">
        <v>209</v>
      </c>
      <c r="N991" s="25" t="s">
        <v>3221</v>
      </c>
      <c r="O991" s="25" t="s">
        <v>18773</v>
      </c>
      <c r="P991" s="25" t="s">
        <v>18774</v>
      </c>
      <c r="Q991" s="25" t="s">
        <v>166</v>
      </c>
      <c r="R991" s="25" t="s">
        <v>177</v>
      </c>
      <c r="S991" s="25" t="s">
        <v>178</v>
      </c>
      <c r="T991" s="25" t="s">
        <v>179</v>
      </c>
      <c r="U991" s="25" t="s">
        <v>18775</v>
      </c>
      <c r="V991" s="25" t="s">
        <v>18776</v>
      </c>
      <c r="W991" s="32" t="s">
        <v>18777</v>
      </c>
      <c r="X991" s="25" t="s">
        <v>18778</v>
      </c>
      <c r="Y991" s="25" t="s">
        <v>18779</v>
      </c>
      <c r="Z991" s="25" t="s">
        <v>166</v>
      </c>
      <c r="AA991" s="25" t="s">
        <v>166</v>
      </c>
      <c r="AB991" s="25" t="s">
        <v>166</v>
      </c>
      <c r="AC991" s="25" t="s">
        <v>166</v>
      </c>
      <c r="AD991" s="25" t="s">
        <v>166</v>
      </c>
      <c r="AE991" s="25" t="s">
        <v>166</v>
      </c>
      <c r="AF991" s="25" t="s">
        <v>166</v>
      </c>
      <c r="AG991" s="25" t="s">
        <v>166</v>
      </c>
      <c r="AH991" s="32">
        <v>3</v>
      </c>
      <c r="AI991" s="4">
        <f>HYPERLINK("https://my.pitchbook.com/?d=189600-58T","189600-58T")</f>
      </c>
      <c r="AJ991" s="30">
        <v>44531</v>
      </c>
      <c r="AK991" s="30">
        <v>44623</v>
      </c>
      <c r="AL991" s="29">
        <v>0.8</v>
      </c>
      <c r="AM991" s="25" t="s">
        <v>185</v>
      </c>
      <c r="AN991" s="29" t="s">
        <v>166</v>
      </c>
      <c r="AO991" s="29" t="s">
        <v>166</v>
      </c>
      <c r="AP991" s="25" t="s">
        <v>166</v>
      </c>
      <c r="AQ991" s="32" t="s">
        <v>166</v>
      </c>
      <c r="AR991" s="32" t="s">
        <v>166</v>
      </c>
      <c r="AS991" s="28" t="s">
        <v>166</v>
      </c>
      <c r="AT991" s="29">
        <v>0.8</v>
      </c>
      <c r="AU991" s="32" t="s">
        <v>186</v>
      </c>
      <c r="AV991" s="32" t="s">
        <v>166</v>
      </c>
      <c r="AW991" s="29" t="s">
        <v>166</v>
      </c>
      <c r="AX991" s="32" t="s">
        <v>166</v>
      </c>
      <c r="AY991" s="25" t="s">
        <v>217</v>
      </c>
      <c r="AZ991" s="25" t="s">
        <v>217</v>
      </c>
      <c r="BA991" s="25" t="s">
        <v>166</v>
      </c>
      <c r="BB991" s="32" t="s">
        <v>166</v>
      </c>
      <c r="BC991" s="25" t="s">
        <v>179</v>
      </c>
      <c r="BD991" s="25" t="s">
        <v>18780</v>
      </c>
      <c r="BE991" s="25" t="s">
        <v>189</v>
      </c>
      <c r="BF991" s="29">
        <v>0.8</v>
      </c>
      <c r="BG991" s="25" t="s">
        <v>190</v>
      </c>
      <c r="BH991" s="25" t="s">
        <v>166</v>
      </c>
      <c r="BI991" s="25" t="s">
        <v>166</v>
      </c>
      <c r="BJ991" s="29" t="s">
        <v>166</v>
      </c>
      <c r="BK991" s="29" t="s">
        <v>166</v>
      </c>
      <c r="BL991" s="25" t="s">
        <v>191</v>
      </c>
      <c r="BM991" s="25" t="s">
        <v>178</v>
      </c>
      <c r="BN991" s="25" t="s">
        <v>177</v>
      </c>
      <c r="BO991" s="33" t="s">
        <v>166</v>
      </c>
      <c r="BP991" s="25" t="s">
        <v>18769</v>
      </c>
      <c r="BQ991" s="32">
        <v>5</v>
      </c>
      <c r="BR991" s="25" t="s">
        <v>166</v>
      </c>
      <c r="BS991" s="32" t="s">
        <v>166</v>
      </c>
      <c r="BT991" s="25" t="s">
        <v>18781</v>
      </c>
      <c r="BU991" s="25" t="s">
        <v>166</v>
      </c>
      <c r="BV991" s="25" t="s">
        <v>18782</v>
      </c>
      <c r="BW991" s="25" t="s">
        <v>166</v>
      </c>
      <c r="BX991" s="25" t="s">
        <v>166</v>
      </c>
      <c r="BY991" s="25" t="s">
        <v>166</v>
      </c>
      <c r="BZ991" s="25" t="s">
        <v>166</v>
      </c>
      <c r="CA991" s="25" t="s">
        <v>166</v>
      </c>
      <c r="CB991" s="25" t="s">
        <v>166</v>
      </c>
      <c r="CC991" s="25" t="s">
        <v>166</v>
      </c>
      <c r="CD991" s="25" t="s">
        <v>166</v>
      </c>
      <c r="CE991" s="29" t="s">
        <v>166</v>
      </c>
      <c r="CF991" s="27" t="s">
        <v>166</v>
      </c>
      <c r="CG991" s="28" t="s">
        <v>166</v>
      </c>
      <c r="CH991" s="27" t="s">
        <v>166</v>
      </c>
      <c r="CI991" s="27" t="s">
        <v>166</v>
      </c>
      <c r="CJ991" s="27" t="s">
        <v>166</v>
      </c>
      <c r="CK991" s="27" t="s">
        <v>166</v>
      </c>
      <c r="CL991" s="27" t="s">
        <v>166</v>
      </c>
      <c r="CM991" s="31" t="s">
        <v>166</v>
      </c>
      <c r="CN991" s="27" t="s">
        <v>166</v>
      </c>
      <c r="CO991" s="27" t="s">
        <v>166</v>
      </c>
      <c r="CP991" s="27" t="s">
        <v>166</v>
      </c>
      <c r="CQ991" s="27" t="s">
        <v>166</v>
      </c>
      <c r="CR991" s="27" t="s">
        <v>166</v>
      </c>
      <c r="CS991" s="27" t="s">
        <v>166</v>
      </c>
      <c r="CT991" s="27" t="s">
        <v>166</v>
      </c>
      <c r="CU991" s="27" t="s">
        <v>166</v>
      </c>
      <c r="CV991" s="27" t="s">
        <v>166</v>
      </c>
      <c r="CW991" s="27" t="s">
        <v>166</v>
      </c>
      <c r="CX991" s="27" t="s">
        <v>166</v>
      </c>
      <c r="CY991" s="27" t="s">
        <v>166</v>
      </c>
      <c r="CZ991" s="27" t="s">
        <v>166</v>
      </c>
      <c r="DA991" s="27" t="s">
        <v>166</v>
      </c>
      <c r="DB991" s="27" t="s">
        <v>166</v>
      </c>
      <c r="DC991" s="27" t="s">
        <v>166</v>
      </c>
      <c r="DD991" s="27" t="s">
        <v>166</v>
      </c>
      <c r="DE991" s="28" t="s">
        <v>166</v>
      </c>
      <c r="DF991" s="33">
        <v>15</v>
      </c>
      <c r="DG991" s="25" t="s">
        <v>4592</v>
      </c>
      <c r="DH991" s="25" t="s">
        <v>193</v>
      </c>
      <c r="DI991" s="25" t="s">
        <v>194</v>
      </c>
      <c r="DJ991" s="25" t="s">
        <v>4593</v>
      </c>
      <c r="DK991" s="25" t="s">
        <v>1023</v>
      </c>
      <c r="DL991" s="32" t="s">
        <v>18783</v>
      </c>
      <c r="DM991" s="25" t="s">
        <v>198</v>
      </c>
      <c r="DN991" s="24" t="s">
        <v>18784</v>
      </c>
      <c r="DO991" s="31">
        <v>2020</v>
      </c>
      <c r="DP991" s="25" t="s">
        <v>166</v>
      </c>
      <c r="DQ991" s="25" t="s">
        <v>166</v>
      </c>
      <c r="DR991" s="29" t="s">
        <v>166</v>
      </c>
      <c r="DS991" s="27" t="s">
        <v>166</v>
      </c>
      <c r="DT991" s="30" t="s">
        <v>166</v>
      </c>
      <c r="DU991" s="25" t="s">
        <v>166</v>
      </c>
      <c r="DV991" s="29" t="s">
        <v>166</v>
      </c>
      <c r="DW991" s="29" t="s">
        <v>166</v>
      </c>
      <c r="DX991" s="27" t="s">
        <v>166</v>
      </c>
      <c r="DY991" s="27" t="s">
        <v>166</v>
      </c>
      <c r="DZ991" s="28" t="s">
        <v>166</v>
      </c>
      <c r="EA991" s="27" t="s">
        <v>166</v>
      </c>
      <c r="EB991" s="27" t="s">
        <v>166</v>
      </c>
      <c r="EC991" s="27" t="s">
        <v>166</v>
      </c>
      <c r="ED991" s="28" t="s">
        <v>166</v>
      </c>
      <c r="EE991" s="28" t="s">
        <v>166</v>
      </c>
      <c r="EF991" s="28" t="s">
        <v>166</v>
      </c>
      <c r="EG991" s="28" t="s">
        <v>166</v>
      </c>
      <c r="EH991" s="27" t="s">
        <v>166</v>
      </c>
      <c r="EI991" s="27" t="s">
        <v>166</v>
      </c>
      <c r="EJ991" s="27" t="s">
        <v>166</v>
      </c>
      <c r="EK991" s="27" t="s">
        <v>166</v>
      </c>
      <c r="EL991" s="27" t="s">
        <v>166</v>
      </c>
      <c r="EM991" s="27" t="s">
        <v>166</v>
      </c>
      <c r="EN991" s="27" t="s">
        <v>166</v>
      </c>
      <c r="EO991" s="27" t="s">
        <v>166</v>
      </c>
      <c r="EP991" s="27" t="s">
        <v>166</v>
      </c>
      <c r="EQ991" s="27" t="s">
        <v>166</v>
      </c>
      <c r="ER991" s="27" t="s">
        <v>166</v>
      </c>
      <c r="ES991" s="27" t="s">
        <v>166</v>
      </c>
      <c r="ET991" s="25" t="s">
        <v>166</v>
      </c>
      <c r="EU991" s="27" t="s">
        <v>166</v>
      </c>
      <c r="EV991" s="27" t="s">
        <v>166</v>
      </c>
      <c r="EW991" s="27" t="s">
        <v>166</v>
      </c>
      <c r="EX991" s="25" t="s">
        <v>190</v>
      </c>
      <c r="EY991" s="25" t="s">
        <v>166</v>
      </c>
      <c r="EZ991" s="27" t="s">
        <v>166</v>
      </c>
      <c r="FA991" s="26" t="s">
        <v>166</v>
      </c>
      <c r="FB991" s="26" t="s">
        <v>166</v>
      </c>
      <c r="FC991" s="26" t="s">
        <v>166</v>
      </c>
      <c r="FD991" s="26" t="s">
        <v>166</v>
      </c>
      <c r="FE991" s="26" t="s">
        <v>166</v>
      </c>
      <c r="FF991" s="26" t="s">
        <v>166</v>
      </c>
      <c r="FG991" s="25" t="s">
        <v>166</v>
      </c>
      <c r="FH991" s="4">
        <f>HYPERLINK("https://my.pitchbook.com?c=189600-58T","View Company Online")</f>
      </c>
    </row>
    <row r="992">
      <c r="A992" s="14" t="s">
        <v>18785</v>
      </c>
      <c r="B992" s="14" t="s">
        <v>18786</v>
      </c>
      <c r="C992" s="14" t="s">
        <v>18787</v>
      </c>
      <c r="D992" s="14" t="s">
        <v>166</v>
      </c>
      <c r="E992" s="23" t="s">
        <v>18788</v>
      </c>
      <c r="F992" s="21">
        <v>1</v>
      </c>
      <c r="G992" s="14" t="s">
        <v>18789</v>
      </c>
      <c r="H992" s="14" t="s">
        <v>166</v>
      </c>
      <c r="I992" s="14" t="s">
        <v>18790</v>
      </c>
      <c r="J992" s="14" t="s">
        <v>18791</v>
      </c>
      <c r="K992" s="14" t="s">
        <v>207</v>
      </c>
      <c r="L992" s="14" t="s">
        <v>208</v>
      </c>
      <c r="M992" s="14" t="s">
        <v>209</v>
      </c>
      <c r="N992" s="14" t="s">
        <v>684</v>
      </c>
      <c r="O992" s="14" t="s">
        <v>665</v>
      </c>
      <c r="P992" s="14" t="s">
        <v>18792</v>
      </c>
      <c r="Q992" s="14" t="s">
        <v>166</v>
      </c>
      <c r="R992" s="14" t="s">
        <v>177</v>
      </c>
      <c r="S992" s="14" t="s">
        <v>178</v>
      </c>
      <c r="T992" s="14" t="s">
        <v>179</v>
      </c>
      <c r="U992" s="14" t="s">
        <v>18793</v>
      </c>
      <c r="V992" s="14" t="s">
        <v>18794</v>
      </c>
      <c r="W992" s="21" t="s">
        <v>18795</v>
      </c>
      <c r="X992" s="14" t="s">
        <v>18796</v>
      </c>
      <c r="Y992" s="14" t="s">
        <v>18797</v>
      </c>
      <c r="Z992" s="14" t="s">
        <v>18798</v>
      </c>
      <c r="AA992" s="14" t="s">
        <v>242</v>
      </c>
      <c r="AB992" s="14" t="s">
        <v>243</v>
      </c>
      <c r="AC992" s="14" t="s">
        <v>244</v>
      </c>
      <c r="AD992" s="14" t="s">
        <v>243</v>
      </c>
      <c r="AE992" s="14" t="s">
        <v>243</v>
      </c>
      <c r="AF992" s="14" t="s">
        <v>166</v>
      </c>
      <c r="AG992" s="14" t="s">
        <v>246</v>
      </c>
      <c r="AH992" s="21">
        <v>1</v>
      </c>
      <c r="AI992" s="3">
        <f>HYPERLINK("https://my.pitchbook.com/?d=265819-06T","265819-06T")</f>
      </c>
      <c r="AJ992" s="19">
        <v>45461</v>
      </c>
      <c r="AK992" s="19">
        <v>45475</v>
      </c>
      <c r="AL992" s="18">
        <v>2.6</v>
      </c>
      <c r="AM992" s="14" t="s">
        <v>185</v>
      </c>
      <c r="AN992" s="18">
        <v>7.4</v>
      </c>
      <c r="AO992" s="18">
        <v>10</v>
      </c>
      <c r="AP992" s="14" t="s">
        <v>185</v>
      </c>
      <c r="AQ992" s="21" t="s">
        <v>166</v>
      </c>
      <c r="AR992" s="21" t="s">
        <v>166</v>
      </c>
      <c r="AS992" s="17">
        <v>26.11</v>
      </c>
      <c r="AT992" s="18">
        <v>2.6</v>
      </c>
      <c r="AU992" s="21" t="s">
        <v>186</v>
      </c>
      <c r="AV992" s="21" t="s">
        <v>166</v>
      </c>
      <c r="AW992" s="18">
        <v>0.94</v>
      </c>
      <c r="AX992" s="21" t="s">
        <v>166</v>
      </c>
      <c r="AY992" s="14" t="s">
        <v>217</v>
      </c>
      <c r="AZ992" s="14" t="s">
        <v>217</v>
      </c>
      <c r="BA992" s="14" t="s">
        <v>166</v>
      </c>
      <c r="BB992" s="21" t="s">
        <v>166</v>
      </c>
      <c r="BC992" s="14" t="s">
        <v>179</v>
      </c>
      <c r="BD992" s="14" t="s">
        <v>18799</v>
      </c>
      <c r="BE992" s="14" t="s">
        <v>189</v>
      </c>
      <c r="BF992" s="18">
        <v>2.6</v>
      </c>
      <c r="BG992" s="14" t="s">
        <v>190</v>
      </c>
      <c r="BH992" s="14" t="s">
        <v>166</v>
      </c>
      <c r="BI992" s="14" t="s">
        <v>166</v>
      </c>
      <c r="BJ992" s="18" t="s">
        <v>166</v>
      </c>
      <c r="BK992" s="18" t="s">
        <v>166</v>
      </c>
      <c r="BL992" s="14" t="s">
        <v>191</v>
      </c>
      <c r="BM992" s="14" t="s">
        <v>178</v>
      </c>
      <c r="BN992" s="14" t="s">
        <v>177</v>
      </c>
      <c r="BO992" s="22" t="s">
        <v>166</v>
      </c>
      <c r="BP992" s="14" t="s">
        <v>18788</v>
      </c>
      <c r="BQ992" s="21">
        <v>1</v>
      </c>
      <c r="BR992" s="14" t="s">
        <v>166</v>
      </c>
      <c r="BS992" s="21" t="s">
        <v>166</v>
      </c>
      <c r="BT992" s="14" t="s">
        <v>166</v>
      </c>
      <c r="BU992" s="14" t="s">
        <v>166</v>
      </c>
      <c r="BV992" s="14" t="s">
        <v>166</v>
      </c>
      <c r="BW992" s="14" t="s">
        <v>166</v>
      </c>
      <c r="BX992" s="14" t="s">
        <v>166</v>
      </c>
      <c r="BY992" s="14" t="s">
        <v>166</v>
      </c>
      <c r="BZ992" s="14" t="s">
        <v>770</v>
      </c>
      <c r="CA992" s="14" t="s">
        <v>770</v>
      </c>
      <c r="CB992" s="14" t="s">
        <v>166</v>
      </c>
      <c r="CC992" s="14" t="s">
        <v>166</v>
      </c>
      <c r="CD992" s="14" t="s">
        <v>166</v>
      </c>
      <c r="CE992" s="18" t="s">
        <v>166</v>
      </c>
      <c r="CF992" s="16" t="s">
        <v>166</v>
      </c>
      <c r="CG992" s="17" t="s">
        <v>166</v>
      </c>
      <c r="CH992" s="16" t="s">
        <v>166</v>
      </c>
      <c r="CI992" s="16" t="s">
        <v>166</v>
      </c>
      <c r="CJ992" s="16" t="s">
        <v>166</v>
      </c>
      <c r="CK992" s="16" t="s">
        <v>166</v>
      </c>
      <c r="CL992" s="16" t="s">
        <v>166</v>
      </c>
      <c r="CM992" s="20" t="s">
        <v>166</v>
      </c>
      <c r="CN992" s="16" t="s">
        <v>166</v>
      </c>
      <c r="CO992" s="16" t="s">
        <v>166</v>
      </c>
      <c r="CP992" s="16" t="s">
        <v>166</v>
      </c>
      <c r="CQ992" s="16" t="s">
        <v>166</v>
      </c>
      <c r="CR992" s="16" t="s">
        <v>166</v>
      </c>
      <c r="CS992" s="16" t="s">
        <v>166</v>
      </c>
      <c r="CT992" s="16" t="s">
        <v>166</v>
      </c>
      <c r="CU992" s="16" t="s">
        <v>166</v>
      </c>
      <c r="CV992" s="16" t="s">
        <v>166</v>
      </c>
      <c r="CW992" s="16" t="s">
        <v>166</v>
      </c>
      <c r="CX992" s="16" t="s">
        <v>166</v>
      </c>
      <c r="CY992" s="16" t="s">
        <v>166</v>
      </c>
      <c r="CZ992" s="16" t="s">
        <v>166</v>
      </c>
      <c r="DA992" s="16" t="s">
        <v>166</v>
      </c>
      <c r="DB992" s="16" t="s">
        <v>166</v>
      </c>
      <c r="DC992" s="16" t="s">
        <v>166</v>
      </c>
      <c r="DD992" s="16" t="s">
        <v>166</v>
      </c>
      <c r="DE992" s="17" t="s">
        <v>166</v>
      </c>
      <c r="DF992" s="22">
        <v>15</v>
      </c>
      <c r="DG992" s="14" t="s">
        <v>309</v>
      </c>
      <c r="DH992" s="14" t="s">
        <v>193</v>
      </c>
      <c r="DI992" s="14" t="s">
        <v>194</v>
      </c>
      <c r="DJ992" s="14" t="s">
        <v>310</v>
      </c>
      <c r="DK992" s="14" t="s">
        <v>310</v>
      </c>
      <c r="DL992" s="21" t="s">
        <v>2036</v>
      </c>
      <c r="DM992" s="14" t="s">
        <v>198</v>
      </c>
      <c r="DN992" s="13" t="s">
        <v>18800</v>
      </c>
      <c r="DO992" s="20">
        <v>2022</v>
      </c>
      <c r="DP992" s="14" t="s">
        <v>166</v>
      </c>
      <c r="DQ992" s="14" t="s">
        <v>166</v>
      </c>
      <c r="DR992" s="18" t="s">
        <v>166</v>
      </c>
      <c r="DS992" s="16" t="s">
        <v>166</v>
      </c>
      <c r="DT992" s="19" t="s">
        <v>166</v>
      </c>
      <c r="DU992" s="14" t="s">
        <v>166</v>
      </c>
      <c r="DV992" s="18" t="s">
        <v>166</v>
      </c>
      <c r="DW992" s="18" t="s">
        <v>166</v>
      </c>
      <c r="DX992" s="16" t="s">
        <v>166</v>
      </c>
      <c r="DY992" s="16" t="s">
        <v>166</v>
      </c>
      <c r="DZ992" s="17" t="s">
        <v>166</v>
      </c>
      <c r="EA992" s="16" t="s">
        <v>166</v>
      </c>
      <c r="EB992" s="16" t="s">
        <v>166</v>
      </c>
      <c r="EC992" s="16" t="s">
        <v>166</v>
      </c>
      <c r="ED992" s="17" t="s">
        <v>166</v>
      </c>
      <c r="EE992" s="17" t="s">
        <v>166</v>
      </c>
      <c r="EF992" s="17" t="s">
        <v>166</v>
      </c>
      <c r="EG992" s="17" t="s">
        <v>166</v>
      </c>
      <c r="EH992" s="16" t="s">
        <v>166</v>
      </c>
      <c r="EI992" s="16" t="s">
        <v>166</v>
      </c>
      <c r="EJ992" s="16" t="s">
        <v>166</v>
      </c>
      <c r="EK992" s="16" t="s">
        <v>166</v>
      </c>
      <c r="EL992" s="16" t="s">
        <v>166</v>
      </c>
      <c r="EM992" s="16" t="s">
        <v>166</v>
      </c>
      <c r="EN992" s="16" t="s">
        <v>166</v>
      </c>
      <c r="EO992" s="16" t="s">
        <v>166</v>
      </c>
      <c r="EP992" s="16" t="s">
        <v>166</v>
      </c>
      <c r="EQ992" s="16" t="s">
        <v>166</v>
      </c>
      <c r="ER992" s="16" t="s">
        <v>166</v>
      </c>
      <c r="ES992" s="16" t="s">
        <v>166</v>
      </c>
      <c r="ET992" s="14" t="s">
        <v>166</v>
      </c>
      <c r="EU992" s="16" t="s">
        <v>166</v>
      </c>
      <c r="EV992" s="16" t="s">
        <v>166</v>
      </c>
      <c r="EW992" s="16" t="s">
        <v>166</v>
      </c>
      <c r="EX992" s="14" t="s">
        <v>190</v>
      </c>
      <c r="EY992" s="14" t="s">
        <v>166</v>
      </c>
      <c r="EZ992" s="16" t="s">
        <v>166</v>
      </c>
      <c r="FA992" s="15" t="s">
        <v>166</v>
      </c>
      <c r="FB992" s="15" t="s">
        <v>166</v>
      </c>
      <c r="FC992" s="15" t="s">
        <v>166</v>
      </c>
      <c r="FD992" s="15" t="s">
        <v>166</v>
      </c>
      <c r="FE992" s="15" t="s">
        <v>166</v>
      </c>
      <c r="FF992" s="15" t="s">
        <v>166</v>
      </c>
      <c r="FG992" s="14" t="s">
        <v>166</v>
      </c>
      <c r="FH992" s="3">
        <f>HYPERLINK("https://my.pitchbook.com?c=265819-06T","View Company Online")</f>
      </c>
    </row>
    <row r="993">
      <c r="A993" s="25" t="s">
        <v>18801</v>
      </c>
      <c r="B993" s="25" t="s">
        <v>18802</v>
      </c>
      <c r="C993" s="25" t="s">
        <v>18803</v>
      </c>
      <c r="D993" s="25" t="s">
        <v>166</v>
      </c>
      <c r="E993" s="34" t="s">
        <v>18804</v>
      </c>
      <c r="F993" s="32">
        <v>13</v>
      </c>
      <c r="G993" s="25" t="s">
        <v>18805</v>
      </c>
      <c r="H993" s="25" t="s">
        <v>166</v>
      </c>
      <c r="I993" s="25" t="s">
        <v>18806</v>
      </c>
      <c r="J993" s="25" t="s">
        <v>18807</v>
      </c>
      <c r="K993" s="25" t="s">
        <v>207</v>
      </c>
      <c r="L993" s="25" t="s">
        <v>208</v>
      </c>
      <c r="M993" s="25" t="s">
        <v>296</v>
      </c>
      <c r="N993" s="25" t="s">
        <v>2621</v>
      </c>
      <c r="O993" s="25" t="s">
        <v>4042</v>
      </c>
      <c r="P993" s="25" t="s">
        <v>18808</v>
      </c>
      <c r="Q993" s="25" t="s">
        <v>166</v>
      </c>
      <c r="R993" s="25" t="s">
        <v>177</v>
      </c>
      <c r="S993" s="25" t="s">
        <v>178</v>
      </c>
      <c r="T993" s="25" t="s">
        <v>179</v>
      </c>
      <c r="U993" s="25" t="s">
        <v>18809</v>
      </c>
      <c r="V993" s="25" t="s">
        <v>18810</v>
      </c>
      <c r="W993" s="32" t="s">
        <v>166</v>
      </c>
      <c r="X993" s="25" t="s">
        <v>18811</v>
      </c>
      <c r="Y993" s="25" t="s">
        <v>18812</v>
      </c>
      <c r="Z993" s="25" t="s">
        <v>18813</v>
      </c>
      <c r="AA993" s="25" t="s">
        <v>242</v>
      </c>
      <c r="AB993" s="25" t="s">
        <v>243</v>
      </c>
      <c r="AC993" s="25" t="s">
        <v>244</v>
      </c>
      <c r="AD993" s="25" t="s">
        <v>243</v>
      </c>
      <c r="AE993" s="25" t="s">
        <v>243</v>
      </c>
      <c r="AF993" s="25" t="s">
        <v>166</v>
      </c>
      <c r="AG993" s="25" t="s">
        <v>246</v>
      </c>
      <c r="AH993" s="32">
        <v>3</v>
      </c>
      <c r="AI993" s="4">
        <f>HYPERLINK("https://my.pitchbook.com/?d=140239-36T","140239-36T")</f>
      </c>
      <c r="AJ993" s="30">
        <v>43909</v>
      </c>
      <c r="AK993" s="30">
        <v>43983</v>
      </c>
      <c r="AL993" s="29">
        <v>1.5</v>
      </c>
      <c r="AM993" s="25" t="s">
        <v>185</v>
      </c>
      <c r="AN993" s="29">
        <v>4.5</v>
      </c>
      <c r="AO993" s="29">
        <v>6</v>
      </c>
      <c r="AP993" s="25" t="s">
        <v>185</v>
      </c>
      <c r="AQ993" s="32" t="s">
        <v>166</v>
      </c>
      <c r="AR993" s="32" t="s">
        <v>166</v>
      </c>
      <c r="AS993" s="28">
        <v>29.9</v>
      </c>
      <c r="AT993" s="29">
        <v>1.5</v>
      </c>
      <c r="AU993" s="32" t="s">
        <v>186</v>
      </c>
      <c r="AV993" s="32" t="s">
        <v>166</v>
      </c>
      <c r="AW993" s="29">
        <v>1.02</v>
      </c>
      <c r="AX993" s="32" t="s">
        <v>166</v>
      </c>
      <c r="AY993" s="25" t="s">
        <v>217</v>
      </c>
      <c r="AZ993" s="25" t="s">
        <v>217</v>
      </c>
      <c r="BA993" s="25" t="s">
        <v>166</v>
      </c>
      <c r="BB993" s="32" t="s">
        <v>166</v>
      </c>
      <c r="BC993" s="25" t="s">
        <v>179</v>
      </c>
      <c r="BD993" s="25" t="s">
        <v>18814</v>
      </c>
      <c r="BE993" s="25" t="s">
        <v>189</v>
      </c>
      <c r="BF993" s="29">
        <v>1.5</v>
      </c>
      <c r="BG993" s="25" t="s">
        <v>190</v>
      </c>
      <c r="BH993" s="25" t="s">
        <v>166</v>
      </c>
      <c r="BI993" s="25" t="s">
        <v>166</v>
      </c>
      <c r="BJ993" s="29" t="s">
        <v>166</v>
      </c>
      <c r="BK993" s="29" t="s">
        <v>166</v>
      </c>
      <c r="BL993" s="25" t="s">
        <v>191</v>
      </c>
      <c r="BM993" s="25" t="s">
        <v>178</v>
      </c>
      <c r="BN993" s="25" t="s">
        <v>177</v>
      </c>
      <c r="BO993" s="33" t="s">
        <v>166</v>
      </c>
      <c r="BP993" s="25" t="s">
        <v>18815</v>
      </c>
      <c r="BQ993" s="32">
        <v>13</v>
      </c>
      <c r="BR993" s="25" t="s">
        <v>166</v>
      </c>
      <c r="BS993" s="32" t="s">
        <v>166</v>
      </c>
      <c r="BT993" s="25" t="s">
        <v>166</v>
      </c>
      <c r="BU993" s="25" t="s">
        <v>166</v>
      </c>
      <c r="BV993" s="25" t="s">
        <v>18816</v>
      </c>
      <c r="BW993" s="25" t="s">
        <v>166</v>
      </c>
      <c r="BX993" s="25" t="s">
        <v>166</v>
      </c>
      <c r="BY993" s="25" t="s">
        <v>166</v>
      </c>
      <c r="BZ993" s="25" t="s">
        <v>18817</v>
      </c>
      <c r="CA993" s="25" t="s">
        <v>18817</v>
      </c>
      <c r="CB993" s="25" t="s">
        <v>166</v>
      </c>
      <c r="CC993" s="25" t="s">
        <v>166</v>
      </c>
      <c r="CD993" s="25" t="s">
        <v>166</v>
      </c>
      <c r="CE993" s="29" t="s">
        <v>166</v>
      </c>
      <c r="CF993" s="27" t="s">
        <v>166</v>
      </c>
      <c r="CG993" s="28" t="s">
        <v>166</v>
      </c>
      <c r="CH993" s="27" t="s">
        <v>166</v>
      </c>
      <c r="CI993" s="27" t="s">
        <v>166</v>
      </c>
      <c r="CJ993" s="27" t="s">
        <v>166</v>
      </c>
      <c r="CK993" s="27" t="s">
        <v>166</v>
      </c>
      <c r="CL993" s="27" t="s">
        <v>166</v>
      </c>
      <c r="CM993" s="31" t="s">
        <v>166</v>
      </c>
      <c r="CN993" s="27" t="s">
        <v>166</v>
      </c>
      <c r="CO993" s="27" t="s">
        <v>166</v>
      </c>
      <c r="CP993" s="27" t="s">
        <v>166</v>
      </c>
      <c r="CQ993" s="27" t="s">
        <v>166</v>
      </c>
      <c r="CR993" s="27" t="s">
        <v>166</v>
      </c>
      <c r="CS993" s="27" t="s">
        <v>166</v>
      </c>
      <c r="CT993" s="27" t="s">
        <v>166</v>
      </c>
      <c r="CU993" s="27" t="s">
        <v>166</v>
      </c>
      <c r="CV993" s="27" t="s">
        <v>166</v>
      </c>
      <c r="CW993" s="27" t="s">
        <v>166</v>
      </c>
      <c r="CX993" s="27" t="s">
        <v>166</v>
      </c>
      <c r="CY993" s="27" t="s">
        <v>166</v>
      </c>
      <c r="CZ993" s="27" t="s">
        <v>166</v>
      </c>
      <c r="DA993" s="27" t="s">
        <v>166</v>
      </c>
      <c r="DB993" s="27" t="s">
        <v>166</v>
      </c>
      <c r="DC993" s="27" t="s">
        <v>166</v>
      </c>
      <c r="DD993" s="27" t="s">
        <v>166</v>
      </c>
      <c r="DE993" s="28" t="s">
        <v>166</v>
      </c>
      <c r="DF993" s="33">
        <v>26</v>
      </c>
      <c r="DG993" s="25" t="s">
        <v>673</v>
      </c>
      <c r="DH993" s="25" t="s">
        <v>193</v>
      </c>
      <c r="DI993" s="25" t="s">
        <v>194</v>
      </c>
      <c r="DJ993" s="25" t="s">
        <v>674</v>
      </c>
      <c r="DK993" s="25" t="s">
        <v>257</v>
      </c>
      <c r="DL993" s="32" t="s">
        <v>675</v>
      </c>
      <c r="DM993" s="25" t="s">
        <v>198</v>
      </c>
      <c r="DN993" s="24" t="s">
        <v>18818</v>
      </c>
      <c r="DO993" s="31">
        <v>2017</v>
      </c>
      <c r="DP993" s="25" t="s">
        <v>166</v>
      </c>
      <c r="DQ993" s="25" t="s">
        <v>166</v>
      </c>
      <c r="DR993" s="29" t="s">
        <v>166</v>
      </c>
      <c r="DS993" s="27" t="s">
        <v>166</v>
      </c>
      <c r="DT993" s="30" t="s">
        <v>166</v>
      </c>
      <c r="DU993" s="25" t="s">
        <v>166</v>
      </c>
      <c r="DV993" s="29" t="s">
        <v>166</v>
      </c>
      <c r="DW993" s="29" t="s">
        <v>166</v>
      </c>
      <c r="DX993" s="27" t="s">
        <v>166</v>
      </c>
      <c r="DY993" s="27" t="s">
        <v>166</v>
      </c>
      <c r="DZ993" s="28" t="s">
        <v>166</v>
      </c>
      <c r="EA993" s="27" t="s">
        <v>166</v>
      </c>
      <c r="EB993" s="27" t="s">
        <v>166</v>
      </c>
      <c r="EC993" s="27" t="s">
        <v>166</v>
      </c>
      <c r="ED993" s="28" t="s">
        <v>166</v>
      </c>
      <c r="EE993" s="28" t="s">
        <v>166</v>
      </c>
      <c r="EF993" s="28" t="s">
        <v>166</v>
      </c>
      <c r="EG993" s="28" t="s">
        <v>166</v>
      </c>
      <c r="EH993" s="27" t="s">
        <v>166</v>
      </c>
      <c r="EI993" s="27" t="s">
        <v>166</v>
      </c>
      <c r="EJ993" s="27" t="s">
        <v>166</v>
      </c>
      <c r="EK993" s="27" t="s">
        <v>166</v>
      </c>
      <c r="EL993" s="27" t="s">
        <v>166</v>
      </c>
      <c r="EM993" s="27" t="s">
        <v>166</v>
      </c>
      <c r="EN993" s="27" t="s">
        <v>166</v>
      </c>
      <c r="EO993" s="27" t="s">
        <v>166</v>
      </c>
      <c r="EP993" s="27" t="s">
        <v>166</v>
      </c>
      <c r="EQ993" s="27" t="s">
        <v>166</v>
      </c>
      <c r="ER993" s="27" t="s">
        <v>166</v>
      </c>
      <c r="ES993" s="27" t="s">
        <v>166</v>
      </c>
      <c r="ET993" s="25" t="s">
        <v>166</v>
      </c>
      <c r="EU993" s="27" t="s">
        <v>166</v>
      </c>
      <c r="EV993" s="27" t="s">
        <v>166</v>
      </c>
      <c r="EW993" s="27" t="s">
        <v>166</v>
      </c>
      <c r="EX993" s="25" t="s">
        <v>190</v>
      </c>
      <c r="EY993" s="25" t="s">
        <v>166</v>
      </c>
      <c r="EZ993" s="27" t="s">
        <v>166</v>
      </c>
      <c r="FA993" s="26" t="s">
        <v>166</v>
      </c>
      <c r="FB993" s="26" t="s">
        <v>166</v>
      </c>
      <c r="FC993" s="26" t="s">
        <v>166</v>
      </c>
      <c r="FD993" s="26" t="s">
        <v>166</v>
      </c>
      <c r="FE993" s="26" t="s">
        <v>166</v>
      </c>
      <c r="FF993" s="26" t="s">
        <v>166</v>
      </c>
      <c r="FG993" s="25" t="s">
        <v>166</v>
      </c>
      <c r="FH993" s="4">
        <f>HYPERLINK("https://my.pitchbook.com?c=140239-36T","View Company Online")</f>
      </c>
    </row>
    <row r="994">
      <c r="A994" s="14" t="s">
        <v>18819</v>
      </c>
      <c r="B994" s="14" t="s">
        <v>18820</v>
      </c>
      <c r="C994" s="14" t="s">
        <v>18821</v>
      </c>
      <c r="D994" s="14" t="s">
        <v>166</v>
      </c>
      <c r="E994" s="23" t="s">
        <v>18822</v>
      </c>
      <c r="F994" s="21">
        <v>9</v>
      </c>
      <c r="G994" s="14" t="s">
        <v>18823</v>
      </c>
      <c r="H994" s="14" t="s">
        <v>166</v>
      </c>
      <c r="I994" s="14" t="s">
        <v>18824</v>
      </c>
      <c r="J994" s="14" t="s">
        <v>18825</v>
      </c>
      <c r="K994" s="14" t="s">
        <v>207</v>
      </c>
      <c r="L994" s="14" t="s">
        <v>208</v>
      </c>
      <c r="M994" s="14" t="s">
        <v>1261</v>
      </c>
      <c r="N994" s="14" t="s">
        <v>18826</v>
      </c>
      <c r="O994" s="14" t="s">
        <v>211</v>
      </c>
      <c r="P994" s="14" t="s">
        <v>18827</v>
      </c>
      <c r="Q994" s="14" t="s">
        <v>166</v>
      </c>
      <c r="R994" s="14" t="s">
        <v>177</v>
      </c>
      <c r="S994" s="14" t="s">
        <v>785</v>
      </c>
      <c r="T994" s="14" t="s">
        <v>179</v>
      </c>
      <c r="U994" s="14" t="s">
        <v>18828</v>
      </c>
      <c r="V994" s="14" t="s">
        <v>18829</v>
      </c>
      <c r="W994" s="21" t="s">
        <v>18830</v>
      </c>
      <c r="X994" s="14" t="s">
        <v>166</v>
      </c>
      <c r="Y994" s="14" t="s">
        <v>18831</v>
      </c>
      <c r="Z994" s="14" t="s">
        <v>18832</v>
      </c>
      <c r="AA994" s="14" t="s">
        <v>166</v>
      </c>
      <c r="AB994" s="14" t="s">
        <v>166</v>
      </c>
      <c r="AC994" s="14" t="s">
        <v>166</v>
      </c>
      <c r="AD994" s="14" t="s">
        <v>166</v>
      </c>
      <c r="AE994" s="14" t="s">
        <v>166</v>
      </c>
      <c r="AF994" s="14" t="s">
        <v>166</v>
      </c>
      <c r="AG994" s="14" t="s">
        <v>166</v>
      </c>
      <c r="AH994" s="21">
        <v>1</v>
      </c>
      <c r="AI994" s="3">
        <f>HYPERLINK("https://my.pitchbook.com/?d=167399-29T","167399-29T")</f>
      </c>
      <c r="AJ994" s="19" t="s">
        <v>166</v>
      </c>
      <c r="AK994" s="19">
        <v>44256</v>
      </c>
      <c r="AL994" s="18">
        <v>1.7</v>
      </c>
      <c r="AM994" s="14" t="s">
        <v>185</v>
      </c>
      <c r="AN994" s="18" t="s">
        <v>166</v>
      </c>
      <c r="AO994" s="18" t="s">
        <v>166</v>
      </c>
      <c r="AP994" s="14" t="s">
        <v>166</v>
      </c>
      <c r="AQ994" s="21" t="s">
        <v>166</v>
      </c>
      <c r="AR994" s="21" t="s">
        <v>166</v>
      </c>
      <c r="AS994" s="17" t="s">
        <v>166</v>
      </c>
      <c r="AT994" s="18">
        <v>1.7</v>
      </c>
      <c r="AU994" s="21" t="s">
        <v>186</v>
      </c>
      <c r="AV994" s="21" t="s">
        <v>166</v>
      </c>
      <c r="AW994" s="18" t="s">
        <v>166</v>
      </c>
      <c r="AX994" s="21" t="s">
        <v>166</v>
      </c>
      <c r="AY994" s="14" t="s">
        <v>187</v>
      </c>
      <c r="AZ994" s="14" t="s">
        <v>166</v>
      </c>
      <c r="BA994" s="14" t="s">
        <v>166</v>
      </c>
      <c r="BB994" s="21" t="s">
        <v>166</v>
      </c>
      <c r="BC994" s="14" t="s">
        <v>179</v>
      </c>
      <c r="BD994" s="14" t="s">
        <v>18833</v>
      </c>
      <c r="BE994" s="14" t="s">
        <v>189</v>
      </c>
      <c r="BF994" s="18">
        <v>1.7</v>
      </c>
      <c r="BG994" s="14" t="s">
        <v>190</v>
      </c>
      <c r="BH994" s="14" t="s">
        <v>166</v>
      </c>
      <c r="BI994" s="14" t="s">
        <v>166</v>
      </c>
      <c r="BJ994" s="18" t="s">
        <v>166</v>
      </c>
      <c r="BK994" s="18" t="s">
        <v>166</v>
      </c>
      <c r="BL994" s="14" t="s">
        <v>191</v>
      </c>
      <c r="BM994" s="14" t="s">
        <v>785</v>
      </c>
      <c r="BN994" s="14" t="s">
        <v>177</v>
      </c>
      <c r="BO994" s="22" t="s">
        <v>166</v>
      </c>
      <c r="BP994" s="14" t="s">
        <v>18834</v>
      </c>
      <c r="BQ994" s="21">
        <v>9</v>
      </c>
      <c r="BR994" s="14" t="s">
        <v>166</v>
      </c>
      <c r="BS994" s="21" t="s">
        <v>166</v>
      </c>
      <c r="BT994" s="14" t="s">
        <v>166</v>
      </c>
      <c r="BU994" s="14" t="s">
        <v>166</v>
      </c>
      <c r="BV994" s="14" t="s">
        <v>18835</v>
      </c>
      <c r="BW994" s="14" t="s">
        <v>166</v>
      </c>
      <c r="BX994" s="14" t="s">
        <v>166</v>
      </c>
      <c r="BY994" s="14" t="s">
        <v>166</v>
      </c>
      <c r="BZ994" s="14" t="s">
        <v>166</v>
      </c>
      <c r="CA994" s="14" t="s">
        <v>166</v>
      </c>
      <c r="CB994" s="14" t="s">
        <v>166</v>
      </c>
      <c r="CC994" s="14" t="s">
        <v>166</v>
      </c>
      <c r="CD994" s="14" t="s">
        <v>166</v>
      </c>
      <c r="CE994" s="18" t="s">
        <v>166</v>
      </c>
      <c r="CF994" s="16" t="s">
        <v>166</v>
      </c>
      <c r="CG994" s="17" t="s">
        <v>166</v>
      </c>
      <c r="CH994" s="16" t="s">
        <v>166</v>
      </c>
      <c r="CI994" s="16" t="s">
        <v>166</v>
      </c>
      <c r="CJ994" s="16" t="s">
        <v>166</v>
      </c>
      <c r="CK994" s="16" t="s">
        <v>166</v>
      </c>
      <c r="CL994" s="16" t="s">
        <v>166</v>
      </c>
      <c r="CM994" s="20" t="s">
        <v>166</v>
      </c>
      <c r="CN994" s="16" t="s">
        <v>166</v>
      </c>
      <c r="CO994" s="16" t="s">
        <v>166</v>
      </c>
      <c r="CP994" s="16" t="s">
        <v>166</v>
      </c>
      <c r="CQ994" s="16" t="s">
        <v>166</v>
      </c>
      <c r="CR994" s="16" t="s">
        <v>166</v>
      </c>
      <c r="CS994" s="16" t="s">
        <v>166</v>
      </c>
      <c r="CT994" s="16" t="s">
        <v>166</v>
      </c>
      <c r="CU994" s="16" t="s">
        <v>166</v>
      </c>
      <c r="CV994" s="16" t="s">
        <v>166</v>
      </c>
      <c r="CW994" s="16" t="s">
        <v>166</v>
      </c>
      <c r="CX994" s="16" t="s">
        <v>166</v>
      </c>
      <c r="CY994" s="16" t="s">
        <v>166</v>
      </c>
      <c r="CZ994" s="16" t="s">
        <v>166</v>
      </c>
      <c r="DA994" s="16" t="s">
        <v>166</v>
      </c>
      <c r="DB994" s="16" t="s">
        <v>166</v>
      </c>
      <c r="DC994" s="16" t="s">
        <v>166</v>
      </c>
      <c r="DD994" s="16" t="s">
        <v>166</v>
      </c>
      <c r="DE994" s="17" t="s">
        <v>166</v>
      </c>
      <c r="DF994" s="22">
        <v>10</v>
      </c>
      <c r="DG994" s="14" t="s">
        <v>673</v>
      </c>
      <c r="DH994" s="14" t="s">
        <v>193</v>
      </c>
      <c r="DI994" s="14" t="s">
        <v>194</v>
      </c>
      <c r="DJ994" s="14" t="s">
        <v>674</v>
      </c>
      <c r="DK994" s="14" t="s">
        <v>257</v>
      </c>
      <c r="DL994" s="21" t="s">
        <v>675</v>
      </c>
      <c r="DM994" s="14" t="s">
        <v>198</v>
      </c>
      <c r="DN994" s="13" t="s">
        <v>18836</v>
      </c>
      <c r="DO994" s="20">
        <v>2020</v>
      </c>
      <c r="DP994" s="14" t="s">
        <v>166</v>
      </c>
      <c r="DQ994" s="14" t="s">
        <v>166</v>
      </c>
      <c r="DR994" s="18" t="s">
        <v>166</v>
      </c>
      <c r="DS994" s="16" t="s">
        <v>166</v>
      </c>
      <c r="DT994" s="19" t="s">
        <v>166</v>
      </c>
      <c r="DU994" s="14" t="s">
        <v>166</v>
      </c>
      <c r="DV994" s="18" t="s">
        <v>166</v>
      </c>
      <c r="DW994" s="18" t="s">
        <v>166</v>
      </c>
      <c r="DX994" s="16" t="s">
        <v>166</v>
      </c>
      <c r="DY994" s="16" t="s">
        <v>166</v>
      </c>
      <c r="DZ994" s="17" t="s">
        <v>166</v>
      </c>
      <c r="EA994" s="16" t="s">
        <v>166</v>
      </c>
      <c r="EB994" s="16" t="s">
        <v>166</v>
      </c>
      <c r="EC994" s="16" t="s">
        <v>166</v>
      </c>
      <c r="ED994" s="17" t="s">
        <v>166</v>
      </c>
      <c r="EE994" s="17" t="s">
        <v>166</v>
      </c>
      <c r="EF994" s="17" t="s">
        <v>166</v>
      </c>
      <c r="EG994" s="17" t="s">
        <v>166</v>
      </c>
      <c r="EH994" s="16" t="s">
        <v>166</v>
      </c>
      <c r="EI994" s="16" t="s">
        <v>166</v>
      </c>
      <c r="EJ994" s="16" t="s">
        <v>166</v>
      </c>
      <c r="EK994" s="16" t="s">
        <v>166</v>
      </c>
      <c r="EL994" s="16" t="s">
        <v>166</v>
      </c>
      <c r="EM994" s="16" t="s">
        <v>166</v>
      </c>
      <c r="EN994" s="16" t="s">
        <v>166</v>
      </c>
      <c r="EO994" s="16" t="s">
        <v>166</v>
      </c>
      <c r="EP994" s="16" t="s">
        <v>166</v>
      </c>
      <c r="EQ994" s="16" t="s">
        <v>166</v>
      </c>
      <c r="ER994" s="16" t="s">
        <v>166</v>
      </c>
      <c r="ES994" s="16" t="s">
        <v>166</v>
      </c>
      <c r="ET994" s="14" t="s">
        <v>166</v>
      </c>
      <c r="EU994" s="16" t="s">
        <v>166</v>
      </c>
      <c r="EV994" s="16" t="s">
        <v>166</v>
      </c>
      <c r="EW994" s="16" t="s">
        <v>166</v>
      </c>
      <c r="EX994" s="14" t="s">
        <v>190</v>
      </c>
      <c r="EY994" s="14" t="s">
        <v>166</v>
      </c>
      <c r="EZ994" s="16" t="s">
        <v>166</v>
      </c>
      <c r="FA994" s="15" t="s">
        <v>166</v>
      </c>
      <c r="FB994" s="15" t="s">
        <v>166</v>
      </c>
      <c r="FC994" s="15" t="s">
        <v>166</v>
      </c>
      <c r="FD994" s="15" t="s">
        <v>166</v>
      </c>
      <c r="FE994" s="15" t="s">
        <v>166</v>
      </c>
      <c r="FF994" s="15" t="s">
        <v>166</v>
      </c>
      <c r="FG994" s="14" t="s">
        <v>166</v>
      </c>
      <c r="FH994" s="3">
        <f>HYPERLINK("https://my.pitchbook.com?c=167399-29T","View Company Online")</f>
      </c>
    </row>
    <row r="995">
      <c r="A995" s="25" t="s">
        <v>18837</v>
      </c>
      <c r="B995" s="25" t="s">
        <v>18838</v>
      </c>
      <c r="C995" s="25" t="s">
        <v>18839</v>
      </c>
      <c r="D995" s="25" t="s">
        <v>166</v>
      </c>
      <c r="E995" s="34" t="s">
        <v>18840</v>
      </c>
      <c r="F995" s="32">
        <v>1</v>
      </c>
      <c r="G995" s="25" t="s">
        <v>18841</v>
      </c>
      <c r="H995" s="25" t="s">
        <v>166</v>
      </c>
      <c r="I995" s="25" t="s">
        <v>18842</v>
      </c>
      <c r="J995" s="25" t="s">
        <v>18843</v>
      </c>
      <c r="K995" s="25" t="s">
        <v>207</v>
      </c>
      <c r="L995" s="25" t="s">
        <v>208</v>
      </c>
      <c r="M995" s="25" t="s">
        <v>839</v>
      </c>
      <c r="N995" s="25" t="s">
        <v>6472</v>
      </c>
      <c r="O995" s="25" t="s">
        <v>1295</v>
      </c>
      <c r="P995" s="25" t="s">
        <v>18844</v>
      </c>
      <c r="Q995" s="25" t="s">
        <v>166</v>
      </c>
      <c r="R995" s="25" t="s">
        <v>177</v>
      </c>
      <c r="S995" s="25" t="s">
        <v>178</v>
      </c>
      <c r="T995" s="25" t="s">
        <v>179</v>
      </c>
      <c r="U995" s="25" t="s">
        <v>18845</v>
      </c>
      <c r="V995" s="25" t="s">
        <v>18846</v>
      </c>
      <c r="W995" s="32" t="s">
        <v>18847</v>
      </c>
      <c r="X995" s="25" t="s">
        <v>18848</v>
      </c>
      <c r="Y995" s="25" t="s">
        <v>18849</v>
      </c>
      <c r="Z995" s="25" t="s">
        <v>18850</v>
      </c>
      <c r="AA995" s="25" t="s">
        <v>166</v>
      </c>
      <c r="AB995" s="25" t="s">
        <v>166</v>
      </c>
      <c r="AC995" s="25" t="s">
        <v>166</v>
      </c>
      <c r="AD995" s="25" t="s">
        <v>166</v>
      </c>
      <c r="AE995" s="25" t="s">
        <v>166</v>
      </c>
      <c r="AF995" s="25" t="s">
        <v>166</v>
      </c>
      <c r="AG995" s="25" t="s">
        <v>166</v>
      </c>
      <c r="AH995" s="32">
        <v>1</v>
      </c>
      <c r="AI995" s="4">
        <f>HYPERLINK("https://my.pitchbook.com/?d=200124-91T","200124-91T")</f>
      </c>
      <c r="AJ995" s="30" t="s">
        <v>166</v>
      </c>
      <c r="AK995" s="30">
        <v>44713</v>
      </c>
      <c r="AL995" s="29">
        <v>0.1</v>
      </c>
      <c r="AM995" s="25" t="s">
        <v>185</v>
      </c>
      <c r="AN995" s="29" t="s">
        <v>166</v>
      </c>
      <c r="AO995" s="29" t="s">
        <v>166</v>
      </c>
      <c r="AP995" s="25" t="s">
        <v>166</v>
      </c>
      <c r="AQ995" s="32" t="s">
        <v>166</v>
      </c>
      <c r="AR995" s="32" t="s">
        <v>166</v>
      </c>
      <c r="AS995" s="28" t="s">
        <v>166</v>
      </c>
      <c r="AT995" s="29">
        <v>0.1</v>
      </c>
      <c r="AU995" s="32" t="s">
        <v>186</v>
      </c>
      <c r="AV995" s="32" t="s">
        <v>166</v>
      </c>
      <c r="AW995" s="29" t="s">
        <v>166</v>
      </c>
      <c r="AX995" s="32" t="s">
        <v>166</v>
      </c>
      <c r="AY995" s="25" t="s">
        <v>249</v>
      </c>
      <c r="AZ995" s="25" t="s">
        <v>166</v>
      </c>
      <c r="BA995" s="25" t="s">
        <v>166</v>
      </c>
      <c r="BB995" s="32" t="s">
        <v>166</v>
      </c>
      <c r="BC995" s="25" t="s">
        <v>179</v>
      </c>
      <c r="BD995" s="25" t="s">
        <v>18843</v>
      </c>
      <c r="BE995" s="25" t="s">
        <v>189</v>
      </c>
      <c r="BF995" s="29">
        <v>0.1</v>
      </c>
      <c r="BG995" s="25" t="s">
        <v>190</v>
      </c>
      <c r="BH995" s="25" t="s">
        <v>166</v>
      </c>
      <c r="BI995" s="25" t="s">
        <v>166</v>
      </c>
      <c r="BJ995" s="29" t="s">
        <v>166</v>
      </c>
      <c r="BK995" s="29" t="s">
        <v>166</v>
      </c>
      <c r="BL995" s="25" t="s">
        <v>191</v>
      </c>
      <c r="BM995" s="25" t="s">
        <v>178</v>
      </c>
      <c r="BN995" s="25" t="s">
        <v>177</v>
      </c>
      <c r="BO995" s="33" t="s">
        <v>166</v>
      </c>
      <c r="BP995" s="25" t="s">
        <v>18840</v>
      </c>
      <c r="BQ995" s="32">
        <v>1</v>
      </c>
      <c r="BR995" s="25" t="s">
        <v>166</v>
      </c>
      <c r="BS995" s="32" t="s">
        <v>166</v>
      </c>
      <c r="BT995" s="25" t="s">
        <v>166</v>
      </c>
      <c r="BU995" s="25" t="s">
        <v>166</v>
      </c>
      <c r="BV995" s="25" t="s">
        <v>166</v>
      </c>
      <c r="BW995" s="25" t="s">
        <v>166</v>
      </c>
      <c r="BX995" s="25" t="s">
        <v>166</v>
      </c>
      <c r="BY995" s="25" t="s">
        <v>166</v>
      </c>
      <c r="BZ995" s="25" t="s">
        <v>166</v>
      </c>
      <c r="CA995" s="25" t="s">
        <v>166</v>
      </c>
      <c r="CB995" s="25" t="s">
        <v>166</v>
      </c>
      <c r="CC995" s="25" t="s">
        <v>166</v>
      </c>
      <c r="CD995" s="25" t="s">
        <v>166</v>
      </c>
      <c r="CE995" s="29" t="s">
        <v>166</v>
      </c>
      <c r="CF995" s="27" t="s">
        <v>166</v>
      </c>
      <c r="CG995" s="28" t="s">
        <v>166</v>
      </c>
      <c r="CH995" s="27" t="s">
        <v>166</v>
      </c>
      <c r="CI995" s="27" t="s">
        <v>166</v>
      </c>
      <c r="CJ995" s="27" t="s">
        <v>166</v>
      </c>
      <c r="CK995" s="27" t="s">
        <v>166</v>
      </c>
      <c r="CL995" s="27" t="s">
        <v>166</v>
      </c>
      <c r="CM995" s="31" t="s">
        <v>166</v>
      </c>
      <c r="CN995" s="27" t="s">
        <v>166</v>
      </c>
      <c r="CO995" s="27" t="s">
        <v>166</v>
      </c>
      <c r="CP995" s="27" t="s">
        <v>166</v>
      </c>
      <c r="CQ995" s="27" t="s">
        <v>166</v>
      </c>
      <c r="CR995" s="27" t="s">
        <v>166</v>
      </c>
      <c r="CS995" s="27" t="s">
        <v>166</v>
      </c>
      <c r="CT995" s="27" t="s">
        <v>166</v>
      </c>
      <c r="CU995" s="27" t="s">
        <v>166</v>
      </c>
      <c r="CV995" s="27" t="s">
        <v>166</v>
      </c>
      <c r="CW995" s="27" t="s">
        <v>166</v>
      </c>
      <c r="CX995" s="27" t="s">
        <v>166</v>
      </c>
      <c r="CY995" s="27" t="s">
        <v>166</v>
      </c>
      <c r="CZ995" s="27" t="s">
        <v>166</v>
      </c>
      <c r="DA995" s="27" t="s">
        <v>166</v>
      </c>
      <c r="DB995" s="27" t="s">
        <v>166</v>
      </c>
      <c r="DC995" s="27" t="s">
        <v>166</v>
      </c>
      <c r="DD995" s="27" t="s">
        <v>166</v>
      </c>
      <c r="DE995" s="28" t="s">
        <v>166</v>
      </c>
      <c r="DF995" s="33">
        <v>30</v>
      </c>
      <c r="DG995" s="25" t="s">
        <v>7870</v>
      </c>
      <c r="DH995" s="25" t="s">
        <v>193</v>
      </c>
      <c r="DI995" s="25" t="s">
        <v>194</v>
      </c>
      <c r="DJ995" s="25" t="s">
        <v>7871</v>
      </c>
      <c r="DK995" s="25" t="s">
        <v>1251</v>
      </c>
      <c r="DL995" s="32" t="s">
        <v>18851</v>
      </c>
      <c r="DM995" s="25" t="s">
        <v>198</v>
      </c>
      <c r="DN995" s="24" t="s">
        <v>18852</v>
      </c>
      <c r="DO995" s="31">
        <v>2005</v>
      </c>
      <c r="DP995" s="25" t="s">
        <v>166</v>
      </c>
      <c r="DQ995" s="25" t="s">
        <v>166</v>
      </c>
      <c r="DR995" s="29" t="s">
        <v>166</v>
      </c>
      <c r="DS995" s="27" t="s">
        <v>166</v>
      </c>
      <c r="DT995" s="30" t="s">
        <v>166</v>
      </c>
      <c r="DU995" s="25" t="s">
        <v>166</v>
      </c>
      <c r="DV995" s="29" t="s">
        <v>166</v>
      </c>
      <c r="DW995" s="29" t="s">
        <v>166</v>
      </c>
      <c r="DX995" s="27" t="s">
        <v>166</v>
      </c>
      <c r="DY995" s="27" t="s">
        <v>166</v>
      </c>
      <c r="DZ995" s="28" t="s">
        <v>166</v>
      </c>
      <c r="EA995" s="27" t="s">
        <v>166</v>
      </c>
      <c r="EB995" s="27" t="s">
        <v>166</v>
      </c>
      <c r="EC995" s="27" t="s">
        <v>166</v>
      </c>
      <c r="ED995" s="28" t="s">
        <v>166</v>
      </c>
      <c r="EE995" s="28" t="s">
        <v>166</v>
      </c>
      <c r="EF995" s="28" t="s">
        <v>166</v>
      </c>
      <c r="EG995" s="28" t="s">
        <v>166</v>
      </c>
      <c r="EH995" s="27" t="s">
        <v>166</v>
      </c>
      <c r="EI995" s="27" t="s">
        <v>166</v>
      </c>
      <c r="EJ995" s="27" t="s">
        <v>166</v>
      </c>
      <c r="EK995" s="27" t="s">
        <v>166</v>
      </c>
      <c r="EL995" s="27" t="s">
        <v>166</v>
      </c>
      <c r="EM995" s="27" t="s">
        <v>166</v>
      </c>
      <c r="EN995" s="27" t="s">
        <v>166</v>
      </c>
      <c r="EO995" s="27" t="s">
        <v>166</v>
      </c>
      <c r="EP995" s="27" t="s">
        <v>166</v>
      </c>
      <c r="EQ995" s="27" t="s">
        <v>166</v>
      </c>
      <c r="ER995" s="27" t="s">
        <v>166</v>
      </c>
      <c r="ES995" s="27" t="s">
        <v>166</v>
      </c>
      <c r="ET995" s="25" t="s">
        <v>166</v>
      </c>
      <c r="EU995" s="27" t="s">
        <v>166</v>
      </c>
      <c r="EV995" s="27" t="s">
        <v>166</v>
      </c>
      <c r="EW995" s="27" t="s">
        <v>166</v>
      </c>
      <c r="EX995" s="25" t="s">
        <v>190</v>
      </c>
      <c r="EY995" s="25" t="s">
        <v>166</v>
      </c>
      <c r="EZ995" s="27" t="s">
        <v>166</v>
      </c>
      <c r="FA995" s="26" t="s">
        <v>166</v>
      </c>
      <c r="FB995" s="26" t="s">
        <v>166</v>
      </c>
      <c r="FC995" s="26" t="s">
        <v>166</v>
      </c>
      <c r="FD995" s="26" t="s">
        <v>166</v>
      </c>
      <c r="FE995" s="26" t="s">
        <v>166</v>
      </c>
      <c r="FF995" s="26" t="s">
        <v>166</v>
      </c>
      <c r="FG995" s="25" t="s">
        <v>166</v>
      </c>
      <c r="FH995" s="4">
        <f>HYPERLINK("https://my.pitchbook.com?c=200124-91T","View Company Online")</f>
      </c>
    </row>
    <row r="996">
      <c r="A996" s="14" t="s">
        <v>18853</v>
      </c>
      <c r="B996" s="14" t="s">
        <v>18854</v>
      </c>
      <c r="C996" s="14" t="s">
        <v>18855</v>
      </c>
      <c r="D996" s="14" t="s">
        <v>166</v>
      </c>
      <c r="E996" s="23" t="s">
        <v>18856</v>
      </c>
      <c r="F996" s="21">
        <v>9</v>
      </c>
      <c r="G996" s="14" t="s">
        <v>18857</v>
      </c>
      <c r="H996" s="14" t="s">
        <v>166</v>
      </c>
      <c r="I996" s="14" t="s">
        <v>18858</v>
      </c>
      <c r="J996" s="14" t="s">
        <v>18859</v>
      </c>
      <c r="K996" s="14" t="s">
        <v>207</v>
      </c>
      <c r="L996" s="14" t="s">
        <v>208</v>
      </c>
      <c r="M996" s="14" t="s">
        <v>296</v>
      </c>
      <c r="N996" s="14" t="s">
        <v>2450</v>
      </c>
      <c r="O996" s="14" t="s">
        <v>18860</v>
      </c>
      <c r="P996" s="14" t="s">
        <v>18861</v>
      </c>
      <c r="Q996" s="14" t="s">
        <v>166</v>
      </c>
      <c r="R996" s="14" t="s">
        <v>177</v>
      </c>
      <c r="S996" s="14" t="s">
        <v>178</v>
      </c>
      <c r="T996" s="14" t="s">
        <v>179</v>
      </c>
      <c r="U996" s="14" t="s">
        <v>18862</v>
      </c>
      <c r="V996" s="14" t="s">
        <v>18863</v>
      </c>
      <c r="W996" s="21" t="s">
        <v>166</v>
      </c>
      <c r="X996" s="14" t="s">
        <v>166</v>
      </c>
      <c r="Y996" s="14" t="s">
        <v>18864</v>
      </c>
      <c r="Z996" s="14" t="s">
        <v>18865</v>
      </c>
      <c r="AA996" s="14" t="s">
        <v>242</v>
      </c>
      <c r="AB996" s="14" t="s">
        <v>243</v>
      </c>
      <c r="AC996" s="14" t="s">
        <v>244</v>
      </c>
      <c r="AD996" s="14" t="s">
        <v>243</v>
      </c>
      <c r="AE996" s="14" t="s">
        <v>243</v>
      </c>
      <c r="AF996" s="14" t="s">
        <v>166</v>
      </c>
      <c r="AG996" s="14" t="s">
        <v>246</v>
      </c>
      <c r="AH996" s="21">
        <v>1</v>
      </c>
      <c r="AI996" s="3">
        <f>HYPERLINK("https://my.pitchbook.com/?d=166612-15T","166612-15T")</f>
      </c>
      <c r="AJ996" s="19" t="s">
        <v>166</v>
      </c>
      <c r="AK996" s="19">
        <v>44134</v>
      </c>
      <c r="AL996" s="18">
        <v>5</v>
      </c>
      <c r="AM996" s="14" t="s">
        <v>247</v>
      </c>
      <c r="AN996" s="18">
        <v>10</v>
      </c>
      <c r="AO996" s="18">
        <v>15</v>
      </c>
      <c r="AP996" s="14" t="s">
        <v>185</v>
      </c>
      <c r="AQ996" s="21" t="s">
        <v>166</v>
      </c>
      <c r="AR996" s="21" t="s">
        <v>166</v>
      </c>
      <c r="AS996" s="17">
        <v>33.33</v>
      </c>
      <c r="AT996" s="18">
        <v>5</v>
      </c>
      <c r="AU996" s="21" t="s">
        <v>186</v>
      </c>
      <c r="AV996" s="21" t="s">
        <v>166</v>
      </c>
      <c r="AW996" s="18">
        <v>2.99</v>
      </c>
      <c r="AX996" s="21" t="s">
        <v>166</v>
      </c>
      <c r="AY996" s="14" t="s">
        <v>217</v>
      </c>
      <c r="AZ996" s="14" t="s">
        <v>217</v>
      </c>
      <c r="BA996" s="14" t="s">
        <v>166</v>
      </c>
      <c r="BB996" s="21" t="s">
        <v>166</v>
      </c>
      <c r="BC996" s="14" t="s">
        <v>179</v>
      </c>
      <c r="BD996" s="14" t="s">
        <v>18866</v>
      </c>
      <c r="BE996" s="14" t="s">
        <v>189</v>
      </c>
      <c r="BF996" s="18">
        <v>5</v>
      </c>
      <c r="BG996" s="14" t="s">
        <v>190</v>
      </c>
      <c r="BH996" s="14" t="s">
        <v>166</v>
      </c>
      <c r="BI996" s="14" t="s">
        <v>166</v>
      </c>
      <c r="BJ996" s="18" t="s">
        <v>166</v>
      </c>
      <c r="BK996" s="18" t="s">
        <v>166</v>
      </c>
      <c r="BL996" s="14" t="s">
        <v>191</v>
      </c>
      <c r="BM996" s="14" t="s">
        <v>358</v>
      </c>
      <c r="BN996" s="14" t="s">
        <v>177</v>
      </c>
      <c r="BO996" s="22" t="s">
        <v>166</v>
      </c>
      <c r="BP996" s="14" t="s">
        <v>18867</v>
      </c>
      <c r="BQ996" s="21">
        <v>9</v>
      </c>
      <c r="BR996" s="14" t="s">
        <v>166</v>
      </c>
      <c r="BS996" s="21" t="s">
        <v>166</v>
      </c>
      <c r="BT996" s="14" t="s">
        <v>166</v>
      </c>
      <c r="BU996" s="14" t="s">
        <v>166</v>
      </c>
      <c r="BV996" s="14" t="s">
        <v>18868</v>
      </c>
      <c r="BW996" s="14" t="s">
        <v>166</v>
      </c>
      <c r="BX996" s="14" t="s">
        <v>166</v>
      </c>
      <c r="BY996" s="14" t="s">
        <v>166</v>
      </c>
      <c r="BZ996" s="14" t="s">
        <v>166</v>
      </c>
      <c r="CA996" s="14" t="s">
        <v>166</v>
      </c>
      <c r="CB996" s="14" t="s">
        <v>166</v>
      </c>
      <c r="CC996" s="14" t="s">
        <v>166</v>
      </c>
      <c r="CD996" s="14" t="s">
        <v>166</v>
      </c>
      <c r="CE996" s="18" t="s">
        <v>166</v>
      </c>
      <c r="CF996" s="16" t="s">
        <v>166</v>
      </c>
      <c r="CG996" s="17" t="s">
        <v>166</v>
      </c>
      <c r="CH996" s="16" t="s">
        <v>166</v>
      </c>
      <c r="CI996" s="16" t="s">
        <v>166</v>
      </c>
      <c r="CJ996" s="16" t="s">
        <v>166</v>
      </c>
      <c r="CK996" s="16" t="s">
        <v>166</v>
      </c>
      <c r="CL996" s="16" t="s">
        <v>166</v>
      </c>
      <c r="CM996" s="20" t="s">
        <v>166</v>
      </c>
      <c r="CN996" s="16" t="s">
        <v>166</v>
      </c>
      <c r="CO996" s="16" t="s">
        <v>166</v>
      </c>
      <c r="CP996" s="16" t="s">
        <v>166</v>
      </c>
      <c r="CQ996" s="16" t="s">
        <v>166</v>
      </c>
      <c r="CR996" s="16" t="s">
        <v>166</v>
      </c>
      <c r="CS996" s="16" t="s">
        <v>166</v>
      </c>
      <c r="CT996" s="16" t="s">
        <v>166</v>
      </c>
      <c r="CU996" s="16" t="s">
        <v>166</v>
      </c>
      <c r="CV996" s="16" t="s">
        <v>166</v>
      </c>
      <c r="CW996" s="16" t="s">
        <v>166</v>
      </c>
      <c r="CX996" s="16" t="s">
        <v>166</v>
      </c>
      <c r="CY996" s="16" t="s">
        <v>166</v>
      </c>
      <c r="CZ996" s="16" t="s">
        <v>166</v>
      </c>
      <c r="DA996" s="16" t="s">
        <v>166</v>
      </c>
      <c r="DB996" s="16" t="s">
        <v>166</v>
      </c>
      <c r="DC996" s="16" t="s">
        <v>166</v>
      </c>
      <c r="DD996" s="16" t="s">
        <v>166</v>
      </c>
      <c r="DE996" s="17" t="s">
        <v>166</v>
      </c>
      <c r="DF996" s="22">
        <v>11</v>
      </c>
      <c r="DG996" s="14" t="s">
        <v>18869</v>
      </c>
      <c r="DH996" s="14" t="s">
        <v>193</v>
      </c>
      <c r="DI996" s="14" t="s">
        <v>194</v>
      </c>
      <c r="DJ996" s="14" t="s">
        <v>18870</v>
      </c>
      <c r="DK996" s="14" t="s">
        <v>1023</v>
      </c>
      <c r="DL996" s="21" t="s">
        <v>18871</v>
      </c>
      <c r="DM996" s="14" t="s">
        <v>198</v>
      </c>
      <c r="DN996" s="13" t="s">
        <v>18872</v>
      </c>
      <c r="DO996" s="20">
        <v>2019</v>
      </c>
      <c r="DP996" s="14" t="s">
        <v>166</v>
      </c>
      <c r="DQ996" s="14" t="s">
        <v>166</v>
      </c>
      <c r="DR996" s="18" t="s">
        <v>166</v>
      </c>
      <c r="DS996" s="16" t="s">
        <v>166</v>
      </c>
      <c r="DT996" s="19" t="s">
        <v>166</v>
      </c>
      <c r="DU996" s="14" t="s">
        <v>166</v>
      </c>
      <c r="DV996" s="18" t="s">
        <v>166</v>
      </c>
      <c r="DW996" s="18" t="s">
        <v>166</v>
      </c>
      <c r="DX996" s="16" t="s">
        <v>166</v>
      </c>
      <c r="DY996" s="16" t="s">
        <v>166</v>
      </c>
      <c r="DZ996" s="17" t="s">
        <v>166</v>
      </c>
      <c r="EA996" s="16" t="s">
        <v>166</v>
      </c>
      <c r="EB996" s="16" t="s">
        <v>166</v>
      </c>
      <c r="EC996" s="16" t="s">
        <v>166</v>
      </c>
      <c r="ED996" s="17" t="s">
        <v>166</v>
      </c>
      <c r="EE996" s="17" t="s">
        <v>166</v>
      </c>
      <c r="EF996" s="17" t="s">
        <v>166</v>
      </c>
      <c r="EG996" s="17" t="s">
        <v>166</v>
      </c>
      <c r="EH996" s="16" t="s">
        <v>166</v>
      </c>
      <c r="EI996" s="16" t="s">
        <v>166</v>
      </c>
      <c r="EJ996" s="16" t="s">
        <v>166</v>
      </c>
      <c r="EK996" s="16" t="s">
        <v>166</v>
      </c>
      <c r="EL996" s="16" t="s">
        <v>166</v>
      </c>
      <c r="EM996" s="16" t="s">
        <v>166</v>
      </c>
      <c r="EN996" s="16" t="s">
        <v>166</v>
      </c>
      <c r="EO996" s="16" t="s">
        <v>166</v>
      </c>
      <c r="EP996" s="16" t="s">
        <v>166</v>
      </c>
      <c r="EQ996" s="16" t="s">
        <v>166</v>
      </c>
      <c r="ER996" s="16" t="s">
        <v>166</v>
      </c>
      <c r="ES996" s="16" t="s">
        <v>166</v>
      </c>
      <c r="ET996" s="14" t="s">
        <v>166</v>
      </c>
      <c r="EU996" s="16" t="s">
        <v>166</v>
      </c>
      <c r="EV996" s="16" t="s">
        <v>166</v>
      </c>
      <c r="EW996" s="16" t="s">
        <v>166</v>
      </c>
      <c r="EX996" s="14" t="s">
        <v>190</v>
      </c>
      <c r="EY996" s="14" t="s">
        <v>166</v>
      </c>
      <c r="EZ996" s="16" t="s">
        <v>166</v>
      </c>
      <c r="FA996" s="15" t="s">
        <v>166</v>
      </c>
      <c r="FB996" s="15" t="s">
        <v>166</v>
      </c>
      <c r="FC996" s="15" t="s">
        <v>166</v>
      </c>
      <c r="FD996" s="15" t="s">
        <v>166</v>
      </c>
      <c r="FE996" s="15" t="s">
        <v>166</v>
      </c>
      <c r="FF996" s="15" t="s">
        <v>166</v>
      </c>
      <c r="FG996" s="14" t="s">
        <v>166</v>
      </c>
      <c r="FH996" s="3">
        <f>HYPERLINK("https://my.pitchbook.com?c=166612-15T","View Company Online")</f>
      </c>
    </row>
    <row r="997">
      <c r="A997" s="25" t="s">
        <v>18873</v>
      </c>
      <c r="B997" s="25" t="s">
        <v>18874</v>
      </c>
      <c r="C997" s="25" t="s">
        <v>18875</v>
      </c>
      <c r="D997" s="25" t="s">
        <v>166</v>
      </c>
      <c r="E997" s="34" t="s">
        <v>18876</v>
      </c>
      <c r="F997" s="32">
        <v>4</v>
      </c>
      <c r="G997" s="25" t="s">
        <v>18877</v>
      </c>
      <c r="H997" s="25" t="s">
        <v>166</v>
      </c>
      <c r="I997" s="25" t="s">
        <v>18878</v>
      </c>
      <c r="J997" s="25" t="s">
        <v>18879</v>
      </c>
      <c r="K997" s="25" t="s">
        <v>171</v>
      </c>
      <c r="L997" s="25" t="s">
        <v>172</v>
      </c>
      <c r="M997" s="25" t="s">
        <v>173</v>
      </c>
      <c r="N997" s="25" t="s">
        <v>1088</v>
      </c>
      <c r="O997" s="25" t="s">
        <v>580</v>
      </c>
      <c r="P997" s="25" t="s">
        <v>18880</v>
      </c>
      <c r="Q997" s="25" t="s">
        <v>166</v>
      </c>
      <c r="R997" s="25" t="s">
        <v>177</v>
      </c>
      <c r="S997" s="25" t="s">
        <v>178</v>
      </c>
      <c r="T997" s="25" t="s">
        <v>179</v>
      </c>
      <c r="U997" s="25" t="s">
        <v>18881</v>
      </c>
      <c r="V997" s="25" t="s">
        <v>18882</v>
      </c>
      <c r="W997" s="32" t="s">
        <v>18883</v>
      </c>
      <c r="X997" s="25" t="s">
        <v>18884</v>
      </c>
      <c r="Y997" s="25" t="s">
        <v>18885</v>
      </c>
      <c r="Z997" s="25" t="s">
        <v>166</v>
      </c>
      <c r="AA997" s="25" t="s">
        <v>166</v>
      </c>
      <c r="AB997" s="25" t="s">
        <v>166</v>
      </c>
      <c r="AC997" s="25" t="s">
        <v>166</v>
      </c>
      <c r="AD997" s="25" t="s">
        <v>166</v>
      </c>
      <c r="AE997" s="25" t="s">
        <v>166</v>
      </c>
      <c r="AF997" s="25" t="s">
        <v>166</v>
      </c>
      <c r="AG997" s="25" t="s">
        <v>166</v>
      </c>
      <c r="AH997" s="32">
        <v>1</v>
      </c>
      <c r="AI997" s="4">
        <f>HYPERLINK("https://my.pitchbook.com/?d=206454-52T","206454-52T")</f>
      </c>
      <c r="AJ997" s="30" t="s">
        <v>166</v>
      </c>
      <c r="AK997" s="30">
        <v>45026</v>
      </c>
      <c r="AL997" s="29">
        <v>0.25</v>
      </c>
      <c r="AM997" s="25" t="s">
        <v>185</v>
      </c>
      <c r="AN997" s="29" t="s">
        <v>166</v>
      </c>
      <c r="AO997" s="29" t="s">
        <v>166</v>
      </c>
      <c r="AP997" s="25" t="s">
        <v>166</v>
      </c>
      <c r="AQ997" s="32" t="s">
        <v>166</v>
      </c>
      <c r="AR997" s="32" t="s">
        <v>166</v>
      </c>
      <c r="AS997" s="28" t="s">
        <v>166</v>
      </c>
      <c r="AT997" s="29">
        <v>0.25</v>
      </c>
      <c r="AU997" s="32" t="s">
        <v>186</v>
      </c>
      <c r="AV997" s="32" t="s">
        <v>166</v>
      </c>
      <c r="AW997" s="29" t="s">
        <v>166</v>
      </c>
      <c r="AX997" s="32" t="s">
        <v>166</v>
      </c>
      <c r="AY997" s="25" t="s">
        <v>187</v>
      </c>
      <c r="AZ997" s="25" t="s">
        <v>166</v>
      </c>
      <c r="BA997" s="25" t="s">
        <v>166</v>
      </c>
      <c r="BB997" s="32" t="s">
        <v>166</v>
      </c>
      <c r="BC997" s="25" t="s">
        <v>179</v>
      </c>
      <c r="BD997" s="25" t="s">
        <v>18886</v>
      </c>
      <c r="BE997" s="25" t="s">
        <v>189</v>
      </c>
      <c r="BF997" s="29">
        <v>0.25</v>
      </c>
      <c r="BG997" s="25" t="s">
        <v>190</v>
      </c>
      <c r="BH997" s="25" t="s">
        <v>166</v>
      </c>
      <c r="BI997" s="25" t="s">
        <v>166</v>
      </c>
      <c r="BJ997" s="29" t="s">
        <v>166</v>
      </c>
      <c r="BK997" s="29" t="s">
        <v>166</v>
      </c>
      <c r="BL997" s="25" t="s">
        <v>191</v>
      </c>
      <c r="BM997" s="25" t="s">
        <v>178</v>
      </c>
      <c r="BN997" s="25" t="s">
        <v>177</v>
      </c>
      <c r="BO997" s="33" t="s">
        <v>166</v>
      </c>
      <c r="BP997" s="25" t="s">
        <v>18887</v>
      </c>
      <c r="BQ997" s="32">
        <v>4</v>
      </c>
      <c r="BR997" s="25" t="s">
        <v>166</v>
      </c>
      <c r="BS997" s="32" t="s">
        <v>166</v>
      </c>
      <c r="BT997" s="25" t="s">
        <v>166</v>
      </c>
      <c r="BU997" s="25" t="s">
        <v>166</v>
      </c>
      <c r="BV997" s="25" t="s">
        <v>18888</v>
      </c>
      <c r="BW997" s="25" t="s">
        <v>166</v>
      </c>
      <c r="BX997" s="25" t="s">
        <v>166</v>
      </c>
      <c r="BY997" s="25" t="s">
        <v>166</v>
      </c>
      <c r="BZ997" s="25" t="s">
        <v>166</v>
      </c>
      <c r="CA997" s="25" t="s">
        <v>166</v>
      </c>
      <c r="CB997" s="25" t="s">
        <v>166</v>
      </c>
      <c r="CC997" s="25" t="s">
        <v>166</v>
      </c>
      <c r="CD997" s="25" t="s">
        <v>166</v>
      </c>
      <c r="CE997" s="29" t="s">
        <v>166</v>
      </c>
      <c r="CF997" s="27" t="s">
        <v>166</v>
      </c>
      <c r="CG997" s="28" t="s">
        <v>166</v>
      </c>
      <c r="CH997" s="27" t="s">
        <v>166</v>
      </c>
      <c r="CI997" s="27" t="s">
        <v>166</v>
      </c>
      <c r="CJ997" s="27" t="s">
        <v>166</v>
      </c>
      <c r="CK997" s="27" t="s">
        <v>166</v>
      </c>
      <c r="CL997" s="27" t="s">
        <v>166</v>
      </c>
      <c r="CM997" s="31" t="s">
        <v>166</v>
      </c>
      <c r="CN997" s="27" t="s">
        <v>166</v>
      </c>
      <c r="CO997" s="27" t="s">
        <v>166</v>
      </c>
      <c r="CP997" s="27" t="s">
        <v>166</v>
      </c>
      <c r="CQ997" s="27" t="s">
        <v>166</v>
      </c>
      <c r="CR997" s="27" t="s">
        <v>166</v>
      </c>
      <c r="CS997" s="27" t="s">
        <v>166</v>
      </c>
      <c r="CT997" s="27" t="s">
        <v>166</v>
      </c>
      <c r="CU997" s="27" t="s">
        <v>166</v>
      </c>
      <c r="CV997" s="27" t="s">
        <v>166</v>
      </c>
      <c r="CW997" s="27" t="s">
        <v>166</v>
      </c>
      <c r="CX997" s="27" t="s">
        <v>166</v>
      </c>
      <c r="CY997" s="27" t="s">
        <v>166</v>
      </c>
      <c r="CZ997" s="27" t="s">
        <v>166</v>
      </c>
      <c r="DA997" s="27" t="s">
        <v>166</v>
      </c>
      <c r="DB997" s="27" t="s">
        <v>166</v>
      </c>
      <c r="DC997" s="27" t="s">
        <v>166</v>
      </c>
      <c r="DD997" s="27" t="s">
        <v>166</v>
      </c>
      <c r="DE997" s="28" t="s">
        <v>166</v>
      </c>
      <c r="DF997" s="33">
        <v>6</v>
      </c>
      <c r="DG997" s="25" t="s">
        <v>2367</v>
      </c>
      <c r="DH997" s="25" t="s">
        <v>193</v>
      </c>
      <c r="DI997" s="25" t="s">
        <v>194</v>
      </c>
      <c r="DJ997" s="25" t="s">
        <v>2368</v>
      </c>
      <c r="DK997" s="25" t="s">
        <v>2369</v>
      </c>
      <c r="DL997" s="32" t="s">
        <v>8559</v>
      </c>
      <c r="DM997" s="25" t="s">
        <v>198</v>
      </c>
      <c r="DN997" s="24" t="s">
        <v>18889</v>
      </c>
      <c r="DO997" s="31">
        <v>2022</v>
      </c>
      <c r="DP997" s="25" t="s">
        <v>166</v>
      </c>
      <c r="DQ997" s="25" t="s">
        <v>166</v>
      </c>
      <c r="DR997" s="29" t="s">
        <v>166</v>
      </c>
      <c r="DS997" s="27" t="s">
        <v>166</v>
      </c>
      <c r="DT997" s="30" t="s">
        <v>166</v>
      </c>
      <c r="DU997" s="25" t="s">
        <v>166</v>
      </c>
      <c r="DV997" s="29" t="s">
        <v>166</v>
      </c>
      <c r="DW997" s="29" t="s">
        <v>166</v>
      </c>
      <c r="DX997" s="27" t="s">
        <v>166</v>
      </c>
      <c r="DY997" s="27" t="s">
        <v>166</v>
      </c>
      <c r="DZ997" s="28" t="s">
        <v>166</v>
      </c>
      <c r="EA997" s="27" t="s">
        <v>166</v>
      </c>
      <c r="EB997" s="27" t="s">
        <v>166</v>
      </c>
      <c r="EC997" s="27" t="s">
        <v>166</v>
      </c>
      <c r="ED997" s="28" t="s">
        <v>166</v>
      </c>
      <c r="EE997" s="28" t="s">
        <v>166</v>
      </c>
      <c r="EF997" s="28" t="s">
        <v>166</v>
      </c>
      <c r="EG997" s="28" t="s">
        <v>166</v>
      </c>
      <c r="EH997" s="27" t="s">
        <v>166</v>
      </c>
      <c r="EI997" s="27" t="s">
        <v>166</v>
      </c>
      <c r="EJ997" s="27" t="s">
        <v>166</v>
      </c>
      <c r="EK997" s="27" t="s">
        <v>166</v>
      </c>
      <c r="EL997" s="27" t="s">
        <v>166</v>
      </c>
      <c r="EM997" s="27" t="s">
        <v>166</v>
      </c>
      <c r="EN997" s="27" t="s">
        <v>166</v>
      </c>
      <c r="EO997" s="27" t="s">
        <v>166</v>
      </c>
      <c r="EP997" s="27" t="s">
        <v>166</v>
      </c>
      <c r="EQ997" s="27" t="s">
        <v>166</v>
      </c>
      <c r="ER997" s="27" t="s">
        <v>166</v>
      </c>
      <c r="ES997" s="27" t="s">
        <v>166</v>
      </c>
      <c r="ET997" s="25" t="s">
        <v>166</v>
      </c>
      <c r="EU997" s="27" t="s">
        <v>166</v>
      </c>
      <c r="EV997" s="27" t="s">
        <v>166</v>
      </c>
      <c r="EW997" s="27" t="s">
        <v>166</v>
      </c>
      <c r="EX997" s="25" t="s">
        <v>190</v>
      </c>
      <c r="EY997" s="25" t="s">
        <v>166</v>
      </c>
      <c r="EZ997" s="27" t="s">
        <v>166</v>
      </c>
      <c r="FA997" s="26" t="s">
        <v>166</v>
      </c>
      <c r="FB997" s="26" t="s">
        <v>166</v>
      </c>
      <c r="FC997" s="26" t="s">
        <v>166</v>
      </c>
      <c r="FD997" s="26" t="s">
        <v>166</v>
      </c>
      <c r="FE997" s="26" t="s">
        <v>166</v>
      </c>
      <c r="FF997" s="26" t="s">
        <v>166</v>
      </c>
      <c r="FG997" s="25" t="s">
        <v>166</v>
      </c>
      <c r="FH997" s="4">
        <f>HYPERLINK("https://my.pitchbook.com?c=206454-52T","View Company Online")</f>
      </c>
    </row>
    <row r="998">
      <c r="A998" s="14" t="s">
        <v>18890</v>
      </c>
      <c r="B998" s="14" t="s">
        <v>18891</v>
      </c>
      <c r="C998" s="14" t="s">
        <v>18892</v>
      </c>
      <c r="D998" s="14" t="s">
        <v>166</v>
      </c>
      <c r="E998" s="23" t="s">
        <v>18893</v>
      </c>
      <c r="F998" s="21">
        <v>13</v>
      </c>
      <c r="G998" s="14" t="s">
        <v>18894</v>
      </c>
      <c r="H998" s="14" t="s">
        <v>166</v>
      </c>
      <c r="I998" s="14" t="s">
        <v>18895</v>
      </c>
      <c r="J998" s="14" t="s">
        <v>18896</v>
      </c>
      <c r="K998" s="14" t="s">
        <v>207</v>
      </c>
      <c r="L998" s="14" t="s">
        <v>208</v>
      </c>
      <c r="M998" s="14" t="s">
        <v>209</v>
      </c>
      <c r="N998" s="14" t="s">
        <v>18897</v>
      </c>
      <c r="O998" s="14" t="s">
        <v>800</v>
      </c>
      <c r="P998" s="14" t="s">
        <v>18898</v>
      </c>
      <c r="Q998" s="14" t="s">
        <v>166</v>
      </c>
      <c r="R998" s="14" t="s">
        <v>177</v>
      </c>
      <c r="S998" s="14" t="s">
        <v>358</v>
      </c>
      <c r="T998" s="14" t="s">
        <v>179</v>
      </c>
      <c r="U998" s="14" t="s">
        <v>18899</v>
      </c>
      <c r="V998" s="14" t="s">
        <v>18900</v>
      </c>
      <c r="W998" s="21" t="s">
        <v>166</v>
      </c>
      <c r="X998" s="14" t="s">
        <v>18901</v>
      </c>
      <c r="Y998" s="14" t="s">
        <v>18902</v>
      </c>
      <c r="Z998" s="14" t="s">
        <v>18903</v>
      </c>
      <c r="AA998" s="14" t="s">
        <v>166</v>
      </c>
      <c r="AB998" s="14" t="s">
        <v>166</v>
      </c>
      <c r="AC998" s="14" t="s">
        <v>166</v>
      </c>
      <c r="AD998" s="14" t="s">
        <v>166</v>
      </c>
      <c r="AE998" s="14" t="s">
        <v>166</v>
      </c>
      <c r="AF998" s="14" t="s">
        <v>166</v>
      </c>
      <c r="AG998" s="14" t="s">
        <v>166</v>
      </c>
      <c r="AH998" s="21">
        <v>1</v>
      </c>
      <c r="AI998" s="3">
        <f>HYPERLINK("https://my.pitchbook.com/?d=190128-25T","190128-25T")</f>
      </c>
      <c r="AJ998" s="19">
        <v>44651</v>
      </c>
      <c r="AK998" s="19">
        <v>44664</v>
      </c>
      <c r="AL998" s="18">
        <v>2.8</v>
      </c>
      <c r="AM998" s="14" t="s">
        <v>185</v>
      </c>
      <c r="AN998" s="18" t="s">
        <v>166</v>
      </c>
      <c r="AO998" s="18" t="s">
        <v>166</v>
      </c>
      <c r="AP998" s="14" t="s">
        <v>166</v>
      </c>
      <c r="AQ998" s="21" t="s">
        <v>166</v>
      </c>
      <c r="AR998" s="21" t="s">
        <v>166</v>
      </c>
      <c r="AS998" s="17" t="s">
        <v>166</v>
      </c>
      <c r="AT998" s="18">
        <v>2.8</v>
      </c>
      <c r="AU998" s="21" t="s">
        <v>186</v>
      </c>
      <c r="AV998" s="21" t="s">
        <v>166</v>
      </c>
      <c r="AW998" s="18" t="s">
        <v>166</v>
      </c>
      <c r="AX998" s="21" t="s">
        <v>166</v>
      </c>
      <c r="AY998" s="14" t="s">
        <v>217</v>
      </c>
      <c r="AZ998" s="14" t="s">
        <v>217</v>
      </c>
      <c r="BA998" s="14" t="s">
        <v>166</v>
      </c>
      <c r="BB998" s="21" t="s">
        <v>166</v>
      </c>
      <c r="BC998" s="14" t="s">
        <v>179</v>
      </c>
      <c r="BD998" s="14" t="s">
        <v>18896</v>
      </c>
      <c r="BE998" s="14" t="s">
        <v>189</v>
      </c>
      <c r="BF998" s="18">
        <v>2.8</v>
      </c>
      <c r="BG998" s="14" t="s">
        <v>190</v>
      </c>
      <c r="BH998" s="14" t="s">
        <v>166</v>
      </c>
      <c r="BI998" s="14" t="s">
        <v>166</v>
      </c>
      <c r="BJ998" s="18" t="s">
        <v>166</v>
      </c>
      <c r="BK998" s="18" t="s">
        <v>166</v>
      </c>
      <c r="BL998" s="14" t="s">
        <v>191</v>
      </c>
      <c r="BM998" s="14" t="s">
        <v>358</v>
      </c>
      <c r="BN998" s="14" t="s">
        <v>177</v>
      </c>
      <c r="BO998" s="22">
        <v>15</v>
      </c>
      <c r="BP998" s="14" t="s">
        <v>18904</v>
      </c>
      <c r="BQ998" s="21">
        <v>13</v>
      </c>
      <c r="BR998" s="14" t="s">
        <v>166</v>
      </c>
      <c r="BS998" s="21" t="s">
        <v>166</v>
      </c>
      <c r="BT998" s="14" t="s">
        <v>18905</v>
      </c>
      <c r="BU998" s="14" t="s">
        <v>166</v>
      </c>
      <c r="BV998" s="14" t="s">
        <v>18906</v>
      </c>
      <c r="BW998" s="14" t="s">
        <v>166</v>
      </c>
      <c r="BX998" s="14" t="s">
        <v>166</v>
      </c>
      <c r="BY998" s="14" t="s">
        <v>166</v>
      </c>
      <c r="BZ998" s="14" t="s">
        <v>166</v>
      </c>
      <c r="CA998" s="14" t="s">
        <v>166</v>
      </c>
      <c r="CB998" s="14" t="s">
        <v>166</v>
      </c>
      <c r="CC998" s="14" t="s">
        <v>166</v>
      </c>
      <c r="CD998" s="14" t="s">
        <v>166</v>
      </c>
      <c r="CE998" s="18" t="s">
        <v>166</v>
      </c>
      <c r="CF998" s="16" t="s">
        <v>166</v>
      </c>
      <c r="CG998" s="17" t="s">
        <v>166</v>
      </c>
      <c r="CH998" s="16" t="s">
        <v>166</v>
      </c>
      <c r="CI998" s="16" t="s">
        <v>166</v>
      </c>
      <c r="CJ998" s="16" t="s">
        <v>166</v>
      </c>
      <c r="CK998" s="16" t="s">
        <v>166</v>
      </c>
      <c r="CL998" s="16" t="s">
        <v>166</v>
      </c>
      <c r="CM998" s="20" t="s">
        <v>166</v>
      </c>
      <c r="CN998" s="16" t="s">
        <v>166</v>
      </c>
      <c r="CO998" s="16" t="s">
        <v>166</v>
      </c>
      <c r="CP998" s="16" t="s">
        <v>166</v>
      </c>
      <c r="CQ998" s="16" t="s">
        <v>166</v>
      </c>
      <c r="CR998" s="16" t="s">
        <v>166</v>
      </c>
      <c r="CS998" s="16" t="s">
        <v>166</v>
      </c>
      <c r="CT998" s="16" t="s">
        <v>166</v>
      </c>
      <c r="CU998" s="16" t="s">
        <v>166</v>
      </c>
      <c r="CV998" s="16" t="s">
        <v>166</v>
      </c>
      <c r="CW998" s="16" t="s">
        <v>166</v>
      </c>
      <c r="CX998" s="16" t="s">
        <v>166</v>
      </c>
      <c r="CY998" s="16" t="s">
        <v>166</v>
      </c>
      <c r="CZ998" s="16" t="s">
        <v>166</v>
      </c>
      <c r="DA998" s="16" t="s">
        <v>166</v>
      </c>
      <c r="DB998" s="16" t="s">
        <v>166</v>
      </c>
      <c r="DC998" s="16" t="s">
        <v>166</v>
      </c>
      <c r="DD998" s="16" t="s">
        <v>166</v>
      </c>
      <c r="DE998" s="17" t="s">
        <v>166</v>
      </c>
      <c r="DF998" s="22">
        <v>13</v>
      </c>
      <c r="DG998" s="14" t="s">
        <v>673</v>
      </c>
      <c r="DH998" s="14" t="s">
        <v>193</v>
      </c>
      <c r="DI998" s="14" t="s">
        <v>194</v>
      </c>
      <c r="DJ998" s="14" t="s">
        <v>674</v>
      </c>
      <c r="DK998" s="14" t="s">
        <v>257</v>
      </c>
      <c r="DL998" s="21" t="s">
        <v>18907</v>
      </c>
      <c r="DM998" s="14" t="s">
        <v>198</v>
      </c>
      <c r="DN998" s="13" t="s">
        <v>18908</v>
      </c>
      <c r="DO998" s="20">
        <v>2021</v>
      </c>
      <c r="DP998" s="14" t="s">
        <v>166</v>
      </c>
      <c r="DQ998" s="14" t="s">
        <v>166</v>
      </c>
      <c r="DR998" s="18" t="s">
        <v>166</v>
      </c>
      <c r="DS998" s="16" t="s">
        <v>166</v>
      </c>
      <c r="DT998" s="19" t="s">
        <v>166</v>
      </c>
      <c r="DU998" s="14" t="s">
        <v>166</v>
      </c>
      <c r="DV998" s="18" t="s">
        <v>166</v>
      </c>
      <c r="DW998" s="18" t="s">
        <v>166</v>
      </c>
      <c r="DX998" s="16" t="s">
        <v>166</v>
      </c>
      <c r="DY998" s="16" t="s">
        <v>166</v>
      </c>
      <c r="DZ998" s="17" t="s">
        <v>166</v>
      </c>
      <c r="EA998" s="16" t="s">
        <v>166</v>
      </c>
      <c r="EB998" s="16" t="s">
        <v>166</v>
      </c>
      <c r="EC998" s="16" t="s">
        <v>166</v>
      </c>
      <c r="ED998" s="17" t="s">
        <v>166</v>
      </c>
      <c r="EE998" s="17" t="s">
        <v>166</v>
      </c>
      <c r="EF998" s="17" t="s">
        <v>166</v>
      </c>
      <c r="EG998" s="17" t="s">
        <v>166</v>
      </c>
      <c r="EH998" s="16" t="s">
        <v>166</v>
      </c>
      <c r="EI998" s="16" t="s">
        <v>166</v>
      </c>
      <c r="EJ998" s="16" t="s">
        <v>166</v>
      </c>
      <c r="EK998" s="16" t="s">
        <v>166</v>
      </c>
      <c r="EL998" s="16" t="s">
        <v>166</v>
      </c>
      <c r="EM998" s="16" t="s">
        <v>166</v>
      </c>
      <c r="EN998" s="16" t="s">
        <v>166</v>
      </c>
      <c r="EO998" s="16" t="s">
        <v>166</v>
      </c>
      <c r="EP998" s="16" t="s">
        <v>166</v>
      </c>
      <c r="EQ998" s="16" t="s">
        <v>166</v>
      </c>
      <c r="ER998" s="16" t="s">
        <v>166</v>
      </c>
      <c r="ES998" s="16" t="s">
        <v>166</v>
      </c>
      <c r="ET998" s="14" t="s">
        <v>166</v>
      </c>
      <c r="EU998" s="16" t="s">
        <v>166</v>
      </c>
      <c r="EV998" s="16" t="s">
        <v>166</v>
      </c>
      <c r="EW998" s="16" t="s">
        <v>166</v>
      </c>
      <c r="EX998" s="14" t="s">
        <v>190</v>
      </c>
      <c r="EY998" s="14" t="s">
        <v>166</v>
      </c>
      <c r="EZ998" s="16" t="s">
        <v>166</v>
      </c>
      <c r="FA998" s="15" t="s">
        <v>166</v>
      </c>
      <c r="FB998" s="15" t="s">
        <v>166</v>
      </c>
      <c r="FC998" s="15" t="s">
        <v>166</v>
      </c>
      <c r="FD998" s="15" t="s">
        <v>166</v>
      </c>
      <c r="FE998" s="15" t="s">
        <v>166</v>
      </c>
      <c r="FF998" s="15" t="s">
        <v>166</v>
      </c>
      <c r="FG998" s="14" t="s">
        <v>166</v>
      </c>
      <c r="FH998" s="3">
        <f>HYPERLINK("https://my.pitchbook.com?c=190128-25T","View Company Online")</f>
      </c>
    </row>
    <row r="999">
      <c r="A999" s="25" t="s">
        <v>18909</v>
      </c>
      <c r="B999" s="25" t="s">
        <v>18910</v>
      </c>
      <c r="C999" s="25" t="s">
        <v>18911</v>
      </c>
      <c r="D999" s="25" t="s">
        <v>166</v>
      </c>
      <c r="E999" s="34" t="s">
        <v>18912</v>
      </c>
      <c r="F999" s="32">
        <v>1</v>
      </c>
      <c r="G999" s="25" t="s">
        <v>18913</v>
      </c>
      <c r="H999" s="25" t="s">
        <v>166</v>
      </c>
      <c r="I999" s="25" t="s">
        <v>18914</v>
      </c>
      <c r="J999" s="25" t="s">
        <v>18915</v>
      </c>
      <c r="K999" s="25" t="s">
        <v>171</v>
      </c>
      <c r="L999" s="25" t="s">
        <v>172</v>
      </c>
      <c r="M999" s="25" t="s">
        <v>1033</v>
      </c>
      <c r="N999" s="25" t="s">
        <v>18916</v>
      </c>
      <c r="O999" s="25" t="s">
        <v>3388</v>
      </c>
      <c r="P999" s="25" t="s">
        <v>18917</v>
      </c>
      <c r="Q999" s="25" t="s">
        <v>166</v>
      </c>
      <c r="R999" s="25" t="s">
        <v>177</v>
      </c>
      <c r="S999" s="25" t="s">
        <v>178</v>
      </c>
      <c r="T999" s="25" t="s">
        <v>179</v>
      </c>
      <c r="U999" s="25" t="s">
        <v>18918</v>
      </c>
      <c r="V999" s="25" t="s">
        <v>18919</v>
      </c>
      <c r="W999" s="32" t="s">
        <v>18920</v>
      </c>
      <c r="X999" s="25" t="s">
        <v>18921</v>
      </c>
      <c r="Y999" s="25" t="s">
        <v>18922</v>
      </c>
      <c r="Z999" s="25" t="s">
        <v>166</v>
      </c>
      <c r="AA999" s="25" t="s">
        <v>166</v>
      </c>
      <c r="AB999" s="25" t="s">
        <v>166</v>
      </c>
      <c r="AC999" s="25" t="s">
        <v>166</v>
      </c>
      <c r="AD999" s="25" t="s">
        <v>166</v>
      </c>
      <c r="AE999" s="25" t="s">
        <v>166</v>
      </c>
      <c r="AF999" s="25" t="s">
        <v>166</v>
      </c>
      <c r="AG999" s="25" t="s">
        <v>166</v>
      </c>
      <c r="AH999" s="32">
        <v>5</v>
      </c>
      <c r="AI999" s="4">
        <f>HYPERLINK("https://my.pitchbook.com/?d=191834-56T","191834-56T")</f>
      </c>
      <c r="AJ999" s="30">
        <v>43733</v>
      </c>
      <c r="AK999" s="30">
        <v>44675</v>
      </c>
      <c r="AL999" s="29">
        <v>1.54</v>
      </c>
      <c r="AM999" s="25" t="s">
        <v>185</v>
      </c>
      <c r="AN999" s="29" t="s">
        <v>166</v>
      </c>
      <c r="AO999" s="29" t="s">
        <v>166</v>
      </c>
      <c r="AP999" s="25" t="s">
        <v>166</v>
      </c>
      <c r="AQ999" s="32" t="s">
        <v>166</v>
      </c>
      <c r="AR999" s="32" t="s">
        <v>166</v>
      </c>
      <c r="AS999" s="28" t="s">
        <v>166</v>
      </c>
      <c r="AT999" s="29">
        <v>1.98</v>
      </c>
      <c r="AU999" s="32" t="s">
        <v>186</v>
      </c>
      <c r="AV999" s="32" t="s">
        <v>166</v>
      </c>
      <c r="AW999" s="29" t="s">
        <v>166</v>
      </c>
      <c r="AX999" s="32" t="s">
        <v>746</v>
      </c>
      <c r="AY999" s="25" t="s">
        <v>217</v>
      </c>
      <c r="AZ999" s="25" t="s">
        <v>746</v>
      </c>
      <c r="BA999" s="25" t="s">
        <v>166</v>
      </c>
      <c r="BB999" s="32" t="s">
        <v>166</v>
      </c>
      <c r="BC999" s="25" t="s">
        <v>179</v>
      </c>
      <c r="BD999" s="25" t="s">
        <v>18915</v>
      </c>
      <c r="BE999" s="25" t="s">
        <v>189</v>
      </c>
      <c r="BF999" s="29" t="s">
        <v>166</v>
      </c>
      <c r="BG999" s="25" t="s">
        <v>190</v>
      </c>
      <c r="BH999" s="25" t="s">
        <v>166</v>
      </c>
      <c r="BI999" s="25" t="s">
        <v>166</v>
      </c>
      <c r="BJ999" s="29">
        <v>1.54</v>
      </c>
      <c r="BK999" s="29" t="s">
        <v>166</v>
      </c>
      <c r="BL999" s="25" t="s">
        <v>191</v>
      </c>
      <c r="BM999" s="25" t="s">
        <v>178</v>
      </c>
      <c r="BN999" s="25" t="s">
        <v>177</v>
      </c>
      <c r="BO999" s="33">
        <v>2</v>
      </c>
      <c r="BP999" s="25" t="s">
        <v>18912</v>
      </c>
      <c r="BQ999" s="32">
        <v>1</v>
      </c>
      <c r="BR999" s="25" t="s">
        <v>166</v>
      </c>
      <c r="BS999" s="32" t="s">
        <v>166</v>
      </c>
      <c r="BT999" s="25" t="s">
        <v>166</v>
      </c>
      <c r="BU999" s="25" t="s">
        <v>166</v>
      </c>
      <c r="BV999" s="25" t="s">
        <v>18923</v>
      </c>
      <c r="BW999" s="25" t="s">
        <v>166</v>
      </c>
      <c r="BX999" s="25" t="s">
        <v>166</v>
      </c>
      <c r="BY999" s="25" t="s">
        <v>166</v>
      </c>
      <c r="BZ999" s="25" t="s">
        <v>166</v>
      </c>
      <c r="CA999" s="25" t="s">
        <v>166</v>
      </c>
      <c r="CB999" s="25" t="s">
        <v>166</v>
      </c>
      <c r="CC999" s="25" t="s">
        <v>166</v>
      </c>
      <c r="CD999" s="25" t="s">
        <v>166</v>
      </c>
      <c r="CE999" s="29" t="s">
        <v>166</v>
      </c>
      <c r="CF999" s="27" t="s">
        <v>166</v>
      </c>
      <c r="CG999" s="28" t="s">
        <v>166</v>
      </c>
      <c r="CH999" s="27" t="s">
        <v>166</v>
      </c>
      <c r="CI999" s="27" t="s">
        <v>166</v>
      </c>
      <c r="CJ999" s="27" t="s">
        <v>166</v>
      </c>
      <c r="CK999" s="27" t="s">
        <v>166</v>
      </c>
      <c r="CL999" s="27" t="s">
        <v>166</v>
      </c>
      <c r="CM999" s="31" t="s">
        <v>166</v>
      </c>
      <c r="CN999" s="27" t="s">
        <v>166</v>
      </c>
      <c r="CO999" s="27" t="s">
        <v>166</v>
      </c>
      <c r="CP999" s="27" t="s">
        <v>166</v>
      </c>
      <c r="CQ999" s="27" t="s">
        <v>166</v>
      </c>
      <c r="CR999" s="27" t="s">
        <v>166</v>
      </c>
      <c r="CS999" s="27" t="s">
        <v>166</v>
      </c>
      <c r="CT999" s="27" t="s">
        <v>166</v>
      </c>
      <c r="CU999" s="27" t="s">
        <v>166</v>
      </c>
      <c r="CV999" s="27" t="s">
        <v>166</v>
      </c>
      <c r="CW999" s="27" t="s">
        <v>166</v>
      </c>
      <c r="CX999" s="27" t="s">
        <v>166</v>
      </c>
      <c r="CY999" s="27" t="s">
        <v>166</v>
      </c>
      <c r="CZ999" s="27" t="s">
        <v>166</v>
      </c>
      <c r="DA999" s="27" t="s">
        <v>166</v>
      </c>
      <c r="DB999" s="27" t="s">
        <v>166</v>
      </c>
      <c r="DC999" s="27" t="s">
        <v>166</v>
      </c>
      <c r="DD999" s="27" t="s">
        <v>166</v>
      </c>
      <c r="DE999" s="28" t="s">
        <v>166</v>
      </c>
      <c r="DF999" s="33">
        <v>18</v>
      </c>
      <c r="DG999" s="25" t="s">
        <v>13963</v>
      </c>
      <c r="DH999" s="25" t="s">
        <v>193</v>
      </c>
      <c r="DI999" s="25" t="s">
        <v>194</v>
      </c>
      <c r="DJ999" s="25" t="s">
        <v>13964</v>
      </c>
      <c r="DK999" s="25" t="s">
        <v>8633</v>
      </c>
      <c r="DL999" s="32" t="s">
        <v>13965</v>
      </c>
      <c r="DM999" s="25" t="s">
        <v>198</v>
      </c>
      <c r="DN999" s="24" t="s">
        <v>18924</v>
      </c>
      <c r="DO999" s="31">
        <v>2018</v>
      </c>
      <c r="DP999" s="25" t="s">
        <v>166</v>
      </c>
      <c r="DQ999" s="25" t="s">
        <v>18925</v>
      </c>
      <c r="DR999" s="29">
        <v>1.54</v>
      </c>
      <c r="DS999" s="27" t="s">
        <v>166</v>
      </c>
      <c r="DT999" s="30" t="s">
        <v>166</v>
      </c>
      <c r="DU999" s="25" t="s">
        <v>166</v>
      </c>
      <c r="DV999" s="29" t="s">
        <v>166</v>
      </c>
      <c r="DW999" s="29" t="s">
        <v>166</v>
      </c>
      <c r="DX999" s="27" t="s">
        <v>166</v>
      </c>
      <c r="DY999" s="27" t="s">
        <v>166</v>
      </c>
      <c r="DZ999" s="28" t="s">
        <v>166</v>
      </c>
      <c r="EA999" s="27" t="s">
        <v>166</v>
      </c>
      <c r="EB999" s="27" t="s">
        <v>166</v>
      </c>
      <c r="EC999" s="27" t="s">
        <v>166</v>
      </c>
      <c r="ED999" s="28" t="s">
        <v>166</v>
      </c>
      <c r="EE999" s="28" t="s">
        <v>166</v>
      </c>
      <c r="EF999" s="28" t="s">
        <v>166</v>
      </c>
      <c r="EG999" s="28" t="s">
        <v>166</v>
      </c>
      <c r="EH999" s="27" t="s">
        <v>166</v>
      </c>
      <c r="EI999" s="27" t="s">
        <v>166</v>
      </c>
      <c r="EJ999" s="27" t="s">
        <v>166</v>
      </c>
      <c r="EK999" s="27" t="s">
        <v>166</v>
      </c>
      <c r="EL999" s="27" t="s">
        <v>166</v>
      </c>
      <c r="EM999" s="27" t="s">
        <v>166</v>
      </c>
      <c r="EN999" s="27" t="s">
        <v>166</v>
      </c>
      <c r="EO999" s="27" t="s">
        <v>166</v>
      </c>
      <c r="EP999" s="27" t="s">
        <v>166</v>
      </c>
      <c r="EQ999" s="27" t="s">
        <v>166</v>
      </c>
      <c r="ER999" s="27" t="s">
        <v>166</v>
      </c>
      <c r="ES999" s="27" t="s">
        <v>166</v>
      </c>
      <c r="ET999" s="25" t="s">
        <v>166</v>
      </c>
      <c r="EU999" s="27" t="s">
        <v>166</v>
      </c>
      <c r="EV999" s="27" t="s">
        <v>166</v>
      </c>
      <c r="EW999" s="27" t="s">
        <v>166</v>
      </c>
      <c r="EX999" s="25" t="s">
        <v>190</v>
      </c>
      <c r="EY999" s="25" t="s">
        <v>190</v>
      </c>
      <c r="EZ999" s="27" t="s">
        <v>166</v>
      </c>
      <c r="FA999" s="26" t="s">
        <v>166</v>
      </c>
      <c r="FB999" s="26" t="s">
        <v>166</v>
      </c>
      <c r="FC999" s="26" t="s">
        <v>166</v>
      </c>
      <c r="FD999" s="26" t="s">
        <v>166</v>
      </c>
      <c r="FE999" s="26" t="s">
        <v>166</v>
      </c>
      <c r="FF999" s="26" t="s">
        <v>166</v>
      </c>
      <c r="FG999" s="25" t="s">
        <v>166</v>
      </c>
      <c r="FH999" s="4">
        <f>HYPERLINK("https://my.pitchbook.com?c=191834-56T","View Company Online")</f>
      </c>
    </row>
    <row r="1000">
      <c r="A1000" s="14" t="s">
        <v>18926</v>
      </c>
      <c r="B1000" s="14" t="s">
        <v>18927</v>
      </c>
      <c r="C1000" s="14" t="s">
        <v>18928</v>
      </c>
      <c r="D1000" s="14" t="s">
        <v>166</v>
      </c>
      <c r="E1000" s="23" t="s">
        <v>18929</v>
      </c>
      <c r="F1000" s="21">
        <v>3</v>
      </c>
      <c r="G1000" s="14" t="s">
        <v>18930</v>
      </c>
      <c r="H1000" s="14" t="s">
        <v>166</v>
      </c>
      <c r="I1000" s="14" t="s">
        <v>18931</v>
      </c>
      <c r="J1000" s="14" t="s">
        <v>18932</v>
      </c>
      <c r="K1000" s="14" t="s">
        <v>207</v>
      </c>
      <c r="L1000" s="14" t="s">
        <v>208</v>
      </c>
      <c r="M1000" s="14" t="s">
        <v>209</v>
      </c>
      <c r="N1000" s="14" t="s">
        <v>269</v>
      </c>
      <c r="O1000" s="14" t="s">
        <v>531</v>
      </c>
      <c r="P1000" s="14" t="s">
        <v>18933</v>
      </c>
      <c r="Q1000" s="14" t="s">
        <v>166</v>
      </c>
      <c r="R1000" s="14" t="s">
        <v>177</v>
      </c>
      <c r="S1000" s="14" t="s">
        <v>178</v>
      </c>
      <c r="T1000" s="14" t="s">
        <v>179</v>
      </c>
      <c r="U1000" s="14" t="s">
        <v>18934</v>
      </c>
      <c r="V1000" s="14" t="s">
        <v>18935</v>
      </c>
      <c r="W1000" s="21" t="s">
        <v>18936</v>
      </c>
      <c r="X1000" s="14" t="s">
        <v>18937</v>
      </c>
      <c r="Y1000" s="14" t="s">
        <v>18938</v>
      </c>
      <c r="Z1000" s="14" t="s">
        <v>18939</v>
      </c>
      <c r="AA1000" s="14" t="s">
        <v>242</v>
      </c>
      <c r="AB1000" s="14" t="s">
        <v>243</v>
      </c>
      <c r="AC1000" s="14" t="s">
        <v>244</v>
      </c>
      <c r="AD1000" s="14" t="s">
        <v>243</v>
      </c>
      <c r="AE1000" s="14" t="s">
        <v>243</v>
      </c>
      <c r="AF1000" s="14" t="s">
        <v>166</v>
      </c>
      <c r="AG1000" s="14" t="s">
        <v>246</v>
      </c>
      <c r="AH1000" s="21">
        <v>1</v>
      </c>
      <c r="AI1000" s="3">
        <f>HYPERLINK("https://my.pitchbook.com/?d=139318-48T","139318-48T")</f>
      </c>
      <c r="AJ1000" s="19" t="s">
        <v>166</v>
      </c>
      <c r="AK1000" s="19">
        <v>44021</v>
      </c>
      <c r="AL1000" s="18">
        <v>4.1</v>
      </c>
      <c r="AM1000" s="14" t="s">
        <v>185</v>
      </c>
      <c r="AN1000" s="18">
        <v>10</v>
      </c>
      <c r="AO1000" s="18">
        <v>14.1</v>
      </c>
      <c r="AP1000" s="14" t="s">
        <v>185</v>
      </c>
      <c r="AQ1000" s="21" t="s">
        <v>166</v>
      </c>
      <c r="AR1000" s="21" t="s">
        <v>166</v>
      </c>
      <c r="AS1000" s="17">
        <v>42.56</v>
      </c>
      <c r="AT1000" s="18">
        <v>4.1</v>
      </c>
      <c r="AU1000" s="21" t="s">
        <v>186</v>
      </c>
      <c r="AV1000" s="21" t="s">
        <v>166</v>
      </c>
      <c r="AW1000" s="18">
        <v>0.77</v>
      </c>
      <c r="AX1000" s="21" t="s">
        <v>166</v>
      </c>
      <c r="AY1000" s="14" t="s">
        <v>217</v>
      </c>
      <c r="AZ1000" s="14" t="s">
        <v>217</v>
      </c>
      <c r="BA1000" s="14" t="s">
        <v>166</v>
      </c>
      <c r="BB1000" s="21" t="s">
        <v>166</v>
      </c>
      <c r="BC1000" s="14" t="s">
        <v>179</v>
      </c>
      <c r="BD1000" s="14" t="s">
        <v>18940</v>
      </c>
      <c r="BE1000" s="14" t="s">
        <v>189</v>
      </c>
      <c r="BF1000" s="18">
        <v>4.1</v>
      </c>
      <c r="BG1000" s="14" t="s">
        <v>190</v>
      </c>
      <c r="BH1000" s="14" t="s">
        <v>166</v>
      </c>
      <c r="BI1000" s="14" t="s">
        <v>166</v>
      </c>
      <c r="BJ1000" s="18" t="s">
        <v>166</v>
      </c>
      <c r="BK1000" s="18" t="s">
        <v>166</v>
      </c>
      <c r="BL1000" s="14" t="s">
        <v>191</v>
      </c>
      <c r="BM1000" s="14" t="s">
        <v>178</v>
      </c>
      <c r="BN1000" s="14" t="s">
        <v>177</v>
      </c>
      <c r="BO1000" s="22" t="s">
        <v>166</v>
      </c>
      <c r="BP1000" s="14" t="s">
        <v>18941</v>
      </c>
      <c r="BQ1000" s="21">
        <v>3</v>
      </c>
      <c r="BR1000" s="14" t="s">
        <v>166</v>
      </c>
      <c r="BS1000" s="21" t="s">
        <v>166</v>
      </c>
      <c r="BT1000" s="14" t="s">
        <v>166</v>
      </c>
      <c r="BU1000" s="14" t="s">
        <v>166</v>
      </c>
      <c r="BV1000" s="14" t="s">
        <v>18942</v>
      </c>
      <c r="BW1000" s="14" t="s">
        <v>166</v>
      </c>
      <c r="BX1000" s="14" t="s">
        <v>166</v>
      </c>
      <c r="BY1000" s="14" t="s">
        <v>166</v>
      </c>
      <c r="BZ1000" s="14" t="s">
        <v>166</v>
      </c>
      <c r="CA1000" s="14" t="s">
        <v>166</v>
      </c>
      <c r="CB1000" s="14" t="s">
        <v>166</v>
      </c>
      <c r="CC1000" s="14" t="s">
        <v>166</v>
      </c>
      <c r="CD1000" s="14" t="s">
        <v>166</v>
      </c>
      <c r="CE1000" s="18" t="s">
        <v>166</v>
      </c>
      <c r="CF1000" s="16" t="s">
        <v>166</v>
      </c>
      <c r="CG1000" s="17" t="s">
        <v>166</v>
      </c>
      <c r="CH1000" s="16" t="s">
        <v>166</v>
      </c>
      <c r="CI1000" s="16" t="s">
        <v>166</v>
      </c>
      <c r="CJ1000" s="16" t="s">
        <v>166</v>
      </c>
      <c r="CK1000" s="16" t="s">
        <v>166</v>
      </c>
      <c r="CL1000" s="16" t="s">
        <v>166</v>
      </c>
      <c r="CM1000" s="20" t="s">
        <v>166</v>
      </c>
      <c r="CN1000" s="16" t="s">
        <v>166</v>
      </c>
      <c r="CO1000" s="16" t="s">
        <v>166</v>
      </c>
      <c r="CP1000" s="16" t="s">
        <v>166</v>
      </c>
      <c r="CQ1000" s="16" t="s">
        <v>166</v>
      </c>
      <c r="CR1000" s="16" t="s">
        <v>166</v>
      </c>
      <c r="CS1000" s="16" t="s">
        <v>166</v>
      </c>
      <c r="CT1000" s="16" t="s">
        <v>166</v>
      </c>
      <c r="CU1000" s="16" t="s">
        <v>166</v>
      </c>
      <c r="CV1000" s="16" t="s">
        <v>166</v>
      </c>
      <c r="CW1000" s="16" t="s">
        <v>166</v>
      </c>
      <c r="CX1000" s="16" t="s">
        <v>166</v>
      </c>
      <c r="CY1000" s="16" t="s">
        <v>166</v>
      </c>
      <c r="CZ1000" s="16" t="s">
        <v>166</v>
      </c>
      <c r="DA1000" s="16" t="s">
        <v>166</v>
      </c>
      <c r="DB1000" s="16" t="s">
        <v>166</v>
      </c>
      <c r="DC1000" s="16" t="s">
        <v>166</v>
      </c>
      <c r="DD1000" s="16" t="s">
        <v>166</v>
      </c>
      <c r="DE1000" s="17" t="s">
        <v>166</v>
      </c>
      <c r="DF1000" s="22">
        <v>110</v>
      </c>
      <c r="DG1000" s="14" t="s">
        <v>673</v>
      </c>
      <c r="DH1000" s="14" t="s">
        <v>193</v>
      </c>
      <c r="DI1000" s="14" t="s">
        <v>194</v>
      </c>
      <c r="DJ1000" s="14" t="s">
        <v>674</v>
      </c>
      <c r="DK1000" s="14" t="s">
        <v>257</v>
      </c>
      <c r="DL1000" s="21" t="s">
        <v>1491</v>
      </c>
      <c r="DM1000" s="14" t="s">
        <v>198</v>
      </c>
      <c r="DN1000" s="13" t="s">
        <v>18943</v>
      </c>
      <c r="DO1000" s="20">
        <v>2018</v>
      </c>
      <c r="DP1000" s="14" t="s">
        <v>166</v>
      </c>
      <c r="DQ1000" s="14" t="s">
        <v>166</v>
      </c>
      <c r="DR1000" s="18" t="s">
        <v>166</v>
      </c>
      <c r="DS1000" s="16" t="s">
        <v>166</v>
      </c>
      <c r="DT1000" s="19" t="s">
        <v>166</v>
      </c>
      <c r="DU1000" s="14" t="s">
        <v>166</v>
      </c>
      <c r="DV1000" s="18" t="s">
        <v>166</v>
      </c>
      <c r="DW1000" s="18" t="s">
        <v>166</v>
      </c>
      <c r="DX1000" s="16" t="s">
        <v>166</v>
      </c>
      <c r="DY1000" s="16" t="s">
        <v>166</v>
      </c>
      <c r="DZ1000" s="17" t="s">
        <v>166</v>
      </c>
      <c r="EA1000" s="16" t="s">
        <v>166</v>
      </c>
      <c r="EB1000" s="16" t="s">
        <v>166</v>
      </c>
      <c r="EC1000" s="16" t="s">
        <v>166</v>
      </c>
      <c r="ED1000" s="17" t="s">
        <v>166</v>
      </c>
      <c r="EE1000" s="17" t="s">
        <v>166</v>
      </c>
      <c r="EF1000" s="17" t="s">
        <v>166</v>
      </c>
      <c r="EG1000" s="17" t="s">
        <v>166</v>
      </c>
      <c r="EH1000" s="16" t="s">
        <v>166</v>
      </c>
      <c r="EI1000" s="16" t="s">
        <v>166</v>
      </c>
      <c r="EJ1000" s="16" t="s">
        <v>166</v>
      </c>
      <c r="EK1000" s="16" t="s">
        <v>166</v>
      </c>
      <c r="EL1000" s="16" t="s">
        <v>166</v>
      </c>
      <c r="EM1000" s="16" t="s">
        <v>166</v>
      </c>
      <c r="EN1000" s="16" t="s">
        <v>166</v>
      </c>
      <c r="EO1000" s="16" t="s">
        <v>166</v>
      </c>
      <c r="EP1000" s="16" t="s">
        <v>166</v>
      </c>
      <c r="EQ1000" s="16" t="s">
        <v>166</v>
      </c>
      <c r="ER1000" s="16" t="s">
        <v>166</v>
      </c>
      <c r="ES1000" s="16" t="s">
        <v>166</v>
      </c>
      <c r="ET1000" s="14" t="s">
        <v>166</v>
      </c>
      <c r="EU1000" s="16" t="s">
        <v>166</v>
      </c>
      <c r="EV1000" s="16" t="s">
        <v>166</v>
      </c>
      <c r="EW1000" s="16" t="s">
        <v>166</v>
      </c>
      <c r="EX1000" s="14" t="s">
        <v>190</v>
      </c>
      <c r="EY1000" s="14" t="s">
        <v>166</v>
      </c>
      <c r="EZ1000" s="16" t="s">
        <v>166</v>
      </c>
      <c r="FA1000" s="15" t="s">
        <v>166</v>
      </c>
      <c r="FB1000" s="15" t="s">
        <v>166</v>
      </c>
      <c r="FC1000" s="15" t="s">
        <v>166</v>
      </c>
      <c r="FD1000" s="15" t="s">
        <v>166</v>
      </c>
      <c r="FE1000" s="15" t="s">
        <v>166</v>
      </c>
      <c r="FF1000" s="15" t="s">
        <v>166</v>
      </c>
      <c r="FG1000" s="14" t="s">
        <v>166</v>
      </c>
      <c r="FH1000" s="3">
        <f>HYPERLINK("https://my.pitchbook.com?c=139318-48T","View Company Online")</f>
      </c>
    </row>
    <row r="1001">
      <c r="A1001" s="25" t="s">
        <v>18944</v>
      </c>
      <c r="B1001" s="25" t="s">
        <v>18945</v>
      </c>
      <c r="C1001" s="25" t="s">
        <v>18946</v>
      </c>
      <c r="D1001" s="25" t="s">
        <v>166</v>
      </c>
      <c r="E1001" s="34" t="s">
        <v>18947</v>
      </c>
      <c r="F1001" s="32">
        <v>3</v>
      </c>
      <c r="G1001" s="25" t="s">
        <v>18948</v>
      </c>
      <c r="H1001" s="25" t="s">
        <v>166</v>
      </c>
      <c r="I1001" s="25" t="s">
        <v>18949</v>
      </c>
      <c r="J1001" s="25" t="s">
        <v>18950</v>
      </c>
      <c r="K1001" s="25" t="s">
        <v>207</v>
      </c>
      <c r="L1001" s="25" t="s">
        <v>208</v>
      </c>
      <c r="M1001" s="25" t="s">
        <v>882</v>
      </c>
      <c r="N1001" s="25" t="s">
        <v>6571</v>
      </c>
      <c r="O1001" s="25" t="s">
        <v>8880</v>
      </c>
      <c r="P1001" s="25" t="s">
        <v>18951</v>
      </c>
      <c r="Q1001" s="25" t="s">
        <v>166</v>
      </c>
      <c r="R1001" s="25" t="s">
        <v>177</v>
      </c>
      <c r="S1001" s="25" t="s">
        <v>178</v>
      </c>
      <c r="T1001" s="25" t="s">
        <v>179</v>
      </c>
      <c r="U1001" s="25" t="s">
        <v>18952</v>
      </c>
      <c r="V1001" s="25" t="s">
        <v>18953</v>
      </c>
      <c r="W1001" s="32" t="s">
        <v>166</v>
      </c>
      <c r="X1001" s="25" t="s">
        <v>166</v>
      </c>
      <c r="Y1001" s="25" t="s">
        <v>18954</v>
      </c>
      <c r="Z1001" s="25" t="s">
        <v>166</v>
      </c>
      <c r="AA1001" s="25" t="s">
        <v>242</v>
      </c>
      <c r="AB1001" s="25" t="s">
        <v>243</v>
      </c>
      <c r="AC1001" s="25" t="s">
        <v>244</v>
      </c>
      <c r="AD1001" s="25" t="s">
        <v>243</v>
      </c>
      <c r="AE1001" s="25" t="s">
        <v>243</v>
      </c>
      <c r="AF1001" s="25" t="s">
        <v>166</v>
      </c>
      <c r="AG1001" s="25" t="s">
        <v>246</v>
      </c>
      <c r="AH1001" s="32">
        <v>1</v>
      </c>
      <c r="AI1001" s="4">
        <f>HYPERLINK("https://my.pitchbook.com/?d=193005-73T","193005-73T")</f>
      </c>
      <c r="AJ1001" s="30" t="s">
        <v>166</v>
      </c>
      <c r="AK1001" s="30">
        <v>44366</v>
      </c>
      <c r="AL1001" s="29">
        <v>0.5</v>
      </c>
      <c r="AM1001" s="25" t="s">
        <v>247</v>
      </c>
      <c r="AN1001" s="29">
        <v>4.5</v>
      </c>
      <c r="AO1001" s="29">
        <v>5</v>
      </c>
      <c r="AP1001" s="25" t="s">
        <v>185</v>
      </c>
      <c r="AQ1001" s="32" t="s">
        <v>166</v>
      </c>
      <c r="AR1001" s="32" t="s">
        <v>166</v>
      </c>
      <c r="AS1001" s="28">
        <v>29.56</v>
      </c>
      <c r="AT1001" s="29">
        <v>0.5</v>
      </c>
      <c r="AU1001" s="32" t="s">
        <v>186</v>
      </c>
      <c r="AV1001" s="32" t="s">
        <v>166</v>
      </c>
      <c r="AW1001" s="29">
        <v>1.17</v>
      </c>
      <c r="AX1001" s="32" t="s">
        <v>166</v>
      </c>
      <c r="AY1001" s="25" t="s">
        <v>217</v>
      </c>
      <c r="AZ1001" s="25" t="s">
        <v>217</v>
      </c>
      <c r="BA1001" s="25" t="s">
        <v>166</v>
      </c>
      <c r="BB1001" s="32" t="s">
        <v>166</v>
      </c>
      <c r="BC1001" s="25" t="s">
        <v>179</v>
      </c>
      <c r="BD1001" s="25" t="s">
        <v>18955</v>
      </c>
      <c r="BE1001" s="25" t="s">
        <v>189</v>
      </c>
      <c r="BF1001" s="29">
        <v>0.5</v>
      </c>
      <c r="BG1001" s="25" t="s">
        <v>190</v>
      </c>
      <c r="BH1001" s="25" t="s">
        <v>166</v>
      </c>
      <c r="BI1001" s="25" t="s">
        <v>166</v>
      </c>
      <c r="BJ1001" s="29" t="s">
        <v>166</v>
      </c>
      <c r="BK1001" s="29" t="s">
        <v>166</v>
      </c>
      <c r="BL1001" s="25" t="s">
        <v>191</v>
      </c>
      <c r="BM1001" s="25" t="s">
        <v>178</v>
      </c>
      <c r="BN1001" s="25" t="s">
        <v>177</v>
      </c>
      <c r="BO1001" s="33">
        <v>4</v>
      </c>
      <c r="BP1001" s="25" t="s">
        <v>18956</v>
      </c>
      <c r="BQ1001" s="32">
        <v>3</v>
      </c>
      <c r="BR1001" s="25" t="s">
        <v>166</v>
      </c>
      <c r="BS1001" s="32" t="s">
        <v>166</v>
      </c>
      <c r="BT1001" s="25" t="s">
        <v>18957</v>
      </c>
      <c r="BU1001" s="25" t="s">
        <v>166</v>
      </c>
      <c r="BV1001" s="25" t="s">
        <v>18958</v>
      </c>
      <c r="BW1001" s="25" t="s">
        <v>166</v>
      </c>
      <c r="BX1001" s="25" t="s">
        <v>166</v>
      </c>
      <c r="BY1001" s="25" t="s">
        <v>166</v>
      </c>
      <c r="BZ1001" s="25" t="s">
        <v>872</v>
      </c>
      <c r="CA1001" s="25" t="s">
        <v>872</v>
      </c>
      <c r="CB1001" s="25" t="s">
        <v>166</v>
      </c>
      <c r="CC1001" s="25" t="s">
        <v>166</v>
      </c>
      <c r="CD1001" s="25" t="s">
        <v>166</v>
      </c>
      <c r="CE1001" s="29" t="s">
        <v>166</v>
      </c>
      <c r="CF1001" s="27" t="s">
        <v>166</v>
      </c>
      <c r="CG1001" s="28" t="s">
        <v>166</v>
      </c>
      <c r="CH1001" s="27" t="s">
        <v>166</v>
      </c>
      <c r="CI1001" s="27" t="s">
        <v>166</v>
      </c>
      <c r="CJ1001" s="27" t="s">
        <v>166</v>
      </c>
      <c r="CK1001" s="27" t="s">
        <v>166</v>
      </c>
      <c r="CL1001" s="27" t="s">
        <v>166</v>
      </c>
      <c r="CM1001" s="31" t="s">
        <v>166</v>
      </c>
      <c r="CN1001" s="27" t="s">
        <v>166</v>
      </c>
      <c r="CO1001" s="27" t="s">
        <v>166</v>
      </c>
      <c r="CP1001" s="27" t="s">
        <v>166</v>
      </c>
      <c r="CQ1001" s="27" t="s">
        <v>166</v>
      </c>
      <c r="CR1001" s="27" t="s">
        <v>166</v>
      </c>
      <c r="CS1001" s="27" t="s">
        <v>166</v>
      </c>
      <c r="CT1001" s="27" t="s">
        <v>166</v>
      </c>
      <c r="CU1001" s="27" t="s">
        <v>166</v>
      </c>
      <c r="CV1001" s="27" t="s">
        <v>166</v>
      </c>
      <c r="CW1001" s="27" t="s">
        <v>166</v>
      </c>
      <c r="CX1001" s="27" t="s">
        <v>166</v>
      </c>
      <c r="CY1001" s="27" t="s">
        <v>166</v>
      </c>
      <c r="CZ1001" s="27" t="s">
        <v>166</v>
      </c>
      <c r="DA1001" s="27" t="s">
        <v>166</v>
      </c>
      <c r="DB1001" s="27" t="s">
        <v>166</v>
      </c>
      <c r="DC1001" s="27" t="s">
        <v>166</v>
      </c>
      <c r="DD1001" s="27" t="s">
        <v>166</v>
      </c>
      <c r="DE1001" s="28" t="s">
        <v>166</v>
      </c>
      <c r="DF1001" s="33">
        <v>19</v>
      </c>
      <c r="DG1001" s="25" t="s">
        <v>1561</v>
      </c>
      <c r="DH1001" s="25" t="s">
        <v>193</v>
      </c>
      <c r="DI1001" s="25" t="s">
        <v>194</v>
      </c>
      <c r="DJ1001" s="25" t="s">
        <v>1562</v>
      </c>
      <c r="DK1001" s="25" t="s">
        <v>257</v>
      </c>
      <c r="DL1001" s="32" t="s">
        <v>1563</v>
      </c>
      <c r="DM1001" s="25" t="s">
        <v>198</v>
      </c>
      <c r="DN1001" s="24" t="s">
        <v>18959</v>
      </c>
      <c r="DO1001" s="31">
        <v>2021</v>
      </c>
      <c r="DP1001" s="25" t="s">
        <v>166</v>
      </c>
      <c r="DQ1001" s="25" t="s">
        <v>166</v>
      </c>
      <c r="DR1001" s="29" t="s">
        <v>166</v>
      </c>
      <c r="DS1001" s="27" t="s">
        <v>166</v>
      </c>
      <c r="DT1001" s="30" t="s">
        <v>166</v>
      </c>
      <c r="DU1001" s="25" t="s">
        <v>166</v>
      </c>
      <c r="DV1001" s="29" t="s">
        <v>166</v>
      </c>
      <c r="DW1001" s="29" t="s">
        <v>166</v>
      </c>
      <c r="DX1001" s="27" t="s">
        <v>166</v>
      </c>
      <c r="DY1001" s="27" t="s">
        <v>166</v>
      </c>
      <c r="DZ1001" s="28" t="s">
        <v>166</v>
      </c>
      <c r="EA1001" s="27" t="s">
        <v>166</v>
      </c>
      <c r="EB1001" s="27" t="s">
        <v>166</v>
      </c>
      <c r="EC1001" s="27" t="s">
        <v>166</v>
      </c>
      <c r="ED1001" s="28" t="s">
        <v>166</v>
      </c>
      <c r="EE1001" s="28" t="s">
        <v>166</v>
      </c>
      <c r="EF1001" s="28" t="s">
        <v>166</v>
      </c>
      <c r="EG1001" s="28" t="s">
        <v>166</v>
      </c>
      <c r="EH1001" s="27" t="s">
        <v>166</v>
      </c>
      <c r="EI1001" s="27" t="s">
        <v>166</v>
      </c>
      <c r="EJ1001" s="27" t="s">
        <v>166</v>
      </c>
      <c r="EK1001" s="27" t="s">
        <v>166</v>
      </c>
      <c r="EL1001" s="27" t="s">
        <v>166</v>
      </c>
      <c r="EM1001" s="27" t="s">
        <v>166</v>
      </c>
      <c r="EN1001" s="27" t="s">
        <v>166</v>
      </c>
      <c r="EO1001" s="27" t="s">
        <v>166</v>
      </c>
      <c r="EP1001" s="27" t="s">
        <v>166</v>
      </c>
      <c r="EQ1001" s="27" t="s">
        <v>166</v>
      </c>
      <c r="ER1001" s="27" t="s">
        <v>166</v>
      </c>
      <c r="ES1001" s="27" t="s">
        <v>166</v>
      </c>
      <c r="ET1001" s="25" t="s">
        <v>166</v>
      </c>
      <c r="EU1001" s="27" t="s">
        <v>166</v>
      </c>
      <c r="EV1001" s="27" t="s">
        <v>166</v>
      </c>
      <c r="EW1001" s="27" t="s">
        <v>166</v>
      </c>
      <c r="EX1001" s="25" t="s">
        <v>190</v>
      </c>
      <c r="EY1001" s="25" t="s">
        <v>166</v>
      </c>
      <c r="EZ1001" s="27" t="s">
        <v>166</v>
      </c>
      <c r="FA1001" s="26">
        <v>4</v>
      </c>
      <c r="FB1001" s="26">
        <v>1</v>
      </c>
      <c r="FC1001" s="26" t="s">
        <v>166</v>
      </c>
      <c r="FD1001" s="26">
        <v>4</v>
      </c>
      <c r="FE1001" s="26" t="s">
        <v>166</v>
      </c>
      <c r="FF1001" s="26" t="s">
        <v>166</v>
      </c>
      <c r="FG1001" s="25" t="s">
        <v>457</v>
      </c>
      <c r="FH1001" s="4">
        <f>HYPERLINK("https://my.pitchbook.com?c=193005-73T","View Company Online")</f>
      </c>
    </row>
    <row r="1002">
      <c r="A1002" s="14" t="s">
        <v>18960</v>
      </c>
      <c r="B1002" s="14" t="s">
        <v>18961</v>
      </c>
      <c r="C1002" s="14" t="s">
        <v>18962</v>
      </c>
      <c r="D1002" s="14" t="s">
        <v>166</v>
      </c>
      <c r="E1002" s="23" t="s">
        <v>18963</v>
      </c>
      <c r="F1002" s="21">
        <v>3</v>
      </c>
      <c r="G1002" s="14" t="s">
        <v>18964</v>
      </c>
      <c r="H1002" s="14" t="s">
        <v>166</v>
      </c>
      <c r="I1002" s="14" t="s">
        <v>18965</v>
      </c>
      <c r="J1002" s="14" t="s">
        <v>18966</v>
      </c>
      <c r="K1002" s="14" t="s">
        <v>321</v>
      </c>
      <c r="L1002" s="14" t="s">
        <v>322</v>
      </c>
      <c r="M1002" s="14" t="s">
        <v>322</v>
      </c>
      <c r="N1002" s="14" t="s">
        <v>18967</v>
      </c>
      <c r="O1002" s="14" t="s">
        <v>4199</v>
      </c>
      <c r="P1002" s="14" t="s">
        <v>18968</v>
      </c>
      <c r="Q1002" s="14" t="s">
        <v>2555</v>
      </c>
      <c r="R1002" s="14" t="s">
        <v>177</v>
      </c>
      <c r="S1002" s="14" t="s">
        <v>178</v>
      </c>
      <c r="T1002" s="14" t="s">
        <v>179</v>
      </c>
      <c r="U1002" s="14" t="s">
        <v>18969</v>
      </c>
      <c r="V1002" s="14" t="s">
        <v>18970</v>
      </c>
      <c r="W1002" s="21" t="s">
        <v>18971</v>
      </c>
      <c r="X1002" s="14" t="s">
        <v>18972</v>
      </c>
      <c r="Y1002" s="14" t="s">
        <v>18973</v>
      </c>
      <c r="Z1002" s="14" t="s">
        <v>18974</v>
      </c>
      <c r="AA1002" s="14" t="s">
        <v>166</v>
      </c>
      <c r="AB1002" s="14" t="s">
        <v>166</v>
      </c>
      <c r="AC1002" s="14" t="s">
        <v>166</v>
      </c>
      <c r="AD1002" s="14" t="s">
        <v>166</v>
      </c>
      <c r="AE1002" s="14" t="s">
        <v>166</v>
      </c>
      <c r="AF1002" s="14" t="s">
        <v>166</v>
      </c>
      <c r="AG1002" s="14" t="s">
        <v>166</v>
      </c>
      <c r="AH1002" s="21">
        <v>1</v>
      </c>
      <c r="AI1002" s="3">
        <f>HYPERLINK("https://my.pitchbook.com/?d=166727-80T","166727-80T")</f>
      </c>
      <c r="AJ1002" s="19" t="s">
        <v>166</v>
      </c>
      <c r="AK1002" s="19">
        <v>44441</v>
      </c>
      <c r="AL1002" s="18">
        <v>0.63</v>
      </c>
      <c r="AM1002" s="14" t="s">
        <v>185</v>
      </c>
      <c r="AN1002" s="18" t="s">
        <v>166</v>
      </c>
      <c r="AO1002" s="18" t="s">
        <v>166</v>
      </c>
      <c r="AP1002" s="14" t="s">
        <v>166</v>
      </c>
      <c r="AQ1002" s="21" t="s">
        <v>166</v>
      </c>
      <c r="AR1002" s="21" t="s">
        <v>166</v>
      </c>
      <c r="AS1002" s="17" t="s">
        <v>166</v>
      </c>
      <c r="AT1002" s="18">
        <v>0.63</v>
      </c>
      <c r="AU1002" s="21" t="s">
        <v>186</v>
      </c>
      <c r="AV1002" s="21" t="s">
        <v>166</v>
      </c>
      <c r="AW1002" s="18" t="s">
        <v>166</v>
      </c>
      <c r="AX1002" s="21" t="s">
        <v>166</v>
      </c>
      <c r="AY1002" s="14" t="s">
        <v>187</v>
      </c>
      <c r="AZ1002" s="14" t="s">
        <v>166</v>
      </c>
      <c r="BA1002" s="14" t="s">
        <v>166</v>
      </c>
      <c r="BB1002" s="21" t="s">
        <v>166</v>
      </c>
      <c r="BC1002" s="14" t="s">
        <v>179</v>
      </c>
      <c r="BD1002" s="14" t="s">
        <v>18975</v>
      </c>
      <c r="BE1002" s="14" t="s">
        <v>189</v>
      </c>
      <c r="BF1002" s="18">
        <v>0.63</v>
      </c>
      <c r="BG1002" s="14" t="s">
        <v>190</v>
      </c>
      <c r="BH1002" s="14" t="s">
        <v>166</v>
      </c>
      <c r="BI1002" s="14" t="s">
        <v>166</v>
      </c>
      <c r="BJ1002" s="18" t="s">
        <v>166</v>
      </c>
      <c r="BK1002" s="18" t="s">
        <v>166</v>
      </c>
      <c r="BL1002" s="14" t="s">
        <v>191</v>
      </c>
      <c r="BM1002" s="14" t="s">
        <v>178</v>
      </c>
      <c r="BN1002" s="14" t="s">
        <v>177</v>
      </c>
      <c r="BO1002" s="22" t="s">
        <v>166</v>
      </c>
      <c r="BP1002" s="14" t="s">
        <v>18976</v>
      </c>
      <c r="BQ1002" s="21">
        <v>3</v>
      </c>
      <c r="BR1002" s="14" t="s">
        <v>166</v>
      </c>
      <c r="BS1002" s="21" t="s">
        <v>166</v>
      </c>
      <c r="BT1002" s="14" t="s">
        <v>166</v>
      </c>
      <c r="BU1002" s="14" t="s">
        <v>166</v>
      </c>
      <c r="BV1002" s="14" t="s">
        <v>18977</v>
      </c>
      <c r="BW1002" s="14" t="s">
        <v>166</v>
      </c>
      <c r="BX1002" s="14" t="s">
        <v>166</v>
      </c>
      <c r="BY1002" s="14" t="s">
        <v>166</v>
      </c>
      <c r="BZ1002" s="14" t="s">
        <v>18978</v>
      </c>
      <c r="CA1002" s="14" t="s">
        <v>166</v>
      </c>
      <c r="CB1002" s="14" t="s">
        <v>166</v>
      </c>
      <c r="CC1002" s="14" t="s">
        <v>18978</v>
      </c>
      <c r="CD1002" s="14" t="s">
        <v>166</v>
      </c>
      <c r="CE1002" s="18" t="s">
        <v>166</v>
      </c>
      <c r="CF1002" s="16" t="s">
        <v>166</v>
      </c>
      <c r="CG1002" s="17" t="s">
        <v>166</v>
      </c>
      <c r="CH1002" s="16" t="s">
        <v>166</v>
      </c>
      <c r="CI1002" s="16" t="s">
        <v>166</v>
      </c>
      <c r="CJ1002" s="16" t="s">
        <v>166</v>
      </c>
      <c r="CK1002" s="16" t="s">
        <v>166</v>
      </c>
      <c r="CL1002" s="16" t="s">
        <v>166</v>
      </c>
      <c r="CM1002" s="20" t="s">
        <v>166</v>
      </c>
      <c r="CN1002" s="16" t="s">
        <v>166</v>
      </c>
      <c r="CO1002" s="16" t="s">
        <v>166</v>
      </c>
      <c r="CP1002" s="16" t="s">
        <v>166</v>
      </c>
      <c r="CQ1002" s="16" t="s">
        <v>166</v>
      </c>
      <c r="CR1002" s="16" t="s">
        <v>166</v>
      </c>
      <c r="CS1002" s="16" t="s">
        <v>166</v>
      </c>
      <c r="CT1002" s="16" t="s">
        <v>166</v>
      </c>
      <c r="CU1002" s="16" t="s">
        <v>166</v>
      </c>
      <c r="CV1002" s="16" t="s">
        <v>166</v>
      </c>
      <c r="CW1002" s="16" t="s">
        <v>166</v>
      </c>
      <c r="CX1002" s="16" t="s">
        <v>166</v>
      </c>
      <c r="CY1002" s="16" t="s">
        <v>166</v>
      </c>
      <c r="CZ1002" s="16" t="s">
        <v>166</v>
      </c>
      <c r="DA1002" s="16" t="s">
        <v>166</v>
      </c>
      <c r="DB1002" s="16" t="s">
        <v>166</v>
      </c>
      <c r="DC1002" s="16" t="s">
        <v>166</v>
      </c>
      <c r="DD1002" s="16" t="s">
        <v>166</v>
      </c>
      <c r="DE1002" s="17" t="s">
        <v>166</v>
      </c>
      <c r="DF1002" s="22">
        <v>17</v>
      </c>
      <c r="DG1002" s="14" t="s">
        <v>9454</v>
      </c>
      <c r="DH1002" s="14" t="s">
        <v>193</v>
      </c>
      <c r="DI1002" s="14" t="s">
        <v>194</v>
      </c>
      <c r="DJ1002" s="14" t="s">
        <v>9455</v>
      </c>
      <c r="DK1002" s="14" t="s">
        <v>9456</v>
      </c>
      <c r="DL1002" s="21" t="s">
        <v>18979</v>
      </c>
      <c r="DM1002" s="14" t="s">
        <v>198</v>
      </c>
      <c r="DN1002" s="13" t="s">
        <v>18980</v>
      </c>
      <c r="DO1002" s="20">
        <v>2019</v>
      </c>
      <c r="DP1002" s="14" t="s">
        <v>166</v>
      </c>
      <c r="DQ1002" s="14" t="s">
        <v>166</v>
      </c>
      <c r="DR1002" s="18" t="s">
        <v>166</v>
      </c>
      <c r="DS1002" s="16" t="s">
        <v>166</v>
      </c>
      <c r="DT1002" s="19" t="s">
        <v>166</v>
      </c>
      <c r="DU1002" s="14" t="s">
        <v>166</v>
      </c>
      <c r="DV1002" s="18" t="s">
        <v>166</v>
      </c>
      <c r="DW1002" s="18" t="s">
        <v>166</v>
      </c>
      <c r="DX1002" s="16" t="s">
        <v>166</v>
      </c>
      <c r="DY1002" s="16" t="s">
        <v>166</v>
      </c>
      <c r="DZ1002" s="17" t="s">
        <v>166</v>
      </c>
      <c r="EA1002" s="16" t="s">
        <v>166</v>
      </c>
      <c r="EB1002" s="16" t="s">
        <v>166</v>
      </c>
      <c r="EC1002" s="16" t="s">
        <v>166</v>
      </c>
      <c r="ED1002" s="17" t="s">
        <v>166</v>
      </c>
      <c r="EE1002" s="17" t="s">
        <v>166</v>
      </c>
      <c r="EF1002" s="17" t="s">
        <v>166</v>
      </c>
      <c r="EG1002" s="17" t="s">
        <v>166</v>
      </c>
      <c r="EH1002" s="16" t="s">
        <v>166</v>
      </c>
      <c r="EI1002" s="16" t="s">
        <v>166</v>
      </c>
      <c r="EJ1002" s="16" t="s">
        <v>166</v>
      </c>
      <c r="EK1002" s="16" t="s">
        <v>166</v>
      </c>
      <c r="EL1002" s="16" t="s">
        <v>166</v>
      </c>
      <c r="EM1002" s="16" t="s">
        <v>166</v>
      </c>
      <c r="EN1002" s="16" t="s">
        <v>166</v>
      </c>
      <c r="EO1002" s="16" t="s">
        <v>166</v>
      </c>
      <c r="EP1002" s="16" t="s">
        <v>166</v>
      </c>
      <c r="EQ1002" s="16" t="s">
        <v>166</v>
      </c>
      <c r="ER1002" s="16" t="s">
        <v>166</v>
      </c>
      <c r="ES1002" s="16" t="s">
        <v>166</v>
      </c>
      <c r="ET1002" s="14" t="s">
        <v>166</v>
      </c>
      <c r="EU1002" s="16" t="s">
        <v>166</v>
      </c>
      <c r="EV1002" s="16" t="s">
        <v>166</v>
      </c>
      <c r="EW1002" s="16" t="s">
        <v>166</v>
      </c>
      <c r="EX1002" s="14" t="s">
        <v>190</v>
      </c>
      <c r="EY1002" s="14" t="s">
        <v>166</v>
      </c>
      <c r="EZ1002" s="16" t="s">
        <v>166</v>
      </c>
      <c r="FA1002" s="15" t="s">
        <v>166</v>
      </c>
      <c r="FB1002" s="15" t="s">
        <v>166</v>
      </c>
      <c r="FC1002" s="15" t="s">
        <v>166</v>
      </c>
      <c r="FD1002" s="15" t="s">
        <v>166</v>
      </c>
      <c r="FE1002" s="15" t="s">
        <v>166</v>
      </c>
      <c r="FF1002" s="15" t="s">
        <v>166</v>
      </c>
      <c r="FG1002" s="14" t="s">
        <v>166</v>
      </c>
      <c r="FH1002" s="3">
        <f>HYPERLINK("https://my.pitchbook.com?c=166727-80T","View Company Online")</f>
      </c>
    </row>
    <row r="1004">
      <c r="A1004" s="35" t="s">
        <v>18981</v>
      </c>
    </row>
  </sheetData>
  <mergeCells count="1">
    <mergeCell ref="B4:D5"/>
  </mergeCells>
  <hyperlinks>
    <hyperlink ref="B3" r:id="rId1" display="https://my.pitchbook.com/?pcc=1084035-6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dr="http://schemas.openxmlformats.org/drawingml/2006/spreadsheetDrawing" xmlns:a14="http://schemas.microsoft.com/office/drawing/2010/main" xmlns:x14="http://schemas.microsoft.com/office/spreadsheetml/2009/9/main" mc:Ignorable="x14ac">
  <dimension ref="A1:E15"/>
  <sheetViews>
    <sheetView showGridLines="0" workbookViewId="0">
      <selection sqref="A1"/>
    </sheetView>
  </sheetViews>
  <sheetFormatPr defaultRowHeight="15"/>
  <cols>
    <col min="1" max="1" width="10.5703125" customWidth="1"/>
    <col min="2" max="2" width="49.140625" customWidth="1"/>
    <col min="3" max="3" width="27.7109375" customWidth="1"/>
    <col min="4" max="4" width="4.5703125" customWidth="1"/>
    <col min="5" max="5" width="22.140625" customWidth="1"/>
  </cols>
  <sheetData>
    <row r="1">
      <c r="A1" s="44" t="s">
        <v>18990</v>
      </c>
    </row>
    <row r="3">
      <c r="A3" s="45" t="s">
        <v>18991</v>
      </c>
    </row>
    <row r="4">
      <c r="A4" s="47" t="s">
        <v>18992</v>
      </c>
    </row>
    <row r="6">
      <c r="A6" s="45" t="s">
        <v>18993</v>
      </c>
      <c r="C6" s="47" t="s">
        <v>18994</v>
      </c>
      <c r="E6" s="45" t="s">
        <v>18995</v>
      </c>
    </row>
    <row r="8">
      <c r="A8" s="45" t="s">
        <v>18996</v>
      </c>
    </row>
    <row r="9">
      <c r="A9" s="48" t="s">
        <v>8163</v>
      </c>
      <c r="B9" s="45" t="s">
        <v>18997</v>
      </c>
    </row>
    <row r="10">
      <c r="A10" s="48" t="s">
        <v>18998</v>
      </c>
      <c r="B10" s="45" t="s">
        <v>18999</v>
      </c>
    </row>
    <row r="11">
      <c r="A11" s="48" t="s">
        <v>19000</v>
      </c>
      <c r="B11" s="45" t="s">
        <v>19001</v>
      </c>
    </row>
    <row r="13">
      <c r="A13" s="45" t="s">
        <v>19002</v>
      </c>
      <c r="B13" s="47" t="s">
        <v>18992</v>
      </c>
    </row>
    <row r="15">
      <c r="A15" s="35" t="s">
        <v>18981</v>
      </c>
    </row>
  </sheetData>
  <sheetProtection algorithmName="SHA-512" hashValue="JFP096tMSEDZiRipvsP4akjSPymBr9ou1Gwo8CZxHSfghoCfOZApc1Ts2hb9nx7yTCmyPojeUrJL2+Der/sYAg==" saltValue="ZR1tAoxQoVZNhoBpZPF6og==" spinCount="100000" sheet="1" objects="1" scenarios="1"/>
  <hyperlinks>
    <hyperlink ref="A4" r:id="rId1" display="support@pitchbook.com"/>
    <hyperlink ref="C6" r:id="rId2" display="the PitchBook subscription agreement."/>
    <hyperlink ref="B13" r:id="rId3" display="support@pitchbook.com"/>
  </hyperlinks>
  <pageMargins left="0.7" right="0.7" top="0.75" bottom="0.75" header="0.3" footer="0.3"/>
</worksheet>
</file>